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00" sheetId="1" r:id="rId4"/>
  </sheets>
  <definedNames/>
  <calcPr/>
</workbook>
</file>

<file path=xl/sharedStrings.xml><?xml version="1.0" encoding="utf-8"?>
<sst xmlns="http://schemas.openxmlformats.org/spreadsheetml/2006/main" count="4706" uniqueCount="4074">
  <si>
    <t>name</t>
  </si>
  <si>
    <t>Description</t>
  </si>
  <si>
    <t>img</t>
  </si>
  <si>
    <t>Role</t>
  </si>
  <si>
    <t>Rolelink</t>
  </si>
  <si>
    <t>National origin</t>
  </si>
  <si>
    <t>National originlink</t>
  </si>
  <si>
    <t>Manufacturer</t>
  </si>
  <si>
    <t>Manufacturerlink</t>
  </si>
  <si>
    <t>Designer</t>
  </si>
  <si>
    <t>Designerlink</t>
  </si>
  <si>
    <t>First flight</t>
  </si>
  <si>
    <t>Number built</t>
  </si>
  <si>
    <t>Variants</t>
  </si>
  <si>
    <t>Variantslink</t>
  </si>
  <si>
    <t>Crew</t>
  </si>
  <si>
    <t>Length</t>
  </si>
  <si>
    <t>Wingspan</t>
  </si>
  <si>
    <t>Height</t>
  </si>
  <si>
    <t>Wing area</t>
  </si>
  <si>
    <t>Length de-rigged</t>
  </si>
  <si>
    <t>Width de-rigged (without tailplane)</t>
  </si>
  <si>
    <t>Width de-rigged (with tailplane)</t>
  </si>
  <si>
    <t>Height de-rigged</t>
  </si>
  <si>
    <t>Aspect ratio</t>
  </si>
  <si>
    <t>Airfoil</t>
  </si>
  <si>
    <t>Empty weight</t>
  </si>
  <si>
    <t>Gross weight</t>
  </si>
  <si>
    <t>Never exceed speed</t>
  </si>
  <si>
    <t>g limits</t>
  </si>
  <si>
    <t>Maximum glide ratio</t>
  </si>
  <si>
    <t>Rate of sink</t>
  </si>
  <si>
    <t>Wing loading</t>
  </si>
  <si>
    <t>First flightlink</t>
  </si>
  <si>
    <t>Introduction</t>
  </si>
  <si>
    <t>Introductionlink</t>
  </si>
  <si>
    <t>Retired</t>
  </si>
  <si>
    <t>Retiredlink</t>
  </si>
  <si>
    <t>Primary users</t>
  </si>
  <si>
    <t>Primary userslink</t>
  </si>
  <si>
    <t>Capacity</t>
  </si>
  <si>
    <t>Fuel capacity</t>
  </si>
  <si>
    <t>Powerplant</t>
  </si>
  <si>
    <t>Propellers</t>
  </si>
  <si>
    <t>Maximum speed</t>
  </si>
  <si>
    <t>Cruise speed</t>
  </si>
  <si>
    <t>Service ceiling</t>
  </si>
  <si>
    <t>Power/mass</t>
  </si>
  <si>
    <t>Primary user</t>
  </si>
  <si>
    <t>Primary userlink</t>
  </si>
  <si>
    <t>Developed from</t>
  </si>
  <si>
    <t>Developed fromlink</t>
  </si>
  <si>
    <t>Launch weight turbojet only</t>
  </si>
  <si>
    <t>Launch weight mixed power</t>
  </si>
  <si>
    <t>Launch weight rocket only</t>
  </si>
  <si>
    <t>Turbojet fuel capacity</t>
  </si>
  <si>
    <t>Rocket fuel capacity</t>
  </si>
  <si>
    <t>Rocket oxidiser capacity</t>
  </si>
  <si>
    <t>Turbopump H2O2 capacity</t>
  </si>
  <si>
    <t>Stall speed</t>
  </si>
  <si>
    <t>Rate of climb</t>
  </si>
  <si>
    <t>Range</t>
  </si>
  <si>
    <t>Status</t>
  </si>
  <si>
    <t>Produced</t>
  </si>
  <si>
    <t>Max takeoff weight</t>
  </si>
  <si>
    <t>Endurance</t>
  </si>
  <si>
    <t>Landing speed</t>
  </si>
  <si>
    <t>Time to altitude</t>
  </si>
  <si>
    <t>Guns</t>
  </si>
  <si>
    <t>Bombs</t>
  </si>
  <si>
    <t>Type</t>
  </si>
  <si>
    <t>Typelink</t>
  </si>
  <si>
    <t>Construction number</t>
  </si>
  <si>
    <t>Registration</t>
  </si>
  <si>
    <t>Fate</t>
  </si>
  <si>
    <t>Fatelink</t>
  </si>
  <si>
    <t>Preserved at</t>
  </si>
  <si>
    <t>Preserved atlink</t>
  </si>
  <si>
    <t>Developed into</t>
  </si>
  <si>
    <t>Developed intolink</t>
  </si>
  <si>
    <t>Maximum towing speed</t>
  </si>
  <si>
    <t>Minimum control speed</t>
  </si>
  <si>
    <t>Maximum takeoff weight</t>
  </si>
  <si>
    <t>Maximum landing weight</t>
  </si>
  <si>
    <t>Maximum zero fuel weight</t>
  </si>
  <si>
    <t>Typical basic operating weight</t>
  </si>
  <si>
    <t>Maximum usable fuel weight</t>
  </si>
  <si>
    <t>Maximum payload (D-E)</t>
  </si>
  <si>
    <t>Payload – full fuel (A-E-F)</t>
  </si>
  <si>
    <t>Fuel with maximum payload (A-D)</t>
  </si>
  <si>
    <t>Long-range cruise speed</t>
  </si>
  <si>
    <t>Balanced field length (SL, ISA, MTOW)</t>
  </si>
  <si>
    <t>Landing distance (SL, ISA, MLW)</t>
  </si>
  <si>
    <t>Noise Level</t>
  </si>
  <si>
    <t>Producedlink</t>
  </si>
  <si>
    <t>Useful load</t>
  </si>
  <si>
    <t>Combat range</t>
  </si>
  <si>
    <t>Rockets</t>
  </si>
  <si>
    <t>Main rotor diameter</t>
  </si>
  <si>
    <t>Main rotor area</t>
  </si>
  <si>
    <t>Blade tip speed</t>
  </si>
  <si>
    <t>Disc loading</t>
  </si>
  <si>
    <t>Take-off run</t>
  </si>
  <si>
    <t>Take-off distance to 50 ft (15 m)</t>
  </si>
  <si>
    <t>Landing run</t>
  </si>
  <si>
    <t>Landing distance from 50 ft (15 m)</t>
  </si>
  <si>
    <t>Diameter</t>
  </si>
  <si>
    <t>Volume</t>
  </si>
  <si>
    <t>Useful lift</t>
  </si>
  <si>
    <t>Ferry range</t>
  </si>
  <si>
    <t>Climb to 6,000 ft (1,830 m)</t>
  </si>
  <si>
    <t>Single engine ceiling</t>
  </si>
  <si>
    <t>Width</t>
  </si>
  <si>
    <t>Wingsweep</t>
  </si>
  <si>
    <t>With Fuel</t>
  </si>
  <si>
    <t>Thrust/weight</t>
  </si>
  <si>
    <t>Operating speed</t>
  </si>
  <si>
    <t>Take-off to 50 ft (15 m)</t>
  </si>
  <si>
    <t>Landing from 50 ft (15 m)</t>
  </si>
  <si>
    <t>Max aerotow speed</t>
  </si>
  <si>
    <t>Max winch launch speed</t>
  </si>
  <si>
    <t>Blade section</t>
  </si>
  <si>
    <t>Minimum speed</t>
  </si>
  <si>
    <t>Missiles</t>
  </si>
  <si>
    <t>Takeoff run to 15 m (50 ft)</t>
  </si>
  <si>
    <t>Landing run from 15 m (50 ft)</t>
  </si>
  <si>
    <t>Max Rough air speed</t>
  </si>
  <si>
    <t>Takeoff run to 50 ft (15 m)</t>
  </si>
  <si>
    <t>Landing run from 50 ft (15 m)</t>
  </si>
  <si>
    <t>Cabin length</t>
  </si>
  <si>
    <t>Cabin width</t>
  </si>
  <si>
    <t>Cabin Height</t>
  </si>
  <si>
    <t>Max Landing Weight</t>
  </si>
  <si>
    <t>Payload with full fuel</t>
  </si>
  <si>
    <t>Take off distance</t>
  </si>
  <si>
    <t>Landing distance</t>
  </si>
  <si>
    <t>Takeoff run from 15 m (50 ft)</t>
  </si>
  <si>
    <t>Landing run to 15 m (50 ft)</t>
  </si>
  <si>
    <t>Project for</t>
  </si>
  <si>
    <t>Project forlink</t>
  </si>
  <si>
    <t>Service</t>
  </si>
  <si>
    <t>Servicelink</t>
  </si>
  <si>
    <t>Outcome</t>
  </si>
  <si>
    <t>Outcomelink</t>
  </si>
  <si>
    <t>Other name(s)</t>
  </si>
  <si>
    <t>Serial</t>
  </si>
  <si>
    <t>Owners and operators</t>
  </si>
  <si>
    <t>Owners and operatorslink</t>
  </si>
  <si>
    <t>In service</t>
  </si>
  <si>
    <t>Organization</t>
  </si>
  <si>
    <t>Location</t>
  </si>
  <si>
    <t>Coordinates</t>
  </si>
  <si>
    <t>Coordinateslink</t>
  </si>
  <si>
    <t>Closed</t>
  </si>
  <si>
    <t>Closedlink</t>
  </si>
  <si>
    <t>Hardpoints</t>
  </si>
  <si>
    <t>Rough air speed max</t>
  </si>
  <si>
    <t>Aerotow speed</t>
  </si>
  <si>
    <t>Winch launch speed</t>
  </si>
  <si>
    <t>Absolute ceiling</t>
  </si>
  <si>
    <t>Max payload</t>
  </si>
  <si>
    <t>Cabin</t>
  </si>
  <si>
    <t>Cabin altitude</t>
  </si>
  <si>
    <t>Fuel consumption</t>
  </si>
  <si>
    <t>Take-off</t>
  </si>
  <si>
    <t>Landing</t>
  </si>
  <si>
    <t>Take-off Run</t>
  </si>
  <si>
    <t>Landing Roll</t>
  </si>
  <si>
    <t>Single Engine Service Ceiling</t>
  </si>
  <si>
    <t>Take-off to 50 ft (15 m)</t>
  </si>
  <si>
    <t>Landing from 50 ft (15 m)</t>
  </si>
  <si>
    <t>Takeoff distance to 15 m (50 ft)</t>
  </si>
  <si>
    <t>Landing distance from 15 m (50 ft)</t>
  </si>
  <si>
    <t>Cabin length × height × width</t>
  </si>
  <si>
    <t>Takeoff (BFL)</t>
  </si>
  <si>
    <t>Landing (wet)</t>
  </si>
  <si>
    <t>Issued by</t>
  </si>
  <si>
    <t>Issued bylink</t>
  </si>
  <si>
    <t>Successor programs</t>
  </si>
  <si>
    <t>Successor programslink</t>
  </si>
  <si>
    <t>Akaflieg München Mü13</t>
  </si>
  <si>
    <t>The Akaflieg München Mü13 Merlin  and Akaflieg München Mü13 Atalante were  gliders designed and built in  Germany from  1935. A motor-glider version of the Merlin was converted by the addition of a small engine in the nose, as the Mü13M Motormerlin. Post-war development as the Mü13E entered production as the Scheibe Bergfalke.[1] Germany had established Akademische Fliegerschule at several universities after World War I. The first and lead group was established in Berlin, but one of the most prolific, up to World War II, was Akaflieg München. The Akaflieg München Mü13 was a single-seat development of the two-seat Akaflieg München Mü10 Milan, designed and built by Tony Troeger and Kurt Schmidt, under the direction of Egon Scheibe, in two versions, a motorglider and a pure sailplane. Two prototypes were built: Tony Troeger's motor glider was named 'Merlin' and Kurt Schmidt's sailplane was named 'Atalante'. One is on display at Gliding Heritage Centre. The Mü13s were constructed with welded steel tube fuselages faired and covered using wooden longerons with fabric and conventional wooden wings with plywood skinning back to the main spar and fabric aft.  In the prototypes the trailing edge of the wings were taken up by steel-framed fabric covered flaps and ailerons, all deflectable to improve thermalling and approach control, but later production aircraft had the flaps eliminated, upper surface spoilers fitted for approach control, with the Mü13D-3 gaining increased span wings, a lengthened fuselage and an enlarged fin and rudder. This arrangement from Egon Scheibe became known as the Schüle München - Munich School. The pilot sat just forward of the main-spar with his head flanked by the wing leading-edges, severely restricting sideways vision.[2] The performance of the Mü13 was regarded as particularly good at an L/D ratio of 28 and the ability to fly at relatively high speeds due to the slender Mü Scheibe aerofoil section. 'Merlin', flown by Hans Wiesehöfer, flew around southern Germany and the Alps on point to point flights, but 'Atalante' achieved fame as the mount of Kurt Schmidt, who at the age of 16 had been responsible for building a large part of 'Atalante as well as piloting the glider at the 1935 Rhön competition at the Wasserkuppe, achieving the longest flight at 252 km (156.6miles) from the Wasserkuppe to Trier. The success of Kurt Schmidt brought attention to the Mü13 and demand for a production version. Among other accolades 'Atalante', piloted by Kurt Schmidt, also set a German goal flight (fly to a specified goal) record of 482 km (260 nm) in May 1939.[1] With improvements the Mü13 went into production as the Mü13D, built by the Schwarzwald-Flugzeugbau Wilhelm Jehle (Wilhelm Jehle Black Forest Aircraft Works) in Donaueschingen, with Mü13D's taking part in most gliding competitions from 1936 to the start of World War II.[1] The tandem two seat Mü13E, produced post-war as the Scheibe Bergfalke series of Trainers, was, in essence a new design.[2] Tony Troeger's 'Merlin' had an 18 hp (13 kW) Kroeber M4 Köller two cylinder horizontally opposed engine fitted in the nose, re-designated Mü13M Motormerlin, reaching a top speed of 125 km/h (78 mph) and landed at 45 km/h (28 mph) making wheel brakes on the retractable mainwheel superfluous. Taking part in the 1937 Rangsdorf competition the Mü13M Motormerlin scored highly demonstrating the best performance.[1] Data from Jane's World Sailplanes &amp; Motor Gliders,[3] Flugzeug-Typenbuch. Handbuch der deutschen Luftfahrt- und Zubehör-Industrie 1944.[4]General characteristics Performance   Aircraft of comparable role, configuration, and era  Related lists</t>
  </si>
  <si>
    <t>//upload.wikimedia.org/wikipedia/commons/thumb/1/1b/Akaflieg_Mue_13.jpg/300px-Akaflieg_Mue_13.jpg</t>
  </si>
  <si>
    <t>Sailplane</t>
  </si>
  <si>
    <t>https://en.wikipedia.org/Sailplane</t>
  </si>
  <si>
    <t>Germany</t>
  </si>
  <si>
    <t>https://en.wikipedia.org/Germany</t>
  </si>
  <si>
    <t>Akaflieg München</t>
  </si>
  <si>
    <t>https://en.wikipedia.org/Akaflieg München</t>
  </si>
  <si>
    <t>Egon Scheibe, Kurt schmidt and Tony Troeger[1]</t>
  </si>
  <si>
    <t>https://en.wikipedia.org/Egon Scheibe, Kurt schmidt and Tony Troeger[1]</t>
  </si>
  <si>
    <t>ca 150</t>
  </si>
  <si>
    <t>{"Mü13 'Merlin'": ' First prototype of the Mü-13 built in 1935.', "Mü13 'Atalante'": ' Second prototype of the Mü-13 built in 1936.', 'Mü13D': ' Production aircraft built by the Black Forest Aircraft works.', 'Mü13D-3': ' One of the last variants of the Mü-13 introduced in 1943.', 'Mü13E': ' Post-war development flown in 1951 and produced as the Scheibe Bergfalke.', 'Mü13M Motormerlin': " 'Merlin' "}</t>
  </si>
  <si>
    <t>https://en.wikipedia.org/Scheibe Bergfalke</t>
  </si>
  <si>
    <t>5.9 m (19 ft 4 in)</t>
  </si>
  <si>
    <t>16 m (52 ft 6 in)</t>
  </si>
  <si>
    <t>1.65 m (5 ft 5 in)</t>
  </si>
  <si>
    <t>17 m2 (180 sq ft)</t>
  </si>
  <si>
    <t>8.5 m (28 ft)</t>
  </si>
  <si>
    <t>1.04 m (3 ft 5 in)</t>
  </si>
  <si>
    <t>2.52 m (8 ft 3 in)</t>
  </si>
  <si>
    <t>1.52 m (5 ft 0 in)</t>
  </si>
  <si>
    <t>Scheibe Mü 15%[5]</t>
  </si>
  <si>
    <t>145 kg (320 lb)</t>
  </si>
  <si>
    <t>285 kg (628 lb)</t>
  </si>
  <si>
    <t>200 km/h (120 mph, 110 kn)</t>
  </si>
  <si>
    <t>+12 (ultimate)</t>
  </si>
  <si>
    <t>0.58 m/s (114 ft/min) at 55 km/h (34 mph; 30 kn)</t>
  </si>
  <si>
    <t>13.82 kg/m2 (2.83 lb/sq ft)</t>
  </si>
  <si>
    <t>Bloch MB.220</t>
  </si>
  <si>
    <t>The Bloch MB.220 was a French twin-engine passenger transport airplane built by Société des Avions Marcel Bloch during the 1930s. The MB.220 was an all-metal low-wing cantilever monoplane. It was powered by two Gnome-Rhône 14N radial engines and had a retractable landing gear. Normal crew was four, with room for 16 passengers, with eight seats each side of a central aisle. The prototype first flew on 11 June 1936 at Villacoublay with André Curvale at the controls,[1] and was followed by 16 production aircraft. Six examples survived the war and were modified as the MB.221 with Wright R-1820-97 Cyclone engines.[2] By the middle of 1938, the type was being utilised by Air France on European routes. The first service of the type (between Le Bourget and Croydon (in south of London) was flown on 27 March 1938 with a scheduled time of 1 hour 15 minutes. During World War II, most MB.220s were taken over as military transports, including service with German, Free French and Vichy French air forces. Air France continued to fly the aircraft (as MB.221s) after the war on short-range European routes. It sold four aircraft in 1949 but within a year all had been withdrawn from service. Data from Jane's All the World's Aircraft 1938[5]General characteristics Performance  Related development Aircraft of comparable role, configuration, and era</t>
  </si>
  <si>
    <t>//upload.wikimedia.org/wikipedia/commons/thumb/2/2d/Bloch_220_photo_L%27Aerophile_August_1937.jpg/300px-Bloch_220_photo_L%27Aerophile_August_1937.jpg</t>
  </si>
  <si>
    <t>Airliner</t>
  </si>
  <si>
    <t>https://en.wikipedia.org/Airliner</t>
  </si>
  <si>
    <t>Société des Avions Marcel Bloch</t>
  </si>
  <si>
    <t>https://en.wikipedia.org/Société des Avions Marcel Bloch</t>
  </si>
  <si>
    <t>{}</t>
  </si>
  <si>
    <t>19.6 m (64 ft 4 in)</t>
  </si>
  <si>
    <t>22.8 m (74 ft 10 in)</t>
  </si>
  <si>
    <t>3.9 m (12 ft 10 in)</t>
  </si>
  <si>
    <t>75 m2 (810 sq ft)</t>
  </si>
  <si>
    <t>6,500 kg (14,330 lb)</t>
  </si>
  <si>
    <t>9,500 kg (20,944 lb)</t>
  </si>
  <si>
    <t>131 kg/m2 (27 lb/sq ft)</t>
  </si>
  <si>
    <t>https://en.wikipedia.org/1936</t>
  </si>
  <si>
    <t>https://en.wikipedia.org/1938</t>
  </si>
  <si>
    <t>https://en.wikipedia.org/1950</t>
  </si>
  <si>
    <t>Air FranceFrench Air Force</t>
  </si>
  <si>
    <t>https://en.wikipedia.org/Air FranceFrench Air Force</t>
  </si>
  <si>
    <t>2,160 l (570 US gal; 480 imp gal) in four wing tanks</t>
  </si>
  <si>
    <t>1 × Gnome-Rhône 14N-17 14-cyl. two-row air-cooled piston engines, 682 kW (915 hp)   at 1,750 m (5,740 ft)(left hand rotation)</t>
  </si>
  <si>
    <t>3-bladed Ratier variable-pitch propellers</t>
  </si>
  <si>
    <t>350 km/h (220 mph, 190 kn)</t>
  </si>
  <si>
    <t>300 km/h (190 mph, 160 kn) at 60% power</t>
  </si>
  <si>
    <t>7,000 m (23,000 ft) (on one engine 2,500 m (8,200 ft))</t>
  </si>
  <si>
    <t>7.24 kg/kW (11.9 lb/hp)</t>
  </si>
  <si>
    <t>Douglas D-558-2 Skyrocket</t>
  </si>
  <si>
    <t>The Douglas D-558-2 Skyrocket (or D-558-II) is a rocket and jet-powered research supersonic aircraft built by the Douglas Aircraft Company for the America Navy. On 20 November 1953, shortly before the (17 December) 50th anniversary of powered flight, Scott Crossfield piloted the Skyrocket to Mach 2, or more than 1,290 mph (2076 km/h), the first time an aircraft had exceeded twice the speed of sound. The "-2" in the aircraft's designation referred to the fact that the Skyrocket was the phase-two version of what had originally been conceived as a three-phase program.  The phase-one aircraft, the D-558-1, was jet powered and had straight wings. The third phase, which never came to fruition, would have involved constructing a mock-up of a combat type aircraft embodying the results from the testing of the phase one and two aircraft.  The eventual D-558-3 design, which was never built, was for a hypersonic aircraft similar to the North American X-15.[1] When it became obvious that the D558-1 fuselage could not be modified to accommodate both rocket and jet power, the D558-2 was conceived as an entirely different aircraft.[2] A contract change order was issued on 27 January 1947 to formally drop the final three D558-1 aircraft and substitute three new D558-2 aircraft instead.[3] The Skyrocket featured wings with a 35-degree sweep and horizontal stabilizers with 40-degree sweep.  The wings and empennage were fabricated from aluminum and the large fuselage was of primarily magnesium construction.  The Skyrocket was powered by a Westinghouse J34-40 turbojet engine fed through side intakes in the forward fuselage.  This engine was intended for takeoff, climb and landing.  For high speed flight, a four-chamber Reaction Motors LR8-RM-6 engine (the Navy designation for the Air Force's XLR11 used in the Bell X-1), was fitted.  This engine was rated at 6,000 lbf (27 kN) static thrust at sea level.  A total of 250 US gallons (950 L) of aviation fuel, 195 US gallons (740 L) of alcohol, and 180 US gallons (680 L) of liquid oxygen were carried in fuselage tanks. The Skyrocket was configured with a flush cockpit canopy, but visibility from the cockpit was poor, so it was re-configured with a raised cockpit with conventional angled windows.  This resulted in a greater profile area at the front of the aircraft, which was balanced by an additional 14 inches (36 cm) of height added to the vertical stabilizer.  Like its predecessor, the D558-1, the D558-2 was designed so that the forward fuselage, including cockpit, could be separated from the rest of the aircraft in an emergency.  Once the forward fuselage had decelerated sufficiently, the pilot would then be able to escape from the cockpit by parachute. Douglas pilot John F. Martin made the first flight at Muroc Army Airfield (later renamed Edwards Air Force Base) in California on 4 February 1948 in an aircraft equipped only with the jet engine. The goals of the program were to investigate the characteristics of swept-wing aircraft at transonic and supersonic speeds with particular attention to pitch-up (un-commanded rotation of the nose of the aircraft upwards), a problem prevalent in high-speed service aircraft of that era, particularly at low speeds during takeoff and landing, and in tight turns. The three aircraft gathered a great deal of data about pitch-up and the coupling of lateral (yaw) and longitudinal (pitch) motions; wing and tail loads, lift, drag and buffeting characteristics of swept-wing aircraft at transonic and supersonic speeds; and the effects of the rocket exhaust plume on lateral dynamic stability throughout the speed range. (Plume effects were a new experience for aircraft.) The number three aircraft also gathered information about the effects of external stores (bomb shapes, drop tanks) upon the aircraft's behavior in the transonic region (roughly 0.7 to 1.3 times the speed of sound). In correlation with data from other early transonic research aircraft such as the XF-92A, this information contributed to solutions to the pitch-up problem in swept-wing aircraft. Its flight research was done at the NACA's Muroc Flight Test Unit in California, redesignated in 1949 the High-Speed Flight Research Station (HSFRS).  The HSFRS became the High-Speed Flight Station in 1954 and was then known as the NASA Dryden Flight Research Center. In 2014 it was renamed Armstrong Flight Research Center in honor of Neil Armstrong. The three aircraft flew a total of 313 times – 123 by the number one aircraft (Bureau No. 37973—NACA 143), 103 by the second Skyrocket (Bureau No. 37974 – NACA 144), and 87 by aircraft number three (Bureau No. 37975 – NACA 145). Skyrocket 143 flew all but one of its missions as part of the Douglas contractor program to test the aircraft's performance. NACA aircraft 143 was initially powered by the jet engine only, but was later fitted with the rocket engine.  In this configuration, it was tested by Douglas from 1949 to 1951.  After Douglas' test program, it was delivered to NACA, who stored it until 1954.  In 1954–55 the contractor modified it to an all-rocket air-launch capability with the jet engine removed.  In this configuration, NACA research pilot John McKay flew the aircraft only once for familiarization on 17 September 1956. The 123 flights of NACA 143 served to validate wind-tunnel predictions of the aircraft's performance, except for the fact that the aircraft experienced less drag above Mach 0.85 than the wind tunnels had indicated. NACA 144 also began its flight program with a turbojet powerplant. NACA pilots Robert A. Champine[4] and John H. Griffith flew 21 times in this configuration to test airspeed calibrations and to research longitudinal and lateral stability and control. In the process, during August 1949 they encountered pitch-up problems, which NACA engineers recognized as serious because they could produce a limiting and dangerous restriction on flight performance. Hence, they determined to make a complete investigation of the problem. In 1950, Douglas replaced the turbojet with an LR-8 rocket engine, and its pilot, Bill Bridgeman, flew the aircraft seven times up to a speed of Mach 1.88 (1.88 times the speed of sound) and an altitude of 79,494 ft (24,230 m), the latter an unofficial world's altitude record at the time, achieved on 15 August 1951.[5] In the rocket configuration, the aircraft was attached beneath the bomb bay of a Navy P2B, a variant of the B-29 bomber. The P2B would fly to about 30,000 feet (9,100 m), then release the rocket plane. During Bridgeman's supersonic flights, he encountered a violent rolling motion known as lateral instability. The motion was less pronounced during the Mach 1.88 flight on 7 August 1951 than during a Mach 1.85 flight in June when he pushed over to a low angle of attack. The NACA engineers studied the behavior of the aircraft before beginning their own flight research in the aircraft in September 1951. Over the next couple of years, NACA pilot Scott Crossfield flew the aircraft 20 times to gather data on longitudinal and lateral stability and control, wing and tail loads, and lift, drag, and buffeting characteristics at speeds up to Mach 1.878. At that point, Marine Lt. Col. Marion Carl flew the aircraft to a new (unofficial) altitude record of 83,235 feet (25,370 m) on 21 August 1953, and to a maximum speed of Mach 1.728.  The altitude record was not recognized by the Federation of Aeronautique Internationale, because at that time aircraft making record attempts had to take off on their own power.[6] Following Carl's completion of these flights for the Navy, NACA technicians at the High-Speed Flight Research Station (HSFRS) near Mojave, California, outfitted the LR-8 engine's combustion chambers with nozzle extensions to prevent the exhaust gas from affecting the rudders at supersonic speeds. This addition also increased the engine's thrust by 6.5 percent at Mach 1.7 and 70,000 feet (21,300 m). Even before Marion Carl had flown the Skyrocket, HSFRS Chief Walter C. Williams had petitioned NACA headquarters unsuccessfully to fly the aircraft to Mach 2 to garner the research data at that speed. Finally, after Crossfield had secured the agreement of the Navy's Bureau of Aeronautics, NACA director Hugh L. Dryden relaxed the organization's usual practice of leaving record setting to others and consented to attempting a flight to Mach 2. In addition to adding the nozzle extensions, the NACA flight team at the HSFRS chilled the fuel (alcohol) so more could be poured into the tank and waxed the fuselage to reduce drag. Project engineer Herman O. Ankenbruck drew up a plan to fly to about 72,000 feet (21,900 m) and push over into a slight dive. Crossfield made aviation history on 20 November 1953, when he flew to Mach 2.005, 1,291 miles per hour (2,078 km/h). It was the only Mach 2 flight the Skyrocket ever made. Following this flight, Crossfield and NACA pilots Joseph A. Walker and John B. McKay flew the aircraft for such purposes as to gather data on pressure distribution, structural loads, and structural heating, with the last flight in the program occurring on 20 December 1956, when McKay obtained dynamic stability data and sound-pressure levels at transonic speeds and above. Meanwhile, NACA 145 had completed 21 contractor flights by Douglas pilots Eugene F. May and William Bridgeman in November 1950. In this jet-and-rocket-propelled craft, Scott Crossfield and Walter Jones began the NACA's investigation of pitch-up lasting from September 1951 well into summer 1953. They flew the Skyrocket with a variety of wing-fence, wing-slat and leading edge chord extension configurations, performing various maneuvers as well as straight-and-level flying at transonic speeds. While fences significantly aided recovery from pitch-up conditions, leading edge chord extensions did not, disproving wind-tunnel tests to the contrary. Slats (long, narrow auxiliary airfoils) in the fully open position eliminated pitch-up except in the speed range around Mach 0.8 to 0.85. In June 1954, Crossfield began an investigation of the effects of external stores (bomb shapes and fuel tanks) upon the aircraft's transonic behavior. McKay and Stanley Butchart completed the NACA's investigation of this issue, with McKay flying the final mission on 28 August 1956. Besides setting several records, the Skyrocket pilots had gathered important data and understanding about what would and would not work to provide stable, controlled flight of a swept-wing aircraft in the transonic and supersonic flight regimes. The data they gathered also helped to enable a better correlation of wind-tunnel test results with actual flight values, enhancing the abilities of designers to produce more capable aircraft for the armed services, especially those with swept wings. Moreover, data on such matters as stability and control from this and other early research aircraft aided in the design of the Century Series of fighter aircraft, all of which featured the movable horizontal stabilizers first employed on the X-1 and D-558 series. All three of the Skyrockets had 35-degree swept wings. Until configured for air launch, NACA 143 featured a Westinghouse J-34-40 turbojet engine rated at 3,000 lbf (13 kN) static thrust. It carried 260 US gallons (980 L) of aviation gasoline and weighed 10,572 lb (4,795 kg) at takeoff. NACA 144 (and NACA 143 after modification in 1955) was powered by an LR-8-RM-6 rocket engine rated at 6,000 pounds-force (27 kN) static thrust. Its propellants were 345 US gallons (1,310 L) of liquid oxygen and 378 US gallons (1,430 L) of diluted ethyl alcohol. In its launch configuration, it weighed 15,787 lb (7,161 kg). NACA 145 had both an LR-8-RM-5 rocket engine rated at 6,000 lbf (27 kN) static thrust and featured a Westinghouse J-34-40 turbojet engine rated at 3,000 lbf (13 kN) static thrust. It carried 170 US gallons (640 L) of liquid oxygen, 192 US gallons (730 L) of diluted ethyl alcohol, and 260 US gallons (980 L) of aviation gasoline for a launch weight of 15,266 lb (6,925 kg). D-558-2 #1 Skyrocket is on display at the Planes of Fame Museum, Chino, California. The number two Skyrocket, the first aircraft to fly Mach 2, is on display at the National Air and Space Museum in Washington D.C. The third aircraft is displayed on a pylon in the grounds of Antelope Valley College, Lancaster, California. (Configured with mixed propulsion) Data from McDonnell Douglas aircraft since 1920 : Volume I,[7][8]General characteristics Performance  Related development Aircraft of comparable role, configuration, and era  Related lists</t>
  </si>
  <si>
    <t>//upload.wikimedia.org/wikipedia/commons/thumb/c/c2/D-558-II-NASA-E-1442.jpg/300px-D-558-II-NASA-E-1442.jpg</t>
  </si>
  <si>
    <t>Experimental high-speed research aircraft</t>
  </si>
  <si>
    <t>https://en.wikipedia.org/Experimental high-speed research aircraft</t>
  </si>
  <si>
    <t>Douglas Aircraft Company</t>
  </si>
  <si>
    <t>https://en.wikipedia.org/Douglas Aircraft Company</t>
  </si>
  <si>
    <t>42 ft (13 m)</t>
  </si>
  <si>
    <t>25 ft (7.6 m)</t>
  </si>
  <si>
    <t>12 ft 8 in (3.86 m)</t>
  </si>
  <si>
    <t>175 sq ft (16.3 m2)</t>
  </si>
  <si>
    <t>root</t>
  </si>
  <si>
    <t>60.4 lb/sq ft (295 kg/m2) turbojet engine only</t>
  </si>
  <si>
    <t>1 × Reaction Motors XLR8-RM-5 4-chambered liquid-fuelled rocket engine, 6,000 lbf (27 kN) thrust</t>
  </si>
  <si>
    <t>585 mph (941 km/h, 508 kn) at 20,000 ft (6,100 m) on turbojet only</t>
  </si>
  <si>
    <t>America Navy</t>
  </si>
  <si>
    <t>https://en.wikipedia.org/America Navy</t>
  </si>
  <si>
    <t>Douglas D-558-1 Skystreak</t>
  </si>
  <si>
    <t>https://en.wikipedia.org/Douglas D-558-1 Skystreak</t>
  </si>
  <si>
    <t>10,572 lb (4,795 kg)</t>
  </si>
  <si>
    <t>15,266 lb (6,925 kg)</t>
  </si>
  <si>
    <t>15,787 lb (7,161 kg)</t>
  </si>
  <si>
    <t>250 US gal (210 imp gal; 950 l) Avgas</t>
  </si>
  <si>
    <t>195 US gal (162 imp gal; 740 l) Alcohol</t>
  </si>
  <si>
    <t>180 US gal (150 imp gal; 680 l) LOX</t>
  </si>
  <si>
    <t>11 US gal (9.2 imp gal; 42 l) High Test Hydrogen Peroxide (HTP)</t>
  </si>
  <si>
    <t>160 mph (260 km/h, 140 kn)</t>
  </si>
  <si>
    <t>22,400 ft/min (114 m/s) mixed power</t>
  </si>
  <si>
    <t>Utva Trojka</t>
  </si>
  <si>
    <t>The Utva C-3 Trojka (Trey) was a light aircraft built in Yugoslavia shortly after World War II as a result of a government competition to develop a new, domestically built aircraft with which to equip the country's flying clubs. The winning design was submitted by Boris Cijan and Djordje T. Petković and the prototype was built by Ikarus as the Ikarus 251. Series production took place at Utva as the C-3. It was a conventional, low-wing cantilever monoplane with fixed tailwheel undercarriage. The pilot and instructor sat side by side under an expansive canopy. The type remained in production until the mid-1950s with later examples powered by the more powerful Walter Mikron 4. General characteristics Performance   Aircraft of comparable role, configuration, and era</t>
  </si>
  <si>
    <t>//upload.wikimedia.org/wikipedia/commons/thumb/d/d6/Trojka.JPG/300px-Trojka.JPG</t>
  </si>
  <si>
    <t>Civil trainer</t>
  </si>
  <si>
    <t>Yugoslavia</t>
  </si>
  <si>
    <t>Ikarus, Utva</t>
  </si>
  <si>
    <t>https://en.wikipedia.org/Ikarus, Utva</t>
  </si>
  <si>
    <t>ca.80</t>
  </si>
  <si>
    <t>Two, pilot and instructor</t>
  </si>
  <si>
    <t>8.84 m (29 ft 0 in)</t>
  </si>
  <si>
    <t>10.49 m (34 ft 5 in)</t>
  </si>
  <si>
    <t>2.08 m (6 ft 10 in)</t>
  </si>
  <si>
    <t>15.5 m2 (16.7 sq ft)</t>
  </si>
  <si>
    <t>374 kg (824 lb)</t>
  </si>
  <si>
    <t>602 kg (1,328 lb)</t>
  </si>
  <si>
    <t>1 × Walter Mikron III , 49 kW (65 hp)</t>
  </si>
  <si>
    <t>166 km/h (103 mph, 90 kn)</t>
  </si>
  <si>
    <t>3,900 m (12,800 ft)</t>
  </si>
  <si>
    <t>605 km (376 mi, 327 nmi)</t>
  </si>
  <si>
    <t>Tatra T.101</t>
  </si>
  <si>
    <t>The Tatra T.101 is a two-seat monoplane general aviation aircraft that was built in 1937 by Tatra. Only one aircraft was built, but it set several records in the hands of Jan Ambruš. In 2008 a replica aircraft was constructed by brothers Ivo and Jiří Sklenář. It first flew in October 2009. Tatra started making aircraft in 1935, building the Avro 626 Avian and Bücker Bü 131 Jungmann under licence. In 1937 the Tatra T.001 was the first aircraft designed and built by Tatra. The T.101 was a development of that aircraft, with an increased wingspan and a larger empennage than the T.001.[1][2] Only one aircraft was built by Tatra, msn 01. It was registered OK-TAO. The Tatra T.101 gained a number of records. In 1937 a prize was offered for the longest flight by an aircraft of Czechoslovakian origin. In 1938 Jan Ambruš and Vojtěch Matěna flew from Ruzyně Airport, Prague to Khartoum Airport, Sudan,[1] a distance of 2,340 nautical miles (4,330 km).[3] The aircraft achieved a height record of 7,113 metres (23,337 ft) in the category for two-seat aircraft with an engine capacity of less than 4 litres (240 cu in). This was later raised to 7,470 metres (24,510 ft).[2] After the Velvet Revolution of 1989, citizens in the Czech Republic and Slovakia gained new freedom. The celebration of heritage had been suppressed under communism and the restoration of historic aircraft was forbidden by the Communist authorities. Since the revolution, interest in heritage has grown, and a number of attempts to revive industrial heritage, including aviation heritage, have been successful.[1] One of these projects was the re-creation of the Tatra T.101 by twins Ivo and Jiří Sklenář. In the early 2000s they started researching the aircraft and discovered that the blueprints had escaped destruction. They were discovered in the state archive at Opava. A Tatra HM-504 and a Tatra T100 engine were acquired with the assistance of Tatra and the Czech Aeronautical Research and Testing Institute [cz]. These two engines were rebuilt and made into an airworthy T100 engine with the assistance of Tatra and the Czech National Technical Museum. The process was hampered by the non-availability of spare parts, particularly cylinder valves. A new two-bladed wooden propeller was one of the first items made for the aircraft. The replica used some modern manufacturing methods and materials, such as TIG welding, carbon composites and fibreglass. Deviations from the original design were made only where required by modern aeronautical regulations. The aircraft has modern avionics and a strobe light.[1] The 13.00 metres (42 ft 8 in) span wooden wings are a one-piece unit. They were built by Jan Tobek, an ultralight aircraft maker. The wing is the largest wooden wing built in the Czech Republic since the end of World War II. The aircraft was assembled at Kunovice Airport in a hangar owned by Evektor-Aerotechnik and Let Kunovice. The aircraft was completed on 29 September 2008. After ground testing, a series of flight tests was begun in October 2009, resulting in the issue of a Certificate of Airworthiness on 1 December 2009. The replica aircraft was given msn 02.[1] Data from Aeroplane, April 2012,[2] and/or the Aviators website.[4]General characteristics Performance</t>
  </si>
  <si>
    <t>//upload.wikimedia.org/wikipedia/commons/thumb/c/cd/Tatra_101.2.JPG/300px-Tatra_101.2.JPG</t>
  </si>
  <si>
    <t>General aviation</t>
  </si>
  <si>
    <t>Czechoslovakia (original)Czech Republic (replica)</t>
  </si>
  <si>
    <t>https://en.wikipedia.org/Czechoslovakia (original)Czech Republic (replica)</t>
  </si>
  <si>
    <t>Tatra (original)Ivo and Jiří Sklenář (replica)</t>
  </si>
  <si>
    <t>https://en.wikipedia.org/Tatra (original)Ivo and Jiří Sklenář (replica)</t>
  </si>
  <si>
    <t>1937 (original)October 2009 (replica)</t>
  </si>
  <si>
    <t>6.62 m (21 ft 9 in)</t>
  </si>
  <si>
    <t>13 m (42 ft 8 in)</t>
  </si>
  <si>
    <t>16.4 m2 (177 sq ft)</t>
  </si>
  <si>
    <t>500 kg (1,102 lb)</t>
  </si>
  <si>
    <t>1 × Tatra T100 4-cylinder air-cooled inverted in-line piston engine, 71 kW (95 hp)</t>
  </si>
  <si>
    <t>2-bladed fixed-pitch propeller</t>
  </si>
  <si>
    <t>225 km/h (140 mph, 121 kn)</t>
  </si>
  <si>
    <t>8,000 m (26,000 ft)</t>
  </si>
  <si>
    <t>Jan Ambruš (original)Ivo and Jiří Sklenář (replica)</t>
  </si>
  <si>
    <t>https://en.wikipedia.org/Jan Ambruš (original)Ivo and Jiří Sklenář (replica)</t>
  </si>
  <si>
    <t>Tatra T.001</t>
  </si>
  <si>
    <t>https://en.wikipedia.org/Tatra T.001</t>
  </si>
  <si>
    <t>5,000 km (3,100 mi, 2,700 nmi)</t>
  </si>
  <si>
    <t>Replica active.</t>
  </si>
  <si>
    <t>1937 (original)2008 (replica)</t>
  </si>
  <si>
    <t>1,100 kg (2,425 lb)</t>
  </si>
  <si>
    <t>30 hours</t>
  </si>
  <si>
    <t>Mitsubishi J4M</t>
  </si>
  <si>
    <t>The Mitsubishi J4M Senden (閃電"Flashing Lightning") or Navy Experimental 17-Shi Otsu B Type Interceptor Fighter Senden, Allied reporting name Luke, was a  Japanese World War II fighter aircraft proposed by Mitsubishi for use by the Imperial Japanese Navy. The J4M project did not proceed beyond the design stage. To provide the Imperial Japanese Navy with a land-based high-performance interceptor aircraft, Mitsubishi designed the J4M. It was to have been a single-seat, twin-boom, low-wing monoplane with a central nacelle housing an unstepped cockpit and a 1,590-kilowatt (2,130-hp) Mitsubishi Ha-43[1] radial engine behind the pilot driving a four-bladed pusher propeller rotating between the booms.[2] The booms were to extend aft from the leading edge of the wing and were mounted below the central nacelle.[2] The aircraft was to have had tricycle landing gear and an armament of one 30-mm and two 20-mm cannon.[2] Design of the initial J4M1 version ended when the Navy put its support behind the competing Kyūshū J7W fighter, and Mitsubishi did not build a prototype.[2] The Allies nonetheless assigned the J4M the reporting name "Luke" during World War II.[3] Data from Japanese Secret Projects:Experimental aircraft of the IJA and IJN 1939-1945[4]General characteristics Performance Armament   Aircraft of comparable role, configuration, and era  Related lists 2 Hyphenated trailing letter (-J, -K, -L, -N or -S) denotes design modified for secondary role                               1. Winds, 2. Lightning, 3. Nighttime lights, 4. Mountains, 5. Stars/constellations, 6. Seas, 7. Clouds, 8. Plants, 9. Skies, 10. Landscapes, and 11. Flowers</t>
  </si>
  <si>
    <t>Fighter aircraft</t>
  </si>
  <si>
    <t>https://en.wikipedia.org/Fighter aircraft</t>
  </si>
  <si>
    <t>Mitsubishi Heavy Industries</t>
  </si>
  <si>
    <t>https://en.wikipedia.org/Mitsubishi Heavy Industries</t>
  </si>
  <si>
    <t>None</t>
  </si>
  <si>
    <t>12.98 m (42 ft 7 in)</t>
  </si>
  <si>
    <t>12.49 m (41 ft 0 in)</t>
  </si>
  <si>
    <t>3.47 m (11 ft 5 in)</t>
  </si>
  <si>
    <t>22 m2 (240 sq ft)</t>
  </si>
  <si>
    <t>3,400 kg (7,496 lb)</t>
  </si>
  <si>
    <t>4,400 kg (9,700 lb)</t>
  </si>
  <si>
    <t>199.69 kg/m2 (40.90 lb/sq ft)</t>
  </si>
  <si>
    <t>1 × Mitsubishi MK9D 18-cyl. two-row fan assisted air-cooled radial piston engine, 1,600 kW (2,100 hp)   at take-off</t>
  </si>
  <si>
    <t>6-bladed metal constant speed propeller, 3.2 m (10 ft 6 in) diameter</t>
  </si>
  <si>
    <t>756 km/h (470 mph, 408 kn) at 8,000 m (26,247 ft)</t>
  </si>
  <si>
    <t>462 km/h (287 mph, 249 kn)</t>
  </si>
  <si>
    <t>12,000 m (39,000 ft)</t>
  </si>
  <si>
    <t>Imperial Japanese Navy (intended)</t>
  </si>
  <si>
    <t>https://en.wikipedia.org/Imperial Japanese Navy (intended)</t>
  </si>
  <si>
    <t>8.89 m/s (1,750 ft/min)</t>
  </si>
  <si>
    <t>5,255 kg (11,585 lb)</t>
  </si>
  <si>
    <t>2 hours 12 minutes</t>
  </si>
  <si>
    <t>147 km/h (91 mph)</t>
  </si>
  <si>
    <t>8,000 m (26,247 ft) in 15 minutes</t>
  </si>
  <si>
    <t>1x 30mm Type 5 cannon with 100 rounds + 2x 20mm Type 99 cannon with 200 rounds per gun in the fuselage nose</t>
  </si>
  <si>
    <t>provision for 2x 30 kg (66 lb) or 2x 60 kg (132 lb) bombs</t>
  </si>
  <si>
    <t>IMAM Ro.41</t>
  </si>
  <si>
    <t>The IMAM Ro.41 was an Italian light biplane fighter aircraft, serving in the Regia Aeronautica in the 1930s-1940s, mainly as a trainer. It was a singular aircraft, being obsolescent as a fighter when it first appeared in 1934, but despite this it was used as such until 1940. The Luftwaffe showed an interest in it as a trainer, even though German first line fighters were completely different. The Ro.41 is almost unknown, compared to many other Italian aircraft, despite being one of the most numerous produced, in its 16-year career. The IMAM Ro.41 had its origins in the aircraft division of OFM (Officine Ferroviarie Meridionali). In 1929 Alessandro Tonini, the chief designer, had serious health problems and was replaced by Giovanni Galasso. This company, based in Naples, was taken over by Breda in 1935, and so Galasso's new aircraft designs received the IMAM designation of this company. One of the first was the Ro.41, flight tested by Niccolò Lana at Capodichino airfield on 16 June 1934. The first prototype was fitted with a Piaggio P.VII engine, and showed itself to be very agile, with excellent climb performance, and no noticeable vices. The second prototype, MM.281, was tested 31 January 1935, and taken on strength with the Regia Aeronautica. The third prototype had a Piaggio P.VII C.45 with two-stage compressor, giving 390 hp at 4,000 m. This was the definitive version of this aircraft, and fifty aircraft, numbers MM.2907-2956, were ordered. This first series was put in service in July 1935. A biplane, with the lower wing smaller than the upper, the Ro.41 was of mixed construction, the fuselage of chrome-molybdenum steel frame, covered in fabric. Duralumin covered the bottom and upper fuselage, and also the engine cowling. The wings were made of wood covered with fabric. There was a fixed undercarriage. The engine gave a theoretical 425 hp at ground level, 450 hp at 1,500 m, and 390 hp at 4,500 m, although it was much less in practice. The reliability was very good. A 176-litre fuel tank was inside the fuselage, near the engine, together with a 20-litre oil tank. The propeller was two-bladed and made of wood, later replaced by a metal two-blade model. Armament, when fitted, consisted of two 7.7 mm Breda-SAFAT machine guns mounted inside the fuselage, with 850 cartridges. This aircraft was designed as a fighter, but was underpowered even by mid-1930s standards. It resembled a small I-15, and was fairly agile. On tests it was able to reach an altitude of 1,000 metres in 1 minutes 32 seconds, 3,000 m in 3 min 47 sec, and 5,000 m in 7 min 34 sec, which was a much better climb rate than the standard Italian fighter, the Fiat CR.32 (3,000 m in 5 min 10 sec). It was also more manoeuvrable than the CR.32, and cost significantly less. However, a top speed of only 320 km/h was far too slow to make the Ro.41 a credible fighter, and the CR.32 had a better range, a better dive performance, was more heavily armed, and was already in service. The Ro.41 found a role as a trainer aircraft, for which it was well-suited, and a series of 30 two-seat aircraft first flew in 1937. The Ro.41 replaced the Breda Ba.25, and soon another 264 single-seat and 66 two-seat models were ordered. The Ro.41 was also proposed as light fighter. Twenty-eight were sent to Spain where, thanks to their high rate of climb, they acted as point-defence interceptors around Seville, though it appears that they did not score any victories. It served in 5 and 50 Wing as a fighter bomber, before the Breda Ba.65 arrived. XVI Gruppo, 50 Stormo, had all its three squadrons equipped with Ro.41s. 163 Sqn was sent to Rodi and used the Ro.41 as a fighter until 1940. Twelve Ro.41s served with 160 Gruppo in 1939 and were used as first line fighters, though the Gruppo was based on CR.32s and CR.42s. From 10 August 1940 four Ro.41s of 159 Sqn, 12 Gruppo, 50 Assault Wing were flown from Tobruk as night fighters. In its limited career as first line fighter the Ro.41 did not achieve any victories, and it is unlikely that it was ever involved in any air-combats. By this time even the CR.32 and CR.42s were obsolete, and the Ro.41s were only a stop-gap measure. Their real task was advanced training and despite the obsolete design they managed to be popular, reliable and cheap machines. They were also built by Agusta and AVIS. The  Ro.41bis, with a smaller wing and better performance was tested, but the CR.32 was already available for flying schools, and it was not a success. In September 1938 MM.3786 was sent to Uruguay to display the type, but no orders were placed. Ro.41s were popular aircraft and for many years first line squadrons and flight schools operated it, until it became obsolete for first line use. One of the few changes was the fitting of a Piaggio P.VII RC.35 engine, that had a single-stage compressor which gave 500 hp at low level. Guns were seldom fitted, and two-seat versions had no weapons at all, and also carried less fuel. Production numbered 726 aircraft by 1943. After the armistice the RSI's Aeronautica Nazionale Repubblicana operated some aircraft, and the Luftwaffe used them as trainers in Germany and France. Strangely no examples remained in Southern Italy, perhaps because flight schools, like Castiglione del Lago airfield, were in the central and northern Italy. Five ANR aircraft survived the war. The Ro.41 was the first post-war aircraft to enter production when an order was sent to Agusta for 15 new aircraft (5 single and 10 two-seaters) and later ten more (7 single and 3 two-seaters). These aircraft had a wooden propeller, possibly spare parts still in store. They were painted silver, the new standard for Italian aircraft, instead of camouflage colours. Three of these machines formed the first acrobatic team of the Aeronautica Militare in 1947 at Padua. These aircraft were flown until 1950. In total production reached 753 aircraft. General characteristics Performance Armament     Related lists</t>
  </si>
  <si>
    <t>//upload.wikimedia.org/wikipedia/commons/thumb/2/23/Italian_IMAM_Ro.41_reconnaissance_aircraft.jpg/300px-Italian_IMAM_Ro.41_reconnaissance_aircraft.jpg</t>
  </si>
  <si>
    <t>Fighter/Trainer</t>
  </si>
  <si>
    <t>IMAM</t>
  </si>
  <si>
    <t>https://en.wikipedia.org/IMAM</t>
  </si>
  <si>
    <t>Giovanni Galasso</t>
  </si>
  <si>
    <t>743 + 1 prototype [1]</t>
  </si>
  <si>
    <t>6.38 m (20 ft 11 in)</t>
  </si>
  <si>
    <t>8.81 m (28 ft 11 in)</t>
  </si>
  <si>
    <t>2.65 m (8 ft 8 in)</t>
  </si>
  <si>
    <t>19.15 m2 (206.1 sq ft)</t>
  </si>
  <si>
    <t>1,010 kg (2,227 lb)</t>
  </si>
  <si>
    <t>1,270 kg (2,800 lb)</t>
  </si>
  <si>
    <t>https://en.wikipedia.org/1935</t>
  </si>
  <si>
    <t>Regia AeronauticaLuftwaffe</t>
  </si>
  <si>
    <t>https://en.wikipedia.org/Regia AeronauticaLuftwaffe</t>
  </si>
  <si>
    <t>176 l (46 US gal; 39 imp gal)</t>
  </si>
  <si>
    <t>1 × Piaggio Stella P.VII R.C.35 7-cylinder air-cooled radial piston engine, 335 kW (449 hp)</t>
  </si>
  <si>
    <t>2-bladed fixed-pitch wooden propeller</t>
  </si>
  <si>
    <t>320 km/h (200 mph, 170 kn) at 4,000 m (13,123 ft)</t>
  </si>
  <si>
    <t>320 km (200 mi, 170 nmi)</t>
  </si>
  <si>
    <t>2 × 7.7 mm Breda-SAFAT machine guns</t>
  </si>
  <si>
    <t>Nakajima Ki-12</t>
  </si>
  <si>
    <t>The Nakajima Ki-12 (中島 キ12, Ki-jyuni) was a private development Nakajima Aircraft Company after its failure to meet the 1935 requirement issued by the Japanese government for a modern single-seat monoplane fighter with the Ki-11 design. Design work on the Ki-12 was a collaboration between engineers Roger Robert and Jean Beziaud from the French Dewoitine firm and Shigenobu Mori, a Nakajima engineer, and was heavily influenced by the Dewoitine D.510 design.[1][2] Nakajima wanted the new design to be the most technically advanced in Japan.[2] Based on the Ki-11 airframe, the engine was replaced by a liquid-cooled 454 kW (610 hp) Hispano-Suiza 12Xcrs V engine. The landing gear were fully retractable (the first Japanese design to have this feature),[2] and the design introduced the use of slotted flaps. Proposed armament consisted of a 20 mm cannon firing from between the engine cylinders and twin 7.7 mm (.303 in) machine guns. The Ki-12 was tested against the Mitsubishi Ki-18. Although technically advanced and with advantages in speed, range and firepower over the other contemporary Japanese fighter designs, the Ki-12 was deemed too heavy and complex by the Imperial Japanese Army Air Force. The IJAAF also felt that the design was lacking in maneuverability, and would not want to rely on the manufacturing licence for the Hispano-Suiza engine.[2] Although the Army declined to pursue the project, Nakajima continued to refine the design, introducing a simpler version styled the Nakajima Type P.E., which evolved into the successful Ki-27 "Nate" several years later.  Data from Famous Airplanes of the World, first series, #76: Army Experimental Fighters (1)[3]General characteristics Performance Armament   Aircraft of comparable role, configuration, and era  Related lists</t>
  </si>
  <si>
    <t>prototype fighter aircraft</t>
  </si>
  <si>
    <t>https://en.wikipedia.org/prototype fighter aircraft</t>
  </si>
  <si>
    <t>Nakajima Aircraft Company</t>
  </si>
  <si>
    <t>https://en.wikipedia.org/Nakajima Aircraft Company</t>
  </si>
  <si>
    <t>{'Nakajima Ki-12': 'initial prototype', 'Nakajima Type P.E.': 'simplified prototype with a fixed landing gear and a '}</t>
  </si>
  <si>
    <t>8.3 m (27 ft 3.75 in)</t>
  </si>
  <si>
    <t>11 m (36 ft 1 in)</t>
  </si>
  <si>
    <t>3.45 m (11 ft 3.8 in)</t>
  </si>
  <si>
    <t>17 m2 (183 sq ft)</t>
  </si>
  <si>
    <t>1,400 kg (3,086 lb)</t>
  </si>
  <si>
    <t>1,900 kg (4,189 lb)</t>
  </si>
  <si>
    <t>1 × Hispano-Suiza 12Xcrs water-cooled engine , 450 kW (610 hp)</t>
  </si>
  <si>
    <t>480 km/h (300 mph, 260 kn)</t>
  </si>
  <si>
    <t>10,500 m (34,000 ft)</t>
  </si>
  <si>
    <t>IJA Air Force</t>
  </si>
  <si>
    <t>https://en.wikipedia.org/IJA Air Force</t>
  </si>
  <si>
    <t>800 km (500 mi, 430 nmi)</t>
  </si>
  <si>
    <t>Lituanica</t>
  </si>
  <si>
    <t>Lituanica was a Bellanca CH-300 Pacemaker airplane flown from the America across the Atlantic Ocean by Lithuanian pilots Steponas Darius and Stasys Girėnas in 1933. After successfully flying 6,411 km (4,043 miles), it crashed, due to undetermined circumstances, 650 km (404 miles) from its destination, Kaunas, Lithuania. On June 18, 1932, the pilots purchased the Pacemaker airplane, serial no. 137, registered as NC-688E, from the Pal-Waukee Company for $3,200. First produced and flown in 1929, forty units of the CH-300 Pacemaker were eventually built. It was a single-engine, six-seat, high-wing monoplane. The fuselage was welded chromoly steel tubing covered with fabric. The cabin interior was covered with a sound-absorbing material. The fuselage had side and top windows, with doors on both sides. The wings were of wooden construction, with two spars, also fabric-covered. The spars and ribs were made of spruce strips and plywood. The wings had two gasoline tanks with a total capacity of 88 US gal (330 l). Wing struts were 2/3 wood, 1/3 steel (at the wings) with aero-dynamic steel ribs, fabric-covered, giving an additional 47 ft² (4.4 m²) lifting surface. Tail surfaces were made of welded steel tubing. The horizontal stabilizer was of spruce strips and plywood, with the trim-angle adjustable in flight. The landing gear was a curved steel bar with rubber rope suspension. Wheels 30 × 5 inches (762 by 127 mm). The engine was a Wright J6, radial, air cooled, 9 cylinders, 300 hp (225 kW). Funds for the plane was raised from numerous Lithuanian clubs and organizations,[1] including air shows. On January 20, 1933, the aircraft was moved to E. M. Laird workshops at 5321 W. 65th St. in the Clearing Industrial District, Chicago, where she was rebuilt and outfitted for the transatlantic flight. New elongated wings were built, with two additional gasoline tanks installed in the fuselage, having 220 US gal (830 l) and 185 US gal (700 l) capacity, each equipped with emergency dump valves. Beneath the pilot's seat a 25 US gal (95 l) oil tank was outfitted with 12 cooling tubes. A longer horizontal stabilizer was built. Aero-dynamic wheel fairings were installed, and the fuselage received a new fabric covering. A new, higher compression engine, 365 hp (272 kW) Wright Whirlwind J6-9E, ser. No. 12733, had a "speed ring". On March 29, 1933, the rebuild was complete, and the registration number was changed to NR-688E, and the aircraft was painted orange. On both sides of the fuselage scrolls with the names of the sponsors were painted. The aircraft was dubbed Lituanica, Latin for Lithuania. Steponas Darius and Stasys Girėnas were Lithuanian pilots, emigrants to the America, who made a significant flight in the history of world aviation. On July 15, 1933, they flew across the Atlantic Ocean, covering a distance of 3,984 miles (6,411 kilometers) without landing, in 37 hours and 11 minutes (107.1 mph). In terms of comparison, as far as the distance of non-stop flights was concerned, their result ranked second only to that  of Russell Boardman and John Polando, and ranked fourth in terms of duration of flight at the time. Although Darius and Girenas did not have navigational equipment and flew under unfavorable weather conditions, the flight was one of the most precise in aviation history. It equaled, and in some aspects surpassed, Charles Lindbergh's classic flight. Lituanica also carried the first Transtlantic air mail consignment in history. An ordinary unmodified plane of this size cannot cover a comparable distance (the Cessna 152, for instance, has a range of 1200 km), even today. The flight was also important from a  scientific and technological perspective, as it explored air flows and the capabilities of this type of aircraft.  In their last letter, the pilots wrote that either a successful flight or a possible catastrophe would be valuable and significant enough and hence it was worthwhile to fly in either case. After taking off from Floyd Bennett Field in New York on July 15, 1933, 6:24 am EDT, Darius and Girėnas  successfully crossed the Atlantic, only to perish on July 17, 0:36 am (CET) by the village of Kuhdamm, near Soldin, Germany (now Pszczelnik, near Myślibórz, Poland ( 52°51'11.57"N  14°50'17.78"E)). The planned route was: New York – Newfoundland – Atlantic Ocean – Ireland – London – Amsterdam – Swinemünde – Königsberg – Kaunas airport (a total of 7,186 km). Due to weather conditions over Ireland, they veered to the north and reached Germany via Scotland and the North Sea. In 37 hours and 11 minutes, until the moment of the crash, they had flown 6411 km (over 7000 km in actual flight path), only 636 km short of their goal—Kaunas. A Lithuanian board of investigation was appointed to determine the cause. It concluded that the pilots were properly qualified, and the aircraft was properly outfitted. They added that the most difficult part of the flight was executed with great precision. The commission concluded that during the crash the aircraft engine was running (the propeller was rotating), and there was enough fuel on board. [2] Some sources mention pilot error, but both pilots were highly experienced. During his career as pilot, Darius had never been involved in any previous accidents. In 1931, Girėnas had won first prize in a flight festival in Chicago for gliding his plane and landing with a dead engine. According to the board, the catastrophe occurred due to difficult weather conditions combined with engine defects. The crash most probably was a result of failed emergency landing. There were rumors and suspicions in some quarters, that the plane was shot down, having been mistaken for a spy plane, because it flew near a concentration camp. Autopsies of pilots revealed no signs of bullets.[1] However, not all parts of the plane were returned to the Lithuanian government. On July 19, a German Deruluft airplane carried the bodies of the pilots back to Lithuania. The people of Kaunas met the heroes in great sorrow. The funeral was a solemn occasion and was the cause of official national mourning. A few months after the Lituanica tragedy, some prominent members of the Chicago Lithuanian community discussed the possibility of financing another transatlantic flight. This idea was greeted with much enthusiasm, and enough funds were raised during the Great Depression. A faster and more modern Lockheed Vega was purchased from the Lockheed Aircraft Corp., the same model used by Wiley Post in his round-the-world flight, and by Amelia Earhart, the first woman to fly solo across the Atlantic. The aircraft was christened Lituanica II on Sunday, April 22, 1934. When the pilot originally chosen for the flight unexpectedly resigned in the spring, the Lithuanian organizers turned to Felix Waitkus, and he accepted the challenge. Although he landed in Ireland and not in Kaunas, he entered aviation history for being the sixth pilot to fly solo across the Atlantic. In 1934 the bodies of Darius and Girėnas were embalmed by professor Jurgis Zilinskas. In 1936 the Lithuanian government decided to build a mausoleum for Darius and Girėnas in Kaunas' old cemetery, that was destroyed after Soviet re-occupation. From then until the present day, the wreckage of Lituanica has been on display in the Vytautas the Great War Museum in Kaunas.[3] The pilots' bodies rest in the Military Cemetery of Šančiai, Kaunas. Chicago's Lithuanian community erected an Art Deco Monument commemorating Girėnas and Darius in Chicago's Marquette Park in 1935 where it still stands to this day. Feliksas Vaitkus was inspired by the flight and commemorated it with the flight of the Lituanica II in 1935. The flight is commemorated in a movie Skrydis per Atlantą (Flight over the Atlantic) (1983). Kaunas's sports stadium, S.Darius and S.Girėnas Stadium, where the Lithuanian national soccer team plays its home matches, is also named in their honor. There is a tall stone monument near the stadium, the Lithuanian Academy of Sport and the Ąžuolynas Park dedicated to the pilots. Sculptor Bronius Pundzius made a relief of the pilots' faces on the Puntukas, then the largest known boulder in the territory of Lithuania, in 1943. In New York City, in 1957, the fliers were memorialized with a granite flagstaff showing the pair in bas-relief. The monument is located in Lithuania Square, in Williamsburg, Brooklyn.[4] In Kaunas, a model of the Lituanica was put in 2013 to commemorate 80 years of the event. Lituanica Ave, Bridgeport neighborhood in Chicago, IL is named after this flight. The avenue runs between Halsted and Morgan streets from 31st and 35th streets, and after a jog east proceeds south to 38th place between Sangamon and Halsted streets. The small town of Beverly Shores, Indiana (just west of Michigan City, Indiana), has another memorial to the Lituanica flight.  There, in 1968, the American Lithuanian Club established a park and named it Lituanica Park after the Bellanca CH-300 used in the flight.  In 1971, to honor the pilots, a large modern sculpture by J. Barkis was placed in the park's pond. Before the flight Girėnas and Darius left a testament to the Lithuanian nation: "Young Lithuania! Inspired by Your spirit, we embark on a mission we have chosen. May our success strengthen Your spirit and confidence in Your own powers and talents! But should Neptune and the mighty ruler of storms Perkūnas unleash their wrath upon us, should they stop our way to Young Lithuania and call Lituanica to their realm – then You, Young Lithuania, will have to resolve anew, make sacrifice and prepare for a new quest, so that gods of stormy oceans be pleased with Your effort, resolution, and do not summon You for the Great Judgement. May Lituanica's victory strengthen the spirit of young sons of Lithuania, inspire them for new quests. May Lituanica's defeat and sinking into the depths of the Atlantic nurture perseverance and resoluteness in young Lithuanians, so that a Winged Lithuanian conquers the treacherous Atlantic for the glory of Mother Lithuania! We therefore dedicate and sacrifice our flight for You, Young Lithuania!"Coordinates: .mw-parser-output .geo-default,.mw-parser-output .geo-dms,.mw-parser-output .geo-dec{display:inline}.mw-parser-output .geo-nondefault,.mw-parser-output .geo-multi-punct{display:none}.mw-parser-output .longitude,.mw-parser-output .latitude{white-space:nowrap}52°51′11.57″N 14°50′17.78″E﻿ / ﻿52.8532139°N 14.8382722°E﻿ / 52.8532139; 14.8382722</t>
  </si>
  <si>
    <t>//upload.wikimedia.org/wikipedia/commons/thumb/a/a3/Lituanica_Above_New_York.jpg/300px-Lituanica_Above_New_York.jpg</t>
  </si>
  <si>
    <t>Bellanca(rebuild for transatlantic flight in the E. M. Laird workshops)</t>
  </si>
  <si>
    <t>https://en.wikipedia.org/Bellanca(rebuild for transatlantic flight in the E. M. Laird workshops)</t>
  </si>
  <si>
    <t>Bellanca CH-300</t>
  </si>
  <si>
    <t>https://en.wikipedia.org/Bellanca CH-300</t>
  </si>
  <si>
    <t>NR-688E</t>
  </si>
  <si>
    <t>crashed near Soldin, Germany (now Pszczelnik, near Myślibórz, Poland)</t>
  </si>
  <si>
    <t>https://en.wikipedia.org/crashed near Soldin, Germany (now Pszczelnik, near Myślibórz, Poland)</t>
  </si>
  <si>
    <t>Vytautas the Great War Museum (wreckage)Lithuanian Aviation Museum (replica)</t>
  </si>
  <si>
    <t>https://en.wikipedia.org/Vytautas the Great War Museum (wreckage)Lithuanian Aviation Museum (replica)</t>
  </si>
  <si>
    <t>Focke-Wulf Fw 189 Uhu</t>
  </si>
  <si>
    <t>The Focke-Wulf Fw 189 Uhu ("Eagle Owl") is a German twin-engine, twin-boom, three-seat tactical reconnaissance and army cooperation aircraft. It first flew in 1938 (Fw 189 V1), entered service in 1940 and was produced until mid-1944. In addition, Focke-Wulf used this airframe in response to a tender request by the RLM for a dedicated ground-attack airplane, and later submitted an armored version for trials. However, the Henschel Hs 129 was selected instead. In 1937, the German Ministry of Aviation issued a specification for a short-range, three-seat reconnaissance aircraft with a good all-round view to support the German army in the field, replacing the Henschel Hs 126, which had just entered service. A power of about 850–900 hp (630–670 kW) was specified. The specification was issued to Arado and Focke-Wulf.[1]  Arado's design, the Ar 198, which was initially the preferred option, was a relatively conventional single-engined high-wing monoplane with a glazed gondola under the fuselage.[2] Focke-Wulf's chief designer Kurt Tank's design, the Fw 189, was a twin-boom design, powered by two Argus As 410 engines instead the expected single engine. As a "twin-boom" design like the earlier Dutch Fokker G.I, the Fw 189 used a central crew gondola for its crew accommodation, which for the Fw 189 would be designed with a heavily glazed and framed "stepless" cockpit forward section, which used no separate windscreen panels for the pilot (as with many German medium bombers from 1938 onwards). Blohm &amp; Voss proposed as a private venture something even more radical: chief designer Dr. Richard Vogt's unique asymmetric BV 141. Orders were placed for three prototypes each of the Arado and Focke-Wulf designs, in April 1937.[3] The Fw 189 had as part of its defensive armament, an innovative rear-gun emplacement designed by the Ikaria-Werke: a rotating conical rear "turret" of sorts, manually rotated with a metal-framed, glazed conical fairing streamlining its shape, with the open section providing the firing aperture for either a single or twin-mount machine gun at the unit's circular-section forward mount.[4] The Fw 189 was produced in large numbers, at the Focke-Wulf factory in Bremen, at the Bordeaux-Merignac aircraft factory (Avions Marcel Bloch's factory, which became Dassault Aviation after the war) in occupied France, then in the Aero Vodochody aircraft factory in Prague, occupied Czechoslovakia. Total production was 864 aircraft of all variants.[5] Called the Fliegende Auge (Flying Eye) of the German Army, the Fw 189 was used extensively on the Eastern Front with great success. It was nicknamed  "Rama" ("frame" in the Russian, Ukrainian and Polish languages) by Soviet forces, referring to its distinctive tailboom and stabilizer shapes, giving it a quadrangular appearance.[citation needed] Despite its low speed and fragile looks, the Fw 189's manoeuvrability made it a difficult target for attacking Soviet fighters. The Fw 189 was often able to out-turn attacking fighters by flying in a tight circle into which enemy fighters could not follow. Night Reconnaissance Group 15, attached to the 4th Panzerarmee in southern Poland during late 1944, carried out nocturnal reconnaissance and light bombing sorties with a handful of 189A-1s.  These planes typically lacked the main model's rear dorsal machine gun. Small numbers of A-1s were used as night fighters in the closing weeks of the war - the aircraft were modified by having their reconnaissance equipment removed and then fitted with FuG 212 AI radar in the nose and a single obliquely-firing 20mm MG FF autocannon in the common Schräge Musik upwards/forward-firing offensive fitment also used for heavier-airframed German night fighters, like the Bf 110G. For the Fw 189 the installation was in the crew nacelle in the space where the rear dorsal gun was normally housed.  The majority of the nachtjager 189s were operated by NJG 100, were based at Greifswald.  Chronic fuel shortages and enemy air superiority over the 189 defence area (chiefly Berlin) meant that few aircraft were shot down by these craft. The main production model was the Fw 189A reconnaissance plane, built mostly in two variants, the A-1 and A-2. Unless otherwise stated all aircraft were powered by two Argus As 410 engines of 465 PS (459 hp, 342 kW). The Fw 189B was a five-seat training aircraft; only 13 were built. The Fw 189C was conceived as a heavily armoured ground-attack, close-support variant, in competition with the Henschel Hs 129. But its two prototypes (V1b and V6) were not satisfactory, and it was not produced. One Fw 189 survives today. Its story starts on May 4, 1943 when Fw 189 V7+1H (Werk Nr. 2100), of 1./Nahaufklärungsgruppe 10, with V7 originally the Geschwaderkennung code for Heeres-Aufklärungsgruppe 32 based at Pontsalenjoki (due east of Kuusamo, and within the south-central area of modern Russia's Republic of Karelia) took off on a mission to photograph the Loukhi-3 airbase from an altitude of 6,000 m (20,000 ft), then to continue north along the Murmansk-Leningrad railway. Approximately 31 minutes after taking off, V7+1H was attacked by Lend-Lease-acquired Soviet Hawker Hurricane fighters. The aircraft dived to escape the fighters, but owing to damage already suffered, could not pull out in time, and it struck the treetops. The tail was torn off, and the crew nacelle left hanging upside down within the trees. The pilot, Lothar Mothes, survived but one crewman was killed in the crash and the third died from blood loss as a result of a severed leg. Incredibly, Mothes was able to survive two weeks in sub-zero temperatures, evading Soviet patrols while eating bark and grubs as he walked back to his base. Mothes spent the next nine months in a hospital recovering from severe frostbite before returning to the front line, eventually to fly another 100 missions. In 1991, the wreckage of V7+1H was found in the Russian forest where it had remained for 48 years. The aircraft was purchased by a group of British aircraft enthusiasts and was shipped to the UK, arriving in the town of Worthing, West Sussex in March 1992. The Focke Wulf 189 Restoration Society was formed to restore the aircraft to flying condition. Her former pilot, Lothar Mothes, met up again with his aircraft at the 1996 Biggin Hill Airshow. It was reported that this aircraft was acquired by Paul Allen’s Flying Heritage Collection[citation needed] and was in rebuild at Duxford to an airworthy condition, but as of August 1 2021 was listed for sale.[6] Data from Die Deutsche Luftrüstung 1933–1945 Vol.2 – Flugzeugtypen Erla-Heinkel,[7] German Aircraft of the Second World War[8]General characteristics Performance Armament  Aircraft of comparable role, configuration, and era  Related lists</t>
  </si>
  <si>
    <t>//upload.wikimedia.org/wikipedia/commons/thumb/6/6c/Focke_Wulf_Fw189.jpg/300px-Focke_Wulf_Fw189.jpg</t>
  </si>
  <si>
    <t>Tactical reconnaissance and army cooperation aircraft, light bomber</t>
  </si>
  <si>
    <t>https://en.wikipedia.org/Tactical reconnaissance and army cooperation aircraft, light bomber</t>
  </si>
  <si>
    <t>Focke-Wulf</t>
  </si>
  <si>
    <t>https://en.wikipedia.org/Focke-Wulf</t>
  </si>
  <si>
    <t>Kurt Tank</t>
  </si>
  <si>
    <t>https://en.wikipedia.org/Kurt Tank</t>
  </si>
  <si>
    <t>{'Fw 189A': 'econnaissance plane, built mostly in two variants, the ', 'A-1': 'nd ', 'A-2': 'Unless otherwise stated all aircraft were powered by two ', 'Fw 189 A-0': 'Ten preproduction aircraft for operational tests and trials.', 'Fw 189 A-1': 'Initial production version, armed with two flexible 7.92\xa0mm (.312\xa0in) ', 'Fw 189 A-1 trop': 'Tropicalised version of the Fw 189 A-1, fitted with air intake filters and survival equipment. Conversion from A-1s.', 'Fw 189 A-1/U2': 'VIP transport version of the Fw 189 A-1.', 'Fw 189 A-1/U3': 'VIP transport version of the Fw 189 A-1.', 'Fw 189 A-2': 'The flexible MG 15s were replaced by twin-barrel 7.92\xa0mm (0.312\xa0in) ', 'Fw 189 A-3': 'Tropicalised production version of the Fw 189 A-2, fitted with air intake filters and survival equipment.', 'Fw 189 A-4': 'Light ', 'Fw 189B': 'as a five-seat ', 'Fw 189 B-0': 'Three preproduction aircraft.', 'Fw 189 B-1': 'Five-seat training version. ten built.', 'Fw 189C': 'as conceived as a heavily armoured ground-attack, ', 'V1b': 'nd ', 'V6': 'were not satisfactory, and it was not produced.', 'Fw 189D': 'Proposed twin-float ', 'Fw 189E': 'Prototype only, powered by two 700 PS (690\xa0hp, 515\xa0kW) ', 'Fw 189 F-1': 'Re-engined Fw 189 A-1 aircraft, powered by two 600 PS (592\xa0hp, 441\xa0kW) ', 'Fw 189 F-2': 'Fitted with electrically-operated '}</t>
  </si>
  <si>
    <t>11.9 m (39 ft 1 in)</t>
  </si>
  <si>
    <t>18.4 m (60 ft 4 in)</t>
  </si>
  <si>
    <t>3.1 m (10 ft 2 in)</t>
  </si>
  <si>
    <t>38 m2 (410 sq ft)</t>
  </si>
  <si>
    <t>2,690 kg (5,930 lb)</t>
  </si>
  <si>
    <t>3,950 kg (8,708 lb)</t>
  </si>
  <si>
    <t>LuftwaffeHungarian Air ForceSlovak Air Force</t>
  </si>
  <si>
    <t>https://en.wikipedia.org/LuftwaffeHungarian Air ForceSlovak Air Force</t>
  </si>
  <si>
    <t>2 × Argus As 410A-1 V-12 inverted air-cooled piston engines 465 PS (459 hp; 342 kW)</t>
  </si>
  <si>
    <t>2-bladed Argus variable-pitch propellers</t>
  </si>
  <si>
    <t>344 km/h (214 mph, 186 kn) at 2,500 m (8,202 ft)</t>
  </si>
  <si>
    <t>317 km/h (197 mph, 171 kn) * Landing speed</t>
  </si>
  <si>
    <t>7,000 m (23,000 ft)</t>
  </si>
  <si>
    <t>5.17 m/s (1,018 ft/min)</t>
  </si>
  <si>
    <t>940 km (580 mi, 510 nmi)</t>
  </si>
  <si>
    <t>1940–1944</t>
  </si>
  <si>
    <t>4,000 m (13,123 ft)in 8 minutes 18 seconds</t>
  </si>
  <si>
    <t>SNCASE SE.100</t>
  </si>
  <si>
    <t>The SNCASE SE.100 was a French two-seat, twin-engined fighter that first flew in 1939. Mass production was planned to begin late in 1940 but the Fall of France prevented this. The origins of the SE.100 predate the creation of the SNCASE (Sud-Est) company in the nationalisations of 1937. It was designed by Pierre Mercier and Jacques Lecarme at Lioré et Olivier and was initially designated the LeO 50. Underpowered by two Gnome-Rhône 14M engines, the design was recast to use the more powerful Gnome-Rhône 14N-20 and -21 engines, the same used in the Lioré et Olivier LeO 451 bomber, and renamed the SE.100. The aircraft was of conventional all-metal construction, having a mid-wing layout. As with most French twin-engined aircraft of the era, the engines were handed, one airscrew rotating clockwise and the other anti-clockwise, to minimise torque. The aircraft had a twin tail. In production models it was planned to redesign the wing to use components from the LeO 451 wing to ease production. The fuselage was short in appearance, with a long nose and a very short tail, the cockpit being connected to the gunner's position aft by a windowed corridor. The undercarriage was very unconventional, a taildragger with single main wheel at the front and one rear wheel fitted under each overtical tail and retracting into them, rather than two main wheels under the wings or engine nacelles and a single tail wheel as per usual practice. The aircraft was fitted with four Hispano-Suiza HS.404 20 mm cannon in the nose and one in the gunner's post. The first prototype of the SE.100 flew on 29 March 1939 at Argenteuil, and a number of necessary changes were identified during the tests. It was destroyed in a crash  on 5 April 1940.[1][2] The aircraft proved to be around 100 km/h faster than the Potez 631, the French Air Force's current twin-engined fighter, and production was authorised. While the tests were proceeding, a second prototype was being built, incorporating the changes, the most obvious of which was the removal of the windowed corridor in the fuselage and its replacement by additional fuel tanks. The armament was increased to six cannon in the nose, two in the gunner's post and one additional cannon in the floor of the gunner's post. As the second prototype was being built, the Citroën company was preparing to mass-produce the aircraft at their Paris works, deliveries planned to begin late in 1940. At least two paper variants were studied, the SE.101 powered by Pratt &amp; Whitney R-1830 Twin Wasp engines, and the SE.102 powered by a different version of the Gnome-Rhône 14N. The SE.500 and SE.800 were to have been a 12-passenger transport and a four-engined transport, respectively, derived from the SE.100. Data from L'Aviation française de 1939 à 1942,[3] War Planes of the Second World War; Volume One; Fighters[1]General characteristics Performance Armament</t>
  </si>
  <si>
    <t>//upload.wikimedia.org/wikipedia/commons/thumb/2/22/SE.100.brouillon.png/300px-SE.100.brouillon.png</t>
  </si>
  <si>
    <t>Fighter</t>
  </si>
  <si>
    <t>France</t>
  </si>
  <si>
    <t>https://en.wikipedia.org/France</t>
  </si>
  <si>
    <t>Lioré et Olivier  SNCASE</t>
  </si>
  <si>
    <t>https://en.wikipedia.org/Lioré et Olivier  SNCASE</t>
  </si>
  <si>
    <t>Pierre Mercier and Jacques Lecarme</t>
  </si>
  <si>
    <t>https://en.wikipedia.org/Pierre Mercier and Jacques Lecarme</t>
  </si>
  <si>
    <t>two</t>
  </si>
  <si>
    <t>11.8 m (38 ft 9 in)</t>
  </si>
  <si>
    <t>15.7 m (51 ft 6 in)</t>
  </si>
  <si>
    <t>4.28 m (14 ft 1 in)</t>
  </si>
  <si>
    <t>33 m2 (360 sq ft)</t>
  </si>
  <si>
    <t>7,500 kg (16,535 lb)</t>
  </si>
  <si>
    <t>227 kg/m2 (46 lb/sq ft)</t>
  </si>
  <si>
    <t>Late 1940 (planned)</t>
  </si>
  <si>
    <t>1 × Gnome-Rhône 14N-21 14-cylinder air-cooled radial piston engine, 806 kW (1,081 hp)  (RH rotation)</t>
  </si>
  <si>
    <t>580 km/h (360 mph, 310 kn) at 6,500 m (21,300 ft)</t>
  </si>
  <si>
    <t>499 km/h (310 mph, 269 kn)</t>
  </si>
  <si>
    <t>0.21kW/kg (0.13hp/lb)</t>
  </si>
  <si>
    <t>French Air Force (planned)</t>
  </si>
  <si>
    <t>https://en.wikipedia.org/French Air Force (planned)</t>
  </si>
  <si>
    <t>1,300 km (810 mi, 700 nmi)</t>
  </si>
  <si>
    <t>Stinson Model O</t>
  </si>
  <si>
    <t>The Stinson Model O was an American single-engined military trainer aircraft of the 1930s designed built by the Stinson Aircraft Company. Based on the Stinson SR, the Model O was designed to meet a requirement of the Honduran Air Force, forming the initial equipment of that air arm. In 1933, New Zealander Lowell Yerex, who had flown reconnaissance flights in his Stinson Detroiter for forces loyal to Honduran President-elect Tiburcio Carías Andino in a civil war in December 1931, and subsequently founded the South American airline consortium TACA, was tasked with buying trainers and counter-insurgency aircraft for the Escuela Nacional de Aviación or National Aviation School, which was later to form the core of the Honduran Air Force. Following discussions between Yerex and the Stinson Aircraft Company, Robert Hall, designer of the Gee Bee Model Z racing aircraft, designed an aircraft to meet the Honduran requirement.[1][2] Hall's design, the Model O, was a parasol wing monoplane which used the wings and tail surfaces of the Stinson SR Reliant four-seat private aircraft, combining them with a new fuselage seating the crew of two in tandem in open cockpits (the Model O was the first and only Stinson aircraft to have open cockpits). The aircraft was powered by a Lycoming R-680 radial engine, rated at 220 hp (160 kW) and capable of running on low-octane rating fuel. The aircraft could be armed with two fixed forward-firing machine guns, with a further machine gun flexibly mounted in the observer's cockpit, while a bomb rack could be mounted beneath the fuselage. Design and construction proceeded quickly, with the prototype first flying in May 1933.[3][4] Honduras purchased three Model Os, taking delivery in December 1933, when they formed the initial equipment of the Escuela Nacional de Aviación, with Honduran serial numbers 1–3.[1] Following the Japanese attack on Pearl Harbor in December 1941, Honduras's Model Os were used to carry out patrols along the coast of the still-neutral country. One of the Model Os went missing during such a patrol, but the other two were still in use at the end of the Second World War in 1945.[5] A total of nine Model Os were built, with three being sold to China, one to Argentina and one to Brazil. With the Spanish Civil War raging, an attempt was made in 1938 by Republican Spain to purchase 100 Model Os, with President Franklin D. Roosevelt's brother-in-law Hall Roosevelt acting as negotiator for the Spanish, but the American arms embargo stopped the deal.[6] The prototype remained in the America as a civil aircraft, and was still in use in 1946.[6] A replica Model O was constructed by Evergreen Aviation Services of Portland, Oregon, using the wings and tail of a Stinson SR-5 Reliant and a fuselage and wing center-section reconstructed from photographs. It first flew on March 24, 2010.[7][8] Data from General Dynamics Aircraft and their Predecessors[6]General characteristics Performance</t>
  </si>
  <si>
    <t>//upload.wikimedia.org/wikipedia/commons/thumb/1/11/Stinson_Model_O.jpg/300px-Stinson_Model_O.jpg</t>
  </si>
  <si>
    <t>Trainer</t>
  </si>
  <si>
    <t>America</t>
  </si>
  <si>
    <t>https://en.wikipedia.org/America</t>
  </si>
  <si>
    <t>Stinson Aircraft Company</t>
  </si>
  <si>
    <t>https://en.wikipedia.org/Stinson Aircraft Company</t>
  </si>
  <si>
    <t>Robert L. Hall</t>
  </si>
  <si>
    <t>https://en.wikipedia.org/Robert L. Hall</t>
  </si>
  <si>
    <t>27 ft 8 in (8.43 m)</t>
  </si>
  <si>
    <t>39 ft 11 in (12.17 m)</t>
  </si>
  <si>
    <t>8 ft 0 in (2.44 m)</t>
  </si>
  <si>
    <t>215 sq ft (20.0 m2)</t>
  </si>
  <si>
    <t>1,907 lb (865 kg)</t>
  </si>
  <si>
    <t>2,617 lb (1,187 kg)</t>
  </si>
  <si>
    <t>1 × Lycoming R-680-B6 nine-cylinder radial engine, 225 hp (168 kW)</t>
  </si>
  <si>
    <t>136 mph (219 km/h, 118 kn)</t>
  </si>
  <si>
    <t>122 mph (196 km/h, 106 kn)</t>
  </si>
  <si>
    <t>16,000 ft (4,900 m)</t>
  </si>
  <si>
    <t>Honduran Air Force</t>
  </si>
  <si>
    <t>https://en.wikipedia.org/Honduran Air Force</t>
  </si>
  <si>
    <t>Stinson Reliant</t>
  </si>
  <si>
    <t>https://en.wikipedia.org/Stinson Reliant</t>
  </si>
  <si>
    <t>1,100 ft/min (5.6 m/s)</t>
  </si>
  <si>
    <t>450 mi (720 km, 390 nmi)</t>
  </si>
  <si>
    <t>Chase YCG-14</t>
  </si>
  <si>
    <t>The Chase CG-14, also known as the G-14 or Model MS.1, was an assault glider manufactured by Chase Aircraft for the America Army Air Forces during the Second World War. The aircraft failed to progress beyond the prototype stage, being overtaken by larger, improved glider designs. The first aircraft to be developed by Chase after its founding in 1943, the CG-14 was developed in preference to the Laister-Kauffman CG-10.[1] Constructed from marine-grade mahogany, as spruce was being used by the war effort in higher priority projects,[2] the XG-14 featured improved crash protection when compared to preceding gliders.[3] The XCG-14 made its maiden flight on January 4, 1945,[4] and following successful flight trials the aircraft was developed into two improved versions, the wood-and-metal XCG-14A[5] and the enlarged YCG-14A.[6] The CG-14 was one of the few glider projects to be continued after the end of the war; however, it was quickly superseded by an improved aircraft, the XCG-18.[6] Data from Fighting Gliders of World War II[7]General characteristics Performance     Related lists</t>
  </si>
  <si>
    <t>//upload.wikimedia.org/wikipedia/commons/thumb/f/f8/Chase_XCG-14.jpg/300px-Chase_XCG-14.jpg</t>
  </si>
  <si>
    <t>Assault glider</t>
  </si>
  <si>
    <t>https://en.wikipedia.org/Assault glider</t>
  </si>
  <si>
    <t>Chase Aircraft</t>
  </si>
  <si>
    <t>https://en.wikipedia.org/Chase Aircraft</t>
  </si>
  <si>
    <t>Michael Stroukoff</t>
  </si>
  <si>
    <t>https://en.wikipedia.org/Michael Stroukoff</t>
  </si>
  <si>
    <t>42 ft 10.5 in (13.069 m)</t>
  </si>
  <si>
    <t>71 ft 9.6 in (21.885 m)</t>
  </si>
  <si>
    <t>6 ft 9.6 in (2.073 m)</t>
  </si>
  <si>
    <t>507 sq ft (47.1 m2)</t>
  </si>
  <si>
    <t>NACA 23016[8]</t>
  </si>
  <si>
    <t>3,237 lb (1,468 kg)</t>
  </si>
  <si>
    <t>200 mph (320 km/h, 170 kn)</t>
  </si>
  <si>
    <t>One 1-ton 4 x 4 truck + 3 soldiers orOne M3A1 75 mm howitzer + crew or18 troops fully equipped</t>
  </si>
  <si>
    <t>170 mph (270 km/h, 150 kn) Maximum Aero-tow speed</t>
  </si>
  <si>
    <t>America Air Force</t>
  </si>
  <si>
    <t>https://en.wikipedia.org/America Air Force</t>
  </si>
  <si>
    <t>60 mph (97 km/h, 52 kn) flaps down</t>
  </si>
  <si>
    <t>7,605 lb (3,450 kg)</t>
  </si>
  <si>
    <t>Chase CG-18</t>
  </si>
  <si>
    <t>https://en.wikipedia.org/Chase CG-18</t>
  </si>
  <si>
    <t>Cessna Citation Columbus</t>
  </si>
  <si>
    <t>The Cessna Citation Columbus was a business jet project by Cessna, part of the Cessna Citation family. The Model 850  was launched in February 2008 and cancelled in July 2009. It would have been the largest model of the family at the time. Powered by 8,830 lbf (39.3 kN) PW810 turbofans and a 4,000 nmi (7,400 km) range, the $27 million aircraft had a 709 sq ft (66 m²), 30° swept wing. Cessna began research on the largest Citation in 2002 with market studies, surveys, concept testing, focus groups and customer advisory boards.[1] A mockup of the large cabin concept was unveiled on October 17, 2006 at the National Business Aviation Association convention[2] Cessna formally announced the aircraft on February 6, 2008 ; FAA certification was planned by the end of 2013, with deliveries beginning in 2014. The Columbus had a target range of 4,000 nmi (7,408 km) with 8 passengers. The cockpit would have featured a synthetic vision system, autothrottles, optional head-up display and Collins' MultiScan weather radar with optional windshear prediction.[3] Cessna was going to invest $780 million into the development including a new plant, major suppliers were Pratt &amp; Whitney Canada for the engines; Rockwell Collins for the avionics; Vought Aircraft Industries for the wing; Spirit AeroSystems for the fuselage and Spirit AeroSystems Europe Ltd. for the empennage; Parker Hannifin for the powered flight control system; Goodrich Corporation for the landing gear.[4] On April 29, 2009 Cessna announced that it was suspending the Citation Columbus program, but indicated at that time that the program might be restarted once economic conditions improved. The company also indicated that it would lay off 1,600 workers, including up to 700 workers from the Columbus program.[5] On July 8, 2009 Cessna reported the cancellation of the program in documents filed with the Securities and Exchange Commission (SEC).[6] The company said "Upon additional analysis of the business jet market related to this product offering, we decided to formally cancel further development of the Citation Columbus". Cessna's parent company, Textron will write-off US$43 million as a results of the cancellation. The SEC-filed documents indicate that Cessna spent approximately US$50 million on tooling, facilities and other costs for the project. Most of these costs are unrecoverable and cannot be used for other projects.[7] Pratt &amp; Whitney Canada immediately stopped the PW810 engine program,[8] but continued the PW800 series.[9] On July 11, 2009 Cessna announced that it would return US$10M to the City of Wichita and Sedgwick County. The money was received as an economic incentive for developing the aircraft in Wichita and was part of $70M in cash assistance and tax breaks received from those two governments.[10] Data from Flight International 2008[11]General characteristics Performance  Related development Aircraft of comparable role, configuration, and era</t>
  </si>
  <si>
    <t>//upload.wikimedia.org/wikipedia/en/thumb/c/c2/Cessna-citation-columbus.jpg/300px-Cessna-citation-columbus.jpg</t>
  </si>
  <si>
    <t>Business jet</t>
  </si>
  <si>
    <t>https://en.wikipedia.org/Business jet</t>
  </si>
  <si>
    <t>Cessna</t>
  </si>
  <si>
    <t>https://en.wikipedia.org/Cessna</t>
  </si>
  <si>
    <t>77 ft (23 m)</t>
  </si>
  <si>
    <t>80 ft (24 m)</t>
  </si>
  <si>
    <t>27 ft 7 in (8.41 m) [12]</t>
  </si>
  <si>
    <t>709.3 sq ft (65.90 m2) [12]</t>
  </si>
  <si>
    <t>10 passengers</t>
  </si>
  <si>
    <t>2 × Pratt &amp; Whitney Canada PW810 turbofans, 8,830 lbf (39.3 kN) thrust each</t>
  </si>
  <si>
    <t>Mach 0.85</t>
  </si>
  <si>
    <t>488 kn (562 mph, 904 km/h) Mach 0.85</t>
  </si>
  <si>
    <t>45,000 ft (14,000 m) [1]</t>
  </si>
  <si>
    <t>4,000 nmi (4,600 mi, 7,400 km) Mach 0.8, 8 passengers</t>
  </si>
  <si>
    <t>Development canceled 10 July 2009</t>
  </si>
  <si>
    <t>27 min to 41,000 ft (12,000 m)[12]</t>
  </si>
  <si>
    <t>Fairchild 71</t>
  </si>
  <si>
    <t>The Fairchild 71 was an American high-wing monoplane passenger and cargo aircraft built by Fairchild Aircraft and later built in Canada by Fairchild Aircraft Ltd. (Canada) for both military and civilian use as a rugged bush plane. The Fairchild Aircraft Company undertook a progressive development of the Fairchild FC-2W2 light transport.  Its first improvement was the FC-2, whose several improvements included slightly swept-back wings; wingspan increased to 50 feet; engine power nearly doubled; and interior changes to improve passenger comfort. The FC-2 first flew in 1926. The FC-2W was a further development, featuring: The FC-2 and FC-2W continued the use of fabric-covered welded steel tubing for fuselage and empennage construction, and strut-braced wooden-structure fabric-covered wings. The FC-2W, later known as the Model 71, was built in the America between 1928 and 1930.  In 1929 Fairchild formed a company in Canada (Fairchild Aircraft Limited) at Longueuil, Quebec in 1929 to support the Canadian operators of Fairchild aircraft. The Canadian company also set up a factory production line for the Model 71, developing a variant for the Canadian military. The Canadian-built aircraft differed from the US version in that all the passenger-comfort features were removed, and the craft were built specifically for aerial photography.[1] The America Army Air Service acquired one Model 71 for evaluation; it was designated XC-8, later redesignated XF-1 and used for photographic work. Eight more service-test aircraft, designated YF-1 were ordered; all nine were later redesignated C-8. The Royal Canadian Air Force (RCAF), another major military operator, evaluated the Fairchild 71 in mid-June 1930. Thirty four RCAF F-71s were operated from 1930 to 1946. Along with the earlier FC-2 series, the RCAF F-71 was utilized primarily in the aerial photographic survey role as well as northern transport. In November 1934, the RCAF transferred the FC-71s to the five detachments flying in the amalgamated Maritimes No. 5 (Flying Boat) Squadron at RCAF Station Dartmouth. The squadron flew the FC-71 extensively on anti-smuggling (rum running) and illegal immigration patrols for the Royal Canadian Mounted Police (RCMP).[1] Most of the Model 71 production ended up in the hands of bush plane operators in Canada and the America. Civilian operators likewise found the 71 a rugged, reliable and highly useful utility transport, well suited for northern and remote operations.  Saudi Arabia Data from Canadian Aircraft Since 1909[5]General characteristics Performance  Related development Aircraft of comparable role, configuration, and era  Related lists</t>
  </si>
  <si>
    <t>//upload.wikimedia.org/wikipedia/commons/thumb/c/c8/Fairchild_71B_ExCC.jpg/300px-Fairchild_71B_ExCC.jpg</t>
  </si>
  <si>
    <t>passenger or cargo transport</t>
  </si>
  <si>
    <t>Fairchild Aircraft  Fairchild Aircraft Ltd. (Canada)</t>
  </si>
  <si>
    <t>https://en.wikipedia.org/Fairchild Aircraft  Fairchild Aircraft Ltd. (Canada)</t>
  </si>
  <si>
    <t>one</t>
  </si>
  <si>
    <t>35 ft 10.25 in (10.93 m)</t>
  </si>
  <si>
    <t>50 ft 0 in (15.39 m)</t>
  </si>
  <si>
    <t>9 ft 4 in (2.84 m)</t>
  </si>
  <si>
    <t>309.6 sq ft (28.76 m2)</t>
  </si>
  <si>
    <t>3,168 lb (1,438 kg)</t>
  </si>
  <si>
    <t>6,000 lb (2,724 kg)</t>
  </si>
  <si>
    <t>eight</t>
  </si>
  <si>
    <t>1 × Pratt &amp; Whitney Wasp B/C 9-cylinder radial piston , 420 hp (310 kW)</t>
  </si>
  <si>
    <t>132 mph (212.4 km/h, 115 kn)</t>
  </si>
  <si>
    <t>106 mph (170.5 km/h, 92 kn)</t>
  </si>
  <si>
    <t>11,000 ft (3,353 m)</t>
  </si>
  <si>
    <t>600 ft/min (3.0 m/s)</t>
  </si>
  <si>
    <t>817 mi (1,314 km, 710 nmi)</t>
  </si>
  <si>
    <t>Fairchild Super 71</t>
  </si>
  <si>
    <t>https://en.wikipedia.org/Fairchild Super 71</t>
  </si>
  <si>
    <t>Supermarine Type 322</t>
  </si>
  <si>
    <t>The Supermarine Type 322 was a prototype British carrier-borne torpedo, dive bomber and reconnaissance aircraft of the Second World War. A single-engined monoplane, it was unsuccessful, with only two examples being built. The Fairey Barracuda, built to the same specification, would fill this role. The Type 322 was designed by Supermarine to meet a 1937 requirement (Specification S.24/37) for a replacement for the British Royal Navy's Fairey Albacore biplane (even though the Albacore was yet to fly,[N 1] with orders placed both with Supermarine, and with Fairey Aviation for what became the Barracuda.[2] Supermarine's design was a high-wing monoplane, originally intended to be powered by the Rolls-Royce Exe engine.  Unusually it featured a variable-incidence wing, first demonstrated on the French Paul Scmitt biplane at the Paris Airshow in 1913.[3] Variable incidence allowed the fuselage to be kept at the optimum angle for good visibility whilst maintaining lift – particularly useful for a carrier-borne aircraft and with tail-wheel undercarriage.  The incidence could be varied from 2 degrees when the flap setting was neutral, to 16 degrees when the flaps were lowered to 60 degrees.  The lift coefficient with the wing at this setting was 3.9 (double that of conventional and contemporary aircraft), giving a stalling speed of 57 knots. Since it was intended for carrier use, the wing also folded – a remarkable technical achievement in view of the small increase in structural weight involved. The undercarriage was a fixed tailwheel type to save complexity.[4] It would have been very challenging to retract the landing gear into the wings. It was primarily of wooden construction, in common with the Armstrong Whitworth Albemarle bomber since, when it was being built, there was a danger of light alloy being in short supply.  The Exe was cancelled in 1938, and the Rolls-Royce Merlin was substituted in the design.[3] Two Type 322s, nicknamed "Dumbo",[citation needed] were built.  Originally due for completion in early 1941, the project was delayed owing to the high priority then in force for the production of Spitfires. The first prototype (R1810) flew on 6 February 1943, followed by the second prototype (R1815) with the Merlin 32 in place of the Merlin 30, a four-blade rotol constant speed airscrew, a tail of greater area and alclad covered outer wings.[3]  By this time, however, Fairey's competing design had entered service as the Fairey Barracuda, and the two Type 322s were used as experimental aircraft. A developed version was planned as the Supermarine Type 380.  It was also intended that this wing technology was to the incorporated in a replacement for the Sea Otter – variable incidence benefiting seaplanes where the optimum angle of the floats can be maintained during takeoff and landing.[3] Postwar, R1815 was retained by the company and was used in 1946 for chase in the low-speed handling trials of the Supermarine Attacker jet fighter.[5] Data from Supermarine Aircraft since 1914,[6] Jane's all the World's Aircraft 1947[7]General characteristics Performance Armament   Aircraft of comparable role, configuration, and era</t>
  </si>
  <si>
    <t>//upload.wikimedia.org/wikipedia/en/thumb/f/fb/Supermarine_322.jpg/300px-Supermarine_322.jpg</t>
  </si>
  <si>
    <t>Naval torpedo dive bomber/reconnaissance</t>
  </si>
  <si>
    <t>https://en.wikipedia.org/Naval torpedo dive bomber/reconnaissance</t>
  </si>
  <si>
    <t>Supermarine</t>
  </si>
  <si>
    <t>https://en.wikipedia.org/Supermarine</t>
  </si>
  <si>
    <t>40 ft (12 m)</t>
  </si>
  <si>
    <t>50 ft (15 m)</t>
  </si>
  <si>
    <t>14 ft 2 in (4.32 m)</t>
  </si>
  <si>
    <t>284 sq ft (26.4 m2)</t>
  </si>
  <si>
    <t>9,175 lb (4,162 kg)</t>
  </si>
  <si>
    <t>12,000 lb (5,443 kg)</t>
  </si>
  <si>
    <t>42.2 lb/sq ft (206 kg/m2)</t>
  </si>
  <si>
    <t>1 × Rolls-Royce Merlin 30 V-12 liquid-cooled piston engine, 1,300 hp (970 kW)</t>
  </si>
  <si>
    <t>279 mph (449 km/h, 242 kn) at 4,000 ft (1,200 m)</t>
  </si>
  <si>
    <t>250 mph (400 km/h, 220 kn) at 2,000 ft (610 m)</t>
  </si>
  <si>
    <t>7.5 lb/hp (4.56 kg/kW)</t>
  </si>
  <si>
    <t>58 mph (93 km/h, 50 kn)</t>
  </si>
  <si>
    <t>825 mi (1,328 km, 717 nmi)</t>
  </si>
  <si>
    <t>1 × .303 in (7.7 mm) Browning machine gun in wing, 1 × .303 in (7.7 mm) Vickers K machine gun or Browning in rear cockpit</t>
  </si>
  <si>
    <t>1 × 18 in (457 mm) torpedo (1,500 lb) or 6 × 250 lb (113 kg) bombs.</t>
  </si>
  <si>
    <t>Heinkel He 119</t>
  </si>
  <si>
    <t>The Heinkel He 119 was an experimental single-propeller monoplane with two coupled engines, developed in Germany. A private venture by Heinkel to test radical ideas by the Günter brothers, the He 119 was originally intended to act as an unarmed reconnaissance bomber capable of eluding all fighters due to its high performance. Design was begun in the late summer of 1936. A notable feature of the aircraft was the streamlined fuselage, most likely as an evolutionary descendant of the 1932-vintage Heinkel He 70 record-setting single-engined mailplane design, but without the He 70's protruding canopy-enclosed crew accommodation existing anywhere along the exterior. Instead, the He 119's forward fuselage featured an extensively glazed cockpit forming the nose itself, heavily framed with many diagonally braced windows immediately behind the propeller spinner's rear edge. Two of the three-man crew sat one each side of the driveshaft, which ran aft to a "power system", a coupled  pair of Daimler-Benz DB 601 engines mounted above the wing center-section within the fuselage, mounted together within a common mount (the starboard component engine having a "mirror-image" centrifugal supercharger) with a common gear reduction unit fitted to the front ends of each component engine, forming a drive unit known as the DB 606, the first German aircraft to use the "high-power" powerplant system. meant to provide German aircraft with an aviation powerplant design of over-1,500 kW (2,000 PS) output capability, but weighing 1.5 tonnes apiece. The DB 606 was installed just behind the aft cockpit wall, near the center of gravity, with an enclosed extension shaft passing through the centerline of the extensively glazed cockpit to drive a large four-blade variable-pitch airscrew in the nose. An evaporative cooling system was used on the V1, with the remaining prototypes receiving a semi-retractable radiator directly below the engine to augment cooling during take-off and climb. Only eight prototypes were completed and the aircraft did not see production, mainly because of the shortages of DB 601 "component" engines to construct the 1,500 kg (3,300 lb) DB 606 "power systems" they formed. The first two prototypes were built as land planes, with retractable landing gear. The third prototype (V3) was constructed as a seaplane with twin floats. This was tested at the Erprobungsstelle Travemünde military seaplane test facility on the Baltic coast, and was scrapped in 1942 at Heinkel's factory airfield in the estuarine Rostock-Schmarl community, then known as Marienehe. On 22 November 1937, the fourth prototype (V4) made a world class-record flight in which it recorded an airspeed of 505 km/h (314 mph), with a payload of 1,000 kg (2,205 lb), over a distance of 1,000 km (621 mi). The four remaining prototypes were completed during the spring and early summer of 1938, the V5 and V6 being A-series production prototypes for the reconnaissance model, and the V7 and V8 being B-series production prototypes for the bomber model. These four aircraft were three-seaters with a defensive armament of one 7.92 mm (0.312 in) MG 15 machine gun in a dorsal position, V7 and V8 having provision for a normal bombload of three 250 kg (551 lb) bombs or maximum bombload of 1,000 kg (2,205 lb). V7 and V8 were sold to Japan in May 1940, and extensively studied; the insights thus gained were used in the design of the Yokosuka R2Y.[citation needed] The remaining prototypes served as engine test-beds, flying with various prototype versions of the DB 606 and DB 610 (twinned DB 605s) and the strictly-experimental DB 613 (twinned DB 603). Data from Warplanes of the Third Reich[2]General characteristics Performance Armament   Aircraft of comparable role, configuration, and era  Related lists</t>
  </si>
  <si>
    <t>Reconnaissance bomber</t>
  </si>
  <si>
    <t>https://en.wikipedia.org/Reconnaissance bomber</t>
  </si>
  <si>
    <t>Heinkel</t>
  </si>
  <si>
    <t>https://en.wikipedia.org/Heinkel</t>
  </si>
  <si>
    <t>14.8 m (48 ft 7 in)</t>
  </si>
  <si>
    <t>15.9 m (52 ft 2 in)</t>
  </si>
  <si>
    <t>5.4 m (17 ft 9 in)</t>
  </si>
  <si>
    <t>50.2 m2 (540 sq ft)</t>
  </si>
  <si>
    <t>5,201 kg (11,466 lb)</t>
  </si>
  <si>
    <t>7,581 kg (16,713 lb)</t>
  </si>
  <si>
    <t>1 × Daimler-Benz DB 606A-2 24-cylinder coupled V-12 liquid-cooled piston engine, 1,753 kW (2,351 hp)</t>
  </si>
  <si>
    <t>4-bladed constant-speed propeller</t>
  </si>
  <si>
    <t>591 km/h (367 mph, 319 kn)</t>
  </si>
  <si>
    <t>510 km/h (320 mph, 280 kn)</t>
  </si>
  <si>
    <t>8,500 m (27,900 ft)</t>
  </si>
  <si>
    <t>Luftwaffe</t>
  </si>
  <si>
    <t>https://en.wikipedia.org/Luftwaffe</t>
  </si>
  <si>
    <t>3,123 km (1,941 mi, 1,686 nmi) at 6,000 m (19,685 ft)</t>
  </si>
  <si>
    <t>1 × 7.9 mm (.312 in) MG 15 machine gun in dorsal position</t>
  </si>
  <si>
    <t>Kokusai Ku-7</t>
  </si>
  <si>
    <t>The Kokusai Ku-7 Manazuru (真鶴 "white-naped crane"; Allied code-name Buzzard) was a large experimental twin boom Japanese military glider. An enlarged version of the earlier Maeda Ku-1 glider, it was developed during 1942. The use of a twin boom design allowed for a large square cargo door, which meant that the aircraft was capable of carrying either 32 soldiers, 7600 kg of cargo or even a light tank. It required a powerful towing aircraft, either the Nakajima Ki-49 or the Mitsubishi Ki-67, which were in short supply. As a result, the aircraft were modified by fitting them with engines, which were designated the Ki-105 Otori (鳳 "Phoenix").[2] Intended for use as fuel transports, only nine, of 300 ordered, were produced before development priorities were shifted elsewhere.[3] Data from Encyklopedia Uzbrojenia,[4] Japanese Aircraft of the Pacific War[3]General characteristics Performance   Aircraft of comparable role, configuration, and era</t>
  </si>
  <si>
    <t>//upload.wikimedia.org/wikipedia/commons/thumb/7/74/Ku-7_glider.jpg/300px-Ku-7_glider.jpg</t>
  </si>
  <si>
    <t>Transport glider (Ku-7) Transport aircraft (Ki-105)</t>
  </si>
  <si>
    <t>Japan</t>
  </si>
  <si>
    <t>Kokusai</t>
  </si>
  <si>
    <t>https://en.wikipedia.org/Kokusai</t>
  </si>
  <si>
    <t>2[1]</t>
  </si>
  <si>
    <t>{'Ku-7': 'Large experimental military transport glider.', 'Ku-7-II': 'Original designation for the Ki-105.', 'Kokusai Ki-105 Ohtori': 'Long-range fuel tanker aircraft, powered by 2x 940\xa0hp (700\xa0kW) '}</t>
  </si>
  <si>
    <t>19.5 m (64 ft 0 in)</t>
  </si>
  <si>
    <t>34.75 m (114 ft 0 in)</t>
  </si>
  <si>
    <t>119.7 m2 (1,288 sq ft)</t>
  </si>
  <si>
    <t>4,536 kg (10,000 lb)</t>
  </si>
  <si>
    <t>12,000 kg (26,455 lb)</t>
  </si>
  <si>
    <t>354 km/h (220 mph, 191 kn)</t>
  </si>
  <si>
    <t>32 troops, equipped / 8 short tons (7,300 kg) tank / 75 mm (3.0 in) howitzer with 4 short tons (3,600 kg) tractor / 7,464 kg (16,455 lb)</t>
  </si>
  <si>
    <t>201 km/h (125 mph; 109 kn)</t>
  </si>
  <si>
    <t>Hawker Hotspur</t>
  </si>
  <si>
    <t>The Hawker Hotspur was a Hawker Henley redesigned to take a Boulton-Paul semi-powered four gun turret. It was designed in response to Air Ministry Specification F.9/35, which required a powered turret as the main armament to replace the Hawker Demon.[1][2] In the same fashion as the Henley, the Hotspur used standard Hawker Hurricane outer wing panels. One prototype aircraft, K8309, was built in 1937, fitted with armament of four 0.303 in (7.7 mm) Browning machine guns in a Boulton Paul dorsal turret plus one .303 in (7.7 mm) Vickers machine gun mounted in the front fuselage.[3] The completion of the prototype  was delayed until 1938, by which time the rival Boulton Paul Defiant had already flown. The Hotspur first flew on 14 June 1938 with only a wooden mock-up of the turret and with ballast equivalent to the weight of armament. As Hawker was committed to the production of Hurricanes and Gloster to Henley production, there was insufficient capacity to introduce another type and production was abandoned.[4] The mock-up turret was removed and a cockpit fairing installed. Planned production by Avro to Specification 17/36 was abandoned and the prototype, less turret, was used at the RAE Farnborough to test flap and dive brake configurations until 1942. Data from Hawker Aircraft since 1920[5]General characteristics Performance Armament  Related development Aircraft of comparable role, configuration, and era  Related lists</t>
  </si>
  <si>
    <t>//upload.wikimedia.org/wikipedia/commons/thumb/5/50/Hotspur.jpg/300px-Hotspur.jpg</t>
  </si>
  <si>
    <t>Hawker</t>
  </si>
  <si>
    <t>https://en.wikipedia.org/Hawker</t>
  </si>
  <si>
    <t>Sydney Camm</t>
  </si>
  <si>
    <t>https://en.wikipedia.org/Sydney Camm</t>
  </si>
  <si>
    <t>Two (pilot &amp; gunner)</t>
  </si>
  <si>
    <t>32 ft 10.5 in (10.02 m)</t>
  </si>
  <si>
    <t>40 ft 6 in (12.34 m)</t>
  </si>
  <si>
    <t>13 ft 10 in (4.22 m)</t>
  </si>
  <si>
    <t>342 sq ft (31.8 m2) [6]</t>
  </si>
  <si>
    <t>5,800 lb (2,630 kg)</t>
  </si>
  <si>
    <t>1 × Rolls-Royce Merlin II hp V-12 inline piston engine, 1,030 hp (768 kW)</t>
  </si>
  <si>
    <t>316 mph (510 km/h, 275 kn)</t>
  </si>
  <si>
    <t>28,000 ft (8,500 m)</t>
  </si>
  <si>
    <t>Royal Air Force</t>
  </si>
  <si>
    <t>https://en.wikipedia.org/Royal Air Force</t>
  </si>
  <si>
    <t>Hawker Henley</t>
  </si>
  <si>
    <t>https://en.wikipedia.org/Hawker Henley</t>
  </si>
  <si>
    <t>7,650 lb (3,470 kg)</t>
  </si>
  <si>
    <t>4 × .303 in (7.7 mm) Browning machine guns in a Boulton-Paul turret.1 × .303 in (7.7 mm) Vickers machine gun in nose</t>
  </si>
  <si>
    <t>Armstrong Whitworth A.W.23</t>
  </si>
  <si>
    <t>The Armstrong Whitworth A.W.23 was a prototype bomber/transport aircraft produced to specification C.26/31 for the British Air Ministry by Armstrong Whitworth Aircraft. While it was not selected to meet this specification, it did form the basis of the later Armstrong Whitworth Whitley aircraft. Specification C.26/31 required a dual-purpose bomber/transport aircraft for service with the Royal Air Force (RAF), with the specification stressing the transport part of its role. The A.W.23 was designed by John Lloyd, chief designer of Armstrong Whitworth to meet this specification, competing with the Handley Page H.P.51 and the Bristol Bombay. The A.W.23 was a low-wing twin-engine monoplane, powered by two Armstrong Siddeley Tiger engines. It had a fabric covered braced steel fuselage accommodating a large cabin to fulfil its primary transport role but with room for internal bomb racks under the cabin floor. The wings used a novel structure, patented by Armstrong Whitworth, of a massive light alloy box-spar braced internally with steel tubes.  This structure was extremely strong but required a thick wing section, increasing drag. This wing structure was re-used in the Armstrong Whitworth Whitley bomber. The A.W.23 was the first Armstrong Whitworth Aircraft to be fitted with a retractable undercarriage.[1][2] A prototype, K3585, was built first flying on 4 June 1935.[2] Owing to its unreliable Tiger engines, its delivery to the RAF for testing was delayed, with the Bombay being declared the winner of the specification. The prototype was given the civil registration G-AFRX in May 1939 being used for inflight refuelling development by Flight Refuelling Ltd who used it with the Short Empire flying boat. It was used in February 1940 for the world's first night refuelling experiments. It was destroyed in a German bombing raid on Ford airfield in June 1940.[3]  United Kingdom Data from The British Bomber since 1914.[2]General characteristics Performance Armament  Related development Aircraft of comparable role, configuration, and era  Related lists</t>
  </si>
  <si>
    <t>//upload.wikimedia.org/wikipedia/commons/thumb/1/1f/Armstrong_Whitworth_AW_23.jpg/300px-Armstrong_Whitworth_AW_23.jpg</t>
  </si>
  <si>
    <t>Bomber/transport</t>
  </si>
  <si>
    <t>Armstrong Whitworth Aircraft</t>
  </si>
  <si>
    <t>https://en.wikipedia.org/Armstrong Whitworth Aircraft</t>
  </si>
  <si>
    <t>John Lloyd</t>
  </si>
  <si>
    <t>80 ft 9 in (24.61 m)</t>
  </si>
  <si>
    <t>88 ft 0 in (26.82 m)</t>
  </si>
  <si>
    <t>19 ft 6 in (5.94 m)</t>
  </si>
  <si>
    <t>1,308 sq ft (121.5 m2)</t>
  </si>
  <si>
    <t>24,100 lb (10,932 kg)</t>
  </si>
  <si>
    <t>Royal Air ForceFlight Refuelling Ltd</t>
  </si>
  <si>
    <t>https://en.wikipedia.org/Royal Air ForceFlight Refuelling Ltd</t>
  </si>
  <si>
    <t>23 troops</t>
  </si>
  <si>
    <t>2 × Armstrong Siddeley Tiger VI 14-cylinder radial engines, 810 hp (600 kW)  each</t>
  </si>
  <si>
    <t>162 mph (261 km/h, 141 kn) TAS at 6,500 ft (2,000 m)</t>
  </si>
  <si>
    <t>18,100 ft (5,500 m)</t>
  </si>
  <si>
    <t>790 mi (1,270 km, 690 nmi) (estimated)</t>
  </si>
  <si>
    <t>Destroyed</t>
  </si>
  <si>
    <t>10 min 50 s to 10,000 ft (3,000 m)</t>
  </si>
  <si>
    <t>Provision for single machine guns in nose and tail turrets</t>
  </si>
  <si>
    <t>Provision for 2,000 lb (907 kg) bombs internally</t>
  </si>
  <si>
    <t>Armstrong Whitworth Whitley</t>
  </si>
  <si>
    <t>https://en.wikipedia.org/Armstrong Whitworth Whitley</t>
  </si>
  <si>
    <t>ANBO VIII</t>
  </si>
  <si>
    <t>The ANBO VIII was a Lithuanian bomber-reconnaissance monoplane designed by Antanas Gustaitis and built by Karo Aviacijos Tiekimo Skyrius.[1] The ANBO VIII was a low-wing monoplane with a tailwheel landing gear, an enclosed two-seat tandem cockpit and powered by a 930 hp (694 kW) Bristol Pegasus XVIII radial engine.[2] The prototype and only ANBO VIII was first flown on 5 September 1939 and was still under testing when the country was annexed by the Soviet Union. The prototype was removed by the Soviet authorities for testing.[1][2] Data from Lithuanian Aviation Museum[2]General characteristics Performance Armament</t>
  </si>
  <si>
    <t>//upload.wikimedia.org/wikipedia/commons/thumb/1/1b/Nuvola_apps_kaboodle.svg/16px-Nuvola_apps_kaboodle.svg.png</t>
  </si>
  <si>
    <t>Bomber-reconnaissance monoplane</t>
  </si>
  <si>
    <t>https://en.wikipedia.org/Bomber-reconnaissance monoplane</t>
  </si>
  <si>
    <t>Lithuania</t>
  </si>
  <si>
    <t>https://en.wikipedia.org/Lithuania</t>
  </si>
  <si>
    <t>Karo Aviacijos Tiekimo Skyrius</t>
  </si>
  <si>
    <t>https://en.wikipedia.org/Karo Aviacijos Tiekimo Skyrius</t>
  </si>
  <si>
    <t>Antanas Gustaitis</t>
  </si>
  <si>
    <t>https://en.wikipedia.org/Antanas Gustaitis</t>
  </si>
  <si>
    <t>9.5 m (31 ft 2 in)</t>
  </si>
  <si>
    <t>13.5 m (44 ft 3 in)</t>
  </si>
  <si>
    <t>30 m2 (320 sq ft)</t>
  </si>
  <si>
    <t>2,300 kg (5,071 lb)</t>
  </si>
  <si>
    <t>1 × Bristol Pegasus XVIII radial piston engine, 690 kW (930 hp)</t>
  </si>
  <si>
    <t>411 km/h (255 mph, 222 kn) at 5,000 m (16,000 ft) altitude</t>
  </si>
  <si>
    <t>9,000 m (30,000 ft)</t>
  </si>
  <si>
    <t>3,700 kg (8,157 lb)</t>
  </si>
  <si>
    <t>2 minutes to 1,000 m (3,300 ft), 15 minutes to 5,000 m (16,000 ft)</t>
  </si>
  <si>
    <t>4 × 7.7 mm (0.303 in) fixed forward-firing M1919 Browning machine guns with 500 rpg</t>
  </si>
  <si>
    <t>up to 600 kg (1,300 lb) on a fuselage bomb rack and/or 400 kg (880 lb) under the wings.</t>
  </si>
  <si>
    <t>113 km/h (70 mph, 61 kn)</t>
  </si>
  <si>
    <t>Consolidated R2Y</t>
  </si>
  <si>
    <t>The Consolidated R2Y "Liberator Liner" (Consolidated Model 39) was an airliner derivative of the B-24 Liberator built for the America Navy by Consolidated Aircraft. The XR2Y-1, as the single prototype was known in Navy service, used the high-aspect wing and tricycle landing gear of the Liberator. The fuselage was an entirely new design, and the vertical stabilizer was taken from the PB4Y Privateer.[1] The final design looked much like a smaller, high-wing Boeing B-29 Superfortress, but with windows for passengers. The aircraft was meant to carry passengers or cargo to distant Navy bases, but after a brief evaluation the prototype was demilitarized in the mid-1940s, returned to Convair, and leased to American Airlines as a freighter with the name "City of Salinas".[2] Data from Jane's Fighting Aircraft of World War II[1]General characteristics Performance  Related development Aircraft of comparable role, configuration, and era  Related lists</t>
  </si>
  <si>
    <t>//upload.wikimedia.org/wikipedia/commons/thumb/8/87/Consolidated_R2Y.jpg/300px-Consolidated_R2Y.jpg</t>
  </si>
  <si>
    <t>Prototype military transport aircraft and Prototype cargo aircraft</t>
  </si>
  <si>
    <t>https://en.wikipedia.org/Prototype military transport aircraft and Prototype cargo aircraft</t>
  </si>
  <si>
    <t>Consolidated Aircraft</t>
  </si>
  <si>
    <t>https://en.wikipedia.org/Consolidated Aircraft</t>
  </si>
  <si>
    <t>unknown</t>
  </si>
  <si>
    <t>90 ft 0 in (27.45 m)</t>
  </si>
  <si>
    <t>110 ft 0 in (33.55 m)</t>
  </si>
  <si>
    <t>Davis (22% at root to 9.3% at wingtip)</t>
  </si>
  <si>
    <t>56,000 lb (25,000 kg)</t>
  </si>
  <si>
    <t>America NavyAmerican Airlines</t>
  </si>
  <si>
    <t>https://en.wikipedia.org/America NavyAmerican Airlines</t>
  </si>
  <si>
    <t>48 passengersTheir baggage1,200 lb (550 kg) of mail12,000 lb (5,500 kg) of cargo (after refit)</t>
  </si>
  <si>
    <t>4 × Pratt &amp; Whitney R-1830-94 radial engines, 1,200 hp (900 kW)  each</t>
  </si>
  <si>
    <t>240 mph (380 km/h, 210 kn)</t>
  </si>
  <si>
    <t>Consolidated B-24 Liberator</t>
  </si>
  <si>
    <t>https://en.wikipedia.org/Consolidated B-24 Liberator</t>
  </si>
  <si>
    <t>4,000 mi (6,400 km, 3,500 nmi) at 200 mph (322 km/h)</t>
  </si>
  <si>
    <t>Experimental</t>
  </si>
  <si>
    <t>64,000 lb (29,000 kg)</t>
  </si>
  <si>
    <t>Dewoitine D.33</t>
  </si>
  <si>
    <t>The Dewoitine D.33 was a single-engine low-wing monoplane aircraft built by the Dewoitine Company.[1][2] It is remembered for setting a long-distance record on its first flight in 1930.[2] Little is documented on the specifics and the basic model of the D.33, other than the fact that it had a fixed undercarriage, and was a low-wing cantilever monoplane.[3] There were three documented variations to the model, each of which was designed as a separate aircraft. This line of aircraft were regarded highly commercially before World War II, and they were influential in the establishment of the Dewoitine Company.[1] The D.332 was developed based on the original D.33.[3] A single-spar cantilever low-wing monoplane, the D.332 had fundamental resemblances to the original design.[4] Able to hold a total of eight passengers, the D.332 had a small, enclosed cockpit, with an aerodynamic design and a rigid undercarriage. It was constructed purely from metal, and was built approximately three years after the original D.33 model, in 1933.[1][3] The D.332 proved successful, ultimately achieving a best speed of over 250 km/h (155 mph), and during the initial tests, where it was flown by test pilot Marcel Doret,[4] the D.332 prototype successfully flew from Paris to Saigon. It did, however, crash on the return flight from Saigon, on 15 January 1935.[1][4] In 1934, the D.333 was designed, built and flown for the first time. It was different from its predecessors in that it was constructed with a more spacious cabin, and could hold a maximum of 10 passengers.[4] The primary buyer of this model was Air France; however, two of the three planes bought by the latter crashed while flying the distance between Toulouse and Dakar.[1][4] 1935-6 saw the drafting and prototype of the D.338. This new model was built with retractable undercarriage, and could carry 22 passengers over a maximum of around 1,950 km (1,210 mi). Fitted with 485 kW (650 hp) Hispano-Suiza 9V16/17 engines,[4] the D.338 could travel at a speed of up to 260 km/h (160 mph). The D.338 was the first truly successful model in the line, and became widely used by Air France, first for flights within Europe, and later for international flights, between France and various parts of Asia. A total of 31 D.338s were purchased by Air France, and they were used into World War II, where they were employed as troop transporters. Following their use in the War, only eight aircraft survived.[4] However, despite this, the basic model was still used for years, until more recent builds were designed. Dewoitine designed two one-off aircraft based on the D.33 line; the D.342 and the D.620. Very few details relating to the specifics of these two aircraft are known or documented. Both were heavily based on the D.338 in particular.[4]</t>
  </si>
  <si>
    <t>//upload.wikimedia.org/wikipedia/commons/thumb/8/89/Dewoitine_D.33_L%27Aerophile_October_1932.jpg/300px-Dewoitine_D.33_L%27Aerophile_October_1932.jpg</t>
  </si>
  <si>
    <t>Single-engine low-wing monoplane</t>
  </si>
  <si>
    <t>https://en.wikipedia.org/Single-engine low-wing monoplane</t>
  </si>
  <si>
    <t>Dewoitine</t>
  </si>
  <si>
    <t>https://en.wikipedia.org/Dewoitine</t>
  </si>
  <si>
    <t>D.332, D.333, D.338</t>
  </si>
  <si>
    <t>https://en.wikipedia.org/D.332, D.333, D.338</t>
  </si>
  <si>
    <t>Air France</t>
  </si>
  <si>
    <t>https://en.wikipedia.org/Air France</t>
  </si>
  <si>
    <t>Blériot 110</t>
  </si>
  <si>
    <t>The Blériot 110 (or Blériot-Zappata 110) was a French aircraft built in 1930 to attempt new world aerial distance records. Built specifically at the request of the ordered by the Service Technique of the French Air Ministry. it was a two-seat high-wing monoplane constructed of wood.[1]  The fuselage was a stressed-skin structure with a teardrop-shaped cross section, with two upper longerons and a ventral keel: the load-bearing covering consisted of three layers of whitewood strips.[2] It was fitted with six fuel tanks in the wings and four in the fuselage, holding a total of 6,000 L (1,319 Imperial gallons or 1,585 US gal). Because the pilot and co-pilots seats were behind the fuselage fuel tanks, a periscope was fitted for take-offs and landings.  A sleeping couch was fitted behind the co-pilot's station so one of the  crew members could sleep on long-distance flights.[3] The aircraft's first flight on 16 May 1930 was cut short by a fuel supply problem, although no damage was sustained. After repairs, it was taken to Oran, Algeria, to make an attempt on the closed-circuit distance record. Between 15 November and 26 March 1932, the Blériot 110, flown by Lucien Bossoutrot and Maurice Rossi, broke this record three times; on the final occasion staying aloft for 76 hours 34 minutes and covering a distance of 10,601 km (6,587 mi). By this time, the aircraft had been named Joseph Le Brix in honour of the pilot who had died flying the 110's rival, the Dewoitine D.33. On 5 August 1933, Paul Codos and Maurice Rossi set a new straight-line distance record, flying from New York to Rayak, Syria – a distance of 9,105 km (5,658 mi). Further records were attempted over the next two years, but these were proved unsuccessful, and the 110 was scrapped. General characteristics Performance   Aircraft of comparable role, configuration, and era</t>
  </si>
  <si>
    <t>//upload.wikimedia.org/wikipedia/commons/thumb/b/b7/Bleriot-Zappata_110.jpg/300px-Bleriot-Zappata_110.jpg</t>
  </si>
  <si>
    <t>Long-distance research aircraft</t>
  </si>
  <si>
    <t>Blériot Aéronautique</t>
  </si>
  <si>
    <t>https://en.wikipedia.org/Blériot Aéronautique</t>
  </si>
  <si>
    <t>Filippo Zappata</t>
  </si>
  <si>
    <t>https://en.wikipedia.org/Filippo Zappata</t>
  </si>
  <si>
    <t>two pilots</t>
  </si>
  <si>
    <t>14.57 m (47 ft 9 in)</t>
  </si>
  <si>
    <t>26.50 m (86 ft 11 in)</t>
  </si>
  <si>
    <t>4.90 m (16 ft 1 in)</t>
  </si>
  <si>
    <t>81.0 m2 (872 sq ft)</t>
  </si>
  <si>
    <t>2,680 kg (5,808 lb)</t>
  </si>
  <si>
    <t>8,790 kg (19,378 lb)</t>
  </si>
  <si>
    <t>1 × Hispano-Suiza 12L , 447 kW (600 hp)</t>
  </si>
  <si>
    <t>220 km/h (137 mph, 119 kn)</t>
  </si>
  <si>
    <t>2,000 m (6,560 ft)</t>
  </si>
  <si>
    <t>12,600 km (7,830 mi, 6,800 nmi)</t>
  </si>
  <si>
    <t>Blériot XII</t>
  </si>
  <si>
    <t>The Blériot XII was an early French aeroplane built by Louis Blériot. It was first flown in May 1909 and was the first aircraft to be flown with two passengers on board, and was used by Blériot to gain second place in the 1909 Gordon Bennett Cup and to set a new world speed record. The Blériot XII was a high wing tractor configuration monoplane with a deep uncovered fuselage, with the wings mounted on the upper longerons and the pilot and passenger seated between upper and lower longerons below the trailing edge of the wing. Lateral control was effected by a pair of ailerons mounted independently of the wings on the lower longerons behind the pilot. The prototype was initially powered by an 40 hp (30 kW) E.N.V. Type D water-cooled engine mounted on the lower longerons, driving a two-bladed propeller mounted at the same level as the wing  via a chain with a reduction ratio of about 2:1.  When first flown the empennage consisted of an elevator at the extreme rear of the fuselage, with a separate fixed horizontal surface mounted above and in front of it, and three small rectangular rudders above the elevator.[1]  After initial flight trials during May 1909 the rudders were removed. Various configurations were experimented with, the final arrangement being an elongated triangular fin with a rectangular unbalanced rudder hinged to the trailing edge. The aircraft was first flown by Blériot on 21 May.  Over the following weeks he made a number of long flights, and on 12 June  it became the first aircraft to fly with three people aboard.  One of the passengers was Alberto Santos-Dumont.[2] At the Grande Semaine d'Aviation held at Reims between August 22 and August 29 Blériot flew two Type XIIs, the prototype (now powered by a 60 hp (45 kW) E.N.V. Type F and another powered by a 40 hp (30 kW) Anzani. Flying the E.N.V. powered aircraft he came second in the Gordon Bennett Cup race on 28 August, being beaten by Glenn Curtiss by a margin of 6 seconds. Later that day he succeeded in winning the prize for the fastest lap of the 10 km (6.2 mi) circuit, with a time of 7 minutes 47.8 seconds. His speed of 77 kilometres per hour (48 mph) was a new world speed record for the distance.[3] The next day Blériot was flying the aircraft at a low altitude when it stalled, crashed and burst into flames. Blériot managed to land the aircraft and get clear, rolling on the ground to put out his overalls, which had caught fire, but the aircraft was destroyed. An example powered by a 60 horsepower (45 kW) E.N.V. Type F was bought in December 1909 by Claude Grahame-White,[4] who named it the White Eagle.  However, Grahame White found the aircraft unsatisfactory, and it was later sold to Colonel Joseph Laycock and the Duke of Westminster, who presented it to the British War Office, making it the first heavier-than-air craft possessed by the Balloon School.[5]  Lieutenant Reginald Cammell was sent to France to collect the aircraft. Cammell described the aircraft as dangerously unstable and having too steep a glide angle. At Larkhill it acquired the nickname "The Man-Killer", and was eventually rebuilt by the Royal Aircraft Factory, who transformed it into the S.E. 1.[6] Data from Opdycke 1999 p.55General characteristics Performance</t>
  </si>
  <si>
    <t>//upload.wikimedia.org/wikipedia/commons/thumb/5/55/Bleriot_XII_2.jpg/300px-Bleriot_XII_2.jpg</t>
  </si>
  <si>
    <t>Louis Blériot</t>
  </si>
  <si>
    <t>https://en.wikipedia.org/Louis Blériot</t>
  </si>
  <si>
    <t>at least 3</t>
  </si>
  <si>
    <t>10 m (32 ft 10 in)</t>
  </si>
  <si>
    <t>600 kg (1,323 lb)</t>
  </si>
  <si>
    <t>https://en.wikipedia.org/21 May 1909</t>
  </si>
  <si>
    <t>1 × E.N.V. , 35 kW (47 hp)</t>
  </si>
  <si>
    <t>100 km/h (62 mph, 54 kn)</t>
  </si>
  <si>
    <t>Blériot-SPAD S.33</t>
  </si>
  <si>
    <t>The Bleriot-SPAD S.33 was a small French airliner developed soon after World War I.  The aircraft was a biplane of conventional configuration whose design owed much to the Blériot company's contemporary fighter designs such as the S.20.  Four passengers could be accommodated in an enclosed cabin within the monocoque fuselage, and a fifth passenger could ride in the open cockpit beside the pilot. A great success, the S.33 dominated its field throughout the 1920s, initially on CMA's Paris-London route, and later on continental routes serviced by Franco-Roumaine. One interesting development was a sole example converted by CIDNA to act as a blind-flying trainer. A set of controls was installed inside the passenger cabin, the windows of which had been blacked out. Data from Jane's all the World's Aircraft 1924,[1] Aviafrance:SPAD S-33,[2] Flight 7 July 1921:[3]General characteristics Performance  Related development</t>
  </si>
  <si>
    <t>//upload.wikimedia.org/wikipedia/commons/thumb/d/dc/Bl%C3%A9riot-SPAD_S.33_%28tight_crop%29.jpg/300px-Bl%C3%A9riot-SPAD_S.33_%28tight_crop%29.jpg</t>
  </si>
  <si>
    <t>Blériot</t>
  </si>
  <si>
    <t>https://en.wikipedia.org/Blériot</t>
  </si>
  <si>
    <t>ca. 41</t>
  </si>
  <si>
    <t>https://en.wikipedia.org/Blériot-SPAD S.46Blériot-SPAD S.56</t>
  </si>
  <si>
    <t>9.08 m (29 ft 9 in)</t>
  </si>
  <si>
    <t>11.66 m (38 ft 3 in)</t>
  </si>
  <si>
    <t>3.3 m (10 ft 10 in)</t>
  </si>
  <si>
    <t>43 m2 (460 sq ft)</t>
  </si>
  <si>
    <t>1,050 kg (2,315 lb)</t>
  </si>
  <si>
    <t>1,797 kg (3,962 lb)</t>
  </si>
  <si>
    <t>46.5 kg/m2 (9.5 lb/sq ft)</t>
  </si>
  <si>
    <t>Franco-Roumaine, CMASNETA</t>
  </si>
  <si>
    <t>https://en.wikipedia.org/Franco-Roumaine, CMASNETA</t>
  </si>
  <si>
    <t>4/5 pax</t>
  </si>
  <si>
    <t>× Salmson CM.9 9-cylinder air-cooled radial piston engine, 190 kW (260 hp)</t>
  </si>
  <si>
    <t>180 km/h (110 mph, 97 kn) at 2,000 m (6,600 ft)</t>
  </si>
  <si>
    <t>4,000 m (13,000 ft)</t>
  </si>
  <si>
    <t>0.0932 kW/kg (0.0567 hp/lb)</t>
  </si>
  <si>
    <t>1,060 km (660 mi, 570 nmi)</t>
  </si>
  <si>
    <t>5 hours</t>
  </si>
  <si>
    <t>1,000 m (3,300 ft) in 10 minutes 5 seconds; 2,000 m (6,600 ft) in 23 minutes; 3,000 m (9,800 ft) in 45 minutes 32 seconds</t>
  </si>
  <si>
    <t>MÁVAG Héja</t>
  </si>
  <si>
    <t>The MÁVAG Héja ("Hawk") was a Hungarian fighter aircraft based on the Italian Reggiane Re.2000. The 70 Reggiane Re2000s delivered from Italy were modified with Hungarian equipment and fitted with Hungarian-built Manfred Weiss WM K-14 engines. The Héja was re-designed for Hungarian manufacture as the Héja II and a further 203 were built by MÁVAG for the Magyar Királyi Honvéd Légierő (Royal Hungarian Air Force), which used them in operations against the Soviet Union alongside German units. In December 1939 seventy Reggiane Re.2000 fighters, purchased from Italy, were delivered to the Magyar Királyi Állami Vas-, Acél- és Gépgyárak, ("Royal Hungarian State Iron, Steel and Machine Works"), where they were modified into MÁVAG Héja I ("Hawk I") fighters. The original Piaggio P.XI engines were replaced by the Hungarian-built Manfred Weiss WM K-14 driving Hamilton Standard three-bladed, constant-speed propellers. The WM K-14 was a licensed copy of the French Gnome-Rhône 14K engine that necessitated a 1-foot 3-inch lengthening of the fighters' forward fuselage, to restore the center of gravity to a safe position. The Piaggio engine was itself also a copy of the Gnome-Rhône 14K, it was more reliable than the Italian engines. However, the aircraft also suffered from a number of drawbacks. The Hungarian and Italian chemical industries were not able to produce enough good insulation material for wing tanks, thus early planes (Héja I. and all of Italian Re.2000) flown with continuously leaking fuel tanks and late models (Héja II.) had rows of small tanks in the wing, therefore manufacturing complexity and weight of the plane has been increased. Yaw stability was poor and the Héja's predisposition to sideslip was very dangerous at low altitude (it killed István Horthy), moreover the subsequent mass increase of Héja II. has worsened this issue.[1][2] A decision was soon made to produce more Héja fighters under license in Hungary as the MÁVAG Héja II (Hawk II). The new Héja II was entirely Hungarian with locally produced airframes, engines and armament, which was changed to twin 12.7 mm (0.500 in) Gebauer Motorgeppuska 1940.Minta GKM motor-driven machine guns in the fuselage nose with 300 rpg.[3][4] The first MÁVAG Héja II took to the air on 30 October 1942 and MÁVAG built a further 203 Héja IIs for the Royal Hungarian Air Force, with the last aircraft completed on 1 August 1944. The Kingdom of Hungary was allied to Nazi Germany during World War II, with at least one Hungarian squadron flying the MÁVAG Héja in combat on the Eastern Front. However, most Héjas operated inside Hungary in an air defense role or as a trainer. On 20 August 1942, personal tragedy struck the Hungarian Regent Miklós Horthy, when 37-year-old István Horthy, Horthy's eldest son, Deputy Regent of Hungary and a Flight Lieutenant in the reserves, was killed while flying Heja V.421 of 1/1 Fighter Squadron Royal Hungarian Air Force near Ilovskoye.[5] In 1943, 98 Héjas were produced and another 72 in 1944. They were regarded as no longer suitable for combat against modern Soviet fighters and should have served as fighter trainer only.[6] The Luftwaffe was reluctant to re-equip its Hungarian ally: the deliveries of aircraft went primarily to front-line formations and there was still danger of a Hungarian-Romanian conflict. Moreover, Hitler held an extremely bad opinion of the Hungarian aviators.[7] So, the Hungarian Air Force was forced to use the licence-built Reggiane. The last offensive sortie of the Hejas took place on 2 April 1944, when 180 15th Air Force USAAF bombers, escorted by 170 fighters, bombed the Danube Aircraft Works in Budapest and other targets. The Fighter Control Centre dispatched one wing of Hejas from 1/1 Fighter squadron, along with a couple of Messerschmitt Me 210Cas and 12 Bf 109Gs. The Honvéd pilots claimed 11 American aircraft (six of them confirmed). USAAF pilots reported to have shot down 27 Hungarian aircraft, while only two Hungarians were killed.[8] Data from The Complete Book of Fighters[9]General characteristics Performance Armament   Aircraft of comparable role, configuration, and era  Related lists</t>
  </si>
  <si>
    <t>//upload.wikimedia.org/wikipedia/commons/thumb/c/ce/Rep%C3%BCl%C5%91t%C3%A9r%2C_1944._%C3%A1prilis_13._Kass_Ferenc_%C5%91rmester_l%C3%A9giharcban_megs%C3%A9r%C3%BClt_M%C3%81VAG_H%C3%A9ja_II._vad%C3%A1szrep%C3%BCl%C5%91g%C3%A9pe._Fortepan_9233.jpg/300px-Rep%C3%BCl%C5%91t%C3%A9r%2C_1944._%C3%A1prilis_13._Kass_Ferenc_%C5%91rmester_l%C3%A9giharcban_megs%C3%A9r%C3%BClt_M%C3%81VAG_H%C3%A9ja_II._vad%C3%A1szrep%C3%BCl%C5%91g%C3%A9pe._Fortepan_9233.jpg</t>
  </si>
  <si>
    <t>https://en.wikipedia.org/Fighter</t>
  </si>
  <si>
    <t>Hungary</t>
  </si>
  <si>
    <t>MÁVAG</t>
  </si>
  <si>
    <t>https://en.wikipedia.org/MÁVAG</t>
  </si>
  <si>
    <t>8.39 m (27 ft 6 in)</t>
  </si>
  <si>
    <t>N-38[10]</t>
  </si>
  <si>
    <t>2,070 kg (4,564 lb)</t>
  </si>
  <si>
    <t>2,520 kg (5,556 lb)</t>
  </si>
  <si>
    <t>1 × Manfred Weiss WM K.14 14-cyinder air-cooled radial piston engine, 694 kW (931 hp)  (Gnome-Rhône 14Kfrs Mistral-Major)</t>
  </si>
  <si>
    <t>3-bladed constant-speed propeller</t>
  </si>
  <si>
    <t>540 km/h (340 mph, 290 kn) at 4,300 m (14,108 ft)</t>
  </si>
  <si>
    <t>8,138 m (26,699 ft)</t>
  </si>
  <si>
    <t>Royal Hungarian Air Force</t>
  </si>
  <si>
    <t>https://en.wikipedia.org/Royal Hungarian Air Force</t>
  </si>
  <si>
    <t>Reggiane Re.2000</t>
  </si>
  <si>
    <t>https://en.wikipedia.org/Reggiane Re.2000</t>
  </si>
  <si>
    <t>900 km (560 mi, 490 nmi)</t>
  </si>
  <si>
    <t>2 hours 30 minutes</t>
  </si>
  <si>
    <t>2x fixed forward-firing 12.7 mm (0.500 in) Gebauer Motorgeppuska 1940.Minta GKM motor-driven machine guns in the fuselage nose[3][4]</t>
  </si>
  <si>
    <t>Bombardier Challenger 850</t>
  </si>
  <si>
    <t>The Bombardier Challenger 800 is the largest super-midsize business jet that was built by Bombardier Aerospace. It is based on Bombardier's 50-seat Bombardier CRJ200 LR. The Challenger 850 is the updated version, produced from 2006 to 2015.[3] The Challenger 850 is derived from the Bombardier CRJ200 airliner. It is capable of accommodating 12–16 passengers. The Challenger 850 jet has a transcontinental range and a high-speed cruise of Mach 0.80. The Challenger 850 was first manufactured in 1996 as the Challenger SE (Special Edition) and rebranded in 2006 as the Challenger 850. Production ended in 2012 following completion of 71 deliveries.[4] Data from Bombardier website[5]General characteristics Performance Avionics  Related development   Related lists</t>
  </si>
  <si>
    <t>//upload.wikimedia.org/wikipedia/commons/thumb/4/49/AIR_X_Charter%2C_9H-YOU%2C_Bombardier_Challenger_850_%2828494435085%29.jpg/300px-AIR_X_Charter%2C_9H-YOU%2C_Bombardier_Challenger_850_%2828494435085%29.jpg</t>
  </si>
  <si>
    <t>Bombardier Aerospace</t>
  </si>
  <si>
    <t>https://en.wikipedia.org/Bombardier Aerospace</t>
  </si>
  <si>
    <t>2 + 1</t>
  </si>
  <si>
    <t>26.77 m (87 ft 10 in)</t>
  </si>
  <si>
    <t>21.21 m (69 ft 7 in)</t>
  </si>
  <si>
    <t>6.22 m (20 ft 5 in)</t>
  </si>
  <si>
    <t>48.35 m2 (520.4 sq ft)</t>
  </si>
  <si>
    <t>15,440 kg (34,039 lb) * Maximum ramp weight</t>
  </si>
  <si>
    <t>1996 (as Challenger SE)</t>
  </si>
  <si>
    <t>2012[1]</t>
  </si>
  <si>
    <t>up to 16</t>
  </si>
  <si>
    <t>2 × General Electric CF34-3B1 turbofan engines, 38.84 kN (8,730 lbf) thrust  each 41 kN (9,217 lbf) for take=off in ISA + 8°C (73°F)</t>
  </si>
  <si>
    <t>Mach (Vmo) 0.850</t>
  </si>
  <si>
    <t>819 km/h (509 mph, 442 kn) * High-speed cruise</t>
  </si>
  <si>
    <t>12,500 m (41,000 ft)</t>
  </si>
  <si>
    <t>AirX Charter</t>
  </si>
  <si>
    <t>https://en.wikipedia.org/AirX Charter</t>
  </si>
  <si>
    <t>Bombardier CRJ200</t>
  </si>
  <si>
    <t>https://en.wikipedia.org/Bombardier CRJ200</t>
  </si>
  <si>
    <t>5,206 km (3,235 mi, 2,811 nmi) at M 0.74</t>
  </si>
  <si>
    <t>Active</t>
  </si>
  <si>
    <t>2006-2012[2]</t>
  </si>
  <si>
    <t>24,040 kg (52,999 lb)</t>
  </si>
  <si>
    <t>21,319 kg (47,000 lb)</t>
  </si>
  <si>
    <t>19,958 kg (44,000 lb)</t>
  </si>
  <si>
    <t>15,702 kg (34,617 lb)</t>
  </si>
  <si>
    <t>8,289 kg (18,274 lb)</t>
  </si>
  <si>
    <t>4,256 kg (9,383 lb)</t>
  </si>
  <si>
    <t>162 kg (357 lb)</t>
  </si>
  <si>
    <t>4,196 kg (9,251 lb)</t>
  </si>
  <si>
    <t>M0.74 / 787 km/h (489 mph)</t>
  </si>
  <si>
    <t>6,305 ft (1,922 m)</t>
  </si>
  <si>
    <t>2,910 ft (887 m)</t>
  </si>
  <si>
    <t>Flyover</t>
  </si>
  <si>
    <t>Bohemia B.5</t>
  </si>
  <si>
    <t>The Bohemia B.5 was a single engined, two seat, light sport aircraft designed and built in Czechoslovakia shortly after World War I.[1] The B.5 was the first aircraft designed and built in  Czechoslovakia at the end of the First World War.  Designed and constructed at the Bohemia Pilsen works the B.5 had one engine and two seats in separate, tandem open cockpits.[1] The B.5 was a typical biplane sport/trainer aircraft of the period, with staggered upper and lower wings; the lower wing attaching directly to the lower fuselage between the two cockpits and the one piece upper wing supported on cabane and inter-plane struts.[1] The structure of the fuselage and wings was entirely conventional with fabric and/or plywood skinning and wooden structure. Conventional fin and tailplane were sited at the rear of the fuselage and were fitted with fin and elevators of generous area for yaw and pitch control.  Roll control was effected by ailerons fitted to the upper wings only. The undercarriage consisted of bungee sprung main-wheels on a live axle supported by wire-braced struts and a sprung tail-skid at the extreme end of the fuselage.[1] Power was supplied by a Neue Automobil-Gesellschaft mbH  NAG 4-cyl in-line piston engine, rated at 40 hp (30 kW), turning a two-blade wooden propeller counter-clockwise as viewed from the cockpit.[1] Colours and markings were simple with the fabric covering being left in its natural colour doped with a clear varnish. Large black letters across the span of the lower wing bottom surface spelt out BOHEMIA.[1] The prototype first flew from Pilsen aerodrome on 27 April 1919, but due to its lacklustre performance it was not a commercial success with few sales.[1] The prototype B.5 crashed on  Saturday, 17 May 1919, killing the student, Joseph Klíbr, and slightly injuring the instructor in the rear cockpit, Rudolf Polanecký. The remains of the B.5 were swiftly resurrected in just six weeks.[1] The B.5 kept flying until 1923 when it was owned by  Chrudim J. Wiesner. By this time the NAG engine was completely worn out and unsafe. Wiesner and a test pilot from the Aero factory, Rudolf Valenta,  converted the B.5 to a glider by removing the engine, modifying the front fuselage and replacing the wheeled undercarriage with skids. Results of attempts to fly the glider by Valenta Kbelská were mediocre due to the poor aerodynamic qualities and lack of a suitable launching area.[1] No complete B.5 exists today, but the fuselage is on display at the Prague Aviation Museum, Kbely.[1] Data from [1]General characteristics Performance   Aircraft of comparable role, configuration, and era</t>
  </si>
  <si>
    <t>//upload.wikimedia.org/wikipedia/commons/thumb/8/8b/Bohemia_B_5_%2801%29.JPG/300px-Bohemia_B_5_%2801%29.JPG</t>
  </si>
  <si>
    <t>Sport Trainer</t>
  </si>
  <si>
    <t>Czechoslovakia</t>
  </si>
  <si>
    <t>Bohemia Pilsen aircraft works</t>
  </si>
  <si>
    <t>https://en.wikipedia.org/Bohemia Pilsen aircraft works</t>
  </si>
  <si>
    <t>27 April 1919[1]</t>
  </si>
  <si>
    <t>1 known</t>
  </si>
  <si>
    <t>One</t>
  </si>
  <si>
    <t>6.68 m (21 ft 11 in)</t>
  </si>
  <si>
    <t>8.00 m (26 ft 3 in)</t>
  </si>
  <si>
    <t>2.8 m (9 ft 3 in)</t>
  </si>
  <si>
    <t>18.05 m2 (194.3 sq ft)</t>
  </si>
  <si>
    <t>340 kg (750 lb)</t>
  </si>
  <si>
    <t>520 kg (1,147 lb)</t>
  </si>
  <si>
    <t>1 × Neue Automobil-Gesellschaft mbH  NAG 4-cyl in-line , 30 kW (40 hp)</t>
  </si>
  <si>
    <t>110 km/h (68 mph, 59 kn)</t>
  </si>
  <si>
    <t>1,500 m (4,921 ft)</t>
  </si>
  <si>
    <t>120 km (74 mi, 64 nmi)</t>
  </si>
  <si>
    <t>ca 3 hours</t>
  </si>
  <si>
    <t>PZL TS-8 Bies</t>
  </si>
  <si>
    <t>The PZL TS-8 Bies is a Polish trainer aircraft, used from 1957 to the 1970s by the Polish Air Force and civilian aviation. The aircraft was designed in response to a Polish Air Force requirement for a modern piston-engined trainer with a retractable tricycle landing gear to replace Junak 3 and Yak-11 aircraft. The main designer was Tadeusz Sołtyk – hence the designation letters TS. The plane was named Bies – a folk name for the devil. Work started in 1953 and the first prototype was flown on July 23, 1955. In 1956 and 1957 it beat three international records in its class.[1] The second prototype was shown at the Paris Air Show in 1957. In 1957 the first experimental series of 10 aircraft was produced by WSK-Okecie (designated as TS-8 BI). A slightly improved main variant, designated as the TS-8 BII, was produced from 1958 to 1960 by WSK Mielec. The last 10 machines, TS-8 BIII, were built with better avionics, in total 251 TS-8 were produced of which 229 were the TS-8 BII variant. The TS-8 had good handling and performance; a noisy engine being one of its few flaws. It was the first really modern aircraft designed in Poland after the war, that also used a Polish engine. The TS-8 was an all-metal low-wing cantilever monoplane, with metal-covered semi-monocoque fuselage, oval in cross-section. The three-part single-spar wing, of semi-monocoque design, creating a transverse inverted gull wing "W" shape. It had a Tricycle retractable landing gear, and a 7-cylinder WN-3 radial engine in front, delivering 330 hp take-off power and 283 hp normal power to a 2.2 m diameter two-blade variable pitch wooden propeller. The crew of two, sat in a tandem  enclosed cockpit, with twin controls, the student in front with the instructor in the rear. Canopy sections above the crewmen slid rearwards. The plane had no armament, except for the experimental series TS-8 BI, which had one 12.7mm machine gun and two small bomb pylons. The TS-8s began to be withdrawn from Polish Air Force service in the mid-1960s, being replaced by PZL TS-11 Iskra jet trainers. Over 100 withdrawn aircraft were handed over to the civilian aviation (aero clubs). Most TS-8s were finally withdrawn from civilian aviation by 1978, with three currently remaining airworthy. Two TS-8s were used by Indonesia. Data from Jane's All The World's Aircraft 1961–62[2]General characteristics Performance Armament   Aircraft of comparable role, configuration, and era    Media related to PZL TS-8 at Wikimedia Commons</t>
  </si>
  <si>
    <t>//upload.wikimedia.org/wikipedia/commons/thumb/b/b0/TS-8_Bies_Goraszka_2007.jpg/300px-TS-8_Bies_Goraszka_2007.jpg</t>
  </si>
  <si>
    <t>Trainer aircraft</t>
  </si>
  <si>
    <t>https://en.wikipedia.org/Trainer aircraft</t>
  </si>
  <si>
    <t>WSK PZL-Mielec</t>
  </si>
  <si>
    <t>https://en.wikipedia.org/WSK PZL-Mielec</t>
  </si>
  <si>
    <t>{'TS-8': 'prototypes.', 'TS-8 BI': 'rst experimental series, 10 built.', 'TS-8 BII': 'proved TS-8 BI. Main production version, 229 built.', 'TS-8 BIII': 'rsion equipped with better avionics, 10 built.'}</t>
  </si>
  <si>
    <t>Two (student &amp; instructor)</t>
  </si>
  <si>
    <t>8.50 m (27 ft 11 in)</t>
  </si>
  <si>
    <t>10.50 m (34 ft 5 in)</t>
  </si>
  <si>
    <t>3.0 m (9 ft 10 in)</t>
  </si>
  <si>
    <t>19.10 m2 (205.6 sq ft)</t>
  </si>
  <si>
    <t>NACA 23012[3]</t>
  </si>
  <si>
    <t>1,070 kg (2,359 lb)</t>
  </si>
  <si>
    <t>1,550 kg (3,417 lb)</t>
  </si>
  <si>
    <t>https://en.wikipedia.org/1957</t>
  </si>
  <si>
    <t>https://en.wikipedia.org/1978</t>
  </si>
  <si>
    <t>Polish Air ForceAeroklub Polski</t>
  </si>
  <si>
    <t>https://en.wikipedia.org/Polish Air ForceAeroklub Polski</t>
  </si>
  <si>
    <t>215 l (56.8 US gal; 47.3 imp gal) in three fuselage tanks, with optional under-wing tanks</t>
  </si>
  <si>
    <t>1 × Narkiewicz WN-3 7-cylinder radial engine, 240 kW (320 hp)   ,rated power at 2350 rpm</t>
  </si>
  <si>
    <t>2-bladed W.R.1 constant-speed propeller, 2.20 m (7 ft 3 in) diameter</t>
  </si>
  <si>
    <t>312 km/h (194 mph, 168 kn)</t>
  </si>
  <si>
    <t>270 km/h (170 mph, 150 kn)</t>
  </si>
  <si>
    <t>6,000 m (20,000 ft)</t>
  </si>
  <si>
    <t>6.8 m/s (1,340 ft/min)</t>
  </si>
  <si>
    <t>1957–1960</t>
  </si>
  <si>
    <t>1,600 kg (3,527 lb)</t>
  </si>
  <si>
    <t>underwing racks for up to 200 kg (440 lb) of practice bombs</t>
  </si>
  <si>
    <t>https://en.wikipedia.org/1957–1960</t>
  </si>
  <si>
    <t>Bloch MB.300 Pacifique</t>
  </si>
  <si>
    <t>The Bloch MB.300 Pacifique (a.k.a. La Grosse Julie, "Big Julie") was a French all-metal three-engine monoplane that was developed to enter service as an Air France airliner. Though a single prototype was produced by Société des Avions Marcel Bloch in 1935, it was eventually rejected by Air France circa 1938. Test flight happened on November 15 or November 16, 1935 at the Villacoublay airfield with test pilots André Curvale and Jean Lapeyr. The prototype (F-AONB) went under a serie of modifications in early 1936 then again in March 1937. Passengers number was then reduced from 30 to 24. It officially entered in service with the Air France fleet in January 1938 (as F-AOUI). Its fate is unknown, but it was reportedly delivered to Spain.[1] Data from Jane's All the World's Aircraft 1938[2]General characteristics Performance  Related development Aircraft of comparable role, configuration, and era</t>
  </si>
  <si>
    <t>//upload.wikimedia.org/wikipedia/commons/thumb/d/d6/Bloch_M.B.300_photo_L%27Aerophile_February_1936.jpg/300px-Bloch_M.B.300_photo_L%27Aerophile_February_1936.jpg</t>
  </si>
  <si>
    <t>Civil Airliner</t>
  </si>
  <si>
    <t>https://en.wikipedia.org/Civil Airliner</t>
  </si>
  <si>
    <t>24.9 m (81 ft 8 in)</t>
  </si>
  <si>
    <t>25.9 m (85 ft 0 in)</t>
  </si>
  <si>
    <t>6.75 m (22 ft 2 in)</t>
  </si>
  <si>
    <t>100 m2 (1,100 sq ft)</t>
  </si>
  <si>
    <t>9,000 kg (19,842 lb)</t>
  </si>
  <si>
    <t>13,580 kg (29,939 lb)</t>
  </si>
  <si>
    <t>Air FranceSpain</t>
  </si>
  <si>
    <t>https://en.wikipedia.org/Air FranceSpain</t>
  </si>
  <si>
    <t>27 passengers daytime, 12 passenger sleeper or 4,580 kg (10,100 lb) payload</t>
  </si>
  <si>
    <t>1 × Gnome-Rhône 14N-17 14-cyl. two-row air-cooled piston engines, 682 kW (915 hp)   at 1,750 m (5,740 ft)(right hand rotation)</t>
  </si>
  <si>
    <t>3-bladed variable-pitch airscrews</t>
  </si>
  <si>
    <t>350 km/h (220 mph, 190 kn) at 2,200 m (7,200 ft)</t>
  </si>
  <si>
    <t>1,000 km (620 mi, 540 nmi)</t>
  </si>
  <si>
    <t>retired</t>
  </si>
  <si>
    <t>75 km/h (47 mph; 40 kn)</t>
  </si>
  <si>
    <t>Boeing Phantom Eye</t>
  </si>
  <si>
    <t>The Boeing Phantom Eye was a high altitude, long endurance (HALE) liquid hydrogen-powered[1][unreliable source?] unmanned aerial vehicle developed by Boeing Phantom Works.[2] The aircraft was Boeing's proposal to meet the demand from the US military for unmanned drones designed to provide advanced intelligence and reconnaissance work, driven by the combat conditions in Afghanistan in particular.[3] In August 2016, the Phantom Eye demonstrator was disassembled for display at the Air Force Flight Test Museum.[4] The Phantom Eye was an evolution from Boeing's earlier success with the piston-powered Boeing Condor that set several records for altitude and endurance in the late 1980s. Boeing also studied a larger HALE UAV that can fly for over 10 days and carry payloads of 2,000 pounds (900 kg) or more; the company also worked on the Phantom Ray UAV as a flying testbed for advanced technologies.[5] Phantom Eye's propulsion system successfully completed an 80-hour test in an altitude chamber on March 1, 2010; this cleared the way for the propulsion system and the airframe to be assembled. Boeing worked closely with Ball Aerospace, Aurora Flight Sciences, Ford Motor Co. and MAHLE Powertrain to develop the Phantom Eye.[5] The Phantom Eye was revealed to the press at a ceremony at Boeing's facilities in St Louis, Missouri, on July 12, 2010.[2] The Phantom Eye demonstrator is a 60–70% scale design of an objective system. According to Darryl Davis, president of Boeing's Phantom Works advanced concepts group, the Phantom Eye demonstrator could lead to an objective system capable of achieving 24-hour-a-day, seven-day-a-week coverage of an area year round with as few as four aircraft.[6] The demonstrator was shipped to NASA's Dryden Flight Research Center at Edwards Air Force Base, California, for ground tests. It conducted its first medium-speed taxi test there on March 10, 2012, reaching speeds of 30 knots (35 mph; 56 km/h).[7] Boeing declared the test a success and said it paved the way for the aircraft's first flight, expected to last 8 hours.[8] The Phantom Eye completed its first flight on June 1, 2012 at Edwards Air Force Base.  It reached an altitude of 4,000 ft and a speed of 62 knots (71 mph; 115 km/h) for 28 minutes.  Its landing gear dug into the dry lakebed during landing and caused some damage to the aircraft.[9][10] On February 6, 2013, the Phantom Eye completed taxi testing at Edwards Air Force Base in preparation for the second flight.  Sitting atop a launch cart, it reached speeds of 46 mph.  In response to the first flight test, autonomous flight systems were upgraded and the landing system was improved.[11] The Phantom Eye completed its second flight on February 25, 2013 at Edwards Air Force Base.  It climbed to an altitude of 8,000 ft at a cruising speed of 62 knots (71 mph; 115 km/h) for 66 minutes.  The second flight test ended with a successful landing.[12] On 6 June 2013, Boeing was issued a $6.8 million contract by the U.S. Missile Defense Agency to install an unidentified payload on the Phantom Eye demonstrator.[13] The payload was most likely a long-range sensing and tracking system required to aim a laser.[14] The Phantom Eye's fourth flight occurred on June 14, 2013, reaching an altitude of 20,000 ft for 4 hours.  On September 14, 2013, its fifth flight reached an altitude of 28,000 ft for nearly four and a half hours.  Although the flight test was deemed a success, sources claim that the test had originally been intended to reach a 40,000 ft altitude.  The fifth flight incorporated a payload from the Missile Defense Agency.[15] The sixth flight occurred on January 6, 2014 and lasted for 5 hours, longer than any previous flight.[16] In February 2014, the Phantom Eye was promoted to experimental status by the Air Force's 412th Operations Group on recommendation from NASA’s Dryden Flight Research Center.  The Phantom Eye had by then undergone six test flights and met NASA safety criteria.  Classification as experimental under the USAF Test Center meant it was no longer restricted to flying above Edwards AFB and would move to a test range several miles away to further test endurance and altitude capabilities.  In the coming months, Boeing planned test the demonstrator to reach its desired operating altitude of 60,000 ft (18,000 m) and increase its endurance; a full-size operational Phantom Eye was planned to be built to reach endurance goals of 7–10 days airborne if successful.[17] The demonstrator's ninth flight occurred in 2014 for 8–9 hours at 54,000 ft, then it was placed in storage at NASA’s Armstrong Flight Research Center.  Boeing looked for opportunities in the military or commercial sectors to continue development.  Initially pitched as a high-flying satellite surrogate for ground surveillance or communications relay, the company looked to see if a solid-state laser could be mounted to perform missile defense; a solid-state laser is desired over chemical lasers, like the one used in Boeing's previous YAL-1 Airborne Laser Testbed, because there is a shorter logistical tail and less time is needed to recharge and cool.[18] On 17 August 2016, the Air Force transferred the disassembled Phantom Eye demonstrator for reassembly and refurbishment to be put on display at the Air Force Flight Test Museum.  Boeing had been in talks with military and commercial organizations in hopes of returning the aircraft to service after flight trials had concluded in September 2014 after conducting nine sorties, but did not have success.  The company had hoped to construct a 40% larger version that could stay airborne for 10 days with a 1,000 lb (450 kg) payload or 7 days with a 2,000 lb payload, but the retirement of the prototype leaves that prospect unclear.[19] The Phantom Eye demonstrator had a 150-foot (46 meter) wingspan. Boeing stated that it could fly for up to four days at a time at altitudes of up to 65,000 feet. Boeing also stated that the Phantom Eye demonstrator was able to carry a 450-pound payload and have a cruising speed of 150 knots.[5] The Phantom Eye carries no armament and is for "persistent intelligence and surveillance".[2] Each of the two propulsion systems consisted of modified Ford 2.3 liter engines, reduction gearbox, and 4-blade propeller. The engines were originally designed for use with some models of the petrol-burning Ford Fusion car. To be able to run in the oxygen starved atmosphere at 65,000 ft, the engines featured a multiple turbocharger system that compresses that available low density air and reduces the radiated infrared heat signature to increase its stealth properties. The engines, which provided 150 horsepower at sea level, were tuned so as to be able to run on hydrogen. Boeing's marketing department stated that this will make the aircraft economical and "green" to run, as the only by-product would be water.[20] Although the primary role of the Phantom Eye was airborne surveillance, Boeing pitched it as a communications relay for the U.S. Navy.  It would have a role in the Navy without taking up space on an aircraft carrier with long-range reconnaissance still provided by the MQ-4C Triton.  A pair of Phantom Eyes, one relieving the other after days of constant flight, could provide the Navy with continuous long range communications.[21]</t>
  </si>
  <si>
    <t>//upload.wikimedia.org/wikipedia/en/thumb/6/61/Searchtool.svg/16px-Searchtool.svg.png</t>
  </si>
  <si>
    <t>High Altitude, Long Endurance Unmanned aerial vehicle</t>
  </si>
  <si>
    <t>https://en.wikipedia.org/High Altitude, Long Endurance Unmanned aerial vehicle</t>
  </si>
  <si>
    <t>Boeing</t>
  </si>
  <si>
    <t>https://en.wikipedia.org/Boeing</t>
  </si>
  <si>
    <t>Museum piece</t>
  </si>
  <si>
    <t>Boeing X-40</t>
  </si>
  <si>
    <t>The Boeing X-40A Space Maneuver Vehicle was a test platform for the X-37 Future-X Reusable Launch Vehicle. The unpiloted X-40 was built to 85% scale to test aerodynamics and navigation of the X-37 Future-X Reusable Launch Vehicle project. After the first drop test in August 1998 the vehicle was transferred to NASA, which modified it. Between April 4 and May 19, 2001, the vehicle successfully conducted seven free flights.[3] In 2001 it successfully demonstrated the glide capabilities of the X-37's fat-bodied, short-winged design and validated the proposed guidance system. The first X-40 drop test occurred at Holloman AFB, New Mexico on August 11, 1998 at 06:59. This was a joint Air Force/Boeing project known as Space Maneuver Vehicle. It was released from an altitude of approximately 9,200 feet (2,800 m) and 2.5 miles (4.0 km) away from the end of Runway 04 by a UH-60 Black Hawk helicopter[1][2][3] (later tests used the CH-47 Chinook helicopter).[2][3] The vehicle dove to the runway in an approach similar to the space shuttle's, flared, and landed left of the runway centerline. Its drag chutes successfully deployed, and the vehicle tracked to within 7 feet (2.1 m) of the centerline and stopped at a distance of slightly more than 7,000 feet (2,100 m). General characteristics Performance Avionics Honeywell 12-channel Space Integrated GPS/INS (SIGI) system  Related development   Related lists</t>
  </si>
  <si>
    <t>//upload.wikimedia.org/wikipedia/commons/thumb/0/0b/Boeing_X-40A-NASA.jpg/300px-Boeing_X-40A-NASA.jpg</t>
  </si>
  <si>
    <t>Glide test vehicle</t>
  </si>
  <si>
    <t>Boeing Phantom Works</t>
  </si>
  <si>
    <t>https://en.wikipedia.org/Boeing Phantom Works</t>
  </si>
  <si>
    <t>August 11, 1998(dropped by UH-60 Black Hawk)[1][2][3]</t>
  </si>
  <si>
    <t>21 ft (6.4 m)</t>
  </si>
  <si>
    <t>11 ft (3.4 m)</t>
  </si>
  <si>
    <t>7 ft 6 in (2.29 m)</t>
  </si>
  <si>
    <t>2,500 lb (1,134 kg)</t>
  </si>
  <si>
    <t>https://en.wikipedia.org/August 11, 1998(dropped by UH-60 Black Hawk)[1][2][3]</t>
  </si>
  <si>
    <t>AFRLNASA</t>
  </si>
  <si>
    <t>https://en.wikipedia.org/AFRLNASA</t>
  </si>
  <si>
    <t>300 mph (480 km/h, 260 kn)</t>
  </si>
  <si>
    <t>Retired May 2001</t>
  </si>
  <si>
    <t>1,200 lb (540 kg)</t>
  </si>
  <si>
    <t>FFA AS 202 Bravo</t>
  </si>
  <si>
    <t>The AS/SA 202 Bravo is a two to three-seat civil light aircraft jointly designed and manufactured by the Swiss company Flug- und Fahrzeugwerke Altenrhein (FFA) and the Italian company Savoia-Marchetti. The aircraft was designated the AS 202 in Switzerland, and the SA 202 in Italy. Savoia-Marchetti manufactured the wings, undercarriage and engine installation, while FFA manufactured the fuselage, tail and controls, while  both companies had assembly plants manufacturing the complete aircraft. The first Swiss model flew on 9 March 1969, the first Italian aircraft following on 8 May. Bravo is a rugged all-metal low-wing monoplane with a full vision canopy.  Its tricycle landing gear is fixed. 34 15s and 180 18s were built, with most in service with military customers.  The biggest civil operator was Patria Pilot Training at Helsinki-Malmi Airport, Finland during 2000–2011. 7 aircraft out of original 10 remain in service. During merger with Patria, one aircraft was sold to private owner. Night-time accident at Helsinki-Malmi airport in 2002 claimed no lives but hull was damaged beyond repair. In August 2010 one aircraft veered off the runway at Helsinki-Malmi and was written off. Patria's Bravos were replaced with Tecnam P2002JF. Data from Jane's All the World's Aircraft 1976-77[1]General characteristics Performance    Related lists</t>
  </si>
  <si>
    <t>//upload.wikimedia.org/wikipedia/commons/thumb/c/cc/FFA_AS-202_Bravo_N7746B-090117-01-8.jpg/300px-FFA_AS-202_Bravo_N7746B-090117-01-8.jpg</t>
  </si>
  <si>
    <t>Civil light aircraft</t>
  </si>
  <si>
    <t>Switzerland/Italy</t>
  </si>
  <si>
    <t>https://en.wikipedia.org/Switzerland/Italy</t>
  </si>
  <si>
    <t>FFA/SIAI-Marchetti</t>
  </si>
  <si>
    <t>https://en.wikipedia.org/FFA/SIAI-Marchetti</t>
  </si>
  <si>
    <t>https://en.wikipedia.org/FFT Eurotrainer 2000</t>
  </si>
  <si>
    <t>1 or 2</t>
  </si>
  <si>
    <t>7.5 m (24 ft 7 in)</t>
  </si>
  <si>
    <t>9.75 m (32 ft 0 in)</t>
  </si>
  <si>
    <t>2.81 m (9 ft 3 in)</t>
  </si>
  <si>
    <t>13.86 m2 (149.2 sq ft)</t>
  </si>
  <si>
    <t>630 kg (1,389 lb)</t>
  </si>
  <si>
    <t>322 km/h (200 mph, 174 kn) (utility at MTOW)</t>
  </si>
  <si>
    <t>72.2 kg/m2 (14.8 lb/sq ft)</t>
  </si>
  <si>
    <t>Patria Pilot Training 2011</t>
  </si>
  <si>
    <t>https://en.wikipedia.org/Patria Pilot Training 2011</t>
  </si>
  <si>
    <t>Indonesian Air ForceUgandan Air Force</t>
  </si>
  <si>
    <t>https://en.wikipedia.org/Indonesian Air ForceUgandan Air Force</t>
  </si>
  <si>
    <t>140 l (37.0 US gal; 30.8 imp gal) in two wing leading-edge tanks</t>
  </si>
  <si>
    <t>1 × Lycoming O-320-E2A 4-cylinder air-cooled horizontally-opposed piston engine, 112 kW (150 hp)</t>
  </si>
  <si>
    <t>2-bladed McCauley  1C172 MGM, 1.88 m (6 ft 2 in) diameter fixed-pitch propeller</t>
  </si>
  <si>
    <t>211 km/h (131 mph, 114 kn) (utility at MTOW) at sea level</t>
  </si>
  <si>
    <t>211 km/h (131 mph, 114 kn) (utility at MTOW) maximum ; 75% power at 2,440 m (8,005 ft)</t>
  </si>
  <si>
    <t>4,265 m (13,993 ft)</t>
  </si>
  <si>
    <t>0.112 kW/kg (0.068 hp/lb)</t>
  </si>
  <si>
    <t>110 km/h (68 mph, 59 kn) flaps up</t>
  </si>
  <si>
    <t>3.22 m/s (633 ft/min)</t>
  </si>
  <si>
    <t>890 km (550 mi, 480 nmi) max fuel no reserve</t>
  </si>
  <si>
    <t>1969–1991</t>
  </si>
  <si>
    <t>885 kg (1,951 lb) (and MLW) aerobatic</t>
  </si>
  <si>
    <t>Mikoyan-Gurevich MiG-105</t>
  </si>
  <si>
    <t>The Mikoyan-Gurevich MiG-105, part of the Spiral program, was a crewed test vehicle to explore low-speed handling and landing. It was a visible result of a Soviet project to create an orbital spaceplane. The MiG 105 was nicknamed "Lapot" (Russian: лапоть, or bast shoe (the word is also used as a slang for "shoe")), for the shape of its nose. The program was also known as the Experimental Passenger Orbital Aircraft (EPOS). Work on this project began in 1965, with the project being halted in 1969, only to be restarted in 1974 in response to the U.S. Space Shuttle Program. The test vehicle made its first subsonic free-flight test in 1976, taking off under its own power from an old airstrip near Moscow. Flight tests, totaling eight in all, continued sporadically until 1978. The actual space plane project was cancelled when the decision was made to instead proceed with the Buran project. The MiG test vehicle itself still exists and is currently on display at the Monino Air Force Museum in Russia.[1] The БОР (Russian: Беспилотный Орбитальный Ракетоплан, Bespilotnyi Orbital'nyi Raketoplan, "Unpiloted Orbital Rocketplane"). Another spacecraft to use the Spiral design was the BOR series, uncrewed sub-scale reentry test vehicles. American analogs X-23 PRIME and ASSET. Several of these craft have been preserved in aerospace museums around the world. Data from Soviet X-planes[1]General characteristics Performance  Aircraft of comparable role, configuration, and era</t>
  </si>
  <si>
    <t>//upload.wikimedia.org/wikipedia/commons/thumb/2/22/MiG-105-11a.JPG/300px-MiG-105-11a.JPG</t>
  </si>
  <si>
    <t>Test vehicle</t>
  </si>
  <si>
    <t>Soviet Union</t>
  </si>
  <si>
    <t>Mikoyan</t>
  </si>
  <si>
    <t>https://en.wikipedia.org/Mikoyan</t>
  </si>
  <si>
    <t>10.6 m (34 ft 9 in) (including instrument boom)</t>
  </si>
  <si>
    <t>6.7 m (22 ft 0 in)</t>
  </si>
  <si>
    <t>24 m2 (260 sq ft)</t>
  </si>
  <si>
    <t>3,500 kg (7,716 lb)</t>
  </si>
  <si>
    <t>4,220 kg (9,304 lb)</t>
  </si>
  <si>
    <t>175 kg/m2 (36 lb/sq ft)</t>
  </si>
  <si>
    <t>500 kg (1,100 lb)</t>
  </si>
  <si>
    <t>1 × RD-36-35K turbojet, 19.61 kN (4,410 lbf) thrust</t>
  </si>
  <si>
    <t>Mach 0.65</t>
  </si>
  <si>
    <t>Soviet Air Forces</t>
  </si>
  <si>
    <t>https://en.wikipedia.org/Soviet Air Forces</t>
  </si>
  <si>
    <t>Cancelled</t>
  </si>
  <si>
    <t>250–270 km/h (160–170 mph; 130–150 kn)</t>
  </si>
  <si>
    <t>Fairey Delta 2</t>
  </si>
  <si>
    <t>The Fairey Delta 2 or FD2 (internal designation Type V within Fairey) was a British supersonic research aircraft produced by the Fairey Aviation Company in response to a specification from the Ministry of Supply for a specialised aircraft for conducting investigations into flight and control at transonic and supersonic speeds. Features included a delta wing and a drooped nose. On 6 October 1954, the Delta 2 made its maiden flight, flown by Fairey test pilot Peter Twiss; two aircraft would be produced. The Delta 2 was the final aircraft to be produced by Fairey as an independent manufacturer.[1] The Fairey Delta 2 was the first jet aircraft to exceed 1,000 miles per hour (1,600 km/h) in level flight.[2] On 10 March 1956, it set a new world speed record of 1,132 mph (1,822 km/h), exceeding the previous official record by 310 mph (500 km/h).[note 1] The Delta 2 held the absolute World Air Speed Record for over a year. It continued to be used for flight testing, and was allocated to the Royal Aircraft Establishment (RAE) in 1958. A testbed aircraft was required to verify design calculations and wind tunnel results for the Concorde "ogee delta" wing design so one of the aircraft was extensively rebuilt as the BAC 221. On 1 May 1964, the modified aircraft performed its first flight. The FD2 was also used as the basis for Fairey's submissions to the Ministry for advanced all-weather interceptor designs, culminating in the proposed Fairey Delta 3 to meet the F.155 specification; however, the FD3 never got past the drawing-board stage. During the late 1940s, Fairey Aviation, a British aircraft manufacturer, had become interested in delta wing technology and proceeded to submit multiple submissions based on the delta wing concept to the Ministry of Supply.[3] The Ministry, being interested in these proposals, issued orders for models to test the envisioned delta wing, the first of which being built in 1947; testing was performed by the Royal Aircraft Establishment (RAE). The program was succeeded multiple times, including an investigation into potential VTOL operations, leading to further flight tests of the delta wing models to be conducted in Cardigan Bay, Wales and Woomera, Australia.[4] In 1947, Air Ministry Specification E.10/47 was issued for a full-scale piloted delta wing aircraft, resulting in the Fairey Delta 1, which conducted its maiden flight at RAF Boscombe Down on 12 March 1951.[5] Meanwhile, throughout the early and mid 1950s, the Royal Air Force (RAF) had developed an intense desire to advance the performance of their aircraft; in particular, the service sought new fighter aircraft that would be capable of routinely flying at very high speeds and high altitudes as a long-term replacement for its existing inventory of roughly 700 first-generation jet fighters.[6] At the time, there was a perception that Britain was trailing behind in supersonic aircraft design, and there was pressure to correct this.[7][8] Events such as the Korean War and rapid advances in the fields of supersonic aerodynamics, structures and aero engines by the British aircraft industry had the effect of increasing demand and the potential capabilities of new fighters. In addition to developing improved versions of existing and emerging fighters such as the Hawker Hunter and Gloster Javelin, there was an appetite for even more promising entirely new aircraft.[9] Following on from the Delta 1, the Ministry of Supply requested that Fairey conduct a further model programme for the purpose of transonic investigations.[5] However, Fairey did not find this proposal attractive, believing that a piloted aircraft would be mandatory if the project was to produce any worthwhile data. Fairey commenced work on a highly swept twin-engine aircraft; however, the Ministry lacked enthusiasm for the twin-engine configuration, largely due to an existing rival project underway to produce a twin-engine supersonic aircraft – this would become the English Electric Lightning.[8] In February 1949, it was suggested that Fairey examine the prospects for a single-engine transonic aircraft as an alternative; by the end of the year, the company had produced their new project, out of which the Fairey Delta 2 (FD2) would directly originate. Accordingly, the Ministry issued Air Ministry Specification ER.103 for the project, ordering that a pair of prototype aircraft be produced.[8] At the time, Fairey was mostly known for producing naval aircraft, such as the Fairey Swordfish biplane and the Fairey Firefly monoplane; the design team lacked experience with high speed projects.[8] As a remedy to this, in October 1951, Sir Robert Lickley of Hawker Aircraft was promptly recruited as Fairey's new Chief Engineer and became a major force behind the programme. Data that had been obtained from the earlier model work also proved to have been highly valuable to the Fairy Delta 2 programme.[11] Early development work on the FD2 would be hindered by two major factors, a lack of available information on wing and intake design, and the declaring of Fairey Gannet as a 'super-priority' by the British government, which had necessitated delays.[8] In September 1952, technical drawings of the Fairey Delta 2 were issued and the development proper commenced.[8] From the project's beginning, Fairey designed the parameters of the FD2 to intentionally exceed that which was necessary only to achieving Mach 1. In addition to seeking very high performance, the design adopted a general configuration and structure that would be readily adapted to future military requirements, so that it could potentially become a fighter aircraft.[8] In total, a pair of flight-capable aircraft were produced: Serial numbers WG774 and WG777.[1] WG777, the second to be manufactured, was very similar to WG774 except the underwing flap system was not incorporated. There were also a few differences in terms of equipment and instrumentation. In addition to the two flying aircraft, a single static test airframe was also completed.[1] On 6 October 1954, WG774, the first FD2 to be completed, conducted its maiden flight, flown by Fairey test pilot Peter Twiss.[7] According to aviation author Derek Wood, the Delta 2 "proved to be an exceptional aeroplane from the outset".[12] On 17 November 1954, WG774 suffered an engine flameout on its 14th flight when internal pressure build-up collapsed the fuselage collector tank, closing off the fuel supply to the engine, while heading away from the airfield at 30,000 ft (9,100 m), 30 mi (50 km) after taking off from RAF Boscombe Down.[12] Twiss managed to glide to a dead-stick landing at high speed on the airfield. Only the nose gear had deployed, and the aircraft sustained damage that put it out of action for eight months.[13] Twiss, who was shaken up by the experience but otherwise uninjured, received the Queen's Commendation for Valuable Service in the Air.[14] One result of the crash was a temporary halt on the test programme, which did not resume until August 1955.[15] During early flight tests, repeated supersonic test runs over southern Britain were conducted; as a result of these flights, a number of claims for damages against the supersonic booms were received.[16] Tests of the Delta 2's low-level supersonic flight capability were disrupted due to the perceived heightened risk posed by supersonic booms being produced during lower altitude flight; as such, the Ministry of Supply refused to allow this testing to be performed over the UK.[17] Despite this refusal, Fairey was able to base the Delta 2 temporarily in France and later in Norway so that the tests could be performed. The French government required the tests to be insured against damage claims; this demand had proved unacceptable with two British insurance companies quoting a premium of about £1,000 per flight; however, a French company insured them for £40. No claims were ever received in either France or Norway.[16][18] On 15 February 1956, WG777, the second Delta 2, performed its maiden flight from RAF Boscombe Down; piloted by Twiss, the aircraft reached transonic speeds during this first flight.[1] Following the final contractor check flight on 14 April 1956, WG777 was formally accepted, upon which it was assigned to the RAE's high-speed research programme, conducting measurement, stability and handling research. In September 1956, both aircraft performed flight displays at the Farnborough Airshow in Hampshire.[1] The Delta 2 was typically used to conduct a multitude of tests including aerodynamics characteristics, handling, and stability performance.[1] Testing of the Delta 2 was carried out in France for some time, in part due to Fairey's good relations with Dassault Aviation of France and the French Air Force.[17] In October and November 1956, a total of 47 low-level supersonic test flights were conducted from Cazaux Air Base, Bordeaux, France; a detachment of Dassault engineers closely observed these trials, learning a great deal about delta wing aircraft from the FD2. Dassault went on to produce the MD.550 Mystère-Delta design, which Wood notes "bore a striking resemblance" to the FD2; the MD.550 design would proceed to be manufactured as the successful Dassault Mirage III fighter.[18] Wood credits the Delta 2 as having served to confirm Dassault's theories and supporting the designing and development of the Mirage III.[19] Once the manufacturer's testing was completed, both aircraft were formally handed over to the RAE. In addition to providing the institution with useful information on the characteristics of the 60°-swept delta wing, from 1958 onwards, the FD2 aircraft participated in various research projects and flying trials, including an investigation into the performance of ejector-type propulsive nozzles.[20] The substantial rebuilding of the aircraft to participate in further research was first mooted in that same year as well.[20] In its original configuration, the Delta 2 performed flight tests, interspersed with periods of storage, up until mid-1966.[1] During August 1955, the Delta 2 flew at supersonic speed without using its reheat since the testing schedule did not yet require its use at that time.[16] According to Wood, many members of the development team recognised that the FD2 possessed huge speed potential, beyond any other British-built aircraft in existence of that time.[21] During early flight testing, Twiss came to realise that the Delta 2 would be capable of speeds above 1,000 miles per hour (1,600 km/h) and proposed that it be flown on with the aim of breaking the current air speed record, which had then been held since 1955 by a North American F-100 Super Sabre.[22] However, Fairey found the Ministry of Supply unsupportive, having adopted the prevailing belief being that manned military aircraft would soon be replaced by guided missiles. Fairey had great difficulty in obtaining permission for the attempt. Twiss stated that the situation was "curiously inverted" from expectations, having expected that government agencies would have been enthusiastically pressing for a record-breaking flight as a means to bolster national prestige.[23] According to Wood, Fairey was confronted by a combination of scepticism and apathy from Her Majesty's Civil Service, to the extent that it appeared that the government were opposing the endeavor.[24] The Ministry of Supply sought to avoid any association with a speed record bid while Rolls-Royce, the FD2's engine manufacturer, also dismissed the attempt, claiming that the air intakes were unsuitable for speeds around Mach 1.5, and that the Avon engine would disintegrate at such speeds, despite an absence of any practical data to support this assertion. In spite of this opposition, Fairey sought to continue, and were given permission to proceed.[24] The Ministry provided no financial support, having opted instead to loan the aircraft itself to Fairey and to charge the firm for its use of RAE assets. Fairey also had to finance its own insurance.[25] Regardless, Fairey chose to continue with the record attempt.[26] In order to reduce the risk of another competitor beating them to it, preparations had to be carried out in a short space of time and in great secrecy.[26] The development and deployment of equipment suitable for the accurate measurement of flight at such speeds was a challenge in itself. For this purpose, a variety of ground measurement cameras were set up at Chichester and at RNAS Ford, various ground markers were installed at specified locations, and radar tracking from RNAS Ford and RAF Sopley; flights by Gloster Meteors and de Havilland Venoms for calibration purposes were also conducted by the RAF.[26] Operational demands on both the pilot and ground crews were severe and many runs were attempted but failed to qualify on one technicality or another. On the final day available, the first run also failed; the second and last run that day became the only chance left before the attempt would end. On 10 March 1956, the Fairey Delta 2 broke the World Air Speed Record, raising it to 1,132 mph (1,811 km/h) or Mach 1.73.[7] This achievement exceeded the prior recorded airspeed record by 310 mph, or 37 per cent; never before had the record ever been raised by such a vast margin.[22][26] The achievement had also made the Fairey Delta 2 the first jet aircraft to exceed 1,000 mph (1,600 km/h) in level flight. News of the new airspeed record quickly spread and made an equally prompt impact upon the international aeronautics industry, typical reactions being shock and near-disbelief.[26] According to Wood, consequences included in-depth studies of the FD2 airframe by the America and the major reshaping of military aircraft programs in France. Fairey itself was elated with the achievement, viewing it as a practical endorsement of their design, and fuelled the firm's ambitions to establish a family of supersonic fighters on its basis.[26] The record stood until 12 December 1957, when it was beaten by a McDonnell JF-101A Voodoo of the America Air Force.[16][27] Fairey produced a number of proposals which would have involved the further development of the Delta 2. The first of these was another experimental aircraft, designated as the ER.103/B, which would have paired the wings of the FD2 with a revised fuselage, which had a greater span and length.[26] The ER.103/B was to have been powered by either a de Havilland Gyron or Rolls-Royce RB.122 and would have accommodated underwing fuel tanks for extended endurance. A combat fighter model, the ER.103/C, was also proposed, upon which the wings would have been scaled up by 50 per cent, with no radical aerodynamic alterations made. Combat equipment would have been provisioned, including a Ferranti-built Airborne Interception Radar 1495 and de Havilland Firestreak air-to-air missiles.[28] Fairey claimed that the ER.103/C would be capable of attaining Mach 2.26 at an altitude of 55,000 feet (17,000 m).[29] "If it were not for the clumsy way in which you tackle things in Britain, you could have made the Mirage yourself." Marcel Dassault, founder of Dassault Aviation[30] According to Fairey's projections, the ER.103/B could have been ready to fly within eighteen months of having received an order, while the ER.103/C could reach the same readiness within 30 months.[29] In particular, Fairey pursued Operational Requirement F.155, which called for a two-seat fighter equipped with radar and missiles with suitable performance to achieve an altitude of 60,000 feet (18,000 m) and Mach 2 within six minutes of taking off; while the company thought the firm thought that their design would be able to fully capable of meeting the specified requirements, it was believed that the complete weapon system would not be fully developed until 1962. Thus, Fairey proposed that a simpler interim aircraft, if selected, could be available by 1960 or potentially earlier.[31] In addition to the Gyron engine of earlier proposals, the proposed fighter was to be equipped with a pair of de Havilland Spectre rocket engines that were mounted in fairings on the rear fuselage.[32] The high-test peroxide (HTP) fuel for the rocket engines was stored in tanks held in underwing fairings and within the wing's leading edge, separate from the turbojet engine's fuel storage. It featured a two-man crew, a pilot and radar operator/navigation, seated in a side-by-side configuration.[32] The fuselage was area ruled while large rectangular variable air intakes were adopted. As specified, the fighter was tentatively armed with wingtip-mounted de Havilland Red Top air-to-air missiles.[32] Further design revisions saw the single Gyron engine being replaced by a pair of RB.122 engines instead and the adoption of the Red Dean missile,  alongside refinements such as intake improvements and increased internal fuel capacity. Fairey stated that the aircraft was suited to interceptor duties at various altitudes, strike and aerial reconnaissance missions were also mooted.[32] On 1 April 1957, Fairey were informed by officials within the Ministry of Supply that their proposals were the favourite to meet Operational Requirement F.155.[17] However, on 4 April 1957, Duncan Sandys, the Minister of Defence, announced the effective termination of nearly all fighter aircraft development for the RAF, instantly removing the F.155 requirement.[17] A final attempt was made to progress a Delta 2 derivative into production came during the late 1950s for the new German Air Force of West Germany.[33] Running against a competing American bid with the Lockheed F-104G Starfighter, Fairey joined forces with Rolls-Royce and Dassault in a collaborative effort to produce a delta wing aircraft capable of reaching Mach 2 to meet the German demand for fighter aircraft. The proposal would have seen Dassault produce the wings, Fairey manufacture the fuselage, and Rolls-Royce provide the engine, which was intended to be a Rolls-Royce Spey engine with reheat; Belgium also played a role in the programme.[34] However, the American lobby proved to be too strong, in part due to the subsequently uncovered Lockheed bribery scandals that had influenced German decision makers, and the F-104G was selected instead. This was the end for the FD2 as a fighter concept; the concept never saw any use as a production aircraft; Wood summarised the state of affairs as "the harvest was left to France to gather".[35] The Concorde design used a then-new type of delta wing that was being developed at the RAE known as the ogee or ogival delta design. This design aimed to improve both supersonic wave drag with high leading-edge sweep and low thickness/chord ratio at the root,[36] and low-speed lift through flow separation at the leading edge which creates a rolled up vortex on top of the wing. The added suction under the vortex increases lift[37] by an amount known as vortex lift. The wing root chord should be as long as possible, and highly swept where it meets the forward fuselage. Continued studies of this basic concept led to the ogee layout and it eventually became apparent that a series of full-scale flight tests would be necessary for its validation.[20] Low-speed testing of the concept was already being provided by the Handley Page HP.115. Although high-speed performance appeared to be predictable, a dedicated testbed aircraft was desired, especially for drag measurements. As early as 1958, the RAE and Fairey began discussions about converting one of the Delta 2 prototypes to support the ogee wing.[20][38] Fairey proposed stretching the fuselage a further three feet to better match the long planform, with the wing extending out onto the drooping nose. However, calculations showed that this extension was not great enough to counter the forward moving centre of pressure (CoP) that resulted from the extended planform, and there were also concerns that the over-wing engine intakes would swallow the vortex above the wing.[20] During 1960, further development activity was disrupted by the purchase of Fairey by Westland Aircraft, who assigned further work on the conversion project to Hunting Aircraft.[20] Accordingly, in July 1960, the programme moved to Bristol and was now a part of the larger British Aircraft Corporation (BAC). Bristol suggested two ways forward, a minimal conversion with a sub-optimal wing but no other major changes, or a "maximal" conversion with a larger six foot extension to the fuselage and a much taller landing gear more typical of the type expected on the Concorde. Both would also be equipped with a new Elliott Brothers stabilization system, and have the engine intakes moved under the wing. The minimal conversion was considered to be more of a 'compromise', being less slender and lacking the additional fuel capacity that the maximal option provided for.[39] In early September 1960, it was agreed that the "maximal" conversion would proceed; on 5 September of that year,  WG774 was flown to Bristol's Filton facility.[40] Following a period of detailed design work, the re-manufacturing process commenced in April 1961. Considerable cost-cutting measures and management strategies, such as PERT, were adopted by BAC in order to not overrun on the fixed-price contract it had been issued for the work; some engineers were allegedly frustrated by this as apparent means of further improvement were dismissed.[40] On 7 July 1961, the newly christened BAC 221 was completed.[40] Various problems were encountered during the conversion. The newly lengthened landing gear required more hydraulic fluid, which required a larger reservoir to hold it, a higher capacity pump to move it quickly enough through the system, and so on through the hydraulic system.[40] Moving the intakes below the wing meant they were no longer in-line with the compressor face so the ducting to the engine was curved upwards giving a noticeable bulge on the wing upper surface. No attempt was made to fit variable intakes.[41] At high throttle settings, considerable suction into the inlets was generated; in the event of a sudden down-throttle motion by the pilot would result in air "spilling" out of the intakes, which was a concern because it could flow above the wing and disrupt the vortex. Small lips were added to the intakes to help prevent this, but this proved to cause intake buzzing. Changes to the ducts, assisted by Rolls-Royce, addressed this issue.[41] One major advantage of the new design was its larger fuel capacity, which has been a major problem for the original FD2.[42] The Delta 2 had often run low on fuel while still accelerating, thereby never reaching its full performance. The modifications for the 221 meant it was not capable of the same levels of performance; however, speeds of Mach 1.6 were attained during its test flights. In total, the BAC 221 featured a new wing, engine inlet configuration, a Rolls-Royce Avon RA.28, modified vertical stabilizer and a lengthened undercarriage to mimic Concorde's attitude on the ground. It first flew on 1 May 1964.[43][40] The sole 221 was used for varied flight testing from 1964 until 1973, after which it was placed on public display.[44] The Fairey Delta 2 was a mid-wing tailless delta monoplane. It was powered by a single Rolls-Royce Avon RA.14R turbojet engine with reheat.[7][45] The engine was fed by air intakes which were blended into the wing roots and featured an eyelid-type nozzle.[8] Located just forward of the nozzle were petal-type air brakes.[8] The Delta 2 had a cylindrical cross-section fuselage, which closely fitted the Avon engine, and smoothly flowed into a long tapered nose.[8] A long nose would normally have obscured the pilot's forward vision during landing, take-off and movement on the ground; so, to provide adequate visibility a drooped nose was fitted; the nose section, including the cockpit, could be drooped 10° using a hydraulically-actuated mechanism, in a similar manner to that which was used later on Concorde.[7][12] The Delta 2 had a relatively small cockpit for the pilot which left little room for the installation of additional equipment.[40] The Delta was the first British aircraft to fly using all-powered controls. These controls, designed and produced by Fairey, were fully duplicated.[3][11] The flight control system was hydraulically operated and possessed no mechanical backup. Fairey had recently developed a new high-pressure hydraulic system and this was used in the design. The hydraulics provided no feedback or "feel" to the pilot's controls, so another system providing artificial feel was necessary.[16] The wing featured a 60° sweep of the leading edge and was very thin, at only 4% thickness-chord ratio, making the Delta 2's wing one of the thinnest known at that time.[8] The internal space housed both the main undercarriage and a total of four fuel tanks without any bulges or fairings in the wing, while four spars provided for significant structural strength. The sizable horn-balanced ailerons and inboard elevators gave the Delta 2 a high level of manoeuvrability.[8] Data from The Illustrated Encyclopedia of Aircraft[46]General characteristics Performance  Related development Aircraft of comparable role, configuration, and era  Related lists</t>
  </si>
  <si>
    <t>//upload.wikimedia.org/wikipedia/commons/thumb/6/61/FD2.png/300px-FD2.png</t>
  </si>
  <si>
    <t>high-speed research aircraft</t>
  </si>
  <si>
    <t>United Kingdom</t>
  </si>
  <si>
    <t>Fairey Aviation Company</t>
  </si>
  <si>
    <t>https://en.wikipedia.org/Fairey Aviation Company</t>
  </si>
  <si>
    <t>51 ft 7.5 in (15.74 m)</t>
  </si>
  <si>
    <t>26 ft 10 in (8.18 m)</t>
  </si>
  <si>
    <t>11 ft 0 in (3.35 m)</t>
  </si>
  <si>
    <t>360 sq ft (33.44 m2)</t>
  </si>
  <si>
    <t>11,000 lb (4,990 kg)</t>
  </si>
  <si>
    <t>13,884 lb (6,298 kg)</t>
  </si>
  <si>
    <t>1966 (WG777), 1973 (WG774)</t>
  </si>
  <si>
    <t>1 × Rolls-Royce Avon RA.14R with only one reheat setting, later replaced with an RA.28 as used for speed record[47] , 10,000 lbf (44 kN) thrust</t>
  </si>
  <si>
    <t>1,300 mph (2,092 km/h, 1,100 kn)</t>
  </si>
  <si>
    <t>Royal Aircraft Establishment</t>
  </si>
  <si>
    <t>https://en.wikipedia.org/Royal Aircraft Establishment</t>
  </si>
  <si>
    <t>830 mi (1,336 km, 720 nmi)</t>
  </si>
  <si>
    <t>On public display</t>
  </si>
  <si>
    <t>Extra EA-400</t>
  </si>
  <si>
    <t>The Extra EA-400 is a six-seat, single-engined, high-wing monoplane produced by Extra Flugzeugbau GmbH. The EA-400 is powered by a liquid-cooled Continental Voyager turbocharged piston engine. Started by Walter Extra, the company manufactures aerobatic airplanes almost exclusively, with their latest products being the Extra EA-300 series.  This changed with the introduction of the EA-400, a cross-country pressurized airplane with many exclusive features including carbon fiber construction, cantilevered high wing, and a water-cooled Teledyne Continental TSIOL 550C engine. This exotic engine is simultaneously a great asset and a challenge for the Extra 400: it is immune to shock cooling during descents, but troublesome and costly to operate, especially in hot climates.[citation needed] The airframe was designed with engineering help from the Technical University of Delft in Holland under leadership from Prof. Egbert Torenbeek and with contributions of Mr Loek Boermans for airfoil design. The aircraft's Fowler flaps feature a completely recessed mechanism and achieve a remarkable reduction of stall speed from 76 to 58 knots in landing configuration at maximum takeoff weight. The landing gear was designed and manufactured by Gomolzig in Germany. It is unusual in its geometry, very strongly built, and completely sealed behind large carbon fiber doors once retracted. Its complexity requires knowledgeable maintenance personnel and also contributes to the aircraft's high operating costs. The optional weather radar pod is smoothly blended into the left wing tip. All Extra 400 aircraft have been retrofitted with the Flight Into Known Icing  modification. Deicing equipment consists of Teflon boots, a heated prop, a heated pilot side windscreen, dual heated pitot tubes and static ports, and a heated stall sensor connected to the autopilot. The deicing equipment is powered by a pair of large alternators (100 and 85 amps) that also feed the AC compressor located in the tail. The cockpit is unusually wide and comfortable with good forward and lateral visibility. Avionics are conventional with a full set of instruments for each of the two crew and a central stack. STCs for upgrades to modern GPS navigators and "glass cockpit" displays are available, but the only autopilot certified is the STEC 55X. An improved propeller with the "b" type blades is available from MT-Propeller under FAA Form 337 Major Modification. It increases climb performance and cruise speed. Time to climb to FL200 is 20 minutes and cruise speed at 75% power ranges from 200 knots at 16'000 ft to a maximum of 220 knots at FL 250 (at MTOW and under ISA conditions). The passenger cabin is air-conditioned and offers four seats in a club arrangement with a folding table. It is much roomier than one would expect in this aircraft category and similar in size to that of the smaller jets such as the Eclipse 550. The single-skin pressurized vessel is very rigid, resulting in a relatively low level of noise and vibration in the cabin. The Extra 400 was very costly to manufacture, requiring 16'000 hours of labor, and carried a price tag of $1 million. Despite the aircraft's qualities, only 27 were built before the company ran into financial trouble. Data from Extra EA-400 Standard Specification, Pilots Information Manual[6][7]General characteristics Performance  Related development</t>
  </si>
  <si>
    <t>//upload.wikimedia.org/wikipedia/commons/thumb/b/bf/Extra_400_D-EXKG_on_runway_vl.jpg/300px-Extra_400_D-EXKG_on_runway_vl.jpg</t>
  </si>
  <si>
    <t>Six-seat utility aircraft</t>
  </si>
  <si>
    <t>Extra Flugzeugbau GmbH</t>
  </si>
  <si>
    <t>https://en.wikipedia.org/Extra Flugzeugbau GmbH</t>
  </si>
  <si>
    <t>9.57 m (31 ft 5 in)</t>
  </si>
  <si>
    <t>11.5 m (37 ft 9 in)</t>
  </si>
  <si>
    <t>3.09 m (10 ft 2 in)</t>
  </si>
  <si>
    <t>1,500 kg (3,307 lb)</t>
  </si>
  <si>
    <t>406 km/h (252 mph, 219 kn)</t>
  </si>
  <si>
    <t>5 passengers</t>
  </si>
  <si>
    <t>1 × Continental TSIOL-550-C Voyager</t>
  </si>
  <si>
    <t>376 km/h (234 mph, 203 kn) KTAS at MTOW, 75% power, FL180 5,500 m (18,045 ft)</t>
  </si>
  <si>
    <t>7,600 m (25,000 ft)</t>
  </si>
  <si>
    <t>7.1 m/s (1,400 ft/min) at MTOW - ISA</t>
  </si>
  <si>
    <t>2,000 km (1,300 mi, 1,100 nmi)</t>
  </si>
  <si>
    <t>In private service</t>
  </si>
  <si>
    <t>1,999 kg (4,407 lb)</t>
  </si>
  <si>
    <t>Fairey P.4/34</t>
  </si>
  <si>
    <t>The Fairey P.4/34 was a competitor for an order for a light bomber to serve with the Royal Air Force. Although not produced in that form, it formed the basis for the Fulmar long-range carrier-based fighter for the Fleet Air Arm. In 1934 the Air Ministry issued Specification P.4/34 which called for a light bomber that could also be used in a close-support role. Fairey, Gloster and Hawker tendered proposals; contracts were issued for the construction of examples of the Hawker and Fairey designs. The P.4/34 was a low-wing all-metal monoplane, powered by a Rolls-Royce Merlin engine, with a crew of two accommodated in tandem under a long-glazed canopy. Its layout was similar to the earlier Fairey Battle bomber but the P.4/34 was smaller and had a wide track, inwards-retracting undercarriage. The aircraft was stressed for dive bombing, as required by the specification and carried its load of two 250 lb (110 kg) bombs underwing (the competing Hawker aircraft had an internal bomb bay). Two Fairey P.4/34s were ordered, with the first (serial K5099) flying on 13 January 1937.[1] The prototype Hawker Henley followed on 10 March 1937. The Hawker was deemed superior but the demand for a light bomber had changed and it entered service as a target tug. The Royal Danish Navy purchased a licence to build the P.4/34 and a production line set up at the Danish Naval Shipyard (Orlogsværftet) in Copenhagen. None of the twelve aircraft ordered was completed by the time of the Operation Weserübung the German Invasion of Denmark in 1940.[2] The P.4/34 would serve as the basis for a two-seat, long-range, carrier-based fighter for the Fleet Air Arm to meet the requirements of Specification O.8/38. The second prototype P.4/34 (serial K7555) was modified with, among other things, a reduced-span wing and lowered tailplane as an aerodynamic prototype for the Fulmar. It was later used to test retractable Fairey-Youngman flaps to be used on the Fairey Firefly fighter.[3] Meanwhile, by 1938, the first prototype P4 had transferred to RAE Farnborough, where it was used for testing the effects of barrage balloons – by deliberately flying into a weighted cable hung beneath (not the actual tether cable). Initially the tests were carried out over RAF Lakenheath, transferring in September 1939 to RAF Pawlett Hams. A Battle ‘chase plane’ from RAF Mildenhall was provided to film the results. Later the P4 was joined by another Battle: although both were reinforced to withstand the impacts severe damage to the airframe was usual. Most of the flights were made by Johnny Kent (the original pilot chosen, A. E. Clouston, had taken leave to pursue the London – New Zealand speed record) – who accumulated more than 300 collisions and was awarded The Air Force Cross for his efforts. Of the P4 Kent said "a delightful aeroplane through all manoeuvres except for the spin which was really vicious..."[4][5] Data from The British Bomber since 1914,[1] Fairey Aircraft since 1915[6]General characteristics Performance Armament  Related development Aircraft of comparable role, configuration, and era</t>
  </si>
  <si>
    <t>Light Bomber</t>
  </si>
  <si>
    <t>Fairey Aviation</t>
  </si>
  <si>
    <t>https://en.wikipedia.org/Fairey Aviation</t>
  </si>
  <si>
    <t>Marcel Lobelle</t>
  </si>
  <si>
    <t>https://en.wikipedia.org/Marcel Lobelle</t>
  </si>
  <si>
    <t>Fairey Fulmar</t>
  </si>
  <si>
    <t>https://en.wikipedia.org/Fairey Fulmar</t>
  </si>
  <si>
    <t>Fairey Spearfish</t>
  </si>
  <si>
    <t>The Fairey Spearfish was a British carrier-based, single-engined, torpedo bomber/dive bomber that was ordered from Fairey Aviation for the Fleet Air Arm during World War II. Designed during the war, the prototype did not fly until July 1945. Much larger than earlier naval bombers, it was designed for use aboard the large  Malta-class aircraft carriers that were cancelled after the war and was itself cancelled thereafter. Seven prototypes were ordered, but only five were built, of which four actually flew. They were mostly used for experimental work until the last aircraft was scrapped in 1952. The Spearfish was designed by Fairey Aviation to Admiralty Specification O.5/43 as a replacement for the Fairey Barracuda in the torpedo/dive bomber role.[1] In comparison to the Barracuda, the Spearfish had a much more powerful engine, an internal weapons bay and a retractable ASV Mk.XV surface-search radar mounted behind the bomb bay.[2] The Spearfish was half as large again as the Barracuda, as it was designed to be operated from the 45,000-long-ton (46,000 t) Malta-class aircraft carriers then under development.[3] In August 1943, the company received an order for three prototypes to be built against Specification O.5/43 and the first prototype, serial number RA356, was constructed at Fairey's Hayes factory and first flew on 5 July 1945 from Heston Aerodrome; the other two did not fly until 1947. In November 1943 the company was ordered to build a dual-control dive-bombing trainer variant against Specification T.21/43 and this was built at the Heaton Chapel factory and assembled and flown at Ringway on 20 June 1946. Three further development aircraft were ordered in May 1944 to be built at Heaton Chapel, with the last two to be fitted with a Rolls-Royce Pennine engine; only the first Centarus-engined aircraft was built but never flew.[4] Production orders for 150 aircraft were placed to be built at Heaton Chapel; the first ten aircraft were intended to use 2,600-horsepower (1,900 kW) Bristol Centaurus radial engine, Centaurus 59 engines on the next 22, and Centaurus 60s of the remainder.[5] In addition, the flaps were to be enlarged and lateral control was to be provided by spoilers with small "feeler" ailerons.[6] With the cancellation of the Malta-class carriers, the Fleet Air Arm no longer had a requirement for new torpedo bombers and the programme was cancelled.[3] Work continued on the two other prototypes built at Hayes after the cancellation of the contract, albeit very slowly.[7] Test pilot and naval aviator Captain Eric Brown evaluated the first prototype and found "the controls in cruising flight were very heavy and, in fact, lateral control was so solid that I could barely move the ailerons with one hand at 130 knots (240 km/h; 150 mph)."[7] In bad weather a pilot circling a carrier while waiting to land would have been forced to fly such a wide circuit that he could not always keep the carrier in sight.[8] The later prototypes had ailerons boosted by hydraulic power and artificial feel to the stick from a spring, as an interim measure but Brown found "the second prototype was much less the pleasant aircraft to fly as the stick continually hunted either side of neutral and there was no build up of stick force with increase in speed."[7] The Spearfish lacked any sort of stall warning, which would have been a problem in operational use as the stall and approach speeds were fairly close. For the landing, the aircraft proved quite docile.[9] The first prototype was later used by Napier &amp; Son at Luton for trials of the firm's inflight de-icing systems. It was then briefly used for ground-training purposes beginning on 30 April 1952, until it was scrapped shortly afterwards. The second prototype was used by the Royal Navy Carrier Trials Unit at RNAS Ford, Sussex, until it was sold for scrap on 15 September. The third prototype conducted ASV Mk.XV radar trials, but was damaged in a heavy landing on 1 September 1949 and sold for scrap on 22 August 1950 as uneconomical to repair. The fourth prototype never flew and was used as a source of spares. The sole Heaton Chapel-built aircraft was the closest to the planned production configuration and it was used for engine-cooling and power-assisted flying-control trials, until it was struck off charge on 24 July 1951.[10] In a follow-up, to meet Specification O.21/44 for a two-seat strike fighter, the Spearfish was redesigned to accommodate a twin-coupled Rolls-Royce Merlin engine and contra-rotating propellers. A variety of other engines were considered and although a production order was placed for three examples in 1944, the programme was eventually shelved, remaining as an unfulfilled paper project.[11] The Spearfish was a cantilever, mid-wing monoplane, with an all-metal, monocoque fuselage. The centre wing section was built integral with the fuselage and the outer wing panels could be hydraulically folded for carrier operations. A distinguishing feature of the wing was the large Fairey-Youngman flaps that spanned 73.5% of the wing's trailing edge. The Spearfish had an outward-retracting conventional landing gear with a tailwheel. The wings housed a pair of 183-imperial-gallon (830 l; 220 US gal) fuel tanks, plus a 43-imperial-gallon (200 l; 52 US gal) tank in the leading edge of the starboard wing for a total of 409 imperial gallons (1,860 l; 491 US gal) of fuel. The two-man tandem cockpit had a hydraulically operated canopy.[12] The large internal weapons bay could alternatively carry up to four 500-pound (230 kg) bombs, four depth charges, a torpedo, or a 180-imperial-gallon (820 l; 220 US gal) auxiliary fuel tank. The Spearfish was intended to carry four 0.5-inch (12.7 mm) M2 Browning machine guns, two in a remote-controlled Fraser-Nash FN 95 barbette behind the cockpit and two in the wings. The only external offensive armament was 16 RP-3 rockets that could be carried underneath the outer wing panels.[2] Data from Fairey Aircraft Since 1915[13] &amp; The Spearfish ... A Misconceived Welterweight[14]General characteristics Performance Armament   Aircraft of comparable role, configuration, and era  Related lists</t>
  </si>
  <si>
    <t>//upload.wikimedia.org/wikipedia/commons/thumb/4/40/Fairey_Spearfish.jpg/300px-Fairey_Spearfish.jpg</t>
  </si>
  <si>
    <t>Torpedo bomber/dive bomber</t>
  </si>
  <si>
    <t>https://en.wikipedia.org/Torpedo bomber/dive bomber</t>
  </si>
  <si>
    <t>44 ft 7 in (13.59 m)</t>
  </si>
  <si>
    <t>60 ft 3 in (18.36 m)</t>
  </si>
  <si>
    <t>13 ft 6 in (4.11 m)</t>
  </si>
  <si>
    <t>15,200 lb (6,895 kg)</t>
  </si>
  <si>
    <t>21,642 lb (9,817 kg)</t>
  </si>
  <si>
    <t>409 imperial gallons (1,860 l; 491 US gal)</t>
  </si>
  <si>
    <t>1 × Bristol Centaurus 57 18-cylinder radial engine, 2,825 hp (2,107 kW)</t>
  </si>
  <si>
    <t>5-bladed Rotol VH 65, 14 ft (4.3 m) diameter</t>
  </si>
  <si>
    <t>292 mph (470 km/h, 254 kn)</t>
  </si>
  <si>
    <t>196 mph (315 km/h, 170 kn)</t>
  </si>
  <si>
    <t>25,000 ft (7,600 m)</t>
  </si>
  <si>
    <t>Fleet Air Arm</t>
  </si>
  <si>
    <t>https://en.wikipedia.org/Fleet Air Arm</t>
  </si>
  <si>
    <t>1,036 mi (1,667 km, 900 nmi)</t>
  </si>
  <si>
    <t>22,083 lb (10,017 kg)</t>
  </si>
  <si>
    <t>7.75 minutes to 10,000 feet (3,048 m)</t>
  </si>
  <si>
    <t>4 × .50 in (12.7 mm) M2 Browning machine guns, two in the wings and two in a Frazer-Nash FN95 remote-controlled dorsal barbette</t>
  </si>
  <si>
    <t>carried in an internal weapons bay; either</t>
  </si>
  <si>
    <t>349 mi (562 km, 303 nmi)</t>
  </si>
  <si>
    <t>16 × RP-3 rocket projectiles on underwing rails</t>
  </si>
  <si>
    <t>Fairey Fawn</t>
  </si>
  <si>
    <t>The Fairey Fawn was a British single-engine light bomber of the 1920s. It was designed as a replacement for the Airco DH.9A and served with the Royal Air Force between 1924 and 1929. The Fairey Fawn was designed by F Duncanson of Fairey Aviation as a replacement for the Airco DH.9A in the light day-bomber role, to meet the requirements of Specification 5/21 for an aircraft for reconnaissance and army cooperation duties. It was a development of the Fairey Pintail floatplane, powered by a Napier Lion engine. The first of three prototypes flew on 8 March 1923.[1] The second and third prototypes were fitted with lengthened fuselages to improve stability, and this was adapted for the production version.[2] The Fawn was fitted with fuel tanks above the top wing in order to meet Air Ministry safety requirements. These tanks posed a hazard to the pilots if the aircraft overturned on landing. A revised specification 20/23 was issued which added the bomber role. Two prototypes and 48 production Fawn Mk II aircraft were ordered against the new specification in August 1923 to re-equip the home based DH.9A squadrons of the RAF, although the first two production aircraft were completed as short fuselage Fawn Mk Is. The remainder of this order were full production long fuselage Fawn Mk IIs.[2] The Fawn Mk III was fitted with a more powerful 468 hp (350 kW) Lion V engine, while the Fawn Mk IV was fitted with a supercharged Lion VI engine. The Fawn entered service with 12 Squadron in March 1924, equipping two further regular squadrons, 11 Squadron and 100 Squadron.[3] Despite the fact that the Fawn was originally intended to replace all the home-based DH.9A squadrons, four more squadrons continued to be equipped with the DH.9A for several more years before being replaced by other types. The Fawn was not a popular aircraft in RAF service, having little better performance than the aircraft it replaced, and having a poor view for the pilot owing to the bulky Lion engine.[4] In 1926 the Fawn was replaced in the three regular squadrons by the Hawker Horsley and the Fairey Fox. The aircraft freed up were used to equip two Special Reserve and Auxiliary Air Force squadrons, these remaining in service until 1929.[5] Data from The British Bomber since 1914 [7]General characteristics Performance Armament  Related development Aircraft of comparable role, configuration, and era  Related lists</t>
  </si>
  <si>
    <t>//upload.wikimedia.org/wikipedia/commons/thumb/1/1d/Fairey_fawn.jpg/300px-Fairey_fawn.jpg</t>
  </si>
  <si>
    <t>Two-seat day light bomber</t>
  </si>
  <si>
    <t>https://en.wikipedia.org/Two-seat day light bomber</t>
  </si>
  <si>
    <t>F Duncanson</t>
  </si>
  <si>
    <t>Two</t>
  </si>
  <si>
    <t>32 ft 1 in (9.78 m)</t>
  </si>
  <si>
    <t>49 ft 11 in (15.21 m)</t>
  </si>
  <si>
    <t>11 ft 11 in (3.63 m)</t>
  </si>
  <si>
    <t>550 sq ft (51 m2)</t>
  </si>
  <si>
    <t>3,481 lb (1,579 kg)</t>
  </si>
  <si>
    <t>5,834 lb (2,646 kg)</t>
  </si>
  <si>
    <t>1 × Napier Lion 12-cylinder, water-cooled broad arrow engine, 468 hp (349 kW)</t>
  </si>
  <si>
    <t>114 mph (183 km/h, 99 kn) at sea level</t>
  </si>
  <si>
    <t>13,850 ft (4,220 m)</t>
  </si>
  <si>
    <t>650 mi (1,050 km, 560 nmi)</t>
  </si>
  <si>
    <t>6 min 30 sec to 5,000 ft (1,500 m)</t>
  </si>
  <si>
    <t>1 × fixed, forward-firing .303 in (7.7 mm) Vickers machine gun1 or 2 × .303 in (7.7 mm) Lewis Gun on Scarff ring in rear cockpit</t>
  </si>
  <si>
    <t>Up to 460 lb (210 kg) bombs underwing.</t>
  </si>
  <si>
    <t>Fairey Rotodyne</t>
  </si>
  <si>
    <t>The Fairey Rotodyne was a 1950s British compound gyroplane designed and built by Fairey Aviation and intended for commercial and military uses.[2] A development of the earlier Gyrodyne, which had established a world helicopter speed record, the Rotodyne featured a tip-jet-powered rotor that burned a mixture of fuel and compressed air bled from two wing-mounted Napier Eland turboprops. The rotor was driven for vertical takeoffs, landings and hovering, as well as low-speed translational flight, but autorotated during cruise flight with all engine power applied to two propellers. One prototype was built. Although the Rotodyne was promising in concept and successful in trials, the programme was eventually cancelled. The termination has been attributed to the type failing to attract any commercial orders; this was in part due to concerns over the high levels of rotor tip jet noise generated in flight. Politics had also played a role in the lack of orders (the project was government funded) which ultimately doomed the project. From the late 1930s onwards, considerable progress was made on an entirely new field of aeronautics in the form of rotary-wing aircraft.[3] While some progress in Britain had been made prior to the outbreak of the Second World War, wartime priorities placed upon the aviation industry meant that British programmes to develop rotorcraft and helicopters were marginalised at best. In the immediate post-war climate, the Royal Air Force (RAF) and Royal Navy elected to procure American-developed helicopters in the form of the Sikorsky R-4 and Sikorsky R-6, known locally as the Hoverfly I and Hoverfly II respectively.[3] Experience from the operation of these rotorcraft, along with the extensive examination that was conducted upon captured German helicopter prototypes, stimulated considerable interest within the armed services and industry alike in developing Britain's own advanced rotorcraft.[3] Fairey Aviation was one such company that was intrigued by the potential of rotary-wing aircraft, and proceeded to develop the Fairey FB-1 Gyrodyne in accordance with Specification E.16/47.[4] The Gyrodyne was a unique aircraft in its own right that defined a third type of rotorcraft, including autogyro and helicopter. Having little in common with the later Rotodyne, it was characterised by its inventor, Dr JAJ Bennett, formerly chief technical officer of the pre-Second World War Cierva Autogiro Company as an intermediate aircraft designed to combine the safety and simplicity of the autogyro with hovering performance. Its rotor was driven in all phases of flight with collective pitch being an automatic function of shaft torque, with a side-mounted propeller providing both thrust for forward flight and rotor torque correction. On 28 June 1948, the FB-1 proved its potential during test flights when it achieved a world airspeed record, having attaining a recorded speed of 124.3 mph (200.0 km/h).[5] The programme was not trouble-free however, a fatal accident involving one of the prototypes occurring in April 1949 due to poor machining of a rotor blade flapping link retaining nut.[5] The second FB-1 was modified to investigate a tip-jet driven rotor with propulsion provided by propellers mounted at the tip of each stub wing, being renamed the Jet Gyrodyne.[6] During 1951 and 1952, British European Airways (BEA) internally formulated its own requirement for a passenger-carrying rotorcraft, commonly referred to the Bealine-Bus or BEA Bus.[7] This was to be a multi-engined rotorcraft capable of serving as a short-haul airliner, BEA envisioned the type as being typically flown between major cities and carrying a minimum of 30 passengers in order to be economical; keen to support the initiative, the Ministry of Supply proceeded to sponsor a series of design studies to be conducted in support of the BEA requirement. Both civil and government bodies had predicted the requirement for such rotorcraft, and viewed it as being only a matter of time before they would become commonplace in Britain's transport network.[7] The BEA Bus requirement was met with a variety of futuristic proposals; both practical and seemingly impractical submissions were made by a number of manufacturers.[7] Amongst these, Fairey had also chosen to submit its designs and to participate to meet the requirement; according to aviation author Derek Wood: "one design, particularly, seemed to show promise and this was the Fairey Rotordyne".[7] Fairey had produced multiple arrangements and configurations for the aircraft, typically varying in the powerplants used and the internal capacity; the firm made its first submission to the Ministry on 26 January 1949. Within two months, Fairey had produced a further three alternative submissions, centring on the use of engines such as the Rolls-Royce Dart and Armstrong Siddeley Mamba.[7] In October 1950, an initial contract for the development of a 16,000 lb, four-bladed rotorcraft was awarded.[8] The Fairey design, which was considerably revised over the years, received government funding to support its development.[9] Early on in development, Fairey found that securing access to engines to power its design proved to be difficult.[8] In November 1950, Rolls-Royce chairman Lord Hives protested that the design resources of his company were being stretched too thinly across multiple projects; accordingly, the initially-selected Dart engine was switched to the Mamba engine of rival firm Armstrong Siddeley. By July 1951, Fairey had re-submitted proposals using the Mamba engine in two and three-engine layouts, supporting all-up weights of 20,000 lb (9.1 t) and 30,000 lb (14 t) respectively; the adopted configuration of pairing the Mamba engine to auxiliary compressors was known as the Cobra.[8] Due to complaints by Armstrong Siddeley that it too was lacking resources, Fairey also proposed the alternative use of engines such as the de Havilland Goblin and the Rolls-Royce Derwent turbojet to drive the forward propellers.[8] Fairey did not enjoy a positive relationship with de Havilland however, and thus chose to turn to D. Napier &amp; Son and its Eland turboshaft engine in April 1953.[8] Following the selection of the Eland, the basic design of the rotorcraft, known as the Rotodyne Y, soon emerged; it was powered by a pair of Eland N.El.3 engines furnished with auxiliary compressors and a large-section four-blade main rotor, with a projected all-up weight of 33,000 lb.[8] At the same time, a projected enlarged version, designated as the Rotodyne Z, outfitted with more powerful Eland N.El.7 engines and an all-up weight of 39,000 lb, was proposed as well.[10] In April 1953, the Ministry of Supply contracted for the building of a single prototype of the Rotodyne Y, powered by the Eland engine, later designated with the serial number XE521, for research purposes.[6] As contracted, the Rotodyne would have been the largest transport helicopter of its day, seating a maximum of 40 to 50 passengers, while possessing a cruise speed of 150 mph and a range of 250 nautical miles. At the time of the award, Fairey had estimated that £710,000 would cover the costs of producing the airframe.[6] With a view to an aircraft that would meet regulatory approval in the shortest time, Fairey's designers worked to meet the Civil Airworthiness Requirements for both helicopters and similar-sized twin-engined aircraft. A one-sixth scale rotorless model was extensively wind tunnel tested for fixed-wing performance. A smaller (1/15th-scale) model with a powered rotor was used for downwash investigations.[11] While the prototype was being built, funding for the programme reached a crisis. Cuts in defence spending led the Ministry of Defence to withdraw its support, pushing the burden of the costs onto any possible civilian customer. The government agreed to maintain funding for the project only if, among other qualifications, Fairey and Napier (through their parent English Electric) contributed to development costs of the Rotodyne and the Eland engine respectively. As a result of disagreements with Fairey on matters of policy, Dr Bennett left the firm to join Hiller Helicopters in California; responsibility for the Rotodyne's development was assumed by Dr George S Hislop, who became the firm's chief engineer.[6] The manufacturing of the prototype's fuselage, wings, and rotor assembly was conducted at Fairey's facility in Hayes, Hillingdon, West London, while construction of the tail assembly was performed at the firm's factory in Stockport, Greater Manchester and final assembly was performed at White Waltham Airfield, Maidenhead.[6] In addition, a full-scale static test rig was produced at RAF Boscombe Down to support the programme; the static rig featured a fully operational rotor and powerplant arrangement which was demonstrated on multiple occasions, including a 25-hour approval testing for the Ministry.[12] While construction of the first prototype was underway, prospects for the Rotodyne appeared positive; according to Wood, there was interest in the type from both civil and military quarters.[13] BEA was monitoring the progress of the programme with interest; it was outwardly expected that the airline would place an order shortly after the issuing of an order for a militarised version of the rotorcraft. The American company Kaman Helicopters also showed strong interest in the project, and was known to have studied it closely as the firm considered the potential for licensed production of the Rotodyne for both civil and military customers.[13] Due to army and RAF interest, development of the Rotodyne had been funded out of the defence budget for a time.[14] During 1956, the Defence Research Policy Committee had declared that there was no military interest in the type, which quickly led to the Rotodyne becoming solely reliant upon civil budgets as a research/civil prototype aircraft instead.[14] After a series of political arguments, proposals, and bargaining; in December 1956, HM Treasury authorised work on both the Rotodyne and Eland engine to be continued until the end of September 1957. Amongst the demands exerted by the Treasury were that the aircraft had to be both a technical success and would need to acquire a firm order from BEA; both Fairey and English Electric (Napier's parent company) also had to take on a portion of the costs for its development as well.[15] On 6 November 1957, the prototype performed its maiden flight, piloted by chief helicopter test pilot Squadron Leader W. Ron Gellatly and assistant chief helicopter test pilot Lieutenant Commander John G.P. Morton as second pilot.[16] The first flight had originally been projected to take place in 1956; however, delay was viewed as inevitable with an entirely new concept such as used by the Rotodyne.[15] On 10 April 1958, the Rotodyne achieved its first successful transition from vertical to horizontal and then back into vertical flight.[15][17] On 5 January 1959, the Rotodyne set a world speed record in the convertiplane category, at 190.9 mph (307.2 km/h), over a 60-mile (100 km) closed circuit.[18][19] As well as being fast, the rotorcraft had a safety feature: it could hover with one engine shut down with its propeller feathered, and the prototype demonstrated several landings as an autogyro. The prototype was demonstrated several times at the Farnborough and Paris air shows, regularly amazing onlookers. In one instance, it even lifted a 100 ft girder bridge.[20]  The Rotodyne's tip drive and unloaded rotor made its performance far better when compared to pure helicopters and other forms of "convertiplanes." The aircraft could be flown at 175 kn (324 km/h) and pulled into a steep climbing turn without demonstrating any adverse handling characteristics. Throughout the world, interest was growing in the prospect of direct city-to-city transport. The market for the Rotodyne was that of a medium-haul "flying bus": It would take off vertically from an inner-city heliport, with all lift coming from the tip-jet driven rotor, and then would increase airspeed, eventually with all power from the engines being transferred to the propellers with the rotor autorotating. In this mode, the collective pitch, and hence drag, of the rotor could be reduced, as the wings would be taking as much as half of the craft's weight. The Rotodyne would then cruise at speeds of about 150 kn (280 km/h) to another city, e.g., London to Paris, where the rotor tip-jet system would be restarted for landing vertically in the city centre. When the Rotodyne landed and the rotor stopped moving, its blades drooped downward from the hub. To avoid striking the vertical stabilisers on startup, the tips of these fins were angled down to the horizontal. They were raised once the rotor had spun up. By January 1959, British European Airways (BEA) announced that it was interested in the purchase of six aircraft, with a possibility of up to 20, and had issued a letter of intent stating such, on the condition that all requirements, including noise levels, were met.[21] The Royal Air Force (RAF) had also placed an order for 12 military transport versions. New York Airways signed a letter of intent for the purchase of five at $2m each, with an option of 15 more albeit with qualifications, after calculating that a larger Rotodyne could operate at half the seat mile cost of helicopters;[21][22] however, unit costs were deemed too high for very short hauls of 10 to 50 miles, and the Civil Aeronautics Board was opposed to rotorcraft competing with fixed-wing on longer routes.[23] Japan Air Lines, which had sent a team to Britain to evaluate the Rotodyne prototype, stated it would experiment with Rotodyne between Tokyo Airport and the city itself, and was interested in using it on the Tokyo-Osaka route as well.[15][24] According to rumours, the U.S. Army was also interested in buying around 200 Rotodynes.[25] Fairey was keen to secure funding from the American Mutual Aid programme, but could not persuade the RAF to order the minimum necessary 25 rotorcraft needed; at one point, the firm even considered providing a single Rotodyne to Eastern Airlines via Kaman Helicopters, Fairey's U.S. licensee, so that it could be hired out to the U.S. Army for trials. All Rotodynes destined for US customers were to have been manufactured by Kaman in Bloomfield, Connecticut.[26] Financing from the government had been secured again on the proviso that firm orders would be gained from BEA. The civilian orders were dependent on the noise issues being satisfactorily met; the importance of this factor had led to Fairey developing 40 different noise suppressors by 1955.[27] In December 1955, Dr Hislop said he was certain that the noise issue could be 'eliminated'. According to Wood, the two most serious problems revealed with the Rotodyne during flight testing was the noise issue and the weight of the rotor system, the latter being 2,233 lb above the original projection of 3,270 lb.[13] In 1959, the British government, seeking to cut costs, decreed that the number of aircraft firms should be lowered and set forth its expectations for mergers in airframe and aero-engine companies. By delaying or withholding access to defence contracts, the British firms could be forced into mergers; Duncan Sandys, Minister of Aviation, expressed this policy to Fairey and made it known that the price of continued government backing for the Rotodyne would be for Fairey to virtually withdraw from all other initiatives in the aviation field.[25] Ultimately, Saunders-Roe and the helicopter division of Bristol were incorporated with Westland; in May 1960, Fairey Aviation was also taken over by Westland. By this time, the Rotodyne had flown almost 1,000 people for 120 hours in 350 flights and conducted a total of 230 transitions between helicopter and autogiro — with no accidents.[25][28] By 1958, the Treasury was already expressing its opposition to further financing for the programme.[15] The matter was escalated to Harold Macmillan, the then Prime Minister, who wrote to Aubrey Jones, the Minister of Supply, on 6 June 1958, stating that "this project must not be allowed to die". Considerable importance was placed upon BEA supporting the Rotodyne by issuing and order; however, the airline refused to procure the aircraft until it was satisfied that guarantees were given over its performance, economy, and noise criteria.[15] Shortly after Fairey's merger with Westland, the latter was issued with a £4 million development contract for the Rotodyne, which was intended to see the type enter service with BEA as a result.[25] As flight testing with the Rotodyne prototype had proceeded, Fairey had become increasingly dissatisfied with Napier and the Eland engine as progress to improve the latter had been less than expected.[15] For the extended 48-seat model of the Rotodyne to be achieved, the uprated 3,500 ehp Eland N.E1.7 would be necessary; of the estimated £7 million needed to produce the larger aircraft, £3 million would be for its engines. BEA was particularly supportive of a larger aircraft, potentially seating as many as 66 passengers, which would have required a still-far greater sum of money to achieve.[15] Fairey was already struggling to achieve the stated performance of the Eland engine and had resorted to adopting a richer fuel mixture to get the necessary power, a side effect of which was to further aggravate the noticeable noise issue as well as reducing fuel efficiency.[29] As a result of being unable to resolve the issues with the Eland, Fairey opted to adopt the rival Rolls-Royce Tyne turboprop engine to power the larger Rotodyne Z instead.[26] The larger Rotodyne Z design could be developed to take 57 to 75 passengers and, when equipped with the Tyne engines (5,250 shp/3,910 kW), would have a projected cruising speed of 200 kn (370 km/h). It would be able to carry nearly 8 tons (7 tonnes) of freight; cargoes could have included some British Army vehicles and even the intact fuselage of some fighter aircraft that would fit into its fuselage.[30] It would have also been able to carry large cargoes externally as an aerial crane, including vehicles and whole aircraft. According to some of the later proposals, the Rotodyne Z would have had a gross weight of 58,500 lb, an extended rotor diameter of 109 ft, and a tapered wing with a span of 75 ft.[31] However, the Tyne engines were also starting to appear under-powered for the larger design. The Ministry of Supply had pledged to finance 50 per cent of the development costs for both the Rotodyne Z and for the model of the Tyne engine to power it.[25] Despite the strenuous efforts of Fairey to achieve its support, the expected order from the RAF did not materialise — at the time, the service had no particular interest in the design, being more focused on effectively addressing the issue of nuclear deterrence.[31] As the trials continued, both the associated costs and the weight of the Rotodyne continued to climb; the noise issue continued to persist, although, according to Wood: "there were signs that silencers would later reduce it to an acceptable level".[31] While the costs of development were shared half-and-half between Westland and the government, the firm determined that it would still need to contribute a further £9 million in order to complete development and achieve production-ready status.[31] Following the issuing of a requested quotation to the British government for 18 production Rotodynes, 12 for the RAF and 6 for BEA, the government responded that no further support would be issued for the project due to economic reasons. Accordingly, on 26 February 1962, official funding for the Rotodyne was terminated in early 1962.[9][32] The project's final end came when BEA chose to decline placing its own order for the Rotodyne, principally due to its concerns regarding the high-profile tip-jet noise issue. The corporate management at Westland determined that further development of the Rotodyne towards production status would not be worth the investment required.[33] Thus ended all work on the world's first vertical take-off military/civil transport rotorcraft.[34] After the programme was terminated, the prototype Rotodyne itself, which was government property, was dismantled and largely destroyed in a fashion reminiscent of the Bristol Brabazon. A single fuselage bay, as pictured, plus rotors and rotorhead mast survived, and are on display at The Helicopter Museum, Weston-super-Mare. The one great criticism of the Rotodyne was the noise the tip jets made; however, the jets were only run at full power for a matter of minutes during departure and landing and, indeed, the test pilot Ron Gellatly made two flights over central London and several landings and departures at Battersea Heliport with no complaints being registered,[35] though John Farley, chief test pilot of the Hawker Siddeley Harrier later commented: From two miles away it would stop a conversation. I mean, the noise of those little jets on the tips of the rotor was just indescribable. So what have we got? The noisiest hovering vehicle the world has yet come up with and you're going to stick it in the middle of a city?[36] There had been a noise-reduction programme in process which had managed to reduce the noise level from 113 dB to the desired level of 96 dB from 600 ft (180 m) away, less than the noise made by a London Underground train, and at the time of cancellation, silencers were under development, which would have reduced the noise even further — with 95 dB at 200 ft "foreseen",[37] the limitation being the noise created by the rotor itself.[38] This effort, however, was insufficient for BEA which, as expressed by Chairman Sholto Douglas, "would not purchase an aircraft that could not be operated due to noise", and the airline refused to order the Rotodyne, which in turn led to the collapse of the project. It is only relatively recently that interest has been reestablished in direct city-to-city transport, with aircraft such as the AgustaWestland AW609 and the CarterCopter/PAV. The 2010 Eurocopter X3 experimental helicopter shares the general configuration of the Rotodyne, but is much smaller. A number of innovative gyrodyne designs are still being considered for future development.[39] The Fairey Rotodyne was a large hybrid rotorcraft, known as a compound gyroplane or Gyrodyne. According to Wood, it was "the largest transport helicopter of its day".[6] It featured an unobstructed rectangular fuselage, capable of seating between 40 and 50 passengers; a pair of double-clamshell doors were placed to the rear of the main cabin so that freight and even vehicles could be loaded and unloaded.[6] The Rotodyne had a large, four-bladed rotor and two Napier Eland N.E.L.3 turboprops, one mounted under each of the fixed wings.[6] The rotor blades were a symmetrical aerofoil around a load-bearing spar. The aerofoil was made of steel and light alloy because of centre of gravity concerns. Equally, the spar was formed from a thick machined steel block to the fore and a lighter thinner section formed from folded and riveted steel to the rear. The compressed air was channelled through three steel tubes within the blade.[40] The tip-jet combustion chambers were composed of Nimonic 80, complete with liners that were made from Nimonic 75. For takeoff and landing, the rotor was driven by tip-jets. The air was produced by compressors driven through a clutch off the main engines. This was fed through ducting in the leading edge of the wings and up to the rotor head. Each engine supplied air for a pair of opposite rotors; the compressed air was mixed with fuel and burned.[41] As a torqueless rotor system, no anti-torque correction system was required, though propeller pitch was controlled by the rudder pedals for low-speed yaw control. The propellers provided thrust for translational flight while the rotor autorotated. The cockpit controls included a cyclic and collective pitch lever, as in a conventional helicopter.[33] The transition between helicopter and autogyro modes of flight would have taken place around 60 mph,[35] (other sources state that this would have occurred around 110 knots[42]); the transition would have been accomplished by extinguishing the tip-jets. During autogyro flight, up to half of the rotocraft's aerodynamic lift was provided by the wings, which also enabled it to attain higher speed.[35] Data from Fairey Aircraft since 1915,[43]Goebel 2015,[44]  Gibbings 2011,[45] Jane's All the World's Aircraft 1958-59.[46]General characteristics Performance Related development Aircraft of comparable role, configuration, and era  Related lists</t>
  </si>
  <si>
    <t>Compound gyroplane</t>
  </si>
  <si>
    <t>https://en.wikipedia.org/Compound gyroplane</t>
  </si>
  <si>
    <t>58 ft 8 in (17.88 m) of fuselage</t>
  </si>
  <si>
    <t>46 ft 6 in (14.17 m) fixed wings</t>
  </si>
  <si>
    <t>22 ft 2 in (6.76 m) to top of rotor pylon</t>
  </si>
  <si>
    <t>475 sq ft (44.1 m2) [47]</t>
  </si>
  <si>
    <t>NACA 23015[48]</t>
  </si>
  <si>
    <t>22,000 lb (9,979 kg)</t>
  </si>
  <si>
    <t>33,000 lb (14,969 kg)</t>
  </si>
  <si>
    <t>40-48 passengers</t>
  </si>
  <si>
    <t>7,500 lb (3,402 kg)</t>
  </si>
  <si>
    <t>4 × rotor tip jet , 1,000 lbf (4.4 kN) thrust each [50]</t>
  </si>
  <si>
    <t>4-bladed, 13 ft (4.0 m) diameter Rotol propellers</t>
  </si>
  <si>
    <t>190.9 mph (307.2 km/h, 165.9 kn) speed record [51]</t>
  </si>
  <si>
    <t>185 mph (298 km/h, 161 kn)</t>
  </si>
  <si>
    <t>13,000 ft (4,000 m)</t>
  </si>
  <si>
    <t>Fairey Jet Gyrodyne</t>
  </si>
  <si>
    <t>https://en.wikipedia.org/Fairey Jet Gyrodyne</t>
  </si>
  <si>
    <t>Cancelled 1962</t>
  </si>
  <si>
    <t>90 ft 0 in (27.43 m)</t>
  </si>
  <si>
    <t>6,362 sq ft (591.0 m2) Rotor aerofoil</t>
  </si>
  <si>
    <t>720 ft/s (219 m/s)</t>
  </si>
  <si>
    <t>6.14 lb/ft2 (30 kg/m2)</t>
  </si>
  <si>
    <t>Fisher FP-202 Koala</t>
  </si>
  <si>
    <t>The Fisher FP-202 Koala is a Canadian single-seat high wing, conventional landing gear, single engined light kit aircraft designed for construction by amateur builders. The aircraft was inspired by the design of the Piper J-3 Cub and strongly resembles that design.[1][2][3][4][5][6] Fisher Flying Products was originally based in Edgeley, North Dakota, America but the company is now located in Dorchester, Ontario, Canada.[2][3][4][5][6] The FP-202 was designed by Fisher Aircraft in the America in 1981 and was intended to meet the requirements of the US FAR 103 Ultralight Vehicles category, including that category's maximum 254 lb (115 kg) empty weight. It is also a 51% approved kit for the US homebuilt aircraft category. The design goal was to provide ultralight pilots with an aircraft that looked like and flew like the classic Piper Cub, without the regulation that goes with owning a type certified aircraft. The FP-202 can achieve an empty weight of 250 lb (113 kg) when equipped with a lightweight, two-stroke engine, such as the 28 hp (21 kW) Rotax 277.[3][5][6] The construction of the FP-202 is unusual for aircraft in its class. The aircraft's structure is entirely made from wood, with the wooden fuselage built from wood strips arranged in a geodesic form, resulting in a very strong and light aircraft with redundant load paths. Like the Cub, both the wings and fuselage on the Koala are covered with doped aircraft fabric. The wings are strut-braced and utilize jury struts. The landing gear is bungee suspended and the tail wheel is steerable. Brakes are optional. The company claims it would take an average amateur builder 250–500 hours to build the FP-202.[3][5][6] Data from AeroCrafter and KitPlanes[3][4]General characteristics Performance  Related development Aircraft of comparable role, configuration, and era</t>
  </si>
  <si>
    <t>//upload.wikimedia.org/wikipedia/commons/thumb/f/fe/Fisher_FP-202_Koala_D-MKOA.jpg/300px-Fisher_FP-202_Koala_D-MKOA.jpg</t>
  </si>
  <si>
    <t>Kit aircraft</t>
  </si>
  <si>
    <t>https://en.wikipedia.org/Kit aircraft</t>
  </si>
  <si>
    <t>Canada</t>
  </si>
  <si>
    <t>https://en.wikipedia.org/Canada</t>
  </si>
  <si>
    <t>Fisher Flying Products</t>
  </si>
  <si>
    <t>https://en.wikipedia.org/Fisher Flying Products</t>
  </si>
  <si>
    <t>330 (2011)[1]</t>
  </si>
  <si>
    <t>17.9 ft (5.5 m)</t>
  </si>
  <si>
    <t>29.9 ft (9.1 m)</t>
  </si>
  <si>
    <t>5.8 ft (1.8 m)</t>
  </si>
  <si>
    <t>120 sq ft (11 m2)</t>
  </si>
  <si>
    <t>245 lb (111 kg)</t>
  </si>
  <si>
    <t>500 lb (227 kg)</t>
  </si>
  <si>
    <t>5 U.S. gallons (19 L; 4.2 imp gal)</t>
  </si>
  <si>
    <t>1 × Rotax 277 single cylinder, air-cooled, two stroke aircraft engine, 28 hp (21 kW)</t>
  </si>
  <si>
    <t>2-bladed wooden, fixed pitch</t>
  </si>
  <si>
    <t>62 mph (100 km/h, 54 kn)</t>
  </si>
  <si>
    <t>57 mph (92 km/h, 50 kn)</t>
  </si>
  <si>
    <t>10,000 ft (3,000 m)</t>
  </si>
  <si>
    <t>Piper J-3</t>
  </si>
  <si>
    <t>https://en.wikipedia.org/Piper J-3</t>
  </si>
  <si>
    <t>26 mph (42 km/h, 23 kn)</t>
  </si>
  <si>
    <t>750 ft/min (3.8 m/s)</t>
  </si>
  <si>
    <t>135 mi (217 km, 117 nmi)</t>
  </si>
  <si>
    <t>FMA IA 36 Cóndor</t>
  </si>
  <si>
    <t>The IA 36 Cóndor (English: Condor) was a projected Argentine jet propelled mid-range airliner, designed in the early 1950s by Kurt Tank for the “Fábrica Militar de Aviones”. It was cancelled in 1958, with no prototypes built, but a full size wood mockup. Work on the IA 36 Cóndor project started in late 1951 by a team led by the German engineer Kurt Tank; as part of the project a 1:34 scale wind tunnel model was built, as well as a 1:1 scale wooden fuselage mock-up. The project was cancelled in 1958 by the government led by Pedro Eugenio Aramburu, which followed that of Juan Domingo Perón, deposed in 1955 by the now quite infamous Revolución Libertadora uprising.[1] The projected aircraft would have been powered by five Rolls Royce "Nene II" turbojets arranged in an annular configuration around the rear fuselage, as in Messerschmitt P.1110 and Heinkel He 211; however it was planned to replace those with lighter and more powerful engines in later versions.[2] The design would have accommodated 32 to 40 passengers; the maximum speed was expected to be 950 km/h (590 mph); in comparison, the contemporary de Havilland Comet 3 maximum speed was 780 km/h (480 mph). Like the Pulqui II fighter prototype, also designed by Tank, the IA 36 had swept wings which would have increased the aerodynamic efficiency. The wingspan was 34 m (112 ft); and the estimated range was 5,000 km (3,100 mi; 2,700 nmi).[1] Data from [1]General characteristics Performance  Aircraft of comparable role, configuration, and era  Related lists</t>
  </si>
  <si>
    <t>//upload.wikimedia.org/wikipedia/commons/thumb/1/11/Ia_36.jpg/300px-Ia_36.jpg</t>
  </si>
  <si>
    <t>Narrow-body jet airliner</t>
  </si>
  <si>
    <t>https://en.wikipedia.org/Narrow-body jet airliner</t>
  </si>
  <si>
    <t>FMA/IAME</t>
  </si>
  <si>
    <t>https://en.wikipedia.org/FMA/IAME</t>
  </si>
  <si>
    <t>Not flown</t>
  </si>
  <si>
    <t>34 m (111 ft 7 in)</t>
  </si>
  <si>
    <t>32-40 passengers</t>
  </si>
  <si>
    <t>5 × Rolls Royce Nene centrifugal-flow turbojet engines</t>
  </si>
  <si>
    <t>950 km/h (590 mph, 510 kn)</t>
  </si>
  <si>
    <t>Scaled Composites Proteus</t>
  </si>
  <si>
    <t>The Scaled Composites Model 281 Proteus is a tandem-wing high-altitude long endurance aircraft designed by Burt Rutan to investigate the use of aircraft as high altitude telecommunications relays. The Proteus is a multi-mission vehicle able to carry various payloads on a ventral pylon. The Proteus has an extremely efficient design, and can orbit a point at over 19,800 m for more than 18 hours. It is currently owned by Northrop Grumman. Proteus has an all-composite airframe with graphite-epoxy sandwich construction. Its wingspan of 77 feet 7 inches (23.65 m) is expandable to 92 feet (28 m) with removable wingtips installed. Proteus is an "optionally piloted" aircraft ordinarily flown by two pilots in a pressurized cabin. However, it also has the capability to perform its missions semi-autonomously or flown remotely from the ground. Under NASA's Environmental Research Aircraft and Sensor Technology (ERAST) project, NASA's Dryden Flight Research Center assisted Scaled Composites in developing a sophisticated station-keeping autopilot system and a satellite communications (SATCOM)-based uplink-downlink data system for Proteus' performance and payload data. The Proteus wing was adapted for use on the Model 318 White Knight carrier aircraft, which is the launch system for Rutan's Tier One spacecraft and the DARPA X-37. Flight testing of the Proteus began with its first flight on July 26, 1998, at the Mojave Airport and continued through the end of 1999. In June, Proteus was deployed internationally for the first time, debuting at the Paris Air Show. It was flown non-stop from Bangor, Maine to Paris. During the week-long show, it flew each day, demonstrating its capabilities as a telecommunications platform. The Proteus is the current holder of a number of FAI world records for altitude (class: C1-e: landplanes 3,000–6,000 kg, Group: 3, turbojet), set in cooperation with NASA Dryden.[1] The highest altitude achieved was 63,245 feet (19,277 m) in October 2000. Proteus was included in the list of the "100 Best of 1998 Design", by Time magazine, December 21, 1998.[2] Due to the multimission nature of the aircraft, it has been involved in a number of significant research projects and missions. Scaled Composites, a wholly owned subsidiary of Northrop Grumman, actively markets the aircraft as a research platform, and has published a user's guide for planning proposed missions.[3] Proteus was originally conceived as a high-altitude, long operation (HALO) telecommunications platform. Proteus was to be the first of a series of aircraft built by Scaled Technology Works of Montrose, Colorado (a proposed spinoff of Scaled Composites which was later cancelled). The aircraft was intended to carry a 14-foot (4.3 m) antenna, which was flight tested in the autumn of 1999 and the summer of 2000, including the relay of a video conference while the aircraft orbited over Los Angeles.[4] The project failed to move forward, however, and the subsequent series of aircraft were not built. A small Airborne Real-Time Imaging System (ARTIS) camera, developed by HyperSpectral Sciences, Inc., under NASA's ERAST project, was demonstrated during the summer of 1999 when it took visual and near-infrared photos from Proteus while it was flying high over the Experimental Aircraft Association's AirVenture 99 Airshow at Oshkosh, Wisconsin. The images were displayed on a computer monitor at the show only moments after they were taken. Proteus' first science mission was to carry the National Polar-Orbiting Operational Environmental Satellite System Airborne Sounder Testbed – Interferometer (NAST-I) instrument in March 2000 during the Cloud-Intensive Operating Period over the Department of Energy Cloud and Radiation Testbed (CART) site. The flights, based out of Stilwell, Oklahoma, encompassed 30 flight hours over a week and a half, characterizing cloud properties and validating the instrument.[5] Then, in September and October 2000, during the Water-Vapor Intensive Operating Period, Proteus and NAST flew validation flights studying upper tropospheric water vapor and performing underflights of the Terra satellite. In November–December 2000, Proteus flew as part of the DOE's Atmospheric Radiation Measurement (ARM) program and their water vapor experiments. Flights were essentially the same as was flown for the NAST Water-Vapor Intensive Operating Period validation flights.[6] As part of the TRACE-P (Transport and Chemical Evolution over the Pacific) mission, Proteus once again carried the NAST pod during March 2001. The aircraft logged 126 flight hours, and was variously based out of Alaska, Hawaii and Japan, gathering data in coordination with ground, balloon and satellite sensor packages over the North Pole in March 2001.[7][8] Proteus took part in the NASA Chesapeake Lighthouse &amp; Aircraft Measurements for Satellites (CLAMS) program in July and August 2001, flying out of NASA's Wallops Flight Facility. The project used a number of different aircraft to develop methods of measuring ocean characteristics, and estimates of aerosols.[9] In February 2002, Proteus carried a 30-foot-long (9.1 m) pod which served as a target for development of the Boeing YAL-1 Airborne Laser system. The pod housed an array of over 2000 small holes containing optical sensors to detect the laser system. Due to scheduling constraints with other Proteus customers, the Airborne Laser never conducted an actual flight test with the Proteus target system. A target system was designed and integrated into the NKC-135 Big Crow aircraft and used for the majority of Airborne Laser testing. In March 2002, NASA Dryden, in cooperation with New Mexico State University's Technical Analysis and Applications Center (TAAC), the FAA and several other entities, conducted flight demonstrations of an active detect, see and avoid (DSA) system for potential application to unmanned aerial vehicles (UAVs) out of Las Cruces, New Mexico. This was a part of the NASA ERAST Project. Proteus was flown as a surrogate UAV controlled remotely from the ground, although safety pilots were aboard to handle takeoff and landing and any potential emergencies. Three other aircraft, ranging from general aviation aircraft to a NASA F/A-18, served as "cooperative" target aircraft with an operating transponder. In each of 18 different scenarios, a Goodrich Skywatch HP Traffic Advisory System (TAS) on the Proteus detected approaching air traffic on potential collision courses, including several scenarios with two aircraft approaching from different directions. The remote pilot then directed Proteus to turn, climb or descend as needed to avoid the potential threat. In April 2003, a second series of flight demonstrations focusing on "non-cooperative" aircraft (those without operating transponders), was conducted in restricted airspace near Mojave, California, again using the Proteus as a surrogate UAV. Proteus was equipped with a small Amphitech OASys 35 GHz primary radar system to detect potential intruder aircraft on simulated collision courses. The radar data was sent directly to the ground station as well as via an Inmarsat satellite system installed on Proteus. A mix of seven intruder aircraft, ranging from a sailplane to a high-speed jet, flew 20 scenarios over a four-day period, one or two aircraft at a time. In each case, the radar picked up the intruding aircraft at ranges from 2.5 to 6.5 miles (10.5 km), depending on the intruder's radar signature. Proteus' remote pilot on the ground was able to direct Proteus to take evasive action if needed. The International H2O Project (IHOP 2002) was a field experiment which took place over the Southern Great Plains of the America from May 13 to June 25, 2002. The chief aim of IHOP 2002 was improved characterization of the four-dimensional (4-D) distribution of water vapor and its application to improving the understanding and prediction of convection. The NASA Holographic Airborne Rotating Lidar Instrument Experiment was flown as a part of this project. Flights were performed in coordination with Lockheed P-3 and DC-8 aircraft.[10][11] In July 2002, Proteus participated in Crystal-FACE, measuring tropical cirrus clouds, operating from Key West, Florida, flying as far south as Belize. For this phase of the project, the aircraft was configured with 10-foot (3.0 m) canards and .mw-parser-output .frac{white-space:nowrap}.mw-parser-output .frac .num,.mw-parser-output .frac .den{font-size:80%;line-height:0;vertical-align:super}.mw-parser-output .frac .den{vertical-align:sub}.mw-parser-output .sr-only{border:0;clip:rect(0,0,0,0);height:1px;margin:-1px;overflow:hidden;padding:0;position:absolute;width:1px}13+1⁄2-foot wingtip extensions.[12][13] Proteus has been used in a number of deployments as a part of a project sponsored by the DOE's Atmospheric Radiation Measurement program and the Sandia National Laboratories to study cirrus clouds in the upper atmosphere.[14] During these flights, the aircraft was equipped with over 20 sensors mounted on five parts of the aircraft. In November 2002, Proteus participated in another phase of the project, flying from Ponca City. In October 2004, Proteus operated out of Fairbanks, Alaska,[citation needed] and, in February 2006, the aircraft was deployed to Darwin, Australia. In May and June 2005, Transformational Space Corp., or t/Space, flight tested their rocket release concept utilizing Scaled Composites' Proteus. A captive-carry test flight was performed on May 13, and the rocket mockup was dropped three times, on May 24, June 7 and June 14, over Edwards AFB. The mockup was a 23% scale model of a proposed four-person crew capsule (called the CXV) and its AirLaunch LLC-produced QuickReach II booster.[15] These particular flight tests were to demonstrate the concept of t/Space's Trapeze/Lanyard (TLAD) air drop system.[16] Northrop Grumman is using the Proteus to research new UAV technologies, as it can be controlled from the cockpit, a ground control station, or operate semi-autonomously. Scaled, in partnership with Northrop Grumman, is offering a fully uncrewed version of the Proteus, labeled Model 395, as part of the competition for the USAF Hunter-Killer competition. If selected, that product would have been flown in 2007.[needs update] On February 24, 2005, Proteus became Scaled's first bomber with the release of an inert 500-pound weapon over Nellis Air Force Base in Nevada.[17] On April 27, 2006, Proteus flight tested a large pod designed to house a developmental version of the Multi-Platform Radar Technology Insertion Program, or MP-RTIP. This is a long range, high resolution air-to-ground and air-to-air synthetic aperture radar system being developed for use on the RQ-4 Global Hawk. This pod is, by function of its length and frontal area, one of the largest payloads carried by Proteus to date. Actual flight testing of the MP-RTIP system began in late September 2006, with initial flight reaching 100 knots (120 mph; 190 km/h) and 22,000 feet (6,700 m) altitude.[18][19] Proteus has set several world altitude records in FAI Class C-1e (Landplanes: takeoff weight 3,000 to 6,000 kg (6,600 to 13,200 lb)), Group 2, turbojet, including: Data from Jane's All the World's Aircraft 2003–2004[21]General characteristics Performance  Related development</t>
  </si>
  <si>
    <t>//upload.wikimedia.org/wikipedia/commons/thumb/4/41/Scaled_Composites_Proteus_in_flight_1.jpg/300px-Scaled_Composites_Proteus_in_flight_1.jpg</t>
  </si>
  <si>
    <t>Experimental aircraft</t>
  </si>
  <si>
    <t>https://en.wikipedia.org/Experimental aircraft</t>
  </si>
  <si>
    <t>Scaled Composites</t>
  </si>
  <si>
    <t>https://en.wikipedia.org/Scaled Composites</t>
  </si>
  <si>
    <t>Burt Rutan</t>
  </si>
  <si>
    <t>https://en.wikipedia.org/Burt Rutan</t>
  </si>
  <si>
    <t>Two (pilot and co-pilot)</t>
  </si>
  <si>
    <t>56 ft 4 in (17.17 m)</t>
  </si>
  <si>
    <t>77 ft 7 in (23.65 m)</t>
  </si>
  <si>
    <t>17 ft 8 in (5.38 m)</t>
  </si>
  <si>
    <t>300.5 sq ft (27.92 m2)</t>
  </si>
  <si>
    <t>5,860 lb (2,658 kg)</t>
  </si>
  <si>
    <t>2 × Williams FJ44-2 turbofans, 2,293 lbf (10.20 kN) thrust each</t>
  </si>
  <si>
    <t>313 mph (504 km/h, 272 kn)</t>
  </si>
  <si>
    <t>219 mph (352 km/h, 190 kn) at 20000 ft</t>
  </si>
  <si>
    <t>61,000 ft (19,000 m) mid-mission altitude</t>
  </si>
  <si>
    <t>3,400 ft/min (17 m/s)</t>
  </si>
  <si>
    <t>12,500 lb (5,670 kg)</t>
  </si>
  <si>
    <t>14 hours at 1,150 miles (1,850 km) from base</t>
  </si>
  <si>
    <t>Scaled Composites White Knight</t>
  </si>
  <si>
    <t>https://en.wikipedia.org/Scaled Composites White Knight</t>
  </si>
  <si>
    <t>Dunne D.8</t>
  </si>
  <si>
    <t>The Dunne D.8 of 1912 was a tailless swept wing biplane, designed by J. W. Dunne to have inherent stability. One example was supplied to RAE Farnborough. License-built Burgess-Dunne models were used by the US Signal Corps and America Navy and the short-lived Canadian Aviation Corps. It was the latter's first and only warplane. J. W. Dunne's first swept biplane wing aircraft, designed to have automatic stability, dated from his employment at the Army Balloon Factory (later RAE Farnborough) during 1906–09. After leaving Farnborough, Dunne set up a private company, the Blair Atholl Aeroplane Syndicate Ltd. Its first aircraft was the Dunne D.5.[1][2] When this crashed in 1911 it was rebuilt as the D.8.[3] The two models shared very similar wings and the same engine, but the D.8 had a single pusher propeller instead of the chain-driven pair of the D.5. Their fuselages and undercarriages were also different. The D.8 was a tailless four bay unstaggered biplane with its wings swept at 32°. Its constant chord wings were built up around two spruce spars, the forward one forming the leading edge. To help achieve stability the incidence and interplane gap decreased outboard, the former becoming negative. This washout on tips well behind the centre of gravity provided longitudinal stability in the same way as a conventional tailplane, set at lower incidence than the wings. Camber increased outwards. Simple, near parallel, pairs of interplane struts joined the spars. The outer interplane struts were enclosed with fabric, forming fixed side curtains that provided directional (yaw) stability. Wing tip elevons were used for control, operated by a pair of levers, one either side of the pilot. The D.8 initially used just a pair of these, mounted on the upper wing, a rectangular cutout in the side curtains allowing for their movement as on the D.5.[2] Large parts of the aircraft were built by Short Brothers.[4] The D.8's water-cooled 4-cylinder, 60 hp (45 kW) Green engine directly drove a single pusher propeller, saving weight compared with the D.5's chain drive.[3] As a consequence of the propeller position the fuselage was shortened at the rear; it was also extended in the nose. This first D.8 seems to have been a single-seater like its D.5 predecessor,[1] the pilot sitting at mid chord. The undercarriage was complex, comprising a narrow-track pair of sprung wheels with wingtip skids. It featured undamped, opposing springing and an elaborate anti-noseover skid.[5] The Green engine was later replaced by an 80 hp (60 kW) 7-cylinder Gnome rotary engine.[3] This engine also powered the second aircraft, which was a two-seater with the pilot placed just ahead of the wing leading edge and the passenger (who had dual control) at the trailing edge.[5] There were now control surfaces on both upper and lower wings, the side curtains having a pair of tapered notches to allow them to move. Each of the upper wings carried a pair of elevons, nearly doubling the control surface area.[5] The D.8 first flew in June 1912 at Eastchurch, fitted with a Green engine.  It was present at the Larkhill Military trial in August 1912, though it did not take part in the competition.[3] Despite the two handed arrangement of the D.8's controls, the one-handed Capt. A.D. Carden gained his Royal Aero Club Aviator's Certificate on it in June 1912.[6] In 1913 the D.8 was fitted with an 80 hp Gnome engine which greatly improved performance and reliability.  1913.[3] In August 1913 Commandant Felix piloted a D.8 across the English Channel from Eastchurch to Villacoublay, Paris. Nieuport had obtained a licence to build the D.8 and Felix gave demonstration flights in France on their behalf.[6] A Nieuport-built Dunne appeared at the Paris Aero Salon in December 1913. Like the second D.8 it was a Gnome powered two-seater, but with significant differences both aerodynamically and structurally. It combined the double upper wing elevons into a single surface and had very rounded rear wingtips.[7] The fuselage was slightly modified and built around steel tubes rather than wood. The interplane struts were streamlined steel tubes. It also had a strikingly simplified undercarriage.[8] Dunne had obtained a War Office order for two D.8s, though one was cancelled because of late delivery. The other was delivered to Farnborough on 3 March 1914, where it was given the RFC number 366.[3] It made several flights on 11 March piloted by N. S. Percival, who had flown the first D.8 many times at Eastchurch and was now an RFC officer. The general judgement was that in the search for balance between stability and controllability, the Dunne design overemphasised the former. Data from Bruce 1992General characteristics Performance     Related lists  Media related to Dunne D.8 at Wikimedia Commons</t>
  </si>
  <si>
    <t>//upload.wikimedia.org/wikipedia/commons/thumb/3/31/Dunne_D8_flying.jpg/300px-Dunne_D8_flying.jpg</t>
  </si>
  <si>
    <t>https://en.wikipedia.org/United Kingdom</t>
  </si>
  <si>
    <t>Blair-Atholl Syndicate Ltd, London</t>
  </si>
  <si>
    <t>J. W. Dunne</t>
  </si>
  <si>
    <t>https://en.wikipedia.org/J. W. Dunne</t>
  </si>
  <si>
    <t>{'Nieuport-Dunne': ' modified D.8 built under license by the French ', 'Burgess-Dunne': 'he ', 'D.10': ' development built around 1912 with a modified wing, which proved a failure and was converted back to a D.8.'}</t>
  </si>
  <si>
    <t>46 ft 0 in (14.02 m)</t>
  </si>
  <si>
    <t>545 sq ft (50.6 m2)</t>
  </si>
  <si>
    <t>1,400 lb (635 kg)</t>
  </si>
  <si>
    <t>1,900 lb (862 kg)</t>
  </si>
  <si>
    <t>Capt. A. D. CardenNieuportAmerica Navy</t>
  </si>
  <si>
    <t>https://en.wikipedia.org/Capt. A. D. CardenNieuportAmerica Navy</t>
  </si>
  <si>
    <t>1 × Gnome 7-cylinder rotary, 80 hp (60 kW)</t>
  </si>
  <si>
    <t>56 mph (90 km/h, 49 kn)</t>
  </si>
  <si>
    <t>Dunne D.5</t>
  </si>
  <si>
    <t>https://en.wikipedia.org/Dunne D.5</t>
  </si>
  <si>
    <t>500 ft/min (2.5 m/s)</t>
  </si>
  <si>
    <t>Miles Martinet</t>
  </si>
  <si>
    <t>The Miles M.25 Martinet was a target tug aircraft of the Royal Air Force (RAF) and Fleet Air Arm (FAA) that was in service during the Second World War. It was the first British aircraft to be designed specifically for target towing.[2] Work on the Martinet was started in response to the RAF's shortage of obsolete frontline aircraft for target towing duties. It was intentionally designed with as much commonality as was feasible to existing production aircraft, being a derivative of Mile's prolific Master trainer. The first prototype Martinet conducted its maiden flight on 24 April 1942, with quantity production commencing immediately thereafter. A total of 1,724 Martinets were produced, of which the majority were operated either by the RAF or FAA, although a minority were also used by overseas and civilian operators. The Martinet was also developed into a relatively secretive aircraft in response to Specification Q.10/43, which called for a radio-controlled target drone. This aircraft, designated M.50 Queen Martinet, was only produced in small numbers, and its existence was a state secret for numerous years, being only officially acknowledged during 1946. Several other derivatives of the base aircraft were also produced, including a dedicated glider tug and a trainer variant. Prior to 1941, the target tug role had been historically fulfilled by reusing former frontline aircraft that had become obsolete or been deemed to be surplus to requirements.[3] However, while the crucial Battle of Britain was being waged and attrition rates were driven high amongst either side, the RAF found itself with a shortage of frontline aircraft. Seeking to avoid withdrawing existing combat-capable aircraft to perform as target tugs, the Air Ministry opted to procure new build aircraft specifically for this need, approaching Miles Aircraft Ltd with a request to rapidly produce a specialised target tug aircraft based upon the Miles Master trainer aircraft.[3] The requirements were formalised by the Ministry as Specification 12/41.[4] Amongst the listed requirements was a stipulation that, in order simplify manufacturing as much as possible, the envisioned aircraft ought maximise the use of standardised components wherever feasible.[3]  On 24 April 1942, the first prototype Martinet conducted its maiden flight from Woodley Aerodrome in the hands of chief test pilot Flight Lieutenant Thomas Rose.[4] Results were satisfactory enough that production commenced immediately thereafter, leading to the Martinet rapidly supplanting the Master II on Miles' assembly lines at Woodley.[3] In total, 1,724 Martinets were produced; the majority of which served with either the RAF or Fleet Air Arm (FAA), although a minority of the type were adopted by overseas operators as well during the post war era.[5] The Martinet became the basis for further projects by the company. During 1943, it was decided to produce a derivative of the Martinet that functioned as a radio-controlled target drone to meet Specification Q.10/43.[4] This variant, designated M.50 Queen Martinet, was quickly prototyped and a modest production contact was issued to Miles, leading to 69 examples being manufactured as a new-builds, while a further 17 aircraft were produced via the conversion of production Martinets. During its development and initial years of operation, the existence of the Queen Martinet was classified and the programme was held on the UK Government's Secrets List; it was first publicly displayed at the Farnborough Airshow in June 1946, although details about the type remained protected for a number of years thereafter.[5] By 1941, officials were considered a proposed improved model of the Master trainer, but such ambitions were sidelined to focus manufacturing resources on the standard Martinet model.[6] By 1945, production pressures had alleviated to the point where serious work could commence, thus Miles set about developing a trainer model of the aircraft, designated M.37 Martinet Trainer. From the onset, this aircraft was intended to be a stopgap measure as the Air Ministry had envisioned its long term trainer to harness turboprop propulsion.[6] The conversion involved the removal of the outboard wing fuel tanks, the installation of a revised cabin with dual controls fitted, and a reduction in overall weight. A pair of prototypes were built, the first of which made its maiden flight on 11 April 1946.[7] However, by the time it was ready for quantity production, more advanced trainers, such as the Avro Athena and Boulton Paul Balliol, had also reached an advanced stage of development, leaving no purpose for the type and thus it received no orders.[8] A more numerous variant of the Martinet was the adaption of the type for operating as a tug for gliders; it shared broad similarities to the Master II tug, the rudder having its lower portion removed along with the installation of stronger towing apparatus.[5] The Miles Martinet draws heavily upon the Miles Master II trainer aircraft. While the two aircraft shared a relatively high degree of commonality, particularly in terms of components, there were also major differences, including the strengthening of the airframe to better handle the stresses of towing a target drogue. Other differences from the Master included a longer nose, greater wingspan, and higher cockpit, while the dual flying controls of the Master were omitted as unnecessary in its new capacity.[3]  Both the targets and towing gear were contained in a fairing beneath the fuselage, which could be deployed and retracted by a winch; multiple implementations of this apparatus were used, including winches that were alternatively driven via electric motors or wind power.[9] Due to the aircraft's center of gravity being altered by the design modifications, the engine was brought forwards slightly to compensate; while a more heavy-duty cooling system was also installed to aid the engine in coping with the greater power output needed to offset the elevated drag that was induced while towing.[9] Numerous RAF units received Martinets during the Second World War. Specifically, the type became a staple of air gunnery schools, operational training units, anti-aircraft cooperation squadrons, and air-sea reconnaissance units.[4] During the late 1940s and early 1950s, the type was gradually withdrawn from service within Britain's armed forces. A total of five former RAF Martinets received civil registrations and were flown by civilians both in Britain and overseas.[10] Efforts were made to promote surplus Martinet to fulfil additional roles, one such proposal involved the type's adoption by the Royal Hellenic Air Force to perform missions such as artillery spotting, general observation, and close air support.[11] Data from:[13] Data from Miles Aircraft since 1925,[12] The Hamlyn Concise Guide to British Aircraft of World War II.[14]General characteristics Performance A single Martinet survives; it is owned by the Museum of Berkshire Aviation in the United Kingdom. The aircraft (RAF serial number MS902) was built in 1943, and spent its operational life in Iceland at RAF Reykjavik. In 1949, MS902 was sold to the Akureyri Flying Club and given the Icelandic civil registration TF-SHC. The club flew it until it crashed in 1951 near Kopasker in north-east Iceland. The wreckage remained at the crash site until 1977, when it was recovered and placed in storage by the Icelandic Aviation Historical Society. The aircraft was returned to the United Kingdom in 1996 by the Museum of Berkshire Aviation and has since been the subject of a lengthy restoration project.[15][16]  Related development   Related lists</t>
  </si>
  <si>
    <t>//upload.wikimedia.org/wikipedia/commons/thumb/9/92/Miles_M.25_Martinet_TT_MkI_in_flight.jpg/300px-Miles_M.25_Martinet_TT_MkI_in_flight.jpg</t>
  </si>
  <si>
    <t>Target tug</t>
  </si>
  <si>
    <t>Miles Aircraft</t>
  </si>
  <si>
    <t>https://en.wikipedia.org/Miles Aircraft</t>
  </si>
  <si>
    <t>1,724[1]</t>
  </si>
  <si>
    <t>30 ft 11 in (9.42 m)</t>
  </si>
  <si>
    <t>39 ft 0 in (11.89 m)</t>
  </si>
  <si>
    <t>11 ft 7 in (3.53 m)</t>
  </si>
  <si>
    <t>242 sq ft (22.5 m2)</t>
  </si>
  <si>
    <t>4,640 lb (2,105 kg)</t>
  </si>
  <si>
    <t>6,750 lb (3,062 kg)</t>
  </si>
  <si>
    <t>330 mph (530 km/h, 290 kn) IAS</t>
  </si>
  <si>
    <t>27.9 lb/sq ft (136 kg/m2)</t>
  </si>
  <si>
    <t>Royal Air ForceRoyal Navy  French Air Force  Belgian Air Force</t>
  </si>
  <si>
    <t>https://en.wikipedia.org/Royal Air ForceRoyal Navy  French Air Force  Belgian Air Force</t>
  </si>
  <si>
    <t>1 × Bristol Mercury XX or Mercury 30 9-cylinder air-cooled radial piston engine, 870 hp (650 kW)</t>
  </si>
  <si>
    <t>221 mph (356 km/h, 192 kn) at sea level</t>
  </si>
  <si>
    <t>199 mph (320 km/h, 173 kn) maximum  at 5,000 ft (1,524 m)</t>
  </si>
  <si>
    <t>0.235 hp/lb (0.386 kW/kg)</t>
  </si>
  <si>
    <t>Miles Master</t>
  </si>
  <si>
    <t>https://en.wikipedia.org/Miles Master</t>
  </si>
  <si>
    <t>62 mph (100 km/h, 54 kn) flaps down</t>
  </si>
  <si>
    <t>694 mi (1,117 km, 603 nmi)</t>
  </si>
  <si>
    <t>Out of service, retired</t>
  </si>
  <si>
    <t>1942–1945</t>
  </si>
  <si>
    <t>5,000 ft (1,524 m) in 3 minutes 30 seconds</t>
  </si>
  <si>
    <t>780 ft (238 m)</t>
  </si>
  <si>
    <t>1,380 ft (421 m)</t>
  </si>
  <si>
    <t>1,275 ft (389 m)</t>
  </si>
  <si>
    <t>1,614 ft (492 m)</t>
  </si>
  <si>
    <t>Mitsubishi K3M</t>
  </si>
  <si>
    <t>The Mitsubishi K3M (九〇式機上作業練習機, Kyūrei-shiki kijō sagyō renshūki) was a trainer built by Mitsubishi which was used by the Imperial Japanese Navy in an extremely wide variety of roles, including light transport, liaison aircraft, utility aircraft and occasionally light bomber. Its Allied reporting name was Pine. The Mitsubishi K3M was designed by British aeronautical engineer and aircraft designer Herbert Smith, from Sopwith working in Japan for Mitsubishi. The prototype, designated Mitsubishi 4MS1, made its maiden flight in 1930. The aircraft was strut-braced high-wing cabin monoplane, with fixed wide-track landing gear, and was powered by a single 300 hp (220 kW) water-cooled radial piston engine. Pilot and gunner were located in separate open cockpits, with an instructor and two pupils in the enclosed cabin in the fuselage. Later passenger variants seated five passengers in the cabin. Total production of all versions was around 625 aircraft, with production mostly undertaken by Kyushu Hikoki K.K. and Aichi Kokuki. Production continued until 1941, and examples pressed into service as liaison aircraft in the postwar period were found in a variety of national markings. The first version of the K3M offered to the Imperial Japanese Navy Air Service was prone to stability problems, and more importantly, problems with the water-cooled 340 hp (250 kW) Mitsubishi-built Hispano-Suiza 8A eight-cylinder liquid-cooled engine. The improved K3M2 used a Hitachi Amakaze 11 nine-cylinder air-cooled radial engine, rated at 340 hp (250 kW) for take-off and 300 hp (220 kW) at sea level. The first K3M2 production examples entered service in 1932 as the Navy Type 90 Crew Trainer. It was superseded in production with the K3M3, using a Nakajima Kotobuki 460 hp (340 kW) air-cooled engine. The Navy Type 90 Crew Trainer was primarily a land-based aircraft; however, a few were fitted with floats. The Imperial Japanese Army Air Force had an interest in the aircraft as part of its modernization program, and as a potential supplement to the Nakajima Ki-6. Two examples were acquired and tested, and the airframe was given the designation of Ki-7. One prototype used a 475 hp (354 kW) Mitsubishi Type 92 nine-cylinder air-cooled radial engine and the other a 450 hp (340 kW) Nakajima Kotobuki nine-cylinder air-cooled radial engine. However, the IJAAF opted not to order either version into production. The civil version was offered to commercial operators with a 420 hp (310 kW) Nakajima-built Bristol Jupiter VI nine-cylinder air-cooled radial engine. The Mitsubishi K3M was used for both civil and military roles and some remained in operation until well after World War II. General characteristics Performance Armament      2 Hyphenated trailing letter (-J, -K, -L, -N or -S) denotes design modified for secondary role</t>
  </si>
  <si>
    <t>//upload.wikimedia.org/wikipedia/commons/thumb/3/32/Mitsubishi_K3M.jpg/300px-Mitsubishi_K3M.jpg</t>
  </si>
  <si>
    <t>training aircraft</t>
  </si>
  <si>
    <t>Mitsubishi</t>
  </si>
  <si>
    <t>https://en.wikipedia.org/Mitsubishi</t>
  </si>
  <si>
    <t>9.54 m (31 ft 4 in)</t>
  </si>
  <si>
    <t>15.78 m (51 ft 9 in)</t>
  </si>
  <si>
    <t>3.82 m (12 ft 6 in)</t>
  </si>
  <si>
    <t>34.5 m2 (371.35 sq ft)</t>
  </si>
  <si>
    <t>1,360 kg (2,998 lb)</t>
  </si>
  <si>
    <t>2,200 kg (4,850 lb)</t>
  </si>
  <si>
    <t>1 × Nakajima Kotobuki-2 , 435 kW (580 hp)</t>
  </si>
  <si>
    <t>230 km/h (143 mph, 124 kn)</t>
  </si>
  <si>
    <t>6,389 m (20,950 ft)</t>
  </si>
  <si>
    <t>Imperial Japanese Navy Air Service</t>
  </si>
  <si>
    <t>https://en.wikipedia.org/Imperial Japanese Navy Air Service</t>
  </si>
  <si>
    <t>8.77 m/s (1,726 ft/min)</t>
  </si>
  <si>
    <t>790 km (491 mi, 427 nmi)</t>
  </si>
  <si>
    <t>Henschel Hs 298</t>
  </si>
  <si>
    <t>The Henschel Hs 298 was a 1940s German rocket-powered air-to-air missile designed by Professor Herbert Wagner of Henschel.[1] The Hs 298 was designed specifically to attack Allied bomber aircraft and was the first missile designed specifically for air-to-air use.[1] It was to be carried on special launch rails by Dornier Do 217s (five missiles) or Focke-Wulf Fw 190s (two missiles) and carried 48 kg (106 lb) of explosive,[1] slightly more than the 40.8 kg warheads carried by unguided BR 21 heavy-calibre air-launched rockets in use from the spring of 1943 onwards.  The Hs 298 was a mid-wing monoplane with tapered swept back wings and it had a single horizontal stabiliser with twin vertical fins.[1] It was powered by a Henschel-designed rocket motor built by Schmidding as the 109–543; it had two stages, the first high velocity stage was designed to leave the launch aircraft at 938 km/h (585 mph), in the second stage the speed was brought back to 682 km/h (425 mph) to give a maximum range of about 1.5 km (0.93 mi).[1] It used a Kehl-Straßburg MCLOS radio guidance system (the Funkgerät FuG 203-series Kehl transmitter in the launching aircraft, the FuG 230 Straßburg receiver in the ordnance) powered by a propeller-driven (mounted on the nose) electric generator.[1] The missile needed two crew on the launch aircraft to control it, one operator used a reflector-type sight to aim at the target and the other flew the missile using a joystick on the Kehl transmitter, and another sight paired to the first with a servo system.[1] The only known test firings were carried out on 22 December 1944 with three missiles carried by a Junkers Ju 88G.[1] Only two missiles left the launch rails with one failing to release, of the two released one exploded prematurely and nose-dived into the ground.[1] It was planned to enter mass production in January 1945 but the project was abandoned in favour of the X-4.[1] One Hs 298 is on display at the Royal Air Force Museum Cosford.[1] One Hs 298 is on display at the Smithsonian National Air and Space Museum Steven F. Udvar-Hazy Center.</t>
  </si>
  <si>
    <t>//upload.wikimedia.org/wikipedia/commons/thumb/5/59/Henschel_Hs_298.jpg/300px-Henschel_Hs_298.jpg</t>
  </si>
  <si>
    <t>Rocket-powered air-to-air missile</t>
  </si>
  <si>
    <t>Henschel</t>
  </si>
  <si>
    <t>https://en.wikipedia.org/Henschel</t>
  </si>
  <si>
    <t>Herbert A. Wagner</t>
  </si>
  <si>
    <t>https://en.wikipedia.org/Herbert A. Wagner</t>
  </si>
  <si>
    <t>Hispano HA-100</t>
  </si>
  <si>
    <t>The Hispano HA-100 Triana (named for the district of Seville where the Hispano Aviación plant was located) was a military trainer aircraft developed in Spain in the 1950s. The first aircraft designed by Willy Messerschmitt after World War II, it was a conventional, low-wing cantilever monoplane with retractable tricycle undercarriage. The pilot and instructor sat in tandem. The programme was initiated when the Spanish government issued a requirement in 1951 for a replacement for the Hispano HS-42s and HA-43s then in service. Hispano proposed two versions with different engine power, the HA-100E and HA-100F, the former for basic training, the latter for advanced training, and the construction of two prototypes of each was undertaken. Development was fraught with problems, mostly in obtaining suitable parts, and most particularly with engines. The ENMASA Sirio was originally selected for the HA-100E, but when this proved unavailable, the ENMASA Beta was used instead, a heavier and much more powerful engine than had been wanted for the basic trainer. As it transpired, the performance of this engine was far from satisfactory, and when the second prototype flew in February 1955 (the first HA-100F), it was powered by a Wright R-1300. Flight testing was very positive, and the HA-100 performed well in comparative tests against the American T-28 Trojan, leading to a contract for 40 of the aircraft. However, obtaining engines remained a stumbling block, with Spain unable to afford to import the Wright engine in quantity. Eventually, production ground to a halt, and the decision was taken to scrap the airframes under construction, salvaging only the wings and empennages for use on the HA-200 project. Data from Jane's All The World's Aircraft 1961–62[2]General characteristics Performance</t>
  </si>
  <si>
    <t>Military trainer</t>
  </si>
  <si>
    <t>Spain</t>
  </si>
  <si>
    <t>Hispano Aviación</t>
  </si>
  <si>
    <t>https://en.wikipedia.org/Hispano Aviación</t>
  </si>
  <si>
    <t>Willy Messerschmitt</t>
  </si>
  <si>
    <t>https://en.wikipedia.org/Willy Messerschmitt</t>
  </si>
  <si>
    <t>8.98 m (29 ft 6 in)</t>
  </si>
  <si>
    <t>10.40 m (34 ft 1 in)</t>
  </si>
  <si>
    <t>2.90 m (9 ft 6 in)</t>
  </si>
  <si>
    <t>17.35 m2 (186.8 sq ft)</t>
  </si>
  <si>
    <t>1,970 kg (4,343 lb)</t>
  </si>
  <si>
    <t>2,930 kg (6,460 lb)</t>
  </si>
  <si>
    <t>600 l (130 imp gal; 160 US gal)</t>
  </si>
  <si>
    <t>1 × ENMASA B-4 Beta 9-cylinder radial engine, 563 kW (755 hp)</t>
  </si>
  <si>
    <t>444 km/h (276 mph, 240 kn)</t>
  </si>
  <si>
    <t>381 km/h (237 mph, 206 kn) at 2,900 m (9,500 ft) (70% power)</t>
  </si>
  <si>
    <t>10,250 m (33,630 ft)</t>
  </si>
  <si>
    <t>Spanish Air Force</t>
  </si>
  <si>
    <t>https://en.wikipedia.org/Spanish Air Force</t>
  </si>
  <si>
    <t>104 km/h (65 mph, 56 kn)</t>
  </si>
  <si>
    <t>10.83 m/s (2,132 ft/min)</t>
  </si>
  <si>
    <t>1,323 km (822 mi, 714 nmi)</t>
  </si>
  <si>
    <t>Mitsubishi 2MB1</t>
  </si>
  <si>
    <t>The Mitsubishi 2MB1 (service designation 八七式軽爆撃機, Army Type 87 Light Bomber) was a light bomber produced in Japan in the mid-1920s to equip the Imperial Japanese Army.[1][2] It was developed in parallel to the 2MB2, but while that aircraft featured an innovative and unorthodox design, the 2MB1 was a more conservative approach based closely on the 2MT carrier-based torpedo bomber that was already in production for the Imperial Japanese Navy.[2] Like the 2MT, the 2MB1 was a conventional two-bay biplane with open cockpits in tandem and fixed tailskid undercarriage. The 2MT's Napier engine and side-mounted radiators were exchanged for a Hispano-Suiza engine and frontal radiator, and specific naval features such as folding wings were deleted. The type saw action in the early stages of Japan's Invasion of Manchuria in 1931, but it was found to be obsolete and was soon relegated to training duties.   Data from The Illustrated Encyclopedia of AircraftGeneral characteristics Performance Armament</t>
  </si>
  <si>
    <t>//upload.wikimedia.org/wikipedia/commons/thumb/e/e1/2MB1.jpg/300px-2MB1.jpg</t>
  </si>
  <si>
    <t>Bomber</t>
  </si>
  <si>
    <t>ca 1926</t>
  </si>
  <si>
    <t>Two, pilot and gunner</t>
  </si>
  <si>
    <t>10.00 m (32 ft 10 in)</t>
  </si>
  <si>
    <t>14.80 m (48 ft 7 in)</t>
  </si>
  <si>
    <t>3.63 m (11 ft 11 in)</t>
  </si>
  <si>
    <t>60.0 m2 (646 sq ft)</t>
  </si>
  <si>
    <t>1,800 kg (3,970 lb)</t>
  </si>
  <si>
    <t>3,300 kg (7,280 lb)</t>
  </si>
  <si>
    <t>1 × Hispano-Suiza , 336 kW (450 hp)</t>
  </si>
  <si>
    <t>185 km/h (115 mph, 100 kn)</t>
  </si>
  <si>
    <t>Imperial Japanese Army</t>
  </si>
  <si>
    <t>https://en.wikipedia.org/Imperial Japanese Army</t>
  </si>
  <si>
    <t>Mitsubishi B1M</t>
  </si>
  <si>
    <t>https://en.wikipedia.org/Mitsubishi B1M</t>
  </si>
  <si>
    <t>Nakajima Ki-34</t>
  </si>
  <si>
    <t>The Nakajima Ki-34 was a Japanese light transport of World War II. It was a twin-engine, low-wing monoplane; the undercarriage was of tailwheel type with retractable main units. During the Pacific War, the Allies assigned the type the reporting name Thora. The Ki-34 was originally designed as a civil transport. Nakajima Aircraft Company, which had the license-production rights to the Douglas DC-2, began design work in 1935 on a smaller twin engine airliner for routes which did not have the capacity to justify use of the larger DC-2. The initial design was designated AT-1, and after numerous design iterations, flew as a prototype designated AT-2 on 12 September 1936.[1] The design was all metal, except for the flight control surfaces, which were plywood. The wings used a multi-cell cantilever design. The prototype was fitted with 432 kW (580 hp) Nakajima Kotobuki 2-1 radial engines with fixed pitch wooden propellers, which were replaced in production models with Kotobuki-41 529 kW (710 hp) nine-cylinder radial engines, with variable pitch metal propellers. A total of 32 AT-2s were produced for Imperial Japanese Airways (Dai Nippon Koku KK) and Manchukuo National Airways,[2] operating on scheduled routes between Tokyo and Hsinking, Tokyo and Tianjin, and within Manchukuo. These aircraft remained in operational service until the surrender of Japan in August 1945. With a high demand for increased military transport capability after the start of the Second Sino-Japanese War in 1937, the Imperial Japanese Army adapted the AT-2 design for military use by fitting with more powerful Nakajima Ha-1b radial engines and re-designating the aircraft as the Army Type 97 Transport and Ki-34. The initial 19 aircraft were produced by Nakajima Aircraft, and another 299 aircraft were subsequently produced by the Army-affiliated Tachikawa Hikoki K.K. The final airframe was delivered in 1942. In operational service, the Ki-34 was used as a utility aircraft for liaison and communications duties, and for paratrooper training and Special Forces operations. At a later date, some aircraft were transferred to the Imperial Japanese Navy, where they were known as the Navy Type AT-2 Transport or Nakajima L1N1. Several were also transferred to the air force of the Japanese puppet state of China-Nanjing in 1942. Data from Japanese Aircraft of the Pacific War,[2] Warbirds Resource Group[3]General characteristics Performance 2 Hyphenated trailing letter (-J, -K, -L, -N or -S) denotes design modified for secondary role</t>
  </si>
  <si>
    <t>//upload.wikimedia.org/wikipedia/commons/thumb/5/5d/Nakajima_AT-2.jpg/300px-Nakajima_AT-2.jpg</t>
  </si>
  <si>
    <t>Civil airliner/Light military transport aircraft</t>
  </si>
  <si>
    <t>https://en.wikipedia.org/Civil airliner/Light military transport aircraft</t>
  </si>
  <si>
    <t>15.3 m (50 ft 2 in)</t>
  </si>
  <si>
    <t>19.916 m (65 ft 4 in)</t>
  </si>
  <si>
    <t>4.15 m (13 ft 7 in)</t>
  </si>
  <si>
    <t>49.2 m2 (530 sq ft)</t>
  </si>
  <si>
    <t>5,250 kg (11,574 lb)</t>
  </si>
  <si>
    <t>106.7 kg/m2 (21.9 lb/sq ft)</t>
  </si>
  <si>
    <t>https://en.wikipedia.org/1937</t>
  </si>
  <si>
    <t>IJA Air ForceIJN Air Service Dai Nippon Koku KK Manchukuo National Airways</t>
  </si>
  <si>
    <t>https://en.wikipedia.org/IJA Air ForceIJN Air Service Dai Nippon Koku KK Manchukuo National Airways</t>
  </si>
  <si>
    <t>8 pax</t>
  </si>
  <si>
    <t>2 × Nakajima Kotobuki 41 or Nakajima Ha-1 9-cylinder air-cooled radial piston engines, 530 kW (710 hp)  each for take-off</t>
  </si>
  <si>
    <t>2-bladed variable-ptch propellers</t>
  </si>
  <si>
    <t>360 km/h (220 mph, 190 kn) at 3,360 m (11,020 ft)</t>
  </si>
  <si>
    <t>310 km/h (190 mph, 170 kn)</t>
  </si>
  <si>
    <t>0.2017 kW/kg (0.1227 hp/lb)</t>
  </si>
  <si>
    <t>1,200 km (750 mi, 650 nmi)</t>
  </si>
  <si>
    <t>3,000 m (9,800 ft) in 6 minutes 38 seconds</t>
  </si>
  <si>
    <t>X-41 Common Aero Vehicle</t>
  </si>
  <si>
    <t>X-41 is the designation, initiated in 2003, for a still-classified U.S. military spaceplane. The X-41 is now part of the FALCON (Force Application and Launch from Continental America) program sponsored by DARPA and NASA. Specifications or photos of the X-41 program have not been released to the public; thus little is known about its goals. It has been described as an experimental maneuvering reentry vehicle capable of transporting a 1,000-pound payload on a sub-orbital trajectory at hypersonic speeds and releasing that payload into the atmosphere. The word "Aero" in "Common Aero Vehicle" stood for "aeroshell", not "aerospace", because the CAV was a common aerothermodynamic shell for varying and multiple payloads.[1] The technology necessary for the X-41 is not known and reportedly has yet to be developed. However, it is believed to be a new form of hypersonic propulsion capable of exceeding Mach 7, perhaps reaching Mach 9 (11,000 km/h; 6,900 mph).       This article on an aircraft of the 2000s is a stub. You can help Wikipedia by expanding it.This article about one or more spacecraft of the America is a stub. You can help Wikipedia by expanding it.</t>
  </si>
  <si>
    <t>Experimental maneuvering re-entry vehicle</t>
  </si>
  <si>
    <t>https://en.wikipedia.org/Experimental maneuvering re-entry vehicle</t>
  </si>
  <si>
    <t>DARPA</t>
  </si>
  <si>
    <t>https://en.wikipedia.org/DARPA</t>
  </si>
  <si>
    <t>Experimental research program</t>
  </si>
  <si>
    <t>ANBO IV</t>
  </si>
  <si>
    <t>The ANBO IV was a reconnaissance aircraft used by the Lithuanian Air Force in World War II, designed by Lithuanian aircraft designer Antanas Gustaitis. The Lithuanian ANBO 41 was far ahead of the most modern foreign reconnaissance aircraft of that time in structural features, and most importantly in speed and in rise time.[1] All ANBO 41 aircraft were likely destroyed during World War II.[2] The ANBO IV was developed from the ANBO III trainer. The design was supervised by colonel Antanas Gustaitis. The first flight took place on 14 July 1932, the prototype being powered by a Wasp engine. After successful trials, series production began. Thirteen series-built aircraft were powered by British Bristol Pegasus engines and were manufactured by Lithuanian Aircraft State Factory. It could be armed with two pairs of light machine guns and could carry 200 kg of bombs.[3] ANBO IVs were introduced into Lithuanian Air Force in 1934 and shortly before that a few aircraft made demonstration flights in a few European countries: France, United Kingdom, Soviet Union and most Scandinavian countries. Between 25 June and 29 July 1934, three aircraft commanded by colonel Gustaitis flew 10,000 km (6,200 mi) route. ANBO IV and ANBO 41 aircraft equipped one and two reconnaissance squadrons respectively in Lithuanian Air Force, at the time of the Soviet occupation of the Baltic states in the summer of 1940. A photo exists showing that at least one Anbo IV or Anbo 41 survived this period and was operated by the Luftwaffe during the German occupation. ANBO-41 No.671 of the first serial production in Kaunas (1937) ANBO-IVM of the second series (1935) ANVO IV in an aerodrome Three ANBO-41s ANBO 41 replica as found at Kaunas Aerodrome General characteristics Performance Armament</t>
  </si>
  <si>
    <t>Reconnaissance aircraft</t>
  </si>
  <si>
    <t>14 ANBO IV, 20 ANBO 41</t>
  </si>
  <si>
    <t>{'ANBO IV': 'signation of prototype and 13 serial-built aircraft used for night and day reconnaissance.', 'ANBO 41': 'cond production version with more powerful engine and three-blade wooden propeller. It was then the only aircraft in Europe to employ a wooden three-blade propeller.[citation needed]'}</t>
  </si>
  <si>
    <t>two, pilot and observer</t>
  </si>
  <si>
    <t>8.80 m (28 ft 10 in)</t>
  </si>
  <si>
    <t>13.20 m (43 ft 4 in)</t>
  </si>
  <si>
    <t>29.0 m2 (312 sq ft)</t>
  </si>
  <si>
    <t>1,500 kg (3,310 lb)</t>
  </si>
  <si>
    <t>2,300 kg (5,070 lb)</t>
  </si>
  <si>
    <t>https://en.wikipedia.org/14 July 1932</t>
  </si>
  <si>
    <t>https://en.wikipedia.org/1934</t>
  </si>
  <si>
    <t>1940 (Lithuania)</t>
  </si>
  <si>
    <t>https://en.wikipedia.org/1940 (Lithuania)</t>
  </si>
  <si>
    <t>1 × Bristol Pegasus XXIII , 750 kW (1,010 hp)</t>
  </si>
  <si>
    <t>360 km/h (220 mph, 190 kn)</t>
  </si>
  <si>
    <t>9,000 m (29,500 ft)</t>
  </si>
  <si>
    <t>ANBO III</t>
  </si>
  <si>
    <t>https://en.wikipedia.org/ANBO III</t>
  </si>
  <si>
    <t>6.9 m/s (1,360 ft/min)</t>
  </si>
  <si>
    <t>Avia BH-22</t>
  </si>
  <si>
    <t>The Avia BH-22 was a trainer aircraft built in Czechoslovakia in 1925, based on the BH-21 fighter. A smaller engine was used and armament removed. The lighter engine required the wing stagger to be decreased.  No significant modifications were made to the airframe structure, reduced weight further increasing the ultimate load factor (the BH-21 was designed to 12.5g). Some aeroplanes carried a camera gun. The type saw long service as a special aerobatic trainer and eventually several examples found their way into Czechoslovakia's aero clubs.  General characteristics Performance  Related development</t>
  </si>
  <si>
    <t>//upload.wikimedia.org/wikipedia/commons/thumb/b/bc/Avia_BH-22_L%27A%C3%A9ronautique_December%2C1926.jpg/300px-Avia_BH-22_L%27A%C3%A9ronautique_December%2C1926.jpg</t>
  </si>
  <si>
    <t>Avia</t>
  </si>
  <si>
    <t>https://en.wikipedia.org/Avia</t>
  </si>
  <si>
    <t>Pavel Beneš and Miroslav Hajn</t>
  </si>
  <si>
    <t>https://en.wikipedia.org/Pavel Beneš and Miroslav Hajn</t>
  </si>
  <si>
    <t>one pilot</t>
  </si>
  <si>
    <t>6.87 m (22 ft 6 in)</t>
  </si>
  <si>
    <t>8.90 m (29 ft 2 in)</t>
  </si>
  <si>
    <t>22.0 m2 (237 sq ft)</t>
  </si>
  <si>
    <t>686 kg (1,512 lb)</t>
  </si>
  <si>
    <t>860 kg (1,896 lb)</t>
  </si>
  <si>
    <t>1 × Skoda-built Hispano-Suiza 8Aa , 134 kW (180 hp)</t>
  </si>
  <si>
    <t>216 km/h (134 mph, 116 kn)</t>
  </si>
  <si>
    <t>6,200 m (20,341 ft)</t>
  </si>
  <si>
    <t>3.8 m/s (745 ft/min)</t>
  </si>
  <si>
    <t>Mitsubishi 1MT</t>
  </si>
  <si>
    <t>The Mitsubishi 1MT was a Japanese single-seat triplane torpedo bomber built by Mitsubishi for the Imperial Japanese Navy Air Service. Designed by the former Sopwith designer Herbert Smith it was intended for use aboard the Japanese aircraft carrier Hōshō.[1] The 1MT1N flew for the first time in August 1922 and it entered service as the Navy Type 10 Torpedo Bomber or Carrier Attacker[clarification needed]. 20 aircraft were built, but the aircraft was difficult to fly and unable to operate from an aircraft carrier when carrying a torpedo. The type was soon withdrawn and scrapped.[1] Data from Japanese Aircraft 1910-1941 [2]General characteristics Performance Armament     Related lists</t>
  </si>
  <si>
    <t>//upload.wikimedia.org/wikipedia/commons/thumb/e/ea/Mitsubishi_1MT.jpg/300px-Mitsubishi_1MT.jpg</t>
  </si>
  <si>
    <t>Triplane torpedo bomber</t>
  </si>
  <si>
    <t>https://en.wikipedia.org/Triplane torpedo bomber</t>
  </si>
  <si>
    <t>https://en.wikipedia.org/Japan</t>
  </si>
  <si>
    <t>Herbert Smith</t>
  </si>
  <si>
    <t>https://en.wikipedia.org/Herbert Smith</t>
  </si>
  <si>
    <t>9.78 m (32 ft 1 in)</t>
  </si>
  <si>
    <t>13.26 m (43 ft 6 in)</t>
  </si>
  <si>
    <t>4.46 m (14 ft 7.5 in)</t>
  </si>
  <si>
    <t>43 m2 (463 sq ft)</t>
  </si>
  <si>
    <t>1,370 kg (3,020 lb)</t>
  </si>
  <si>
    <t>2,500 kg (5,511 lb)</t>
  </si>
  <si>
    <t>1 × Napier Lion , 336 kW (450 hp)</t>
  </si>
  <si>
    <t>209 km/h (130 mph, 110 kn)</t>
  </si>
  <si>
    <t>6,000 m (19,680 ft)</t>
  </si>
  <si>
    <t>Nord Norécrin</t>
  </si>
  <si>
    <t>The Nord 1200 Norécrin is a French two or three-seat (later four-seat) cabin monoplane designed and built by Nord Aviation. The Norécrin was developed to meet a French ministry of transport sponsored design competition. The Norécrin is a low-wing cantilever monoplane with a retractable tricycle landing gear and the prototype (Nord 1200) was designed to receive a nose-mounted 75 kW (100 hp) Mathis G4-R piston engine but flew only with a 100 kW (140 hp) Renault 4Pei (first flight on 15 December 1945 with Georges Detre as test pilot). The production version had three-seats and was designated the Nord 1201 Norécrin I. A number of variants were produced with different engines fitted. Later variants had four-seats and the Nord 1203 Norécrin V was a two-seat military variant with machine-guns and rockets. It was a successful design and 378 aircraft were built.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2616.General characteristics Performance</t>
  </si>
  <si>
    <t>//upload.wikimedia.org/wikipedia/commons/thumb/4/4a/Swiss_Air_Force_Nord_1203_Nor%C3%A9crin.jpg/300px-Swiss_Air_Force_Nord_1203_Nor%C3%A9crin.jpg</t>
  </si>
  <si>
    <t>Cabin monoplane</t>
  </si>
  <si>
    <t>Nord Aviation</t>
  </si>
  <si>
    <t>https://en.wikipedia.org/Nord Aviation</t>
  </si>
  <si>
    <t>7.21 m (23 ft 8 in)</t>
  </si>
  <si>
    <t>10.22 m (33 ft 6.25 in)</t>
  </si>
  <si>
    <t>13 m2 (139.93 sq ft)</t>
  </si>
  <si>
    <t>652 kg (1,437 lb)</t>
  </si>
  <si>
    <t>three passengers</t>
  </si>
  <si>
    <t>1 × Regnier 4L-00 air-cooled inverted inline piston-engine , 101 kW (135 hp)</t>
  </si>
  <si>
    <t>280 km/h (174 mph, 151 kn)</t>
  </si>
  <si>
    <t>5,000 m (16,405 ft)</t>
  </si>
  <si>
    <t>900 km (559 mi, 486 nmi)</t>
  </si>
  <si>
    <t>Tupolev Tu-123</t>
  </si>
  <si>
    <t>The Tupolev Tu-123 Yastreb (Hawk, Russian: Ястреб) was one of the earliest Soviet reconnaissance drones that began development in 1960. Sometimes referred to as the "DBR-1", it was introduced into active service in 1964. The Tu-123 was a long-range, high-altitude supersonic strategic unmanned reconnaissance aircraft, in a form reminiscent of a big dart, conceptually somewhat similar to the America' D-21. It carried both film cameras and SIGINT payloads. The Tu-123 was ground-launched with JATO boosting and powered by a KR-15 afterburning turbojet in flight. The KR-15 was a lower-cost, short-life, expendable version of the R-15 engine used on the twin-engine, Mach 3-class Mikoyan-Gurevich MiG-25 Foxbat interceptor. The Tu-123 itself was expendable, parachuting its payload to the ground for recovery. The Tu-123 was a development of the proposed Tupolev Tu-121 supersonic nuclear-armed cruise missile program. After the cancellation of that project in favor of ballistic missiles, the design was modified for a high-altitude reconnaissance role. The project was officially launched on 16 August 1960, under the designation “DBR-1” with the Tupolev Design Bureau designation of “I123K” (later changed to “Tu-123”). Factory testing was completed in September 1961 and flight tests by December 1963. The new UAV entered active service on 23 May 1964. Mass production was at Voronezh Factory Number 64, and from 1964–1972 a total of 52 units were manufactured. The Tu-123 served with Soviet Air Force intelligence units stationed in the western border military districts until 1979. It had (theoretically) the range to cover all of Central and Western Europe, and performed well in training exercises. However, the expense of operating an expendable system was unsatisfactory. This led to the development of the Tu-139 Yastreb 2, a reusable version which could land on unprepared airstrips. It was never put into production.[1] The Tu-123 was gradually removed from service, and replaced by the MiG-25R, a reconnaissance version of the Foxbat. General characteristics Performance      This article contains material that originally came from the web article Unmanned Aerial Vehicles by Greg Goebel, which exists in the Public Domain.</t>
  </si>
  <si>
    <t>//upload.wikimedia.org/wikipedia/commons/thumb/2/21/Tupolev_Tu-123_in_2002.jpg/300px-Tupolev_Tu-123_in_2002.jpg</t>
  </si>
  <si>
    <t>Reconnaissance Drone</t>
  </si>
  <si>
    <t>Tupolev</t>
  </si>
  <si>
    <t>https://en.wikipedia.org/Tupolev</t>
  </si>
  <si>
    <t>none</t>
  </si>
  <si>
    <t>27.84 m (91 ft 4 in)</t>
  </si>
  <si>
    <t>8.41 m (27 ft 7 in)</t>
  </si>
  <si>
    <t>4.78 m (15 ft 8 in)</t>
  </si>
  <si>
    <t>11,450 kg (25,250 lb)</t>
  </si>
  <si>
    <t>35,610 kg (78,520 lb)</t>
  </si>
  <si>
    <t>1 × Tumansky KR-15 , 98.1 kN (22,046 lbf) thrust</t>
  </si>
  <si>
    <t>2,700 km/h (1,675 mph, 1,456 kn)</t>
  </si>
  <si>
    <t>22,800 m (74,800 ft)</t>
  </si>
  <si>
    <t>https://en.wikipedia.org/Soviet Union</t>
  </si>
  <si>
    <t>3,200 km (2,000 mi, 1,700 nmi)</t>
  </si>
  <si>
    <t>out of service</t>
  </si>
  <si>
    <t>1964–1972</t>
  </si>
  <si>
    <t>Potez 540</t>
  </si>
  <si>
    <t>The Potez 540 was a French multi-role aircraft of the 1930s. Designed and built by Potez, it served with the French Air Force as a reconnaissance bomber, also serving with the Spanish Republican Air Force during the Spanish Civil War. Although obsolete as a bomber, it remained in service in support roles and in France's overseas colonies at the start of World War II. This two-engine aircraft was built by the French Potez company to fulfill a 1932 specification for a new reconnaissance bomber. Built as a private venture, this aircraft, designated the Potez 54, flew for the first time on 14 November 1933. Designed by Louis Coroller, it was intended as a four-seat aircraft capable of performing duties such as bomber, transport and long-range reconnaissance. The Potez 54 was a high-wing monoplane, of mixed wood and metal covering over a steel tube frame. The prototype had twin fins and rudders, and was powered by two 515 kW (690 hp) Hispano-Suiza 12Xbrs V-12 engines in streamlined nacelles, which were connected to the fuselage by stub wings. The main landing gear units retracted into the nacelles, and auxiliary bomb racks were mounted beneath the stub wings. There were manually operated turrets at the nose and dorsal positions, as well as a semi-retractable dustbin-style ventral turret. During development, the original tailplane was replaced by a single fin and rudder, and in this form, the type was re-designated the Potez 540 and delivered to the Armee de I'Air on 25 November 1934.[1] A total of 192 Potez 540s were built. Their first combat was in the Spanish Civil War, where they were employed by the Spanish loyalist side. A poor design that was already obsolete just two years after its introduction, when confronted by the higher performance German and Italian planes of the same period, the Potez 540 proved itself a failure in Spanish skies during the Civil War and was labelled as 'Flying Coffin' (Spanish: Ataúd Volante) by Spanish Republican pilots.[2] In the late 1930s, these aircraft were becoming obsolete so they were withdrawn from reconnaissance and bombing duties and were relegated to French transport units. They were also employed as paratrooper training and transport aircraft. By September 1939 and the beginning of World War II, they had been largely transferred to the French colonies in North Africa, where they continued to function in transport and paratrooper service. Their role in even these secondary assignments was problematic given their poor defensive armament and vulnerability to modern enemy fighters. Following the French capitulation to Germany in June 1940, those Potez 540s still flying served the Vichy French Air Force mainly in the French overseas colonies. Most of these machines were retired or destroyed by late 1943. General characteristics Performance Armament   Aircraft of comparable role, configuration, and era  Related lists 2 Hyphenated trailing letter (-J, -K, -L, -N or -S) denotes design modified for secondary role</t>
  </si>
  <si>
    <t>//upload.wikimedia.org/wikipedia/commons/thumb/f/f3/Potez_54.jpg/300px-Potez_54.jpg</t>
  </si>
  <si>
    <t>Reconnaissance/bomber</t>
  </si>
  <si>
    <t>https://en.wikipedia.org/Reconnaissance/bomber</t>
  </si>
  <si>
    <t>Potez</t>
  </si>
  <si>
    <t>https://en.wikipedia.org/Potez</t>
  </si>
  <si>
    <t>{'Potez 540 No. 1': ''}</t>
  </si>
  <si>
    <t>4 to 7 (dependent on whether functioning as transport or bomber)</t>
  </si>
  <si>
    <t>16.2 m (53 ft 2 in)</t>
  </si>
  <si>
    <t>22.1 m (72 ft 6 in)</t>
  </si>
  <si>
    <t>3.88 m (12 ft 9 in)</t>
  </si>
  <si>
    <t>76 m2 (820 sq ft)</t>
  </si>
  <si>
    <t>3,785 kg (8,344 lb)</t>
  </si>
  <si>
    <t>5,950 kg (13,118 lb)</t>
  </si>
  <si>
    <t>2 × Hispano-Suiza 12Xirs V-12 liquid-cooled piston engines, 515 kW (691 hp) each (left hand rotation)</t>
  </si>
  <si>
    <t>310 km/h (190 mph, 170 kn) at 3,962 m (12,999 ft)</t>
  </si>
  <si>
    <t>10,000 m (33,000 ft)</t>
  </si>
  <si>
    <t>French Air Force</t>
  </si>
  <si>
    <t>https://en.wikipedia.org/French Air Force</t>
  </si>
  <si>
    <t>1,250 km (780 mi, 670 nmi)</t>
  </si>
  <si>
    <t>3–5 × 7.5 mm (0.295 in) MAC 1934 machine guns in flexible nose, dorsal, and ventral positions</t>
  </si>
  <si>
    <t>4 × 225 kg (496 lb) bombs on external racks or 10 × 55 kg (121 lbs)</t>
  </si>
  <si>
    <t>Mooney M20</t>
  </si>
  <si>
    <t>The Mooney M20 is a family of piston-powered, four-seat, propeller-driven, general aviation aircraft, all featuring low wings and tricycle gear, manufactured by the Mooney International Corporation.[1][2][3] The M20 was the 20th design from Al Mooney, and his most successful. The series has been produced in many variations over the last 60 years, from the wooden-wing M20 and M20A models of 1955,[3] to the M20V Acclaim Ultra that debuted in 2016. More than 11,000 aircraft in total have been produced. In November 2008, the company announced that it was halting all production as a result of the late-2000s recession, but would still provide parts and support for the existing fleet.[4][5][6][7] With the injection of Chinese capital after the company's purchase, production of the M20 resumed in February 2014. Since then, the company has released two more M20 models.[8] Al Mooney had been developing preliminary designs for the four-seater M20 for some time, while the single-seat M-18 Mite was in production in the late 1940s and early 1950s. When in early 1953 the company moved from Wichita, Kansas, to Kerrville, Texas, and when it became clear that the Mite was nearing the end of its production, development of the M20 accelerated. The first M20 flight took place on September 3, 1953, and it was certified on August 24, 1955.[9] During 1955, the company sold 10 of the M20 airplanes. Due to start-up costs, they lost about $3000 on each airplane. In 1956, they delivered 51 airplanes, and in 1957 the total was 105. The airplane gained attention because it was able to achieve speeds up to 170 miles per hour (270 km/h) with a 150 hp (110 kW) Lycoming O-320 engine. The combination of speed and efficiency was noteworthy.[10] In 1958 the M20A joined the lineup with a larger 180 hp (130 kW) Lycoming O-360-A1A engine, and by 1959, this was the only model offered, with a total sales that year of 231 units. This was the first year the company made a profit. The M20A continued production into 1960, when 166 were delivered. These were the last of the Mooneys to have wooden structures in the wings and tail.[11] Early in the model's history, several incidents of wooden tails breaking up in flight occurred due to water damage and the resulting rot. Consequently, most tails have now been replaced with all-metal copies, as required by Mooney Service Bulletin M20-170A and the FAA Airworthiness Directive 86-19-10. Without the possibility of metal fatigue, the wooden wing has an indefinite life expectancy and is considered by some pilots to provide a smoother ride in turbulence.[12][13] In January 1960, the Mooney company convinced Ralph Harmon to leave McDonnell Aircraft in St. Louis, Missouri, and take over management of the engineering efforts. He insisted on replacing the wood in the M20 with aluminum, and the all-metal M20B was completed by the end of 1960, less than a year after his arrival. In 1961, the company sold 222 M20B airplanes. The following year, the M20C was introduced and 336 were sold that year.[14] Also known as the Mark 21 and later the Ranger,[15] the M20C had several improvements over the M20B, including greater deflection on control surfaces, reduced cowl flap openings for better engine cooling, improved exhaust scavenging with a Hanlon and Wilson exhaust system, new battery access door, more powerful landing light, lightweight floor, an increased gross weight of 2,575 pounds (1,168 kg), lighter empty weight, new instrument panel layout, and a higher maximum flap angle of 33 degrees.[1][16] In 1963, the M20D was introduced, essentially an M20C with fixed landing gear and a fixed-pitch propeller. This had a slightly lower price than the M20C and was intended as a basic or trainer model which would have lower insurance costs and which would compete with the Piper Cherokee 180.[1][3] It could be upgraded with retractable landing gear, and in fact, most of them were upgraded over the years. The M20D was produced from 1963 to 1966 with a total production of 161 units.[17] In 1964 the M20E Super 21 was introduced. It was also based on the M20C but with a more powerful 200 hp (150 kW) Lycoming fuel-injected engine. The company sold 366 M20E units that year.[18] In 1965, a new feature was introduced to the M20. It was called "positive control" and was a single-axis autopilot produced by Brittain Industries. It maintained the wings of the airplane in a level position unless a button on the control wheel was depressed for turns and banks. It was a controversial feature, liked by some pilots and disliked by others.[19][20] Production and sales of the M20 continued to increase. In 1966, a total of 760 units were delivered, including 280 of the M20C Mark 21 planes and 473 of the M20E Super 21s. A new model, the M20F Executive 21, offered more legroom due to a 10-inch (25 cm) increase in cabin length which also allowed for a third fuselage side window.[1][3][16] It had 64 US gallons (240 l) of fuel capacity compared to 52 US gallons (200 l) in earlier models, and grossed an additional 165 pounds (75 kg). This year, the company exceeded $1,000,000 in profits.[21] The M20G Statesman, a version of the M20F with less-powerful 180 horsepower (130 kW) engine, was released in 1968. It had a larger airframe than the M20C, but the same engine, and as a result was slower. It was not as successful as the M20F and was produced for only three years, from 1968 to 1970, with a total production run of 189 units.[22][23] Despite strong sales, Mooney was short of cash. The company went into chapter 7 bankruptcy in early 1969, and was acquired by American Electronics Laboratories and then Butler Aviation International. Sales that year were less than half of the previous year's figures, although a new version of the M20E Chaparral was released with electrically operated flaps and landing gear. Butler Aviation also acquired the troubled Aerostar company and combined it with Mooney in an attempt to save both. The Mooney name was dropped in 1970, as was the M20 designation; the planes were called Aerostars.[24] Butler Aviation closed the Mooney plant in early 1971, and it remained closed for more than two years. In October 1973, Mooney was purchased by Republic Steel. Robert Cumming, a general manager at Republic Steel, had owned a Mooney M20F Executive for years and flew it frequently, and wished to put the Mooney M20 back into production. This began in January 1974 with the reintroduction of the M20F Executive. Roy LoPresti, formerly of Grumman American, had been hired as the vice president of engineering. Through the efforts of his engineering group, various improvements were made to the M20 with the goal of increasing its speed, and the M20J was introduced in July 1976. It was also known as the Mooney 201 because it was capable of 201 miles per hour (323 km/h) with its 200 horsepower (150 kW) engine. The 201 was a big seller, and a turbocharged version was developed later that year. The next year, 1977, three models were offered: the M20C Ranger, the M20F Executive, and the M20J 201. By 1979, the M20C had been dropped, ending production of the short-body M20.[25] The same year, 1979, the company's first turbocharged M20 was released: the M20K 231, so designated because its top speed was 231 miles per hour (372 km/h). It was based on the earlier 201 with further improvements. It had a wider wingspan and a six-cylinder Continental engine, and the fuel capacity was increased to 80 US gallons (300 l; 67 imp gal). This year, a total of 439 airplanes were delivered—fewer than the top years of the 1960s, but these deliveries resulted in healthy profits. From this point through 1986, the M20J and the turbocharged M20K were the only two models offered.[26] General aviation manufacturing experienced a significant downturn starting in 1982. Mooney was affected along with other manufacturers and was forced to downsize through temporary layoffs. Despite the recession, development work continued. The 201 and 231 received more improvements, including significant reductions in cabin noise levels. In 1982, deliveries fell to 218 units, and in 1983 only 154 aircraft were produced. The America Air Force announced a competition to develop a replacement for the Cessna T-41 trainer, and Mooney immediately began to develop a military trainer based on the 231.[27] While the company was dealing with the recession, Republic Steel was acquired by the Ling-Temco-Vought corporation and dropped Mooney. The company ended up in the hands of Armand Rivard of Lake Aircraft and Alexandre Couvelair, a Mooney dealer from Paris. Sales continued to fall, totaling 143 in 1984 and 99 in 1985.[28] The next new model, the M20K 252, appeared in early 1986 with a top speed of 252 miles per hour (406 km/h). It replaced the 231 and achieved its higher speed with the same 210 horsepower (160 kW) engine. It featured a new 28-volt electrical system to power additional equipment and to improve cold-weather starting. The Continental TSI0-360-GB engine in the 231 had required specific pilot training and modified takeoff and climb procedures to operate at acceptable engine temperatures in hot weather. Because of this, the 252 received an intercooled TSIO-360-MB engine. The various improvements were copied to the 201 airframe, and the new 205 model was released in 1987.[1][16] This was followed in 1988 by the M20L PFM, powered by a Porsche PFM 3200 engine which had been developed from the 911 Carrera engine. The maximum speed with this configuration was 161 kn (298 km/h).[29] The fuselage was stretched to form the first long-body M20. One new feature on this airplane was the replacement of the throttle, mixture and propeller controls with a single power control; mixture and propeller rotation speed were automatically adjusted based on the setting of this single control. The Mooney PFM did not last, with a total of 41 units having been manufactured in 1988 and 1989.[30] Most M20Ls no longer use this unique engine, as factory support ceased in 2005.[31] In February 1989, the next M20 model was released: the M20M TLS (Turbocharged Lycoming Sabre). It was powered, as the name hinted, by a turbocharged Lycoming six-cylinder engine that produced 270 horsepower (200 kW) at 2,575 rpm, and it had a three-bladed propeller. It was capable of cruising at 230 miles per hour (370 km/h) and had a range of 1,060 miles (1,710 km) and a maximum climb rate of 2,380 feet (730 m) per minute. The first year, the TLS accounted for 30 of the 143 aircraft delivered, and in 1990, this increased to 61 units.[32] Also in 1989, Mooney released a trainer model based on the M20J. Beech, Cessna, and Piper had all stopped production of trainers throughout the 1980s, and the 201AT was designed to fill this gap. From 1989 to 1992, 20 units were delivered.[33] The next Mooney M20 model was the M20J 201, also designated the MSE, released in 1990 (although few were actually delivered prior to 1991). This was a 200 horsepower (150 kW) non-turbocharged model that incorporated many features from the TLS. In early 1991, Mooney decided to offer its Enhanced Flight Screener Trainer model to the general public, given that the Air Force was slow to make a decision on its trainer. It was to have a 260 horsepower (190 kW) Lycoming O-540 engine and would be rated for aerobatics. However, it generated little public interest. The TLS continued production through 1995, and the MSE continued, too, until it was replaced by the M20R Ovation in 1994. Once again, Mooney was offering two models: one offering high speed (the TLS) and the other offering high efficiency.[34] The M20T Predator, a canopy-equipped version of the basic M20 design powered by a Lycoming AEIO-540 engine, was Mooney's entrant in the USAF Enhanced Flight Screener competition. The prototype, built in 1991, displayed in a tiger-stripe paint scheme. The sole prototype, registered N20XT, was flown in the Experimental – Market Survey category and was still owned by Mooney Aircraft in 2013, although its registration had expired November 30, 2013.[35][36][37] The competition for the Enhanced Flight Screener program was finally held in 1992, and the Slingsby T67 Firefly was chosen instead of the Mooney EFS. Sales continued to drop, only reaching 64 units in 1993. The San Antonio location was sold and all operations returned to Kerrville. Development of the M20 continued, however, and the M20R Ovation was released in 1994. It was designed to fill a gap between the normally aspirated MSE and the turbocharged TLS, and it was powered by a 280 horsepower (210 kW) Continental IO-550 engine. Of the 91 Mooney aircraft manufactured in 1995, 54 were Ovations.[38] This model was named Flying's single-engine plane of the year in 1994.[16] The following year, an upgraded model of the TLS with a more powerful Lycoming TIO-540-AF1B engine, was designated the M20M, but also was referred to as the "Bravo" due to the new B engine. This upgrade was offered to owners of earlier TLS models that had the TIO-540-AF1A engine. Soon after the release of the Bravo, the TKS ice protection system was offered for the Bravo and Ovation models. The M20K Encore was released in 1997, an M20K with more horsepower and a higher gross weight, giving it performance similar to the original M20K. It also had an improved interior and reduced cabin noise levels.[39] The M20S Eagle, released in 1999, was powered by a 244 hp (182 kW) Continental IO-550-G. It was followed in 2001 by the Eagle 2. This model included refinements such as a  standard leather interior. The Eagle 2 also used the same 3 blade propeller as the original versions of the M20R and was produced from 1994 to 1999.[40] The M20TN Acclaim was released in 2006, powered by a turbonormalized Continental TSIO-550-G powerplant with twin turbochargers and dual intercoolers. The Acclaim replaced the Mooney M20M Bravo in the company product line.[35][41] Mooney laid off 60 employees in June 2008 and cut production, citing a weak economy and sales inhibited by high fuel prices.[42] Later that year, in November, all production was halted.[4] In July 2008, Mooney signed a memorandum of understanding with Rolls-Royce to develop a version of the M20 that was to have been powered by the Rolls-Royce RR500 TP turboprop powerplant. The project was announced as being a joint "marketing investigation" and "exploration project", but does not appear to have come to fruition.[43] More employees were laid off in late 2010. The stated goal was to have fewer than 10 employees at the start of 2011, with these employees providing parts and support to existing aircraft owners while the company searched for new investment.[5] This search ended in late 2013; Chinese investment enabled the company to resume production in early 2014.[44][45] Later that year, the M10T and the M10J were announced, both to be powered by Continental diesel engines.[46][47] Two new models were released in 2016: the M20U Ovation Ultra and the M20V Acclaim Ultra. The M20U was based on the M20R and its first flight was on 4 June 2016. It was the first M20 to have a pilot-side door. It also featured a composite shell forward fuselage which replaced the traditional aluminum skin. The M20V, which was developed from the M20TN Acclaim, had those features, as well.[48][49] The company closed its doors and laid off all staff on 12 November 2019.[50] The company reopened and staff returned to work on 2 December 2019.[51] With the exception of the earliest models which had wings and tails with wooden frames, M20s are constructed entirely of metal. All are low-wing aircraft, and the wing skin is aluminum. Slotted flaps cover 70% of the trailing edge. Earlier models use a hydraulic hand pump to extend the flaps, while later models have electrically operated flaps. The forward fuselage has a steel-tube cabin structure covered in aluminum skin; the aft portion of the fuselage is of semi-monocoque design. In many places on the skin of the airplane, flush-mounted rivets are used to reduce drag.[52] The landing gear on the Mooney M20 are made of heat-treated chrome-molybdenum steel. The main landing gear is attached to the main wing spar, while the nose gear is mounted to the tubular steel frame. Stacks of rubber shock discs act as shock absorbers. All models, with the exception of the M20D Master, came with retractable landing gear; on these models, the nose wheel retracts rearwards and the main wheels retract inwards. Early models use a hand-operated lever system to raise and lower the gear.  The manually actuated landing gear are raised by unlocking the lever from just below the throttle, which is called a "Johnson Bar" and is named after the Johnson Bar (locomotive), rotating it to the floor, and locking it into a fixture on the floor. Lowering the landing gear require the same operations in opposite order.   Interestingly, the Al Mooney got his start working as young man for the railroad industry, hence the borrowing of a steam locomotive term for use in describing part of an aircraft.[53][52] Starting in 1969, electrically operated landing gear became standard.[54] The Mooney M20 has medium aspect-ratio tapered wings with 1.5 degrees of washout and 5.5 degrees of dihedral. Later models were equipped with stall strips to improve the stall characteristics.[52] The empennage of the Mooney M20 is easily recognizable by its unique tail fin with a vertical leading edge. (The tail fin looks as though it is "leaning forward", but it is approximately vertical in level flight, depending on trim setting.) The horizontal tailplane, which consists of fixed stabilizers and trailing elevators, has no trim tabs. The entire tail assembly pivots at the rear of the fuselage to provide pitch trim.[55] All M20s store fuel in two separate "wet wing" tanks, which are located in the inboard sections of each wing. Fuel is driven from the tank to the injectors or carburetor by an engine-driven pump, backed up with an electric boost pump.[55] For increased power, many M20s also have a ram-air induction system, called the Mooney "Power Boost". For normal operations, the intake air is filtered before it enters the induction system. When ram air is selected, partially unfiltered air enters the induction system with a higher pressure and consequently the manifold pressure increases about a full inch of mercury flying at 7500 feet above mean sea level, giving a greater power output.[55] The turbocharged variants omit this feature, as the turbocharger provides a far greater increase in manifold pressure. The Mooney M20 series has been produced in three fuselage lengths: the "short-body" (M20 through M20E), "medium-body" (M20F through M20K), and "long-body" (M20L through M20V). Although all M20s have four seats, the fuselage length increase provided more rear passenger legroom, but with a slight performance decrease: for a similar engine and vintage, a long-body plane is 4 to 6 knots slower than the short-body plane.[56] In August 2017, 6,748 Mooney M20 aircraft were registered with US Federal Aviation Administration, 342 with Transport Canada, and 33 in the United Kingdom with the Civil Aviation Authority.[57][58][59] In June and July, 2017, pilot Brian Lloyd flew his Mooney M20K 231 around the world, commemorating Amelia Earhart's attempted circumnavigation which took place 80 years earlier in 1937. Lloyd followed a route similar to the one taken by Earhart.[60] Mooneys derive their performance from a clean airframe, small cabin cross-section, and drag reducing refinements over the years. Many of these refinements are supplemental type certificate (STC) modifications to the airframe developed by aftermarket businesses. Some of these modifications have been incorporated into the factory production models. In 1990, Rocket Engineering Corp. of Spokane, Washington, modified an M20K 231 model by replacing the standard turbocharged 210 hp (160 kW) Continental TSIO-360 engine and two-blade propeller with a turbocharged 305 hp (227 kW) Continental TSIO-520-NB and a McCauley three-blade propeller. This engine and propeller combination had previously been proven on the twin-engined Cessna 340 and Cessna 414. Marketed as the Rocket 305, this variant delivered a 228-knot speed and 1,600 feet/minute rate of climb.[62] This significantly increased performance, but at the expense of higher fuel consumption. The 305 Rocket STC represented a .mw-parser-output .frac{white-space:nowrap}.mw-parser-output .frac .num,.mw-parser-output .frac .den{font-size:80%;line-height:0;vertical-align:super}.mw-parser-output .frac .den{vertical-align:sub}.mw-parser-output .sr-only{border:0;clip:rect(0,0,0,0);height:1px;margin:-1px;overflow:hidden;padding:0;position:absolute;width:1px}2+1⁄2 year certification effort, including 1,000 flight test hours. The plane passed all FAA flight test requirements, including spin, flutter, load, cooling, and noise tests. The STC covered both the 231 and 252 M20K variants. While the 231 and 252 had a maximum certified altitude of 24,000 ft (7,300 m) and 28,000 ft (8,500 m), respectively, the engineering goal of the Rocket 305 was certification for a maximum altitude of 31,000 ft (9,500 m). Extending the altitude in the STC was abandoned due to cost/benefit considerations versus the difficulty of demonstrating compliance with the FAA requirements, plus required changes to the supplemental oxygen systems in this unpressurized aircraft. The aircraft will, however, climb at nearly 1,000 ft/min above 24,000 ft (7,300 m). The Rocket conversion was discontinued by Rocket Engineering.[63] The production-version Mooney Acclaim now delivers faster speeds. As Rockets are available in the used market for about one-third the cost of a new Acclaim, it maintains its popularity among a small market niche. The Mooney Super M20E is the aircraft most closely associated with Robin Miller, an Australian female pilot known as the "Sugar Bird Lady" for her work in distributing the polio vaccine across Australia.[64][65] These are the specifications for the 2016 M20 Acclaim Ultra. Data from Mooney website[66]General characteristics Performance   Aircraft of comparable role, configuration, and era</t>
  </si>
  <si>
    <t>//upload.wikimedia.org/wikipedia/commons/thumb/b/bf/Mooney.m20j.g-muni.arp.jpg/300px-Mooney.m20j.g-muni.arp.jpg</t>
  </si>
  <si>
    <t>Personal use civil aircraft</t>
  </si>
  <si>
    <t>Mooney International Corporation</t>
  </si>
  <si>
    <t>https://en.wikipedia.org/Mooney International Corporation</t>
  </si>
  <si>
    <t>Al Mooney</t>
  </si>
  <si>
    <t>https://en.wikipedia.org/Al Mooney</t>
  </si>
  <si>
    <t>&gt;11,000</t>
  </si>
  <si>
    <t>26 ft 8 in (8.13 m)</t>
  </si>
  <si>
    <t>36 ft 6 in (11.13 m)</t>
  </si>
  <si>
    <t>8 ft 4 in (2.54 m)</t>
  </si>
  <si>
    <t>2,380 lb (1,080 kg)</t>
  </si>
  <si>
    <t>3,380 lb (1,533 kg)</t>
  </si>
  <si>
    <t>1,000 lb (454 kg) useful load or three passengers</t>
  </si>
  <si>
    <t>1 × Continental TSIO-550-G air-cooled, 6-cylinder, horizontally opposed piston engine, 280 hp (209 kW)</t>
  </si>
  <si>
    <t>3-bladed Hartzell Scimitar Three-Blade</t>
  </si>
  <si>
    <t>242 kn (278 mph, 448 km/h) (TAS)</t>
  </si>
  <si>
    <t>Mooney M-18 Mite</t>
  </si>
  <si>
    <t>https://en.wikipedia.org/Mooney M-18 Mite</t>
  </si>
  <si>
    <t>53 kn (61 mph, 98 km/h)</t>
  </si>
  <si>
    <t>1,100 nmi (1,300 mi, 2,000 km) (standard tanks)</t>
  </si>
  <si>
    <t>Production completed</t>
  </si>
  <si>
    <t>1955–1971, 1974–2008, 2014–2019</t>
  </si>
  <si>
    <t>3,368 lb (1,528 kg)</t>
  </si>
  <si>
    <t>R101</t>
  </si>
  <si>
    <t>R101 was one of a pair of British rigid airships completed in 1929 as part of a British government programme to develop civil airships capable of service on long-distance routes within the British Empire. It was designed and built by an Air Ministry–appointed team and was effectively in competition with the government-funded but privately designed and built R100. When built, it was the world's largest flying craft[2] at 731 ft (223 m) in length, and it was not surpassed by another hydrogen-filled rigid airship until the LZ 129 Hindenburg was launched seven years later. After trial flights and subsequent modifications to increase lifting capacity, which included lengthening the ship by 46 ft (14 m) to add another gasbag,[3] the R101 crashed in France during its maiden overseas voyage on 5 October 1930, killing 48 of the 54 people on board.[4] Among the passengers killed were Lord Thomson, the Air Minister who had initiated the programme, senior government officials, and almost all the dirigible's designers from the Royal Airship Works. The crash of R101 effectively ended British airship development, and was one of the worst airship accidents of the 1930s. The loss of life was more than the 36 killed in the highly publicized Hindenburg disaster of 1937, though fewer than the 52 killed in the French military Dixmude in 1923, and the 73 killed when the USS Akron crashed in the Atlantic Ocean off the coast of New Jersey in 1933. R101 was built as part of a British government initiative to develop airships to provide passenger and mail transport from Britain to the most distant parts of the British Empire, including India, Australia and Canada, since the distances were then too great for heavier-than-air aircraft. The Burney Scheme of 1922 had proposed a civil airship development programme to be carried out by a specially-established subsidiary of Vickers with the support of the British government. The scheme drew support from the Air Ministry, which sought more airships and a base in India. The Admiralty added that it would forego some light cruisers of which it was very short. However, Prime Minister Lloyd George's government decided it could not afford to support the Burney Scheme.[5] When the 1923 general election brought Ramsay MacDonald’s Labour administration to power, the new Air Minister, Lord Thomson, formulated the Imperial Airship Scheme in place of the Burney Scheme.[6] It called for the building of two experimental airships: one, R101, to be designed and constructed under direction of the Air Ministry, and the other, R100, to be built by a Vickers subsidiary, the Airship Guarantee Company, under a fixed-price contract. They were nicknamed the "Socialist Airship" and the "Capitalist Airship", respectively.[7][page needed] In addition to the building of the two airships, the Imperial Airship Scheme involved the establishment of the necessary infrastructure for airship operations; for example, the mooring masts used at Cardington, Ismalia, Karachi and Montreal had to be designed and built, and the meteorological forecasting network extended and improved.[8] Specifications for the airships were drawn up by an Air Ministry committee, whose members included Squadron Leader Reginald Colmore and Lieutenant-Colonel V.C. Richmond,[9] both of whom had extensive experience with airships, most of them non-rigid. They called for airships of not less than five million cubic feet (140,000 m³) capacity and a fixed structural weight not to exceed 90 tons, giving a "disposable lift" of nearly 62 tons. With the necessary allowance of about 20 tons for the service load consisting of a crew of approximately 40, as well as stores and water ballast, this allowed a possible fuel and passenger load of 42 tons.[citation needed] Accommodation for 100 passengers and tankage for 57 hours' flight was to be provided, and a sustainable cruise speed of 63 mph (101 km/h) and maximum speed of 70 mph (110 km/h) were called for.[10] In wartime, the airships would be expected to carry 200 troops or possibly five parasite fighter aircraft. Vickers' design team was led by Barnes Wallis, who had extensive experience of rigid airship design and later became famous for the geodetic framework of the Wellington bomber and for the bouncing bomb. His principal assistant (the "Chief Calculator"), Nevil Shute Norway, later well known as the novelist Nevil Shute, later gave his account of the design and construction of the two airships in his 1954 autobiography, Slide Rule: Autobiography of an Engineer. Shute's book characterises R100 as a pragmatic and conservative design, and R101 as extravagant and overambitious, but one purpose of having two design teams was to test different approaches, with R101 deliberately intended to extend the limits of existing technology.[11] Shute later admitted that many of his criticisms of the R101 team were unjustified.[12] An extremely-optimistic timetable was drawn up, with construction of the government-built R101 to begin in July 1925 and be complete by the following July, with a trial flight to India planned for January 1927.[13] In the event, the extensive experimentation that was necessary delayed the start of construction of R101 until early 1927. R100 was also delayed, and neither flew until late 1929. The entire airship programme was under the direction of the Director of Airship Development (DAD), Group Captain Peregrine Fellowes, with Colmore acting as his deputy. Lieutenant-Colonel Richmond was appointed Director of Design: later he was credited as "Assistant Director of Airship Development (Technical)"[14] with Squadron Leader Michael Rope as his assistant. The Director for Flying and Training, responsible for all operational matters for both airships, was Major G.H. Scott, who had developed the design of the mooring masts that were to be built. Work was based at the Royal Airship Works at Cardington, Bedfordshire, which had been built by Short Brothers during the First World War and had been employed by the Admiralty to copy and improve on the latest German designs from captured rigid airships. The Works had been nationalised in 1919, but after the loss of the R38 (then in the process of being transferred to the US as ZR2), naval airship development was stopped and it had been placed on a care and maintenance basis. R101 was to be built only after completion of an extensive research and test programme by the National Physical Laboratory (NPL). As part of this programme, the Air Ministry funded the costs of refurbishing and flying R33 in order to gather data about structural loads and the airflow around a large airship.[10] This data was also made available to Vickers;[15] both airships had the same elongated tear-drop shape, unlike previous designs. Hilda Lyon, who was responsible for the aerodynamic development, found that this shape produced the minimum amount of drag.[16][17] Safety was a primary concern and this would have an important influence on the choice of engines. An early decision had been made to construct the primary structure largely from stainless steel rather than lightweight alloys such as duralumin. The design of the primary structure was shared between Cardington and the aircraft manufacturer Boulton and Paul, who had extensive experience in the use of steel and had developed innovative techniques for forming steel strip into structural sections. Working to an outline design prepared with the help of data supplied by the NPL, the stress calculations were performed by Cardington. This information was then supplied to J.D. North and his team at Boulton and Paul, who designed the metalwork.[18] The individual girders were fabricated by Boulton and Paul in Norwich, and transported to Cardington where they were bolted together. This scheme for a prefabricated structure entailed demanding manufacturing tolerances and was entirely successful, as the ease with which R101 was eventually extended bears witness. Before any contracts for the metalwork were signed, an entire bay consisting of a pair of the 15-sided transverse ring frames and the connecting longitudinal girders was assembled at Cardington. After the assembly had passed loading tests, the individual girders were then tested to destruction. The structure of the airframe was innovative: the ring-shaped transverse frames of previous airships had been braced by radial wires meeting at a central hub, but no such bracing was used in R101, the frames being stiff enough in themselves.[19] However, this resulted in the structure extending further into the envelope, thereby limiting the size of the gasbags. The specifications drawn up in 1924 by the Committee for the Safety of Airships had based weight estimates on the then-existing rules for airframe strengths. However, the Air Ministry Inspectorate introduced a new set of rules for airship safety standards in late 1924 and compliance with these as-yet unformulated rules had been explicitly mentioned in the individual specifications for each airship.[20] These new rules called for all lifting loads to be transmitted directly to the transverse frames rather than being taken via the longitudinal girders.[21] The intention behind this ruling was to enable the stressing of the framework to be fully calculated, rather than relying on empirically accumulated data, as was contemporary practice at the Zeppelin design office. Apart from the implications for the airframe weight, one effect of these regulations was to force both teams to contrive a new system of harnessing the gasbags. R101's patented "parachute" gasbag harnessing, designed by Michael Rope, proved less than satisfactory, permitting the bags to surge unduly, particularly in rough weather.[22][failed verification] This caused the gasbags to chafe against the structure, tearing holes in the fabric. Another effect was that both R100 and R101 had a relatively small number of longitudinal girders in order to simplify the stress calculations.[citation needed] R101 used pre-doped linen panels for much of its covering, rather than lacing undoped fabric into place and then applying dope to shrink it. In order to reduce the area of unsupported fabric in the covering, the design alternated the main longitudinals with non-structural "reefing booms" mounted on kingposts which were adjustable using screw-jacks in order to tension the covering.[23] The pre-doped fabric proved unsatisfactory from the start, with panels splitting because of humidity changes before the airship had even left its shed.[24] There were other innovative design features. Previously, ballast containers had been made in the form of leather "trousers", and one or other leg could be opened at the bottom by a cable-release from the control car. In R101, the extreme forward and aft ballast bags were of this type, and were locally operated, but the main ballast was held in tanks connected by pipes so that ballast could be transferred from one to another to alter the airship's trim using compressed air.[25] The arrangement for ventilating the interior of the envelope, necessary both to prevent any build-up of escaped hydrogen and also to equalise pressure between the outside and inside, was also innovative. A series of flap-valves were situated at the nose and stern of the airship cover (those at the nose are clearly visible in photographs) to allow air to enter when the airship was descending, while a series of vents was arranged around the circumference amidships to allow air to exit during ascent.[24] Heavy oil (diesel) engines were specified by the Air Ministry because the airship was intended for use on the India route, where it was thought that high temperatures would make petrol an unacceptable fire hazard because of its low flash point. A petrol explosion had been a major cause of fatalities in the loss of R38 in 1921.[26] Initial calculations were based on the use of seven Beardmore Typhoon six-cylinder heavy-oil engines which were expected to weigh 2,200 lb (1,000 kg) and deliver 600 bhp (450 kW) each.[27] When the development of this engine proved impractical, the use of the eight-cylinder Beardmore Tornado was proposed instead. This was an engine being developed by Beardmore, combining two four-cylinder engines which had originally been developed for railway use. In March 1925 these were expected to weigh 3,200 pounds (1,500 kg) and deliver 700 bhp (520 kW) each. Because of the increased weight of each engine, it was decided to use five, resulting in overall power being reduced from 4,200 bhp (3,100 kW) to 3,500 bhp (2,600 kW).[citation needed] Severe torsional resonance of the crankshaft was encountered above 950 rpm, limiting the engine to a maximum of 935 rpm, giving an output of only 650 bhp (485 kW) with a continuous power rating at 890 rpm of 585 bhp (436 kW).[28] The engine was also considerably above estimated weight, at 4,773 lb (2,165 kg), over double the initial estimate.[28] Some of this excess weight was the result of the failure to manufacture a satisfactory lightweight aluminium crankcase.[29] The original intention had been to fit two of the engines with variable-pitch propellers in order to provide reverse thrust for maneuvering during docking. The torsional resonance caused the hollow metal blades of the reversing propellers to develop cracks near the hubs,[30] and as a short term measure one of the engines was fitted with a fixed-pitch reverse propeller, consequently becoming dead weight under normal flight conditions. [N 1] For the airship's final flight, two of the engines were adapted to be capable of running in reverse by a simple modification of the camshaft.[32] Each engine car also contained a 40 bhp (30 kW) Ricardo petrol engine for use as a starter motor. Three of these also drove generators to provide electricity when the airship was at rest or flying at low speeds: at normal flight speeds the generators were driven by constant-speed variable-pitch windmills. The other two auxiliary engines drove compressors for the compressed air fuel and ballast transfer system. Before the final flight, one of the petrol engines was replaced by a Beverly heavy oil engine; to lessen the risk of fire, the petrol tanks could be jettisoned.[33] Diesel fuel was contained in tanks in the transverse frames, the majority of the tanks having a capacity of 224 imp gal (1,018 l). A mechanism was provided for dumping fuel directly from the tanks in an emergency. By the use of tankage provided for weight compensation, when travelling with a light passenger load a total fuel load of 10,000 imp gal (45,000 l) could be carried.[34] In normal service, R101 carried a crew of 42. This consisted of two watches of 13 men under the officer of the watch, this duty being divided among the three principal ship's officers. In addition there were the chief navigator, the meteorological officer, the chief coxswain, the chief engineer, the chief wireless officer and the chief steward, who were not assigned to watches but were on duty as necessary, and four supernumeraries (three engineers and a radio operator) who were available to provide relief watch keeping if necessary, and an assistant steward, a cook and a galley boy who were on duty as required between 06:30 and 21:30.[35] The minimum crew requirement, as specified in the airship's Certificate of Airworthiness, was 15 men. The control car was occupied by the duty officer of the watch and the steering and altitude coxswains, who respectively controlled the rudder and elevators using wheels similar to a ship's wheel. The engines were individually controlled by an engineer in each of the engine cars, orders being given by an individual telegraph to each car. These moved an indicator in the engine car to signal the desired throttle setting and also rang a bell to draw attention to the fact that an order had been transmitted.[citation needed] The passenger accommodation was spread over two decks within the envelope and as first designed included 50 passenger cabins for one, two, or four people, a dining room for 60 people,[citation needed] two promenade decks with windows down the sides of the airship, a spacious lounge of 5,500 square feet (510 m2)[2] and an asbestos-lined smoking room for 24 people. Most of the passenger space was on the upper deck, with the smoking room, kitchen and washrooms, crew accommodation, as well as the chart room and radio cabin on the lower deck.[36] The control car was immediately under the forward section of the lower deck and was reached by a ladder from the chart room.[citation needed] Walls were made of doped linen painted in white and gold. Weight-saving measures included wicker furniture and aluminium cutlery. The promenade windows were lightweight "Cellon" instead of the intended glass, and one set was removed as part of later weight-saving measures.[citation needed] The lengthy process of inflating the R101's hydrogen gasbags began on 11 July 1929 and was complete by 21 September. With the airship now airborne and loosely tethered within the shed, it was now possible to carry out lift and trim trials. These were disappointing. A design conference held on 17 June 1929 had estimated a gross lift of 151.8 tons and a total airframe weight, including the power installation, of 105 tons. The actual figures proved to be a gross lift of 148.46 tons and a weight of 113.6 tons.[37] Moreover, the airship was tail-heavy, a result of the tail surfaces being considerably above estimated weight. In this form, a flight to India was out of the question. Airship operations under tropical conditions were made more difficult by the loss of lift in high air temperatures: the loss of lift in Karachi (then part of British India) was estimated to be as much as 11 tons for an airship the size of R101.[38] On 2 October the press were invited to Cardington to view the finished airship.[39] However, weather conditions made it impossible to take it out of the shed until 12 October, when it was walked out by a ground-handling party of 400. The event attracted a huge number of spectators, with surrounding roads a solid line of cars. The moored airship continued to attract spectators, and it was estimated that more than a million people had made the trip to Cardington to see R101 at the mast by the end of November.[40] The flying programme was influenced by the Air Ministry's need to generate favourable publicity, illustrating the political pressures which weighed upon the programme. Noël Atherstone, the first officer, commented in his diary on 6 November: "All these window-dressing stunts and joy-rides before she has got an Airworthiness Certificate are quite wrong, but there is no-one in the RAW [Royal Airship Works] executive who has got the guts to put their foot down and insist on trials being free of joy-rides".[41] Atherstone's remarks were occasioned by a lunch held on the airship for delegates to a conference on empire legislation, but there were several similar occasions.[citation needed] R101 made its first flight on 14 October. After a short circuit over Bedford, course was set for London, where it passed over the Palace of Westminster, St Paul's Cathedral and the City, returning to Cardington after a flight lasting five hours 40 minutes. During this flight the servos were not used, without any difficulty being experienced in controlling the airship.[42] A second flight lasting nine hours 38 minutes followed on 18 October, with Lord Thomson among the passengers, after which R101 was briefly returned to the shed to enable some modifications to be made to the starting engines.[40] A third flight lasting seven hours 15 minutes was made on 1 November, during which it was flown at full power for the first time, recording a speed of 68.5 mph (110.2 km/h):[43] even at full speed it was not found necessary to use the control servos. During this flight, it circled over Sandringham House, observed by King George V and Queen Mary, flew on to the previous Secretary of State for Air's country house near Cromer, then to Norwich over Boulton &amp; Paul's works and aerodrome before returning by Newmarket and Cambridge.[44] On 2 November the first night flight was made, slipping the mast at 20:12 before heading south to fly over London and Portsmouth before attempting a speed trial over a 43 mi (69 km) circuit over the Solent and the Isle of Wight. These trials were frustrated by pipe breakages in the cooling systems of two of the engines, a problem later solved by replacing the aluminium piping with copper. It returned to Cardington around 09:00, the mooring operation ending in a minor accident, damaging one of the reefing booms at the bow.[45] On 8 November, a short flight – purely for public relations purposes – was made, carrying 40 passengers, including the Mayor of Bedford and various officials. To accommodate this load, the airship was flown with only a partial fuel and ballast load and was inflated to a pressure height of 500 ft (150 m). In Atherstone's words, it "staggered round the vicinity of Bedford for a couple of hours" before returning to the mast. Two days later, the wind began to rise and gales were forecast. On 11 November, the wind touched 83 mph (134 km/h), with a maximum gust speed of 89 mph (143 km/h). Although the ship's behaviour at the mast gave cause for a good deal of satisfaction, there was nevertheless some cause for concern. The movement of the ship had caused considerable movement of the gasbags, the surging being described by Coxswain "Sky" Hunt as being around four inches (ten cm) from side to side and "considerably more" longitudinally. This caused the gasbags to foul the framework, and the resulting chafing caused the gasbags to be holed in many places.[46] A sixth flight was made on 14 November, to test the modifications that had been made to the cooling system and the repairs to the gasbags, carrying a load of 32 passengers, including 10 MPs with a special interest in aviation and a party of Air Ministry officials headed by Sir Sefton Brancker, the Director of Civil Aviation.[47] On 16 November, it had been planned to carry out a demonstration flight for a party of 100 MPs, a scheme that had been suggested by Lord Thomson in the expectation that few would wish to take advantage of the offer; in the event, it was oversubscribed.[48] The weather on the day was unfavourable, and the flight was rescheduled. The weather then cleared, and on the following day, R101 slipped the mast at 10:33 to carry out an endurance trial, planned to last at least thirty hours. R101 passed over York and Durham before crossing the coast and flying over the North Sea as far north as Edinburgh, where it turned west towards Glasgow. During the night, a series of turning trials were made over the Irish Sea, after which the airship was flown south to fly over Dublin (the home town of R101's Captain, Carmichael Irwin) before returning to Cardington via Anglesey and Chester. After some delay in finding Cardington owing to fog, R101 was secured to the mast at 17:14, after a flight lasting 30 hours 41 minutes. The only technical problem encountered during the flight was with the pump for transferring fuel, which broke down several times, although subsequent examination of the engines showed that one was on the point of suffering a failure of a big end bearing.[49] The flight for the MPs had been rescheduled for 23 November. With the barometric pressure low, R101 lacked sufficient lift to carry 100 passengers, even though all but a bare minimum of fuel was drained off and the ship lightened by removing all unnecessary stores. The flight was cancelled because of the weather, but not before the politicians had arrived at Cardington: they accordingly embarked and had lunch while the ship rode at the mast, only kept in the air by dynamic lift produced by the 45 mph (72 km/h) wind.[50] Following this, R101 remained at the mast until 30 November, when the wind had dropped enough for it to be walked back into the shed. While the initial flight trials were being carried out, the design team examined the lift problem. Studies identified possible weight savings of 3.16 tons. The weight-saving measures included deleting twelve of the double-berth cabins, removing the reefing booms from the nose to frame 1 and between frames 13 to 15 at the tail, replacing the glass windows of the observation decks with Cellon, removing two water ballast tanks, and removing the servo mechanism for the rudder and elevators.[51] Letting the gasbags out would gain 3.18 tons extra lift, although Michael Rope considered this unwise,[52] since there were thousands of exposed fixings protruding from the girders; chafing of the gasbags would have to be prevented by wrapping these in strips of cloth. To further increase lift, an extra bay of 500,000 cu ft (14,000 m3) capacity could be installed. This would deliver an extra nine tons disposable lift. After much consultation, all these proposed measures were approved in December. Letting out the gasbags and the weight-saving measures were begun. Delivery by Boulton &amp; Paul of the metalwork for the extra bay was expected to take place in June.[citation needed] R101's outer cover was also giving cause for concern. An inspection on 20 January 1930 by Michael Rope and J. W. W. Dyer, head of the Fabric Section at Cardington, revealed serious deterioration of the fabric on the top of the airship in areas where rainwater had accumulated, and a decision was made to add reinforcement bands along the whole length of the envelope. Further tests undertaken by Rope had shown that its strength had deteriorated alarmingly. The original specified strength for the cover was a breaking strain of 700 lb per foot run (10 kN/m): the actual strength of samples was at best 85 lb (1.24 kN/m). The calculated load at a speed of 76 mph (122 km/h) was 143 lb per foot run (2.09 kN/m). A further inspection of the cover on 2 June found many small tears had developed.[53] An immediate decision was taken to replace the pre-doped cover with a new cover which would be doped after fitting. This would take place following the flights which had been planned for June with the purpose of displaying R101 to the public at the Hendon Air Show;[citation needed] for these flights, the cover would be further reinforced. Confirmation of the poor state of the cover came on the morning of 23 June, when R101 was walked out of the shed. It had been at the mast for less than an hour in a moderate wind when an alarming rippling movement was observed and shortly afterwards, a 140 ft (43 m) split in the cover appeared on the starboard side of the airship. It was decided to repair this at the mast and to add more strengthening bands. This was done by the end of the day, but the next day a second, shorter, split occurred. This was dealt with in the same way, and it was decided that if the reinforcing bands were added to the repaired area the scheduled appearance at the Hendon Air Show could be made.[54] R101 made three flights in June, totalling 29 hours 34 minutes duration. On 26 June, a short proving flight was made, the controls – no longer servo-operated – being described as "powerful and fully adequate".[55] At the end of this flight, the R101 was found to be "flying heavy" and two tons of fuel oil had to be jettisoned in order to lighten the airship for mooring. This was initially attributed to changes in air temperature during the flight. On the following two days, R101 made two flights, the first to take part in the rehearsal for the RAF display at Hendon and the second to take place in the display itself. These flights revealed a problem with lift, considerable jettisoning of ballast being necessary. During this time, Atherstone was replaced by Captain G.F. Meager, who was normally the first officer on R100. Meager was "alarmed" by the heaviness of R101, as after 10 hours of flight, R100 would have been considerably light due to fuel consumption. Meager observed that it was the first time he had "the wind up" in an airship.[56] Meager had dropped a ton of ballast, and in order to weigh off the R101 for mooring, Flight Lieutenant Irwin was required to dump 10 tons of water and fuel oil.[57][58] An inspection of the gasbags revealed a large number of holes, a result of the letting out-of the gasbags which allowed them to foul projections on the girders of the framework.[59] When the gas bag restraints were loosened to allow more gas capacity (R101B) it came to the attention of Dr. Eckener. His concern was conveyed to Willy von Meister, the Deutsche Zeppelin-Reederei representative in the US, who was visiting Luftschiffbau Zeppelin at Lake Constance. Dr. Eckener was concerned that the gas bags would be holed by wearing upon the structure and loss of gas would occur. Von Meister stopped on his way back to the US to visit his mother and met Lord Thompson to convey Dr. Eckener's offer of technical help. Lord Thompson listened cordially, thanked von Meister, and informed him that padding was being installed and British designers felt that would suffice.[60] Concern was also raised over the possibility of loss of gas through the valves, which were of an innovative design by Michael Rope. Airship valves are intended primarily to vent gas automatically if pressure in the cells rises to the point that the bag might rupture; they are also used to adjust lift for handling.  It was suspected that valves could open when the airship rolled heavily or when flapping of the outer cover caused localised low pressure, but after an examination of their operation, F. W. McWade, the Air Inspectorate Department inspector at Cardington, concluded that their operation was satisfactory and they were not likely to have been the cause of any significant loss of gas.[61] As an experimental aircraft, R101 had been operating under a temporary "Permit to Fly", the responsibility of McWade. On 3 July, bypassing his immediate superior, McWade wrote a letter to the Director of Aeronautical Inspection, Lieutenant-Colonel H. W. S. Outram, expressing his unwillingness to recommend either an extension to the permit or the granting of the full Certificate of Airworthiness which would be necessary before the airship could fly in the airspace of other countries. His concern was that the padding on the framework was inadequate to protect the gasbags from chafing, the harnessing having been let out so that they were "hard up against the longitudinal girders", and that any surging of the gasbags would tend to loosen the padding, rendering it ineffective. He also expressed doubts about the use of padding, considering that it made inspection of the airframe more difficult and would also tend to trap moisture, making problems with corrosion more likely.[62] Outram, who knew little about airships, reacted to this by consulting Colmore, now Director of Airship Development, from whom he received a reassuring reply. The matter was taken no further.[63] R101 entered its shed for the extension on 29 June. At the same time, the gasbags were given a complete overhaul, two of the engines were replaced by the adapted engines capable of running in reverse, and most of the cover was replaced. The original cover was left in place between frames 3 and 5 and in two of the bays at the tail.[64] These parts of the cover had been doped after fitting and were therefore thought to be satisfactory, even though an inspection by McWade had found that some areas where reinforcements had been stuck on with a rubber solution were seriously weakened; these areas were further reinforced, using dope as an adhesive.[65] A schedule was drawn up by the Air Ministry for R101 to undertake the flight to India in early October, in order that the flight would be made during the Imperial Conference which was to be held in London. The entire programme was intended to improve communication with the Empire, and it was hoped that the flight would generate favourable publicity for the airship programme. The final trial flight of R101 was originally scheduled for 26 September 1930, but high winds delayed the move from the shed until 1 October. That evening, R101[66] slipped the mast for its only trial flight before setting off for India. This lasted 16 hours 51 minutes and was undertaken under near-ideal weather conditions; because of the failure of the oil cooler in one engine, it was not possible to carry out full-speed trials. The flight was curtailed in order to prepare the airship for the flight to India.[67] Despite the lack of full endurance and speed trials, and the fact that a proper investigation of the aerodynamic consequences of the extension had not been fully completed by the NPL, a Certificate of Airworthiness was issued on 2 October, the Inspectorate expressing their complete satisfaction with the condition of R101 and the standards to which the remedial work had been carried out. The certificate was handed over to H. C. Irwin, the ship's captain, on the day of its flight to India.[68] R101 departed from Cardington on the evening of 4 October 1930 for its intended destination of Karachi, via a refuelling stop at Ismaïlia in Egypt, under the command of Flight Lieutenant Carmichael Irwin. Lord Thomson, Secretary of State for Air; Sir Sefton Brancker, Director of Civil Aviation; Squadron Leader William Palstra, RAAF Air Liaison Officer (ALO) to the British Air Ministry; Director of Airship Development Reginald Colmore; and both Lt. Col. V. C. Richmond and Michael Rope.[69] The weather forecast on the morning of 4 October was generally favourable, predicting south to south-westerly winds of between 20 and 30 m.p.h. (32 and 48 km/h) at 2,000 ft (610 m) over northern France, with conditions improving over southern France and the Mediterranean Sea.[70] Although the mid-day forecast indicated some deterioration in the situation, this was not considered to be alarming enough to cancel the planned voyage. A course was planned which would take R101 over London, Paris and Toulouse, crossing the French coast near Narbonne.[citation needed] Fine rain was beginning to fall when, at dusk, with all the crew and passengers aboard, R101 readied for departure. Under the illuminating spotlights, the jettisoning of water ballast to bring the airship into trim was clearly visible. Squadron Leader Booth, the commander of R100, was watching the departure from the tower's observation gallery and estimated that two tons had been discharged from the nose and a further ton from the midships tanks.[71] R101 cast off from the mast at 18:36 GMT to a cheer from the crowd which had gathered to witness the event, gently backed from the tower and, as another ton of ballast was jettisoned, the engines were opened up to about half power and the airship slowly began to climb away, initially heading northeast to fly over Bedford before making a 180° turn to port to pass north of Cardington.[citation needed] At about 19:06 the duty engineer in the aft engine car reported an apparent oil pressure problem. At 19:16, he shut the engine down, and after a short discussion with the chief engineer, work began to replace the oil gauge, since there was nothing apparently wrong with the engine. With one engine stopped, airspeed was reduced by around 4 mph (6 km/h) to 58.7 mph (94.5 km/h)[72] At 19:19, having flown 29 mi (47 km) but still only 8 mi (13 km) from Cardington, a course was set for London. At 20:01, R101, by now over Potters Bar, made its second report to Cardington, confirming the intention to proceed via London, Paris and Narbonne, but making no mention of the engine problem. By that point, the weather had deteriorated, and it was raining heavily. Flying around 800 ft (240 m) above the ground, the airship passed over Alexandra Palace before changing course slightly at the landmark clock tower of the Metropolitan Cattle Market north of Islington, and thence over Shoreditch to cross the Thames in the vicinity of the Isle of Dogs, passing over the Royal Naval College at Greenwich at 20:28. The airship's progress, flying with its nose pointing some 30 degrees to the right of its track, was observed by many who braved the rain to watch it pass overhead.[72] An update of the meteorological situation was received at 20:40.[73] The forecast had deteriorated severely, south-westerly winds of up to 50 mph (80 km/h) with low cloud and rain being predicted for northern France, and similar conditions over central France. That this caused concern on board is demonstrated by the request for more detailed information, which was transmitted at 21:19, by which time R101 was near Hawkhurst, Kent. It is possible that an alternative course was being considered. At 21:35 R101 crossed the English coast near Hastings and at 21:40 transmitted a progress report back to Cardington, mentioning that recovery of rainwater into the ballast tanks was taking place but again not reporting the engine problem. At 22:56 the aft engine was restarted. By now the wind had risen to about 44 mph (71 km/h) with strong gusts, but a further meteorological report received shortly after the airship had crossed the coast had been encouraging about weather conditions south of Paris.[74] The French coast was crossed at the Point de St Quentin at 23:36 GMT, around 20 mi (32 km) east of the intended landfall.[75] A new course was set to bring R101 over Orly, based on an estimated wind direction of 245 degrees and speed of 35 mph (56 km/h). The intended course would have taken R101 four miles west of Beauvais, but the estimated wind speed and direction were inaccurate, as a result of which the R101's track was to the east of its intended course. This error would have become apparent when, at about 01:00, R101 passed over Poix-de-Picardie, a distinctive hilltop town that would have been readily recognisable to the navigation officer, Squadron Leader E.L. Johnston. Accordingly, R101 changed course: the new course would take it directly over the 770 ft (230 m) Beauvais Ridge, an area notorious for turbulent wind conditions.[76] At 02:00 the watch was changed, Second Officer Maurice Steff taking over the command from Irwin. R101 was at this point "flying heavy",[citation needed] relying on dynamic lift generated by forward airspeed to maintain altitude, estimated by the Board of Inquiry as at least 1,000 ft (300 m) above the ground.[77] At about 02:07 R101 went into a dive from which it slowly recovered, probably losing around 450 ft (140 m).[citation needed] As it did so Rigger S. Church, who was returning to the crew quarters to come off duty, was sent forward to release the forward emergency ballast bags,[67] which were locally controlled. This first dive was steep enough to cause A. H. Leech, the foreman engineer from Cardington, to be thrown from his seat in the smoking room and to wake Chief Electrician Arthur Disley, who was dozing in the switch room next to the chart cabin. As the airship recovered, Disley was roused by Chief Coxswain G. W. Hunt, who then went to the crew quarters, calling out, "We're down, lads" in warning. As this happened the airship went into a second dive and orders to reduce speed to slow (450 rpm) were received in the engine cars.[citation needed] Before Engineer A. J. Cook, on duty in the left-hand midships engine car, could respond, the airship hit the ground at the edge of a wood outside Allonne, 2.5 mi (4 km) southeast of Beauvais, and immediately caught fire. The reason for the order to reduce speed is a matter for conjecture because this would have caused the airship to lose dynamic lift and adopt a nose-down attitude.[citation needed] The subsequent inquiry estimated the impact speed at around 13 mph (21 km/h), with the airship between 15° and 25° nose down.[78] Forty-six of the 54 passengers and crew were killed immediately. Church and Rigger W. G. Radcliffe survived the crash but later died in hospital in Beauvais, bringing the total of dead to 48.[67] The bodies were returned to England, and on Friday 10 October a memorial service took place at St Paul's Cathedral while the bodies lay in state in Westminster Hall at the Palace of Westminster. Nearly 90,000 people queued to pay their respects: at one time the queue was half a mile long, and the hall was kept open until 00:35 to admit them all.[79] The following day, a funeral procession transferred the bodies to Euston station through streets crowded with mourners. The bodies were then taken to Cardington village for burial in a common grave in the cemetery of St Mary's Church. A monument was later erected,[80] and the scorched Royal Air Force roundel which R101 had flown on its tail is on display, along with a memorial tablet, in the church's nave.[81] On 1 October 1933, the Sunday before the third anniversary of the crash, a memorial[82] to the dead near the crash site was unveiled by the side of Route nationale 1 near Allonne. There is also a memorial marker on the actual crash site.[83] The Court of Inquiry was led by the Liberal politician Sir John Simon, assisted by Lieutenant-Colonel John Moore-Brabazon and Professor C.E. Inglis.[84] The inquiry, held in public, opened on 28 October and spent 10 days taking evidence from witnesses, including Professor Leonard Bairstow and Dr. Hugo Eckener of the Zeppelin company, before adjourning in order to allow Bairstow and the NPL to perform more detailed calculations based on wind-tunnel tests on a specially made model of R101 in its final form. This evidence was presented over three days ending on 5 December 1930. The final report was presented on 27 March 1931.[citation needed] The inquiry examined most aspects of the design and construction of R101 in detail, with particular emphasis on the gasbags and the associated harnessing and valves, although very little examination of the problems that had been encountered with the cover was made. All the technical witnesses provided unhesitating endorsement of the airworthiness of the airship prior to its flight to India. An examination was also made of the various operational decisions that had been made before the airship undertook its final voyage.[citation needed] The possibility of the crash having been the result of a prolonged loss of gas caused by leakage or loss through the valves was discounted since this explanation did not explain the airship's behaviour during its last moments: moreover the fact that the officers on duty had changed watch routinely implied that there had been no particular cause for alarm a few minutes before the crash. The recent change of watch was considered to be a possible contributory factor to the accident, since the new crew would not have had time to get the feel of the airship.[citation needed] It was also considered most unlikely that the accident had been solely caused by a sudden downdraught. A sudden and catastrophic failure was seen as the only explanation. The inquiry discounted the possibility of structural failure of the airframe. The only major fracture found in the wreckage was at the rear of the new framework extension but it was considered that this had either occurred on impact or more probably been caused by the intense heat of the subsequent fire.[citation needed] The inquiry came to the conclusion that a tear had probably developed in the forward cover, this in turn causing one or more of the forward gasbags to fail. Evidence presented by Professor Bairstow showed that this would cause the R101 to become too nose-heavy for the elevators to correct.[85] The want of sufficient altitude was considered by the R101 Enquiry and must be considered given that the aircraft was flying in an area of reducing atmospheric pressure. The same evening, the Graf Zeppelin at Frankfort was reading 400 feet high. A similar error over France would have put the R101 400 feet lower than her intended height.[86] The altimeter could have been corrected while flying across the channel by timing the flare drop before ignition, but over France there was no way to determine altimeter correction. Sightings by observers reporting very low altitudes across France and the belief by the crew that they were at a safe altitude according to the altimeter could both be true. The question of sufficient altitude was considered by the R101 Enquiry but not the attendant issue of altimeter correction.[87][failed verification] The cause of the fire was not established. Several hydrogen airships had crashed in similar circumstances without catching fire. The inquiry thought that it was most probable that a spark from the airship's electrics had ignited escaping hydrogen, causing an explosion. Other suggestions put forward included the ignition of the calcium flares carried in the control car on contact with water,[88] electrostatic discharge or a fire in one of the engine cars, which carried petrol for the starter engines. All that is certain is that it caught fire almost at once and burned fiercely. In the extreme heat, the fuel oil from the wreck soaked into the ground and caught fire; it was still burning when the first party of officials arrived by air the next day.[89] The inquiry considered that it was "impossible to avoid the conclusion that the R101 would not have started for India on the evening of October 4th if it had not been that matters of public policy were considered as making it highly desirable that she should do so", but considered this to be the result of all concerned being eager to prove the worth of R101, rather than direct interference from above.[90] The crash of R101 ended British interest in dirigibles during the pre-war period. Thos W Ward Ltd of Sheffield salvaged what they could of the wreckage,[91] the work continuing through 1931. Although it was stipulated that none of the wreckage should be kept for souvenirs,[92] Wards made small dishes impressed with the words "Metal from R101", as they frequently did with the metal from ships or industrial structures that they had worked on. The Zeppelin Company purchased five tons of duralumin from the wreck.[67] The airship's competitor, R100, despite a more successful development programme and a satisfactory, although not entirely trouble-free, transatlantic trial flight, was grounded immediately after R101 crashed. The R100 remained in its hangar at Cardington for a year whilst the fate of the Imperial Airship programme was decided. In November 1931, the R100 was broken up and sold for scrap.[93] At the time, the Imperial Airship Scheme was a controversial project because of the large sums of public money involved and because some doubted the utility of airships.[94] Subsequently, there has been controversy about the R101's merits. The extremely poor relationship between the R100 team and both Cardington and the Air Ministry created a climate of resentment and jealousy that may have rankled. Nevil Shute's autobiography was serialised by the Sunday Graphic on its publication in 1954 and was misleadingly promoted as containing sensational revelations,[95] and the accuracy of his account is a cause of contention among airship historians.[96] Barnes Wallis later expressed scathing criticism of the design although they may in part reflect personal animosities. Nevertheless, his listing of Richmond's "overweening vanity" as a major cause of the debacle and the fact that he had not designed it as another say little for his objectivity.[97] On 27 November 2014, 84 years after the disaster, Baroness Smith of Basildon, together with members of the Airship Heritage Trust, unveiled a memorial plaque to the R101 in St Stephens Hall in the Palace of Westminster.[98] General characteristics Performance</t>
  </si>
  <si>
    <t>//upload.wikimedia.org/wikipedia/commons/thumb/0/0b/R101.jpg/300px-R101.jpg</t>
  </si>
  <si>
    <t>Experimental airship</t>
  </si>
  <si>
    <t>Royal Airship Works</t>
  </si>
  <si>
    <t>https://en.wikipedia.org/Royal Airship Works</t>
  </si>
  <si>
    <t>V.C. Richmond</t>
  </si>
  <si>
    <t>https://en.wikipedia.org/V.C. Richmond</t>
  </si>
  <si>
    <t>14 October 1929[1]</t>
  </si>
  <si>
    <t>42 (final flight)[108] (15 minimum)[109]</t>
  </si>
  <si>
    <t>777 ft 0 in (236.8 m) [3]</t>
  </si>
  <si>
    <t>140 ft 0 in (42.67 m) [110]</t>
  </si>
  <si>
    <t>257,395 lb (116,857 kg) [111]</t>
  </si>
  <si>
    <t>5 × Beardmore Tornado 8-cylinder inline Diesel (2 reversing) with 16 ft (4.9 m) two-bladed propellers.[109], 585 hp (436 kW)  each</t>
  </si>
  <si>
    <t>71 mph (114 km/h, 62 kn) [3]</t>
  </si>
  <si>
    <t>63 mph (101 km/h, 55 kn)</t>
  </si>
  <si>
    <t>4,000 mi (6,437 km, 3,500 nmi)</t>
  </si>
  <si>
    <t>131 ft 4 in (40 m) [3]</t>
  </si>
  <si>
    <t>5,509,753 cu ft (156,018.8 m3) [3]</t>
  </si>
  <si>
    <t>55,268 lb (25,069 kg) [111]</t>
  </si>
  <si>
    <t>Sukhoi Su-38</t>
  </si>
  <si>
    <t>The Sukhoi Su-38 (Russian: Сухой Су-38) is a Russian agricultural aircraft, the first aircraft of this type to be designed and built by the Sukhoi Design Bureau civil aircraft section (Sukhoi Civil Aircraft (CJSC)).  Design originally began in 1993 as a development of the Sukhoi Su-29 aerobatic aircraft.[1][2] Development was suspended due to economic problems, and when restarted in 1998, the aircraft was redesigned, reducing the aircraft's size and replacing the originally planned M-14 radial engine with a LOM Praha 337S inline engine.[1][3] The first prototype made its maiden flight on 27 July 2001, with a second flying by June 2002.[1] As no users have yet[when?] expressed interest in the aircraft, the project is currently proceeding at a low pace.[citation needed] Data from Jane's All The World's Aircraft 2005–2006[1]General characteristics Performance   Aircraft of comparable role, configuration, and era</t>
  </si>
  <si>
    <t>//upload.wikimedia.org/wikipedia/commons/thumb/8/83/Sukhoi_Su-38L_in_2002.jpg/300px-Sukhoi_Su-38L_in_2002.jpg</t>
  </si>
  <si>
    <t>Agricultural aircraft</t>
  </si>
  <si>
    <t>https://en.wikipedia.org/Agricultural aircraft</t>
  </si>
  <si>
    <t>KnAAPO, NAPO, Smolensk Aviation Plant</t>
  </si>
  <si>
    <t>https://en.wikipedia.org/KnAAPO, NAPO, Smolensk Aviation Plant</t>
  </si>
  <si>
    <t>Sukhoi design bureau</t>
  </si>
  <si>
    <t>https://en.wikipedia.org/Sukhoi design bureau</t>
  </si>
  <si>
    <t>8.1 m (26 ft 7 in)</t>
  </si>
  <si>
    <t>11.53 m (37 ft 10 in)</t>
  </si>
  <si>
    <t>2.655 m (8 ft 9 in)</t>
  </si>
  <si>
    <t>TsAGI P-31Y (16%) [4]</t>
  </si>
  <si>
    <t>1,200 kg (2,646 lb)</t>
  </si>
  <si>
    <t>500 l (132.1 US gal; 110.0 imp gal) chemical hopper</t>
  </si>
  <si>
    <t>210 l (55 US gal; 46 imp gal) in two wing tanks</t>
  </si>
  <si>
    <t>1 × LOM Praha M337S 6-cylinder air-cooled inverted in-line piston engine, 184 kW (247 hp)</t>
  </si>
  <si>
    <t>3-bladed LOM B-546 ground-adjustable propeller</t>
  </si>
  <si>
    <t>150–180 km/h (93–112 mph, 81–97 kn) operating speed</t>
  </si>
  <si>
    <t>76 km/h (47 mph, 41 kn)</t>
  </si>
  <si>
    <t>Under development</t>
  </si>
  <si>
    <t>1,200 km (750 mi, 650 nmi) without spraybars</t>
  </si>
  <si>
    <t>Raab Doppelraab</t>
  </si>
  <si>
    <t>The Raab Doppelraab is a German training glider produced in the early 1950s which proved popular with gliding clubs.  A student pilot was accompanied by an instructor in a small space behind him, sharing the control column and with a dual rudder bar.  The Doppelraab could be flown solo for later basic training. Fritz Raab, who had designed gliders before World War II, recognised a postwar need for a low cost trainer aircraft.  Rather than reproduce the low-performance, single-seat, open-frame primary gliders of the 1930s, he aimed for a design that could act both as a trainer and as a useful gliding club single-seater with respectable performance.  Simplicity of rigging was a priority.  The result was the Doppelraab, which some have described as a 1½-seater because of its rudimentary instructor's position.  It is a strut-braced high-wing monoplane with a mixed metal-and-wood frame and plywood and fabric covering.[1][2][3] The centre section of the wing has a constant chord, with a plywood-covered D-box forward of the main spar.  The ply covering extends to the trailing edge at the wing roots over the triangular area defined by the internal drag strut.  The outer panels continue the leading edge ply-covered D-box but incorporate curved ailerons, giving the wing an approximately elliptical planform. Where not ply-surfaced, the wing is fabric-covered.   Most production aircraft have mid-chord spoilers on the inner section upper surface.  Lift and landing forces are borne by faired struts from the lower fuselage to the main spar close to the end of the wing centre sections.[2][3] The Doppelraab has a pod-and-boom style fuselage, though the wood-framed, ply-skinned boom is quite deep and has a triangular section.  The fabric-covered, parallel chord horizontal tail, carrying separate elevators, is mounted on top of the fuselage.  The fin is narrow and ply covered but mounts a broad, fabric-covered rudder which extends below the bottom of the fuselage, where a small underfin protects it and carries a small tailskid.  Forward of the wing trailing edge the fuselage becomes much deeper and is metal framed, forming the cockpit. In the prototype, the student's position was conventional and provided with a windscreen of single curvature and with open sides; the instructor squeezed into a small space behind the student and sat astride a pillion seat in a kneeling position, his weight partly supported by knee pads on either side of the forward seat. He could reach over the pupil to the top of an extended control column and his feet pointed backwards to rest on a duplicate rudder bar. Later production machines retain this layout but have a completely enclosed canopy and a slightly raised, bench type instructor's seat. The early prototypes experimented with both forward monowheel and bicycle undercarriages but the production aircraft settled on a rearward placed monowheel with a long forward skid.[1][2][3] The Doppelraab first flew on 5 August 1951. As well as the early cockpit and undercarriage, the V-0 first prototype had unusual airbrakes, formed by rotating the wing strut fairings through 90°.  This system, introduced to expedite rigging,[1] was found unsatisfactory and was abandoned in favour of spoilers.  The second prototype, the V-1, initially had a two-wheel undercarriage, later altered by the replacement of the front wheel by an extended noseskid (V-1a). The V-2 and V-3 introduced the rear bench seat.[3]  The V-3 acted as the prototype for the first production version, the Doppelraab III, though only a few of them were built.  The most numerous variant was the Doppelraab IV. Though detail improvements were introduced in the Doppelraab V, no major changes came before the final versions VI and VII.  These had wings of 640 mm (25.2 in) greater span and correspondingly increased wing area.  The empty weight of the version VI was increased by only 7 kg (15.4 b) but by flying with a higher wing loading this model could provide a 25 kg (55 lb) increase in useful load.[3] The Doppelraab appeared in public for the first time at the first postwar Wasserkuppe competition, held in 1951.  It was enthusiastically received, Hanna Reitsch saying that it was "a dream of an aircraft".[4] Its thermal soaring was judged competitive with the Grunau Baby.[4] After a year twelve were flying with fifty in production; final production was close to four hundred. Serial production was handled by Wolf Hirth; both kits and finished aircraft were available.[2]  The forward fuselage frame was factory welded in either case.[3]  After gaining experience with his instructor, a pupil could fly the Doppelraab solo to gain his early badges, minimising the club's costs.[2] Production licences were granted in both Americas, Africa and the Near East; one Doppelraab flew as far north as Spitsbergen.[3] In 2010 twenty-two Doppelraabs remained on the civil aircraft registers of European countries, one in Belgium, one in the Netherlands, one in Spain and the rest in Germany.[5] Data from Die berümtesten Segelflugzeuge[3] Data from Ogden, 2009[6] All are model IVs and are on public display. Data from Die berümtesten Segelflugzeuge[3]General characteristics Performance</t>
  </si>
  <si>
    <t>//upload.wikimedia.org/wikipedia/commons/thumb/d/d1/Doppelraab_IV.jpg/300px-Doppelraab_IV.jpg</t>
  </si>
  <si>
    <t>Two-seat glider</t>
  </si>
  <si>
    <t>https://en.wikipedia.org/Two-seat glider</t>
  </si>
  <si>
    <t>Fritz Raab</t>
  </si>
  <si>
    <t>c.360</t>
  </si>
  <si>
    <t>{'Prototypes': '', 'V-0': 'rst Doppelraab.  Single wheel plus skid undercarriage. First flown 5 August 1951.', 'V-1': 'cond landing wheel added in tandem, behind first. First flown 28 March 1952. V-1a had rearward extended skid in place of forward wheel.', 'V-2': 'ilt by Wolf Hirth using high grade steel tubes around the cabin; approved for commercial construction only.  Fitted with a rear seat rather than a pillion. V-1a type undercarriage.', 'Doppelraab III (prototype V-3)': ' V-2; small numbers produced.', 'Doppelraab IV (prototype V-4)': 'bin structure of more easily welded normal steel, approved for amateur construction. Revised canopy. Chief production model.', 'Doppelraab V (prototype V-5)': 'milar to V-3 but with integrated spoilers which were standard on subsequent aircraft. Production model.', 'Doppelraab VI': 'an increased to 13.40 m (43\xa0ft 11½ in). Production model.', 'Doppelraab VII': 'an as model VI.Production model.', 'Pützer Motoraab': 'a MoRaab, a production conversion to motorglider', 'Rohn Doppelraab IV': 'e of several different motorglider conversions with tricycle undercarriage.'}</t>
  </si>
  <si>
    <t>6.90 m (22 ft 8 in)</t>
  </si>
  <si>
    <t>12.76 m (41 ft 10 in)</t>
  </si>
  <si>
    <t>18.0 m2 (194 sq ft)</t>
  </si>
  <si>
    <t>185 kg (408 lb)</t>
  </si>
  <si>
    <t>380 kg (838 lb)</t>
  </si>
  <si>
    <t>0.24 m/s (47 ft/min)</t>
  </si>
  <si>
    <t>22.6 kg/m2 (4.6 lb/sq ft)</t>
  </si>
  <si>
    <t>190 km/h (120 mph, 100 kn)</t>
  </si>
  <si>
    <t>50 km/h (31 mph, 27 kn)</t>
  </si>
  <si>
    <t>Bristol Brabazon</t>
  </si>
  <si>
    <t>The Bristol Type 167 Brabazon was a large British piston-engined propeller-driven airliner designed by the Bristol Aeroplane Company to fly transatlantic routes between the UK and the America. The type was named Brabazon after the Brabazon Committee and its chairman, Lord Brabazon of Tara, who had developed the specification to which the airliner was designed.[1] While Bristol had studied the prospects of developing very large aircraft as bomber aircraft prior to and during the Second World War, it was the release of a report compiled by the Brabazon Committee which had led the company to adapting its larger bomber proposal into a prospective large civil airliner to meet the Type I specification for a very large airliner for the long-distance transatlantic route. Initially designated as the Type 167, the proposed aircraft was furnished with a huge 25 ft (8 m)-diameter fuselage containing full upper and lower decks on which passengers would be seated in luxurious conditions; it was powered by an arrangement of eight Bristol Centaurus radial engines which drove a total of eight paired contra-rotating propellers set on four forward-facing nacelles. Bristol decided to submit the Type 167 proposal to meet Air Ministry Specification 2/44; following a brief evaluation period, a contract to build a pair of prototypes was awarded to Bristol. At the time of its construction, the Brabazon was one of the largest aeroplanes ever built, being sized roughly between the much later Airbus A300 and Boeing 767 airliners. Despite its vast size, the Brabazon was designed to carry a total of only 100 passengers, each one being allocated their own spacious area about the size of the entire interior of a small car. On 4 September 1949, the first prototype conducted its maiden flight. In addition to participating in a flight test programme in support to intended production aircraft, the prototype made high-profile public flying displays at the 1950 Farnborough Airshow, Heathrow Airport, and the 1951 Paris Air Show. However, the Brabazon was unable to attract any firm commitments for the type due to the high cost per seat mile compared to the alternatives. Being unable to attract any orders, the aircraft was a commercial failure. On 17 July 1953, Duncan Sandys, the Minister of Supply, announced that the Brabazon had been cancelled due to a lack of military or civil orders for the type. In the end, only the single prototype was flown; it was broken up in 1953 for scrap, along with the incomplete turboprop-powered Brabazon I Mk.II. During the Second World War, the British government made the decision to dedicate its aircraft industry to the production of combat aircraft and to source the majority of its transport aircraft from manufacturers in the America.[N 1] Having foreseen that the effective abandonment of any development in terms of civil aviation would put Britain's aviation industry at a substantial disadvantage once the conflict had come to an end, during 1943 a British government committee began meeting under the leadership of Lord Brabazon of Tara with the aim of investigating and forecasting the post-war civil aviation requirements of Britain and the Commonwealth of Nations.[1][2] The committee, which had become known simply as the Brabazon Committee, delivered its report, which was likewise known as the Brabazon Report. This report called for the construction of a total of four of five designs they had studied. Of these designs, the Type I was a very large transatlantic airliner, the Type II was a short-haul airliner, the Type III was a medium-range airliner for the multiple-hop 'Empire' air routes, and the Type IV was an innovative jet-powered 500 mph (800 km/h) airliner. In particular, the Type I and Type IV were regarded as being of very high importance to the industry, particularly the jet-powered Type IV which would give Britain a commanding lead in the field of jet transportation. An outline of the specifications for the various envisioned aircraft, including the gigantic Type I, was issued by the Committee.[1] As early as 1937, the Bristol Aeroplane Company had already conducted studies into prospective very large bomber designs, one of which received the internal company designation of Type 159 and another design that was undesignated which broadly resembled the eventual configuration of the Brabazon.[3] Additionally, Bristol's design team had already been considering the requirements of a prospective aircraft capable of conducting routine transatlantic flights, which had resulted in projections of the necessary size, weight, and range of such an airliner. Amongst these, it was determined that a minimum payload of 100 passengers should be carried by the type in order to be profitable.[4] In 1942, the Air Ministry issued a draft operational requirement from the Air Staff, which sought a heavy bomber design that would be capable of carrying a payload of at least 15 tons of bombs. In response, Bristol dusted off their original work and updated it to account for their newer and substantially more powerful Bristol Centaurus engines. The Bristol design team, led by L. G. Frise and Archibald Russell,[5] worked with several key performance parameters; these included a range of 5,000 mi (8,000 km), 225 ft (69 m) wingspan, eight engines buried in the wings driving four pusher propeller installations, and enough fuel for transatlantic range. The Convair B-36 was in many ways the American equivalent of this projected "100 ton bomber".[2] In addition to Bristol, many of the leading British manufacturers had provided several preliminary studies in response to the Air Ministry's operational requirement; however, in expectation of long development times, and the difficulties associated with balancing the aircraft's range, load and defensive armament, the Ministry never proceeded to take up any of the British manufacturer's designs. Instead, it was decided to continue development of the existing Avro Lancaster, which led to the production of the improved Avro Lincoln.[3][6] In 1942, the Brabazon Report was published and Bristol chose to respond, submitting a slightly modified version of their bomber to fill the needs for the Type I requirement. Bristol's earlier work had shown the sort of performance that the Brabazon Committee has been looking for, and thus the Committee authorised the firm to proceed with preliminary work towards designing such an aircraft that year, with the proviso that work on wartime aircraft should not be disrupted by the project.[2] Bristol was soon issued with a contract to produce a pair of prototype aircraft.[7] In November 1944, following on from further work on the design, a final concept for the Type 167 was published. As it stood in the final concept, the design featured a large 177 ft (54 m) fuselage which was paired with a sizable wing. This wing, which had a 230 ft (70.1 m) wingspan,[N 2] possessed an enormous internal volume, which was used to house the fuel for the transatlantic flights envisioned for the type.[1] It was powered by eight Bristol Centaurus 18-cylinder radial engines; these were the most powerful British-built piston engines available at the time, each being capable of generating 2,650 hp.[1] These engines which were installed in a unique arrangement of setting each engine in pairs in the wing; instead of using a common crankshaft, the paired engines each had their driveshafts angled towards an enormous central gearbox. They drove a series of eight paired contra-rotating propellers, which were set on four forward-facing nacelles.[1][8] The Brabazon Report had assumed that the wealthy people flying in the aircraft would consider a long trip by air to be uncomfortable, and they had accordingly designed the Type I for luxury, demanding 200 ft3 (6 m3) of space for every passenger, this was expanded to 270 ft3 (8 m3) for luxury class. If outfitted with conventionally spaced seating, the dimensions of the Type 167 could have accommodated up to 300 passengers, instead of the 60 seats opted for.[1] Other high-comfort measures were proposed for installation on operational aircraft, such as an onboard cinema, a cocktail bar, and lounge area. According to Author Stephan Wilkinson, the decision to focus on comfort over other qualities such as speed and payload had been a historic preoccupation of Britain operators to specifically tailor their services towards wealthy travellers, and noted this as having been a key pre-war ethos of British airline Imperial Airways.[1] Meanwhile, some figures within the aircraft industry were forecasting heavy demand from the passengers then relying on ocean liners.[9] To meet these varied requirements, the Type 167 specified a huge 25 ft (8 m)-diameter fuselage, which is about 5 ft (1.5 m) greater than a 747, with full-length upper and lower decks. This enclosed sleeping berths for 80 passengers, a dining room, 37-seat cinema, promenade and bar; or alternatively an arrangement of day seats for 150 people. At one point, the Committee recommended the adoption of a narrower fuselage that was intended to house a total of 50 passengers; the British Overseas Airways Corporation (BOAC) agreed with this recommendation, and also expressed its preference for a design accommodating only 25 passengers. In August 1943,[10] an agreement reached with the airline led to the selection of an interior layout which contained a forward area housing six compartments, each one for six passengers, along with a seventh compartment for just three passengers; a midsection above the wing – the wing was 6 feet deep at that point – which accommodated 38 seats arranged around tables in groups of four along with a pantry and galley; and a rear area populated by 23 seats within an aft-facing cinema, complete with a cocktail bar and lounge. Similar to the Saunders-Roe Princess, the Brabazon concept was a fusion of prewar and postwar thinking, using highly advanced design and engineering to build an aircraft that was no longer required in the postwar world.[11] The Brabazon was the first aircraft to be outfitted with 100 per cent powered flying controls; it was also the first to feature electric engine controls, and the first equipped with high-pressure hydraulics.[12] The large span and mounting of the engines close inboard, together with structural weight economies, demanded some new measure to prevent bending of wing surfaces in turbulence. Thus, one of the innovative features of the Brabazon was a purpose-developed gust-alleviation system, which used an assortment of servos that were triggered from a gust-sensing probe installed on the exterior of the aircraft's nose; an improved version of this system, along with fully automated trimming, was to have been deployed on board the Brabazon Mark II.[12][13][N 3] Hydraulic power units were also designed to operate the aircraft's giant control surfaces.[7] A tremendous effort was put into saving weight across the aircraft. The Type 167 used a number of non-standard gauges of skinning in order to tailor every panel to the strength required, thereby saving several tons of metal. Bristol employed revolutionary new machining and construction methods for drilling, milling, folding, and rolling many of the airframe's components.[14] Rivets were sealed in aircraft dope to greatly reduce the number of rivets required for airframe assembly. Significant emphasis had been placed upon simplifying the construction process and incorporating several manufacturing efficiencies.[15] Some of the design and construction work for the aircraft was shared out to other British companies, such as Folland Aircraft.[16] The act of manufacturing the Brabazon alone was found to be a challenge. During the first two years of the development, the question of how and where to manufacture the aircraft was amongst the biggest issues that had preoccupied the design team and delayed progress on the project.[8] Bristol's existing factory at Bristol Filton Airport proved to be too small to handle what was one of the largest aircraft in the world, let alone producing the type in quantity, while the adjacent 2,000 ft (610 m) runway was also too short to launch it. While considerations were made for developing the firm's Banwell facility, it was eventually decided to expand the main Filton site to suit the Brabazon.[17] Work on the project was slowed as a consequence of meeting Bristol's wartime commitments; amongst the early physical steps was the construction of a full-scale wooden mockup in the old No. 2 Flight Shed so that components and fittings could be applied and tested.[14] In October 1945, construction of the first prototype's fuselage commenced in an existing hangar while a gigantic hall for performing final assembly of up to eight Brabazons was constructed; at the time of construction, the hall was the largest hangar in the world.[14] the designer of the new assembly hall, T. P. O'Sullivan, was subsequently awarded the Telford Premium for the work. The runway was also lengthened to 8,000 ft (2,440 m), as well as being widened; this extension had necessitated the compulsory relocation of the inhabitants of the village of Charlton to neighbouring Patchway, which was a somewhat controversial measure at the time.[14] During the early 1940s, the only means for providing propulsion to large aircraft was to produce increasingly complex and enlarged radial engines.[1] However, the emergence of jet propulsion, specifically the turboprop engine, happened to coincide with the Brabazon's development. Accordingly, there was considerable interest in applying such an engine to the airliner as it potentially offered a simpler and more powerful alternative to the original Centaurus powerplant.[1] Other advantages of turboprops included lower vibration levels (which would increase passenger comfort) and superior performance at higher altitudes.[18] In 1946, it was decided to build the second prototype using eight Bristol Coupled Proteus turboprop engines – paired turboprops driving four-bladed screws through a common gearbox.[1][19] This would have increased the Brabazon's cruising speed, from 260 to 330 mph (420–530 km/h), and its ceiling, while also reducing the aircraft's empty weight by about 10,000 lb (4,540 kg). This Brabazon Mark II would have been able to cross the Atlantic (London-New York) in a reduced time of 12 hours. However, by 1950, development of the Proteus engine had run into substantial difficulties, being both overweight and underpowered as well as being subject to fatigue issues at one stage.[18] In addition to the adoption of the Proteus, there were other envisioned changes for the Brabazon Mark II. In particular, a revised wheel arrangement which had been planned would have enabled the type to use the majority of runways on both the North Atlantic and Empire routes.[20] Although the Proteus was slimmer than the Centaurus, the wing thickness was not to be reduced in the Mark II but the leading edge would be extended around the engines. In December 1945, Bristol Chief Test Pilot Bill Pegg was selected to be the chief pilot for the Brabazon.[12] In preparation for the impending flight testing, as a means of gaining experience in operating such a vast aircraft, Pegg accepted an invitation issued by Convair to travel to Fort Worth, Texas, to fly their B-36 Peacemaker, a large strategic bomber operated by the America Air Force.[18] During December 1948, the Mk.I prototype, registration G-AGPW, was rolled out for engine runs. On 3 September 1949, the prototype, piloted by Pegg and co-piloted by Walter Gibb, along with a crew of eight observers and flight engineers, performed a series of trial taxi runs; these revealed no problems save for the nosewheel steering not working correctly, thus this was temporarily disabled.[18] On 4 September 1949, the prototype performed its maiden flight over the Bristol area, flying for a total of 25 minutes, captained by Pegg. Prior to the takeoff, around 10,000 people had gathered at the airfield's perimeter to witness the feat.[18] During this flight, it ascended to about 3,000 ft (910 m) at 160 mph (257 km/h) and landed at 115 mph (185 km/h), throttling back at 50 ft (15 m). The British press mainly reported favourably of the occasion, one newspaper praising the aircraft as being "the queen of the skies, the largest land-plane ever built".[1] Four days later, the prototype was presented at Society of British Aircraft Constructors' Airshow at Farnborough; according to author Philip Kaplan, the timing of the first flight had been set as such to enable such a high-profile early appearance to be performed.[21] The Brabazon's appearance at Farnborough would lead to the adoption of a formal and deliberate company policy as much of the aircraft's test programme in the vicinity of various British cities in order to spread public awareness. Accordingly, the Brabazon was demonstrated at the 1950 Farnborough Airshow, at which it performed a takeoff, clean configuration flypast and a landing. In June 1950, the Brabazon made a visit to London's Heathrow Airport, during which it made a number of successful takeoffs and landings; it was also demonstrated at the 1951 Paris Air Show. Gibb, who flew the aircraft as pilot-in-command on multiple flights, summarised his flying experiences with the type: "It was very comfortable. It flew very well. It was big. You didn't whip it around like a Tiger Moth or Spitfire, but as long as you treated it like a double-decker bus or a large aeroplane, you had no trouble at all".[22] While the Brabazon's flight tests were being performed, BOAC became increasingly uninterested with the prospects for operating the type.[22] On a test flight, BOAC chairman Sir Miles Thomas briefly took the controls and found the aircraft to be underpowered and very slow to respond to the controls. BOAC quickly decided it was not for them.[23] Bristol had been subject to financial hardship, while development of the Proteus engine intended to power the envisioned and improved Brabazon Mark II was proving troublesome. Flight tests of the aircraft itself had revealed some fatigue issues in the inner wingbox area,[N 4] while the projected operating costs for the Brabazon had been revised upwards as the programme had proceeded.[22] BOAC, being unconvinced of the aircraft's merits, ultimately chose to decline to place any order for the type.[24] Gibb stated of the situation: "the spec wasn't correct for post-war flying. The people who wrote the specs... conceived of an aeroplane with all this comfort, bunks, and a great dining room to eat in. And, of course, come the day, that wasn't what the airlines wanted. They wanted to ram as many passengers as possible into the tube and give 'em lunch on their laps.[25] At one point, although some interest was shown by British European Airways (BEA) for conducting operational flights using the prototype Brabazon itself, various problems that would typically be expected to be present on a prototype meant the aircraft would never receive an airworthiness certificate.[26] By 1952, about £3.4 million had been spent on development and there were no signs of purchase by any airline. In March, the British government announced that work on the second prototype had been postponed. The cancellation of the project was announced by the Minister of Supply (Duncan Sandys) on 17 July 1953 in the Commons, saying the programme had given all the useful technical knowledge it could but without any firm interest from either civil or military users, there was no justification for continuing to spend money on the Brabazon. By this point, roughly £6 million had been spent on the programme and a further £2 million would have been required in order to complete the Mark II.[24][27] In October 1953, after 164 flights totalling 382 hours' flying time, the first prototype was broken up, sold for £10,000 in scrap value, along with the uncompleted Mk.II prototype.[1] All that remains are a few parts at the M Shed museum in Bristol and the National Museum of Flight in Scotland. Although considered a failure and a white elephant, the record of the Brabazon is not entirely unfavourable. At least half of the large sums spent on the project had been expended upon the construction of infrastructure, including £6 million for new large hangars and an extended runway at Filton.[27] These improvements meant that Bristol was in an excellent position to continue production of other designs; the assembly hall was soon being used for building another transatlantic aircraft, the Britannia. In addition, many of the techniques which had been developed during the Brabazon project were applicable to any aircraft, not just airliners. Bristol had also been awarded the contract for the Type III aircraft, for which they delivered the Britannia. By making use of the advances made during the development of the Brabazon, Bristol were able to design the Britannia to possess the best payload fraction of any aircraft up to that time, and it held that record for a number of years. Although the Britannia was delayed after problems with the separate Type IV, the jet-powered de Havilland Comet, it went on to be a workhorse for many airlines into the 1970s. Data from Flight International.[28]General characteristics Performance     Related lists</t>
  </si>
  <si>
    <t>//upload.wikimedia.org/wikipedia/commons/thumb/1/1e/ATP_018936_G.jpg/300px-ATP_018936_G.jpg</t>
  </si>
  <si>
    <t>Bristol Aeroplane Company</t>
  </si>
  <si>
    <t>https://en.wikipedia.org/Bristol Aeroplane Company</t>
  </si>
  <si>
    <t>1 (second scrapped before completion)</t>
  </si>
  <si>
    <t>6–12</t>
  </si>
  <si>
    <t>177 ft (54 m)</t>
  </si>
  <si>
    <t>230 ft (70 m)</t>
  </si>
  <si>
    <t>5,317 sq ft (494.0 m2)</t>
  </si>
  <si>
    <t>145,100 lb (65,816 kg)</t>
  </si>
  <si>
    <t>54 lb/sq ft (260 kg/m2)</t>
  </si>
  <si>
    <t>100 passengers[29]</t>
  </si>
  <si>
    <t>13,650 imp gal (16,393 US gal; 62,054 l)</t>
  </si>
  <si>
    <t>8 × Bristol Centaurus 18-cylinder air-cooled radial sleeve-valve piston engines, 2,650 hp (1,980 kW)  each paired, driving contra-props through combining gearboxes.</t>
  </si>
  <si>
    <t>3-bladed Rotol, 16 ft (4.9 m) diameter fully-feathering contra-rotating propellers[28]</t>
  </si>
  <si>
    <t>300 mph (480 km/h, 260 kn) at 25,000 ft (7,620 m)</t>
  </si>
  <si>
    <t>250 mph (400 km/h, 220 kn) at 25,000 ft (7,620 m)</t>
  </si>
  <si>
    <t>0.073 hp/lb (0.120 kW/kg)</t>
  </si>
  <si>
    <t>5,500 mi (8,900 km, 4,800 nmi)</t>
  </si>
  <si>
    <t>290,000 lb (131,542 kg)</t>
  </si>
  <si>
    <t>Bristol Type 138</t>
  </si>
  <si>
    <t>The Bristol Type 138 High Altitude Monoplane was a British high-altitude single-engine, low-wing monoplane research aircraft developed and produced by the Bristol Aeroplane Company during the 1930s. It set nine world altitude records, with the maximum altitude achieved being 53,937 ft (16,440 m) on 30 June 1937, during a 2¼-hour flight. A second aircraft, designated as the Type 138B, was ordered in 1935 but work was abandoned during 1937 without it having flown. The Type 138 was built during a period of intense competition between aviation manufacturers. Prestige and useful technological progress came from breaking  major aviation records, such as airspeed, distance and altitude but by the 1930s, the resources and development work necessary to achieve these records was beyond individual companies, and required government assistance.[1][2] Bristol found themselves lagging behind other companies from Germany, Italy, the America, and the United Kingdom.[2] Between 1929 and 1934, altitude records established by rival aircraft included those set by a Junkers W.34, a Vickers Vespa and a Caproni Ca.113 biplane, as well as the first flight over Everest by a pair of Westland Wallaces in 1933. All of these aircraft had been powered by Bristol engines.[3] Between 1928 and 1938, the altitude record was broken 10 times, once using a Jupiter engine and five times using Pegasus engines which was seen as a major achievement for Bristol's engines.[2] In November 1933, having observed British Air Ministry interest following the success of the Everest flight, aeronautical engineer Frank Barnwell proposed a purpose-built high-altitude research aircraft. This proposal, designated the Type 138, was a large single-engine, single-seat monoplane, equipped with a retractable undercarriage and a supercharged Pegasus radial engine.[4][2] Nothing came of this until Italian pilot Renato Donati achieved a new world record during April 1934 prompting public opinion to swing in favour of a government-sponsored record attempt.[3][2] In June 1934, the Air Ministry issued Specification 2/34, for a pair of prototypes capable of reaching an altitude of 50,000 ft (15,000 m).[5] Bristol was among the companies which were invited to tender proposals.[2] Barnwell revised the Type 138 proposal, producing the Type 138A whose size and configuration remained the same, but the retractable undercarriage was replaced with a fixed design to reduce weight[6][2] and it would be powered by a two-stage supercharged Pegasus engine and provision for an observer was made.[6] Using the Pegasus was expected to generate publicity and boost sales.[2]  Considerable research was carried out by both the Royal Aircraft Establishment (RAE) and National Physical Laboratory to fine tune the design of the aircraft, as well as to develop a reliable pressure suit to be worn by the pilot. Sir Robert Davis of Siebe Gorman and Professor J.S. Haldane were instrumental in developing the helmet.[7] During tests, the pressure suit was tested to the equivalent altitude of 80,000 ft (24,000 m).[8] In early 1936, the airframe was completed and on 11 May 1936 the Type 138A was flown for the first time by Cyril Uwins, Bristol's chief test pilot, who had previously flown the Vickers Vespa on its world record flight.[9] As the engine was not ready, it was powered by a standard Pegasus IV driving a three-bladed propeller for the early flights.[2] Two additional flights were performed at Filton prior to the aircraft being delivered to the RAE at Farnborough[2] where the pressure helmet was tested prior to the aircraft being returned to Filton for the installation of the special Pegasus engine and a four-blade propeller. On 5 September 1936, the Type 138A returned to Farnborough for more test flights.[10][2] The Bristol 138 was a low-wing cantilever monoplane designed to fly at extremely high altitudes for the era. Aviation publication 'Flight observed of the aircraft that: "except for its size, reminds one very much of the little Bristol Brownie.... the machine is the largest single-seater aeroplane ever built".[11] The pilot was seated in a spacious cockpit, which was heated by air directed from the oil coolers set within the wings, which could be adjusted.[12] Instrumentation included fore-and-aft levels, oil pressure gauges, airspeed indicator and fuel gauge, engine speed indicator and a pyrometer. Purpose-built recording altimeters, developed by the RAE, were housed within the wings, while a separate altimeter was installed in the cockpit.[13] The 138 was powered by a single Bristol Pegasus engine fitted with a high pressure two-stage supercharger, which was critical in enabling the engine to deliver the required performance at altitude.[2][14] The first-stage compressor was permanently engaged, while a clutch was used to manually engage the second-stage on attaining the correct altitude, which was needed to avoid an excessive charge when flown at low altitudes.[14] It employed an intercooler between the first and second stages.[15] Weight saving was a priority and the airframe, other than the steel tube engine mount and cowling, used a wood shell.[14][2] It with a plywood skin glued to the mahogany longerons and struts that formed the internal structure, which was faired throughout to reduce drag. A conventional fixed undercarriage was used and as it was more important to reduce the weight than the drag, and a retractable undercarriage would have been counterproductive.[14] The wings were constructed in three sections with a centre section integral with the fuselage. Three spars with plywood webs and mahogany flanges were used, covered with plywood sheeting.[14] In order to cope with the extreme altitudes, the pilot used a specially-developed two-piece suit.[7] This was principally made up of rubberised fabric joined at the waist using a type of pipe-clip. It was provided with a helmet, which featured a large forward window to provide a view.[8] It was completed with closed-circuit breathing apparatus with oxygen being delivered via a small injector jet to provide air circulation. Exhaled air travelled via an external tube to a canister containing carbon dioxide-absorbing chemicals to restore it prior to it returning to the pilot again.[8] The 138 had an internal fuel capacity of 82 imp gal (370 l; 98 US gal), split between a 70 imp gal (320 l; 84 US gal) lower tank and a 12 imp gal (55 l; 14 US gal) upper tank.[14] A specially-developed fuel, known as S.A.F.4, was used for the altitude record flight, derived from standard grade Shell Ethyl aviation gasoline. Of note, this fuel has a high anti-knock value; the high degree of supercharge involved results in the fuel mixture reaching high temperatures, which generally increases the potential for detonation, thus a high anti-knock value was viewed to be of critical importance.[14] Squadron Leader F.R.D. Swain, who had joined the experimental division of the RAE in 1933, was selected to pilot the high-altitude flights.[9] Both the general research programme and preparations for the first record altitude flight were undertaken under the direction of Mr H. E. Wimperis, the Director of Scientific Research at the Air Ministry.[9] On 28 September 1936, Swain took off from Farnborough in the Type 138A; he climbed to an indicated altitude of 51,000 ft (16,000 m), during which he engaged the auxiliary supercharger at 35,000 ft (11,000 m). Swain ran low on oxygen on the two-hour flight and had to break the window of his pressure helmet after descending to a safe height.[2] The data from this flight were recognised by the Fédération Aéronautique Internationale as a world record of 49,967 ft (15,230 m).[15][9] After this flight, further development work resulted in a number of small modifications to the aircraft, the typical objective of these being weight savings and improving the performance of the supercharger.[2] In this mildly revised form, the Type 138A conducted six further flights, achieving  a maximum altitude of around 50,000 ft (15,000 m). During this period, Italy had been able to recapture the record, achieving a recorded maximum altitude of 51,364 ft (15,656 m).[2] In response, on 30 June 1937, Flight Lieutenant M.J. Adam undertook a 2¼-hour flight in which he achieved a record altitude which was certified as 53,937 ft (16,440 m) despite the canopy suffering a major crack during the flight, and Adam was protected from injury by his pressure suit and helmet.[5][2] Research flights continued, but there were no further attempts to break records. According to the British aerospace company BAE Systems, the test flights had resulted in invaluable flight data being obtained, particularly in the field of pressurisation.[2] During 1935, a second machine was ordered, designated the Type 138B.[2] This was to be a two-seater powered by a Rolls-Royce Kestrel S engine, fitted with a similar two-stage supercharger installation, enabling it to generate 500 hp (370 kW). In 1937, the airframe was delivered to Farnborough Airfield for completion, but the engine was never installed,[6] and the 138B was used as a ground instructional trainer instead, and never flown.[2] Data from Bristol Aircraft since 1910,[16] BAE Systems[2]General characteristics Performance   Aircraft of comparable role, configuration, and era  Related lists</t>
  </si>
  <si>
    <t>//upload.wikimedia.org/wikipedia/commons/thumb/f/f6/Bristol_138.jpg/300px-Bristol_138.jpg</t>
  </si>
  <si>
    <t>High-altitude research aircraft</t>
  </si>
  <si>
    <t>Frank Barnwell</t>
  </si>
  <si>
    <t>https://en.wikipedia.org/Frank Barnwell</t>
  </si>
  <si>
    <t>1 (+1 Type 138B airframe not completed)</t>
  </si>
  <si>
    <t>{'Type 138A': 'e built'}</t>
  </si>
  <si>
    <t>44 ft 0 in (13.41 m)</t>
  </si>
  <si>
    <t>66 ft 0 in (20.12 m)</t>
  </si>
  <si>
    <t>10 ft 3 in (3.12 m)</t>
  </si>
  <si>
    <t>568 sq ft (52.8 m2)</t>
  </si>
  <si>
    <t>4,391 lb (1,992 kg)</t>
  </si>
  <si>
    <t>5,310 lb (2,409 kg)</t>
  </si>
  <si>
    <t>9.35 lb/sq ft (45.7 kg/m2)</t>
  </si>
  <si>
    <t>https://en.wikipedia.org/11 May 1936</t>
  </si>
  <si>
    <t>82 imp gal (370 l; 98 US gal)</t>
  </si>
  <si>
    <t>1 × Bristol Pegasus P.E.6S 9-cylinder air-cooled radial piston engine, 500 hp (370 kW)   super-charged with intercooler</t>
  </si>
  <si>
    <t>4-bladed fixed-pitch propeller</t>
  </si>
  <si>
    <t>123 mph (198 km/h, 107 kn)</t>
  </si>
  <si>
    <t>54,000 ft (16,000 m)</t>
  </si>
  <si>
    <t>0.0942 hp/lb (0.1549 kW/kg)</t>
  </si>
  <si>
    <t>7.27 ft/min (0.0369 m/s) at 40,000 ft (12,000 m)</t>
  </si>
  <si>
    <t>2 hours 15 minutes</t>
  </si>
  <si>
    <t>Ikarus MM-2</t>
  </si>
  <si>
    <t>The Ikarus MM-2 (Serbian Cyrillic:Икарус MM-2) was a 1940 prototype single engine low-wing monoplane advanced training aircraft featuring mixed (wood and metal) construction and retractable undercarriage produced at the Yugoslavian Ikarus factory. The Ikarus MM-2 was developed as a replacement for the Zmaj Fizir FN, which had been the most commonly used training aircraft of the Yugoslav Royal Air Force up until 1941. This was result of the fact that in the mid thirties trainer airplanes in the Yugoslav Royal Air Force had their maximum speed of around 200 km/h and the modern combat planes are double faster. In the 1936 Eng. Dragutin Milošević start in private to work on project of new advanced trainer for the Yugoslav Air Force. This first plane was marked as M-1, M coming from the last name of designer. Also at same time, was started project on two different basic training aircraft, low-wing Ikarus Aero 2 and Rogožarski Brucoš. Design had proposed inline Renault engine and pilots in tandem. Construction of the plane and geometry was modern, with low wing and retractable landing gear. His project under the designation M-1 declined to Headquarters Air Force because of the use of imported components (Reno was scheduled engine). During 1937 launched the redesign of the aircraft engine IAM local K-7 (license  Gnôme-Rhône 7K) under the designation M-2, which was completed in mid-1939. In this reason, plane is now become shorter, wing retained the same and weight was raised for 60 kg.  That same year, testing was completed in the Eiffel wind tunnel model, which confirmed all budgets. At the time he joined the project engineer major Djordje Manojlović who succeeded his connections to quickly accept the project. The project received MM-2 designation by the initials Milošević - Manojlović. Prototype is entrusted to the Ikarus who at that time working on three new projects (aircraft: Orkan, Aero-2 and B-5).[1] Ikarus” had taken the project for prototype manufacture and the project is released at March 25. 1940.  The plane was completely finished in the November 1940. First flight test was made in December 1940 and test pilot was Vasilije Stojanovic. Total of 45 factory test flight was made with 20 flying hours made. Plane was very stable with very good handling characteristics. As the aircraft showed excellent properties, the Air Force Command had bought the prototype, which on 4 April 1941 flew in from Zemun in Kraljevo together with experiment group Yugoslav Royal Air Force. Armament should consist of two Darne 7, 7 mm armament placed in the wing with total of 2175 rounds. On the lower fuselage could be attached bomb pylon with connection for four bombs cal. 10 kg. Front piece of fuselage was metal plate with rear part fabric covered. Wings are constructed of wing center section and outer wings. Center section was of completely metal construction with metal panels while outer wings are of wooden construction. Cockpit was enclosed. Electrical installation was 24 V and in the series manufacture was planned “Telefunken” Fu GVII radio station. Envisaged to release order of 50 planes but the beginning of the war thwarted these plans. Since the war began two days, the aircraft was captured intact the German army plane and September gave its allies in the Croatian army, which flew under the number 6301 to the courier business.[2] It was destroyed during the fall when landing at the airport Rajlovac 13 May 1942 year. Aircraft was not renewed because the damage was a fall of 90%. Model aircraft and documentation is kept in the Yugoslav Museum of Aviation at the airport in Belgrade.  Data from :Avion MIMA-2 (II) Jewel of the pre-war Yugoslav aviation industry[1]General characteristics Performance  Related development Aircraft of comparable role, configuration, and era  Related lists</t>
  </si>
  <si>
    <t>//upload.wikimedia.org/wikipedia/en/thumb/0/00/Ikarus_MM-2.jpg/300px-Ikarus_MM-2.jpg</t>
  </si>
  <si>
    <t>Trainer (aircraft)</t>
  </si>
  <si>
    <t>https://en.wikipedia.org/Trainer (aircraft)</t>
  </si>
  <si>
    <t>https://en.wikipedia.org/Yugoslavia</t>
  </si>
  <si>
    <t>Fabrika aero i hidroplana Ikarus A.D. Zemun - Belgrade</t>
  </si>
  <si>
    <t>https://en.wikipedia.org/Fabrika aero i hidroplana Ikarus A.D. Zemun - Belgrade</t>
  </si>
  <si>
    <t>Dragutin Milošević and Djordje Manojlović</t>
  </si>
  <si>
    <t>7.20 m (23 ft 7 in)</t>
  </si>
  <si>
    <t>9.30 m (30 ft 6 in)</t>
  </si>
  <si>
    <t>2.89 m (9 ft 6 in)</t>
  </si>
  <si>
    <t>1,360 m2 (14,600 sq ft) swept</t>
  </si>
  <si>
    <t>894 kg (1,971 lb)</t>
  </si>
  <si>
    <t>prototype</t>
  </si>
  <si>
    <t>1 × IAM, K-7(7-cylinder radial engine), 310 kW (420 hp)</t>
  </si>
  <si>
    <t>2-bladed</t>
  </si>
  <si>
    <t>400 km/h (250 mph, 220 kn) 400 at sea level</t>
  </si>
  <si>
    <t>304 km/h (189 mph, 164 kn)</t>
  </si>
  <si>
    <t>9,250 m (30,350 ft)</t>
  </si>
  <si>
    <t>Yugoslav Royal Air Force</t>
  </si>
  <si>
    <t>https://en.wikipedia.org/Yugoslav Royal Air Force</t>
  </si>
  <si>
    <t>Zmaj Fizir FN</t>
  </si>
  <si>
    <t>https://en.wikipedia.org/Zmaj Fizir FN</t>
  </si>
  <si>
    <t>12.3 m/s (2,420 ft/min)</t>
  </si>
  <si>
    <t>764 km (475 mi, 413 nmi)</t>
  </si>
  <si>
    <t>inactive</t>
  </si>
  <si>
    <t>1,330 kg (2,932 lb)</t>
  </si>
  <si>
    <t>98 km/h (61 mph, 53 kn)</t>
  </si>
  <si>
    <t>Northrop XFT</t>
  </si>
  <si>
    <t>The Northrop XFT was an American prototype fighter aircraft of the 1930s. A single engined low-winged monoplane, it was designed and built to meet a America Navy order for an advanced carrier based fighter. It exhibited poor handling, and was rejected by the Navy, the single prototype being lost in a crash. A variant, the Northrop 3A, also was unsuccessful. In the early 1930s, the America Navy was interested in investigating the use of modern, monoplanes as fighter aircraft to replace the biplanes that equipped its fighter squadrons. In December 1932, it ordered the XF7B from Boeing, and based on the impressive performance of Northrop's Gamma and Delta, both stressed skin monoplanes, placed an order with Northrop on May 8, 1933 for a single prototype fighter, designated XFT-1.[2][3] The resulting aircraft, which was designed by a team led by Ed Heinemann resembled a scaled-down Northrop Delta. It was a low-winged monoplane, of all-metal stressed skin construction. It had a fixed tailwheel undercarriage with its main gear fitted with streamlining trouser fairings. The pilot sat in an enclosed cockpit with a sliding canopy. It was powered by a single Wright R-1510 radial engine.[3] The XFT-1 first flew on January 16, 1934, being delivered to NAS Anacostia for evaluation by the Navy. While it was the fastest fighter yet tested by the U.S. Navy, its handling characteristics were poor. Although it was fitted with flaps to lower its landing speed, it was difficult to control at low speeds, and had poor forward visibility, major problems for an aircraft intended to operate off aircraft carriers. Its most serious problem, however, was its behavior when spinning, where the tail was subject to severe buffeting. In February 1934, test pilot Vance Breese landed the prototype XFT-1 without authorization at Glendale California at a Curtiss Wright Technical Institute location, and pictures of the XFT-1 were leaked to Janes AWA.[4] It was fitted with a more powerful R-1510 engine in August 1934, but this did not improve performance, and it was returned to Northrop for more major modifications, being fitted with larger tail surfaces and a Pratt &amp; Whitney R-1535 Twin Wasp Junior radial engine, being redesignated XFT-2.[5] The XFT-2 was redelivered to Anacostia in April 1936,[6] where it was found that while its performance had only slightly improved, its handling was even poorer than before, and it was rejected by the U.S. Navy as unairworthy.[2] It was ordered to be returned to Northrop, and ignoring instructions to ship the aircraft back to Northrop's El Segundo factory, a test pilot attempted to fly the XFT-2 back to California, the aircraft entering a spin and crashing when crossing the Allegheny Mountains on July 21, 1936.[6] The design formed the basis of the Northrop 3A, almost identical to the XFT except for a retractable undercarriage, which first flew in 1935. It was another failure, having a tendency for unintentional spins. After the 3A and its test pilot, Lieutenant Frank Scare, disappeared without trace on a flight over the Pacific Ocean off California on 30 July 1935, Northrop abandoned the 3A project and sold its blueprints to Chance Vought Aviation, where it became the Vought V-141.[7][8] Data from McDonnell Douglas Aircraft since 1920[9]General characteristics Performance Armament  Related development Aircraft of comparable role, configuration, and era</t>
  </si>
  <si>
    <t>//upload.wikimedia.org/wikipedia/commons/thumb/e/ed/Northrop_XFT-1.jpg/300px-Northrop_XFT-1.jpg</t>
  </si>
  <si>
    <t>Northrop Corporation</t>
  </si>
  <si>
    <t>https://en.wikipedia.org/Northrop Corporation</t>
  </si>
  <si>
    <t>18 December 1933 at Los Angeles[1]</t>
  </si>
  <si>
    <t>21 ft 11 in (6.68 m)</t>
  </si>
  <si>
    <t>32 ft 0 in (9.75 m)</t>
  </si>
  <si>
    <t>9 ft 5 in (2.87 m)</t>
  </si>
  <si>
    <t>177 sq ft (16.4 m2)</t>
  </si>
  <si>
    <t>2,489 lb (1,120 kg)</t>
  </si>
  <si>
    <t>3,756 lb (1,704 kg)</t>
  </si>
  <si>
    <t>1 × Wright R-1510-26 14-cylinder air cooled radial engine, 625 hp (466 kW)</t>
  </si>
  <si>
    <t>235 mph (378 km/h, 204 kn) at 6,000 ft (1,380 m)</t>
  </si>
  <si>
    <t>26,500 ft (8,075 m)</t>
  </si>
  <si>
    <t>Northrop Delta</t>
  </si>
  <si>
    <t>https://en.wikipedia.org/Northrop Delta</t>
  </si>
  <si>
    <t>976 mi (1,570 km, 849 nmi)</t>
  </si>
  <si>
    <t>4,003 lb (1,816 kg)</t>
  </si>
  <si>
    <t>2 × .30 in (7.62 mm) M1919 Browning machine guns</t>
  </si>
  <si>
    <t>2 × 116 lb (53 kg) bombs</t>
  </si>
  <si>
    <t>Vought V-141</t>
  </si>
  <si>
    <t>https://en.wikipedia.org/Vought V-141</t>
  </si>
  <si>
    <t>2.6 minutes</t>
  </si>
  <si>
    <t>Caspar C 35</t>
  </si>
  <si>
    <t>The Caspar C 35 Priwall (for the Priwall Peninsula) was a German airliner of the late 1920s, of which only a single example was built. It was a large, single-engine, single-bay biplane of conventional configuration with fixed tailskid undercarriage. The staggered, equal-span wings were braced with a large I-strut. Not only were the passengers seated within a fully enclosed cabin, but the flight deck was fully enclosed as well. The sole C 35 was operated by Deutsche Luft Hansa, christened Rostock. It was destroyed in July 1930. Data from Jane's all the World's Aircraft 1928[1]General characteristics Performance</t>
  </si>
  <si>
    <t>//upload.wikimedia.org/wikipedia/commons/thumb/7/7f/Caspar_C_35_Le_Document_a%C3%A9ronautique_November%2C1928.jpg/300px-Caspar_C_35_Le_Document_a%C3%A9ronautique_November%2C1928.jpg</t>
  </si>
  <si>
    <t>Caspar-Werke</t>
  </si>
  <si>
    <t>https://en.wikipedia.org/Caspar-Werke</t>
  </si>
  <si>
    <t>H Herrmann</t>
  </si>
  <si>
    <t>13.27 m (43 ft 6 in)</t>
  </si>
  <si>
    <t>17.62 m (57 ft 10 in)</t>
  </si>
  <si>
    <t>5 m (16 ft 5 in)</t>
  </si>
  <si>
    <t>69 m2 (740 sq ft)</t>
  </si>
  <si>
    <t>2,530 kg (5,578 lb)</t>
  </si>
  <si>
    <t>4,300 kg (9,480 lb)</t>
  </si>
  <si>
    <t>62.3 kg/m2 (12.8 lb/sq ft)</t>
  </si>
  <si>
    <t>https://en.wikipedia.org/1928</t>
  </si>
  <si>
    <t>1 × BMW VIU V-12 water-cooled piston engine, 370 kW (500 hp)   / 450 kW (600 hp)</t>
  </si>
  <si>
    <t>4-bladed fixed pitch wooden propeller</t>
  </si>
  <si>
    <t>202 km/h (126 mph, 109 kn)</t>
  </si>
  <si>
    <t>180 km/h (110 mph, 97 kn)</t>
  </si>
  <si>
    <t>0.0870 kW/kg (0.0529 hp/lb)</t>
  </si>
  <si>
    <t>90 km/h (56 mph; 49 kn)</t>
  </si>
  <si>
    <t>1,000 m (3,300 ft) in 5 minutes; 2,000 m (6,600 ft) in 12 minutes</t>
  </si>
  <si>
    <t>Tupolev Tu-324</t>
  </si>
  <si>
    <t>The Tupolev Tu-324 is a 30–50 seat regional jet passenger airliner. The jet will be twin-powered by Ivchenko-Progress AI-22 or Rolls-Royce BR710 turbofan engines. The plane will be available as a corporate plane for eight–ten executives. The range for the three aircraft variants will be 2500 km, 5000 km and 7000 km. The cargo version can carry 3000 kg of cargo and a range of 5900 km is expected. The Tu-324 is designed to replace aging Yak-40, Tu-134, An-24 and An-26s on Russia's regional routes. The executive version would be equipped with a satellite phone, FAX, and a PC outlet. The Tupolev Tu-324 would be able to operate from gravel and dirt airfields, providing safety and comfort of the passengers. The Tupolev Tu-324 would be produced at the S.P.Gorbunov Aircraft Production Association in Kazan, Russia. Estimated price is between $19–23 Million USD. In recent years, despite politicians of the Tatarstan region fighting for the project,[1] only little progress was made as United Aircraft Corporation has focused on fostering the Sukhoi Superjet, Antonov An-148 and Irkut MC-21 projects instead. In 2016, manufacturing of the TU-324 was proposed among similar projects, but United Aircraft Corporation decided to restart production of the Ilyushin Il-114 instead.[2] Data from[citation needed]General characteristics Performance</t>
  </si>
  <si>
    <t>//upload.wikimedia.org/wikipedia/commons/thumb/0/03/Tupolew_Tu-324_mockup.jpg/300px-Tupolew_Tu-324_mockup.jpg</t>
  </si>
  <si>
    <t>Jet airliner</t>
  </si>
  <si>
    <t>https://en.wikipedia.org/Jet airliner</t>
  </si>
  <si>
    <t>{'Tu-324': '-414', '[object HTMLElement]': {}}</t>
  </si>
  <si>
    <t>26.2 m (85 ft 11 in)</t>
  </si>
  <si>
    <t>23.7 m (77 ft 9 in)</t>
  </si>
  <si>
    <t>7.3 m (23 ft 11 in)</t>
  </si>
  <si>
    <t>24,630 kg (54,300 lb)</t>
  </si>
  <si>
    <t>NoneNone</t>
  </si>
  <si>
    <t>30–50 passengers</t>
  </si>
  <si>
    <t>2 × Ivchenko-Progress AI-22 or Rolls-Royce BR710 turbofan engines</t>
  </si>
  <si>
    <t>800 km/h (500 mph, 430 kn)</t>
  </si>
  <si>
    <t>Tupolev Tu-134</t>
  </si>
  <si>
    <t>https://en.wikipedia.org/Tupolev Tu-134</t>
  </si>
  <si>
    <t>4,500 km (2,800 mi, 2,400 nmi)</t>
  </si>
  <si>
    <t>In development, may be cancelled due to lack of funds.</t>
  </si>
  <si>
    <t>PZL.44 Wicher</t>
  </si>
  <si>
    <t>The PZL.44 Wicher (gale) was a prototype of 14-seat, twin-engine Polish airliner, built in the Państwowe Zakłady Lotnicze (PZL) in 1938. It was to compete with the DC-2 and Lockheed Super Electra. In mid-1930s the Polish Ministry of Communication ordered a development of an own passenger plane for LOT Polish Airlines, using imported airliners so far, mostly Lockheed Model 10 Electra and DC-2. The plane was designed in  the state factory Państwowe Zakłady Lotnicze under direction of Wsiewołod Jakimiuk in 1936-1937. The prototype was flown on March 12, 1938 by Bolesław Orliński. The aircraft was designated PZL.44 Wicher. In December 1938 it was given to LOT  for evaluation, with registration SP-BPJ. Initially LOT airlines ordered 10 PZL.44s but high cost of a single plane and delays in development were reasons for decreasing order to 4, then for cancelling it in 1939. LOT bought a batch of 10 cheaper Lockheed Model 14 Super Electra in 1938 and 1939 instead. Wicher was the first modern airliner designed in Poland. Its construction was very modern, but it is estimated, that the whole program was too ambitious, because a development of an own passenger plane, without much hope of export, was unprofitable. Moreover, LOT airlines found operation features of well-proven Lockheed Super Electra more satisfactory. Lockheed offered a possibility of licence production as well. Besides, the Wicher development caused delays in development of new fighter aircraft, like PZL.50 Jastrząb, that were more needed in an advent of the war. Twin-engine low-wing cantilever monoplane of all-metal construction, metal covered (with Alclad sheet). Fuselage semi-monocoque. Crew cockpit in front with a crew of 4: two pilots, radio operator and a mechanic. Passenger cab with 14 seats in two rows, dimensions: length 9 m, width 1.7 m, height 1.85 m. In the rear, WC and (planned) buffet with steward's seat. Crew doors on the left in front, passengers' doors on the left at the rear. Baggage space was between cockpit and the passenger cab and in a tail section, capacity: 5 m³. Elliptical wing (shape similar to PZL.37 Łoś bomber). Engine nacelles in wings. Three-blade Hamilton Standard propellers. Retractable conventional landing gear - main gear with single wheels retractable to engine nacelles. Double elliptical tailfin. Fuel tanks 2200 L in wings (normal load 1800 L). After the outbreak of World War II, on 1 September 1939, the prototype was evacuated from Warsaw to Lwów, but it damaged a landing gear and was left there. It was next captured by the invading Soviets and evaluated in Moscow. Data from Polish aircraft 1893-1939[1]General characteristics Performance   Aircraft of comparable role, configuration, and era</t>
  </si>
  <si>
    <t>//upload.wikimedia.org/wikipedia/commons/thumb/c/ca/PZL_Wicher_1.jpg/300px-PZL_Wicher_1.jpg</t>
  </si>
  <si>
    <t>Passenger plane</t>
  </si>
  <si>
    <t>Państwowe Zakłady Lotnicze</t>
  </si>
  <si>
    <t>https://en.wikipedia.org/Państwowe Zakłady Lotnicze</t>
  </si>
  <si>
    <t>1 (prototype)</t>
  </si>
  <si>
    <t>18.45 m (60 ft 6 in)</t>
  </si>
  <si>
    <t>23.8 m (78 ft 1 in)</t>
  </si>
  <si>
    <t>4.8 m (15 ft 9 in)</t>
  </si>
  <si>
    <t>5,990 kg (13,206 lb)</t>
  </si>
  <si>
    <t>9,260 kg (20,415 lb)</t>
  </si>
  <si>
    <t>123.5 kg/m2 (25.3 lb/sq ft)</t>
  </si>
  <si>
    <t>14 passengers</t>
  </si>
  <si>
    <t>1,800 l (480 US gal; 400 imp gal) fuel ; 110 l (29 US gal; 24 imp gal) oil</t>
  </si>
  <si>
    <t>1 × Wright GR-1820-G2 Cyclone 9-cylinder air-cooled radial piston  engine, 750 kW (1,000 hp)</t>
  </si>
  <si>
    <t>3-bladed Hamilton-Standard constant-speed propellers</t>
  </si>
  <si>
    <t>360 km/h (220 mph, 190 kn) at 2,000 m (6,562 ft)</t>
  </si>
  <si>
    <t>280 km/h (170 mph, 150 kn) at 65% power</t>
  </si>
  <si>
    <t>6,850 m (22,470 ft)</t>
  </si>
  <si>
    <t>0.138 kW/kg (0.084 hp/lb)</t>
  </si>
  <si>
    <t>LOT Polish Airlines</t>
  </si>
  <si>
    <t>https://en.wikipedia.org/LOT Polish Airlines</t>
  </si>
  <si>
    <t>6.93 m/s (1,365 ft/min)</t>
  </si>
  <si>
    <t>1,840 km (1,140 mi, 990 nmi)</t>
  </si>
  <si>
    <t>Prototype</t>
  </si>
  <si>
    <t>2,300 m (7,546 ft)</t>
  </si>
  <si>
    <t>FMA I.Ae. 37</t>
  </si>
  <si>
    <t>The FMA I.Ae. 37 was a prototype jet fighter developed in Argentina during the 1950s. It never flew and was cancelled in 1960.[1] Reimar Horten began work on the I.Ae. 37 around 1952, after his earlier flying wing projects were cancelled in 1951. This was a single-engined jet fighter that used a Delta wing flying wing structure with lateral engine inlets on each side of the nose.  Wind tunnel tests began in 1953 as did testing of scale models at speeds up to 200 km/h (120 mph). A full scale glider was built and made its first flight on 1 October 1954. Most unusually the pilot lay prone and looked out through the clear nose. Flight performance was deemed excellent and manufacture of a prototype powered by a Rolls-Royce Derwent V began in 1955. This engine was selected as it was readily available, but lacked the thrust desired for the fighter. The glider was modified with a normal cockpit in 1956. Shortly afterwards the program was split with the current aircraft becoming a subsonic trainer and a new, more powerful fighter, designated as the I.Ae. 48, with two podded engines under the wings and intended to reach Mach 2.2 (2,700 km/h).  However, both projects were cancelled in 1960 as an economy measure, only a year before the I.Ae. 37 was to fly.[2] Data from Rivas 2008, p. 170General characteristics Performance</t>
  </si>
  <si>
    <t>//upload.wikimedia.org/wikipedia/commons/thumb/f/f1/Ia_37_I.jpg/300px-Ia_37_I.jpg</t>
  </si>
  <si>
    <t>Interceptor</t>
  </si>
  <si>
    <t>Argentina</t>
  </si>
  <si>
    <t>https://en.wikipedia.org/Argentina</t>
  </si>
  <si>
    <t>Fábrica Militar de Aviones</t>
  </si>
  <si>
    <t>https://en.wikipedia.org/Fábrica Militar de Aviones</t>
  </si>
  <si>
    <t>Reimar Horten</t>
  </si>
  <si>
    <t>https://en.wikipedia.org/Reimar Horten</t>
  </si>
  <si>
    <t>11.78 m (32 ft 10 in)</t>
  </si>
  <si>
    <t>4.92 m (16 ft 2 in)</t>
  </si>
  <si>
    <t>48 m2 (520 sq ft)</t>
  </si>
  <si>
    <t>3,300 kg (7,275 lb)</t>
  </si>
  <si>
    <t>4,800 kg (10,582 lb)</t>
  </si>
  <si>
    <t>1 × Rolls-Royce Derwent V turbojet, 16.02 kN (3,600 lbf) thrust</t>
  </si>
  <si>
    <t>11,000 m (36,089 ft)</t>
  </si>
  <si>
    <t>2,000 km (600 mi, 520 nmi)</t>
  </si>
  <si>
    <t>Cancelled 1960</t>
  </si>
  <si>
    <t>Blohm &amp; Voss BV 40</t>
  </si>
  <si>
    <t>The Blohm &amp; Voss BV 40 was a German glider fighter designed to attack Allied bomber formations during the time of the bombing raids over Nazi Germany. The BV 40 was the smallest glider that could accommodate an armoured cockpit and two cannon with limited ammunition. By eliminating the engine and lying the pilot in a prone position (i.e. on his front), the cross-sectional area of the fuselage was much reduced, making the BV 40 harder for bomber gunners to hit.[1] The plane was designed to use non-strategic materials and to be built in as short a time as possible by non-skilled workers. The fuselage was constructed almost entirely of wood.[2] It was of conventional layout, the glider had a high-mounted, straight untapered wing with a similarly-shaped tailplane mounted on the fin just above the fuselage. The pilot lay prone in an armoured steel cockpit in the nose of the aircraft. The front steel plate was 20 millimetres (0.79 in) thick, and was fitted with a windscreen of 120-millimetre (4.7 in) thick, armoured glass[3] that gave the aircraft a blunt-nosed appearance. Two 30 mm (1.18 in) MK 108 cannon were mounted in the wing roots. There was no conventional undercarriage. A twin-wheeled dolly was used for take-off and dropped once the glider was airborne. A skid under the nose was lowered for landing. The BV 40 interceptor glider was conceived by Dr Richard Vogt, chief designer and technical director of Blohm &amp; Voss,[3] as a low-cost emergency solution to the problem of the Allied bomber formations which were devastating Germany in the latter half of World War II. It was to be towed by a Messerschmitt Bf 109 to operational altitude and released above the Allied bombers' combat box.[4] Once released, it would dive down at a sharp angle towards the enemy bomber fleet. During its short attack time, the BV 40 would fire its weapons, then glide back to earth. Several prototypes were completed and flown, towed behind a Messerschmitt Bf 110. The first flight took place in May 1944. It was found the craft could reach 292 miles per hour (470 km/h) and it was thought to have the potential to go far faster.[3] Various changes to the requirement and to the design were discussed, before the project was cancelled later in the year. In all, seven aircraft were completed and five of them flown. Owing to the potential dangers for the pilot inherent in the operation of this precarious aircraft, the BV 40 is sometimes listed as a suicide weapon, but it was not intended as such.[5] Data from Warplanes of the Third Reich,[6] Die Deutsche Luftrüstung 1933–1945 Vol.1 – AEG-Dornier[7]General characteristics Performance Armament    Related lists</t>
  </si>
  <si>
    <t>//upload.wikimedia.org/wikipedia/commons/thumb/d/d4/BV40.jpg/300px-BV40.jpg</t>
  </si>
  <si>
    <t>Fighter glider</t>
  </si>
  <si>
    <t>Blohm &amp; Voss</t>
  </si>
  <si>
    <t>https://en.wikipedia.org/Blohm &amp; Voss</t>
  </si>
  <si>
    <t>5.7 m (18 ft 8 in)</t>
  </si>
  <si>
    <t>7.9 m (25 ft 11 in)</t>
  </si>
  <si>
    <t>1.63 m (5 ft 4 in)</t>
  </si>
  <si>
    <t>8.7 m2 (94 sq ft)</t>
  </si>
  <si>
    <t>838 kg (1,847 lb)</t>
  </si>
  <si>
    <t>952 kg (2,099 lb)</t>
  </si>
  <si>
    <t>900 km/h (560 mph, 490 kn)</t>
  </si>
  <si>
    <t>125 km/h (78 mph; 67 kn)</t>
  </si>
  <si>
    <t>2 × fixed, forward-firing 30 mm (1.181 in) Rheinmetall-Borsig MK 108 cannon with 35 rpg</t>
  </si>
  <si>
    <t>Bristol XLRQ</t>
  </si>
  <si>
    <t>The Bristol XLRQ-1 was a 12-seat amphibious glider of the Bristol Aeronautical Corporation, New Haven, Connecticut (USA), developed for the America Marine Corps in 1942-43. Only two prototypes were built before the USMC scrapped the idea of glider use in 1943. Inspired by the use of gliders by Germany, the America Navy and USMC initiated a glider program in May 1941. Two glider types were envisioned, a 12-seat and a 24 seat-type. The Naval Aircraft Factory was requested to undertake preliminary design of the gliders, which were to be constructed of wood or composite materials. The idea was to have enough gliders to transport one battalion of Marines (715 men) with equipment. Consolidated PBYs should be used to tow the gliders.[1] The Marines requested a glider capable of landing and take off from both land and water, be capable of static line parachute jumping and have exterior machine guns.[2] In 1942, the USMC established Marine Glider Group 71 at Page Field, Parris Island, South Carolina (USA), using the Schweizer LNS-1 and Pratt-Read LNE-1, later also Aeronca LNR-1 gliders for training. For towing the unit used N3N Canary biplane trainers and J2F Duck amphibians. For the 12-seat type the beach assault role in mind, the U.S. Navy ordered prototypes, the Allied Aviation Corporation XLRA-1 and the Bristol Aeronautical Corporation XLRQ-1. Technically, the gliders were successful designs, and 100 of each were ordered. Also a licence production by the Naval Aircraft Factory as the LRN-1 was envisioned.[3] Although the U.S. Navy ordered four XLRQ-1 prototypes, only two were built (BuNos 11561 and 11562). The glider had a retractable landing gear and the wing roots provided lateral stability on the water. However, glider assault was not tactically feasible against small, heavily defended islands in the Pacific, not enough gliders were arriving from factories and too many pilots were being assigned to the glider program.[4] Therefore, the program was scrapped in 1943.[5] Data from , Fighting gliders of World War II[6]General characteristics Performance   Aircraft of comparable role, configuration, and era  Related lists</t>
  </si>
  <si>
    <t>//upload.wikimedia.org/wikipedia/commons/thumb/1/16/Bristol_XLRQ-1_glider_front_1943.jpg/300px-Bristol_XLRQ-1_glider_front_1943.jpg</t>
  </si>
  <si>
    <t>Transport flying boat glider</t>
  </si>
  <si>
    <t>Bristol Aeronautical Corporation</t>
  </si>
  <si>
    <t>https://en.wikipedia.org/Bristol Aeronautical Corporation</t>
  </si>
  <si>
    <t>43 ft 6 in (13.26 m)</t>
  </si>
  <si>
    <t>71 ft (22 m)</t>
  </si>
  <si>
    <t>16 ft (4.9 m)</t>
  </si>
  <si>
    <t>500 sq ft (46 m2)</t>
  </si>
  <si>
    <t>10 Marines, equipped</t>
  </si>
  <si>
    <t>Fleetwings BT-12 Sophomore</t>
  </si>
  <si>
    <t>The Fleetwings BT-12 Sophomore, also known by the company designation Model 23, was a 1940s all-metal basic training monoplane built by Fleetwings for the America Army Air Forces. Only 24 production examples of the type were built before the contract was cancelled. With the outbreak of the Second World War, the America Army Air Corps (later U.S. Army Air Forces) was ill-prepared for a major war. In an effort to obtain as many aircraft as possible the USAAF contracted Fleetwings, a specialist fabricator of sheet stainless steel,[1] to produce a basic training monoplane. A prototype Model 23 was ordered as the XBT-12 during 1939.[2] The XBT-12 was an all-metal low-wing cantilever monoplane with a fixed tailwheel landing gear and powered by a Pratt &amp; Whitney R-985 engine. The aircraft had two identical tandem cockpits for instructor and pupil covered by a continuous canopy. It was the first military aircraft to be constructed primarily from welded stainless steel.[3] After evaluation of the XBT-12 starting in late 1939,[4] an order for 176 production aircraft, designated BT-12, was placed.[5] Only 24 aircraft were delivered, one in 1942 and 23 in 1943,[6] before the contract was cancelled,[2] the Vultee BT-13 being preferred.[1] Data from The Illustrated Encyclopedia of Aircraft (Part Work 1982-1985), 1985, Orbis Publishing; also [4]General characteristics Performance   Aircraft of comparable role, configuration, and era  Related lists</t>
  </si>
  <si>
    <t>//upload.wikimedia.org/wikipedia/commons/thumb/6/69/Fleetwings_XBT-12.jpg/300px-Fleetwings_XBT-12.jpg</t>
  </si>
  <si>
    <t>Basic trainer</t>
  </si>
  <si>
    <t>Fleetwings</t>
  </si>
  <si>
    <t>https://en.wikipedia.org/Fleetwings</t>
  </si>
  <si>
    <t>Two (pilot and instructor)</t>
  </si>
  <si>
    <t>29 ft 2 in (8.89 m)</t>
  </si>
  <si>
    <t>11 ft 4 in (3.45 m)</t>
  </si>
  <si>
    <t>240.4 sq ft (22.33 m2)</t>
  </si>
  <si>
    <t>3,173 lb (1,439 kg)</t>
  </si>
  <si>
    <t>4,497 lb (2,040 kg)</t>
  </si>
  <si>
    <t>1 × Pratt &amp; Whitney R-985-AN-1 Wasp Junior radial engine, 450 hp (340 kW)</t>
  </si>
  <si>
    <t>195 mph (314 km/h, 169 kn)</t>
  </si>
  <si>
    <t>150 mph (240 km/h, 130 kn)</t>
  </si>
  <si>
    <t>23,800 ft (7,300 m)</t>
  </si>
  <si>
    <t>America Army Air Forces</t>
  </si>
  <si>
    <t>https://en.wikipedia.org/America Army Air Forces</t>
  </si>
  <si>
    <t>675 mi (1,086 km, 587 nmi)</t>
  </si>
  <si>
    <t>1942-1943</t>
  </si>
  <si>
    <t>10 minutes to 10,000 feet</t>
  </si>
  <si>
    <t>Hafner Rotabuggy</t>
  </si>
  <si>
    <t>The Hafner Rotabuggy (formally known as the Malcolm Rotaplane[1] and as the "M.L. 10/42 Flying Jeep"[2]) was a British experimental aircraft that was essentially a Willys MB combined with a rotor kite, developed with the intention of producing a way of air-dropping off-road vehicles. It was designed by Raoul Hafner of the Airborne Forces Experimental Establishment (AFEE) after their development of the Rotachute enjoyed some success. The prototype was built by the R. Malcolm &amp; Co. Ltd[note 1] (also producer of the Malcolm hood) at White Waltham in 1942. Air Ministry specification 10/42 for a "Special Rotating Wing Glider" was used to identify the project.[3] Initial testing showed that a Willys MB could be dropped from heights up to 2.35 metres (7.7 ft) without damage to the vehicle. A 12.4 metres (40 ft 8.2 in) diameter rotor was attached, along with a tail fairing and fins, but no rudders. Two men were required to pilot the aircraft: one to drive it as an automobile, and one to pilot it in the air using a control column. Initially it was named the "Blitz Buggy", but that was soon dropped for the "Rotabuggy".[4] The first trial was conducted on 16 November 1943, with the unit being towed behind a Diamond T lorry, but the lorry could not get enough speed to put the Rotabuggy in the air.[5] A more powerful vehicle, a supercharged 4.5-litre Bentley automobile, was used on 27 November to finally allow the machine to become airborne and in test could obtain glide speeds of 45 mph. Later tests were made towed behind an Armstrong-Whitworth Whitley bomber.[6] Although initial tests showed that the Rotabuggy was prone to severe vibration at speeds greater than 45 miles per hour (72 km/h), with improvements the Rotabuggy achieved a flight speed of 70 mph (113 km/h) on 1 February 1944. The last test flight occurred in September 1944, where the unit flew for 10 minutes at an altitude of 400 feet (121.9 m) and a speed of 65 mph (105 km/h), after being released by a Whitley bomber, and was described as "highly satisfactory". However, the introduction of gliders that could carry vehicles (such as the Waco Hadrian and Airspeed Horsa) made the Rotabuggy superfluous and further development was cancelled.[7] A replica of the Rotabuggy is displayed at the Museum of Army Flying in Middle Wallop. Hafner also came up with the idea of a similarly outfitted "Rotatank" using a Valentine tank, but that was never built. Data from Nothing Ventured...[8]General characteristics Performance</t>
  </si>
  <si>
    <t>//upload.wikimedia.org/wikipedia/commons/thumb/6/62/Rotabuggy.jpg/300px-Rotabuggy.jpg</t>
  </si>
  <si>
    <t>military rotor kite</t>
  </si>
  <si>
    <t>https://en.wikipedia.org/military rotor kite</t>
  </si>
  <si>
    <t>UK</t>
  </si>
  <si>
    <t>R Malcolm Ltd</t>
  </si>
  <si>
    <t>https://en.wikipedia.org/R Malcolm Ltd</t>
  </si>
  <si>
    <t>Raoul Hafner</t>
  </si>
  <si>
    <t>https://en.wikipedia.org/Raoul Hafner</t>
  </si>
  <si>
    <t>21 ft 0 in (6.40 m)</t>
  </si>
  <si>
    <t>6 ft 9 in (2.06 m) (to top of rotor hub)</t>
  </si>
  <si>
    <t>2,125 lb (964 kg) (Jeep)</t>
  </si>
  <si>
    <t>3,110 lb (1,411 kg)</t>
  </si>
  <si>
    <t>960 ft/min (4.9 m/s) at 48 mph (77 km/h), 1,980 ft/min (10.1 m/s) at 150 mph (240 km/h)</t>
  </si>
  <si>
    <t>150 mph (240 km/h, 130 kn) (max design speed)</t>
  </si>
  <si>
    <t>46 ft 8 in (14.22 m)</t>
  </si>
  <si>
    <t>1,711 sq ft (159.0 m2)</t>
  </si>
  <si>
    <t>9 ft 6 in (2.90 m)</t>
  </si>
  <si>
    <t>Yokosuka MXY5</t>
  </si>
  <si>
    <t>The Yokosuka MXY5 was a Japanese military glider produced for the Imperial Japanese Navy during World War II. The glider consisted of fabric-wrapped plywood covering a tubular steel frame. The design also featured a retractable undercarriage as well as an emergency skid. The design was flight tested in 1942. Only 12 were produced and none were used operationally. [1] Data from Oblicza Historii,[2] Fighting gliders of World War II[3]General characteristics 2 Hyphenated trailing letter (-J, -K, -L, -N or -S) denotes design modified for secondary role</t>
  </si>
  <si>
    <t>//upload.wikimedia.org/wikipedia/commons/thumb/2/29/Yokosuka-MXY5_glider_1.jpg/300px-Yokosuka-MXY5_glider_1.jpg</t>
  </si>
  <si>
    <t>Transport glider</t>
  </si>
  <si>
    <t>Yokosuka Naval Air Technical Arsenal</t>
  </si>
  <si>
    <t>https://en.wikipedia.org/Yokosuka Naval Air Technical Arsenal</t>
  </si>
  <si>
    <t>13 m (43 ft)</t>
  </si>
  <si>
    <t>18.1 m (59.4 ft)</t>
  </si>
  <si>
    <t>55.2 m2 (594 sq ft)</t>
  </si>
  <si>
    <t>1,520 kg (3,350 lb)</t>
  </si>
  <si>
    <t>2,694 kg (5,940 lb)</t>
  </si>
  <si>
    <t>11 troops; 1,020 kg (2,240 lb) cargo</t>
  </si>
  <si>
    <t>Sukhoi-Gulfstream S-21</t>
  </si>
  <si>
    <t>Sukhoi-Gulfstream S-21 was a projected Russian-American supersonic business jet. In the early 1990s, Gulfstream Aerospace and the Sukhoi Design Bureau began a joint effort to develop a supersonic small business jet, code named the S-21. Due to questionable market demand for commercial supersonic air travel, commitment to the project weakened and delays mounted.[1] Gulfstream eventually dissolved the partnership, although Sukhoi continued work on the S-21. The S-21 would be capable of sustained cruise at Mach 2+ and much research and development has gone into the management of the troublesome transonic effects phenomena associated with near Mach 1 air speeds. As of 2012, the project had not received any funding for the 2013-2025 development period and appeared to be cancelled.[2] General characteristics Performance  Aircraft of comparable role, configuration, and era  Related lists  Media related to Sukhoi S-21 at Wikimedia Commons</t>
  </si>
  <si>
    <t>//upload.wikimedia.org/wikipedia/commons/thumb/9/95/Sukhoi_SSBJ_project_model.jpg/300px-Sukhoi_SSBJ_project_model.jpg</t>
  </si>
  <si>
    <t>Supersonic business jet</t>
  </si>
  <si>
    <t>https://en.wikipedia.org/Supersonic business jet</t>
  </si>
  <si>
    <t>Sukhoi Design Bureau/Gulfstream Aerospace</t>
  </si>
  <si>
    <t>https://en.wikipedia.org/Sukhoi Design Bureau/Gulfstream Aerospace</t>
  </si>
  <si>
    <t>124 ft 2 in (37.86 m)</t>
  </si>
  <si>
    <t>65 ft 5 in (19.93 m)</t>
  </si>
  <si>
    <t>27 ft 1 in (8.26 m)</t>
  </si>
  <si>
    <t>54,167 lb (24,570 kg)</t>
  </si>
  <si>
    <t>6–10 passengers and 2,999 lb (907 kg) useful load</t>
  </si>
  <si>
    <t>3 × Aviadvigatel D-21A1 turbofan, 16,535 lbf (73.55 kN) thrust each</t>
  </si>
  <si>
    <t>Mach 2+</t>
  </si>
  <si>
    <t>63,900 ft (19,477 m)</t>
  </si>
  <si>
    <t>2,715 mi (4,369 km, 2360 nmi) at Mach 1.4</t>
  </si>
  <si>
    <t>114,200 lb (51,800 kg)With Fuel</t>
  </si>
  <si>
    <t>32° unswept 68° swept</t>
  </si>
  <si>
    <t>58,465 lb (26,519 kg)</t>
  </si>
  <si>
    <t>Rogožarski Albatros Sremska Mitrovica The Zmaj Fizir FN (Serbian Cyrillic: Змај Физир ФН) was a plane designed for primary (initial) training of pilots in Yugoslavia before World War II. It was constructed in Zmaj, a Zemun-based factory, in the Rogožarski factory in Belgrade, and Albatros in Sremska Mitrovica. Fizir FN had an exceptional low-speed stability, a desirable trait for a training aircraft, and was reliable and easy to maintain.[4] It was also widely used as a sport aircraft.[1] The first prototype of Fizir FN (Fizir trainer) aircraft was designed and manufactured in Rudolf Fizir Workshop in Petrovaradin in 1929. Rudolf Fizir's workshop did not have the capacity for industrial production of aircraft, their area of work was design and prototyping. Although being small, this workshop played a significant role in the development of Yugoslav aeronautics after it emerged and was used for the training of engineers who later became important and famous in our aeronautical engineering.[5] Many successful airplane prototypes from this workshop were later produced in Yugoslav airplane factories. Fizir FN was a single-engine two-seat biplane trainer with a pair of struts on each side. The wings were rounded at the tips and the flaps were located on both the lower and upper wings. The landing gear was fixed to the hinge axis. For amortization either coil springs and rubber (old type) or the rings of sand (later types) were used. The wooden structure of the fuselage and the wings were covered with a canvas. While the aircraft was in production, it underwent several refinements, aircraft was continually being refined, so that there are several sub-types of these aircraft, depending on engines installed. The first three aircraft was produced by the Zmaj aircraft factory for the Aero Club.[6] Given  excellent flight characteristics, the Air Force Command decided to use it to replace all training aircraft that had been in use for basic training previously. At that time basic pilot training schools used the Ikarus SB-1 (Mali Brandenburg) with a 73 kW (98 hp) Mercedes engine, Zmaj built Hanriot H-320 with 90 kW (120 hp) Salmson engines manufactured in 1928. In the beginning of 1931, Zmaj produced and delivered first 20 serial Fizir FN aircraft with the Walter NZ 120 radial engine and 10 with the 89 kW (120 hp) Mercedes D.II inline engine.[1] By 1939, Zmaj produced 137 aircraft, Rogožarski fabricated 40 aircraft and in the 1940 the Sremska Mitrovica-based Albatros factory produced additional  20 aircraft of this type. Before the war, the Navy Aviation ordered four hydro Fizir FN (Floatplane) with floats and with a more powerful 106 kW (142 hp) Walter Mars I engine. The production of last 10 Fizir FN aircraft started in 1943 in Zmaj for the Croatian Air Force, but were not finished until the liberation, when they were handed over to the Aeronautical Federation of Yugoslavia.[2] During World War II, Yugoslav-manufactured aircraft were used by Italy in Albania, and by the Independent State of Croatia. Aircraft Fizir FN was reliable, easy to fly and maintain, so this plane stayed operative for many years (almost till 1950), as basic pilot training aircraft, both in military and civilian aviation, including sports flying. There are two surviving Fizir FN aircraft.[1] One (serial number 9009, registration YU-CAY) is kept in the Museum of Yugoslav aviation at Belgrade Nikola Tesla airport.[7] The other, designated Fizir FNH, which is a Fizir FN converted to a floatplane (serial number 9002, registration YU-CGO), is kept in Technical Museum, Zagreb.[8] Data from [10]General characteristics Performance</t>
  </si>
  <si>
    <t>//upload.wikimedia.org/wikipedia/commons/thumb/a/ad/BAM-03-Fizir_FN.jpg/300px-BAM-03-Fizir_FN.jpg</t>
  </si>
  <si>
    <t>Yugoslav</t>
  </si>
  <si>
    <t>https://en.wikipedia.org/Yugoslav</t>
  </si>
  <si>
    <t>Zmaj aircraft, Rogožarski Albatros Sremska Mitrovica</t>
  </si>
  <si>
    <t>https://en.wikipedia.org/Zmaj aircraft, Rogožarski Albatros Sremska Mitrovica</t>
  </si>
  <si>
    <t>Rudolf Fizir, Dušan Stankov and Ivan Rukavina</t>
  </si>
  <si>
    <t>https://en.wikipedia.org/Rudolf Fizir, Dušan Stankov and Ivan Rukavina</t>
  </si>
  <si>
    <t>May 1929[1]</t>
  </si>
  <si>
    <t>206[2]+ 4 Floatplane[3]</t>
  </si>
  <si>
    <t>{'Fizir FN – Mercedes': ' with the engine Mercedes 88\xa0kW,', 'Fizir FN – Walter': ' with the engine Walter NZ-120 88\xa0kW and', 'Fizir FN – Walter Mars I': ' seaplane with the engine Walter Mars I 106\xa0kW, (seaplane nicknamed "Little Fizir" or "Fizir Mars").'}</t>
  </si>
  <si>
    <t>11.20 m (36 ft 9 in)</t>
  </si>
  <si>
    <t>3.10 m (10 ft 2 in)</t>
  </si>
  <si>
    <t>32.50 m2 (349.8 sq ft)</t>
  </si>
  <si>
    <t>820 kg (1,808 lb)</t>
  </si>
  <si>
    <t>1,426 kg (3,144 lb)</t>
  </si>
  <si>
    <t>1 × Walter NZ 120 7-cylinder radial, 88 kW (118 hp)</t>
  </si>
  <si>
    <t>140 km/h (87 mph, 76 kn)</t>
  </si>
  <si>
    <t>120 km/h (75 mph, 65 kn)</t>
  </si>
  <si>
    <t>6,500 m (21,300 ft)</t>
  </si>
  <si>
    <t>540 km (340 mi, 290 nmi)</t>
  </si>
  <si>
    <t>REP 1</t>
  </si>
  <si>
    <t>The Esnault-Pelterie R.E.P. 1 and the R.E.P. 2 were experimental aircraft built and flown in France in the early twentieth century by Robert Esnault-Pelterie. These aircraft are historically significant because they were the first to employ a joystick as their main flight control. The REP 1 was a  single-seat tractor configuration monoplane  powered by a 22 kW (30 hp) seven-cylinder two-row semi-radial engine[1] driving a four-bladed propeller with aluminium blades rivetted to steel tubes.  The fuselage was made largely of steel tubing covered in varnished silk and the wings of wood.  An elongated triangular fixed horizontal stabiliser was mounted on top of the rear fuselage with a rectangular elevator mounted on the trailing edge, and a fixed fin and rudder were mounted under the fuselage.  Lateral control was effected by wing-warping. The  main landing gear consisted of a single centrally mounted wheel mounted on a pneumatic damper, with a small tailwheel mounted on the rudder. Large outrigger wheels were fitted to the tips of the wings, which featured marked anhedral.[2]  Esnault-Pelterie began testing the R.E.P. 1 in September 1907, initially flying the aircraft as a glider before attempting powered flights. Throughout October, these flights became increasingly successful. The R.E.P. 1 is preserved at the Musée des Arts et Métiers in Paris. The R.E.P. 2 differed from the R.E.P. 1 in having a slightly different undercarriage (of the same general arrangement)  in addition to a large ventral balanced rudder. Tests with the R.E.P. 2 commenced in June 1908, and on 8 June a flight of 1,200 m (3,900 ft) was made, reaching an altitude of 30 m (100 ft), setting a height and distance record for monoplanes.[3] The aircraft was then  modified by the addition of a trapezoidal dorsal fin, to create the R.E.P. bis. In this form, piloted by M. Châteaux, it won the third Ae.C.F. prize for a flight of over 200 metres on 21 November 1908, with an officially observed flight of 316 m (1,037 ft).[4] It was then exhibited at the Paris Aero Salon in December 1908 and at the Aero Show at Olympia in London in 1909.  It was entered for the Grande Semaine d'Aviation in Reims in August 1909, but Esnault-Pelterie did not compete there owing to an injury to his hand.[5] Data from l'Aérophile, October 1907, pp. 290-1General characteristics Performance</t>
  </si>
  <si>
    <t>//upload.wikimedia.org/wikipedia/commons/thumb/a/a6/Esnault-Pelterie_airplane_1906.jpg/300px-Esnault-Pelterie_airplane_1906.jpg</t>
  </si>
  <si>
    <t>Robert Esnault-Pelterie</t>
  </si>
  <si>
    <t>https://en.wikipedia.org/Robert Esnault-Pelterie</t>
  </si>
  <si>
    <t>6.85 m (22 ft 6 in)</t>
  </si>
  <si>
    <t>9.60 m (31 ft 6 in)</t>
  </si>
  <si>
    <t>230 kg (507 lb)</t>
  </si>
  <si>
    <t>507 kg (1,118 lb)</t>
  </si>
  <si>
    <t>https://en.wikipedia.org/19 October 1907</t>
  </si>
  <si>
    <t>1 × R.E.P. 7-cylinder two-row semi-radial piston engine , 22 kW (30 hp)</t>
  </si>
  <si>
    <t>60 km/h (37 mph, 32 kn)</t>
  </si>
  <si>
    <t>Hispano Aviación HA-1112</t>
  </si>
  <si>
    <t>The Hispano Aviación HA-1109 and HA-1112 are licence-built versions of the Messerschmitt Bf 109G-2 developed in Spain during and after World War II. In 1942, the Spanish government arranged a manufacturing licence with Messerschmitt AG to build the Bf 109G-2, although the DB 605A engines, propellers, instruments and weapons were to be supplied from Germany. This proved impossible as Germany was incapable of meeting its own needs, let alone Spain's, and only 25 airframes (without their tails) and less than half the necessary drawings were actually delivered.[1] Consequently, Hispano Aviación replaced the DB 605A engine with the 1,600 hp HS 89-12Z and the project was renamed Bf 109J by Messerschmitt.[2] The HS 89-12Z engine performed a successful flight in a Bf 109E used as a flying testbed in Barcelona in 1944, and the first HA-1109-J1L made its maiden flight on 2 March 1945 in Seville, using a VDM propeller and lash-up engine mounting.[3] The remaining 24 airframes were flown during 1947–9 with Escher-Wyss props, but never became operational. In May 1951, a developed version, the HA-1112-K1L, improved the Hispano-Suiza, HS 17-12Z engine installation, and carried either one or two 12.7mm Breda machine guns and Pilatus eight-packs of 80mm rockets. Its three-bladed de Havilland Hydromatic propeller earned it the nickname Tripala ("three blades").[3] It first flew in 1951, and although 200 were planned only 65 were built. The Hispano engine was an upright V12 instead of the inverted V12 Daimler-Benz DB 601 &amp; 605 engines used in the Bf 109 but, being of compact design, it fitted the airframe of the Bf 109 well and was able to credibly represent the Bf 109 in the German 1957 film Der Stern von Afrika (The Star of Africa) about Luftwaffe ace Hans-Joachim Marseille. The original design, starting with the Bf 109F, had an asymmetrical tail-fin aerofoil with a left deflection to counteract the torque from the Daimler-Benz's clockwise rotation. Because this was left unchanged in the Buchón despite the Hispano V12 having a counter-clockwise rotation, the tail and the engine together induced a right swing on takeoff that was hard to counteract. A second version, the HA-1110-K1L, was a two-place tandem trainer model.[3] The final variant was the HA-1112-M1L Buchón (Pouter), which is a male dove in Spanish. It first flew on 29 March 1954 with a 1,600 hp Rolls-Royce Merlin 500-45[4] engine and Rotol propeller, both purchased as surplus from the UK.[4] This engine had a chin intake that altered the lines of the Bf 109's airframe. It was an improvised assembly of outdated components but this was appropriate for the intended purpose of controlling Spanish colonial territories in Africa, where more sophisticated technology was both unnecessary and unavailable in isolated Spain at the time. It carried two 20 mm Hispano-Suiza 404/408 cannons and two Oerlikon or Pilatus eight-packs of 80 mm rockets and remained in service until 27 December 1965. Due to their longevity, Buchóns have appeared in several war films masquerading as Bf 109Es and Gs. in movies such as Battle of Britain (alongside CASA 2.111 bombers, a Spanish-built version of the Heinkel He 111), Der Stern von Afrika, Memphis Belle, Dunkirk, and The Tuskegee Airmen. Buchons also played the Bf 109's opposition, the Hawker Hurricane, in one scene in Battle of Britain. General characteristics Performance Armament  Related development Aircraft of comparable role, configuration, and era</t>
  </si>
  <si>
    <t>//upload.wikimedia.org/wikipedia/commons/thumb/d/da/Hispano_Aviaci%C3%B3n_HA-1112_K._1._L_Tripala.jpeg/300px-Hispano_Aviaci%C3%B3n_HA-1112_K._1._L_Tripala.jpeg</t>
  </si>
  <si>
    <t>Messerschmitt Hispano Aviación</t>
  </si>
  <si>
    <t>https://en.wikipedia.org/Messerschmitt Hispano Aviación</t>
  </si>
  <si>
    <t>{'HA-1109-J1L': "45\xa0– the initial 25 units built of the Bf 109 G-2 aircraft, from German production, with Hispano-Suiza 12Z-89 engines fitted, in lieu of Daimler-Benz DB 605A's, using VDM or Escher-Wyss propellers. Not used operationally.", '[object HTMLElement]': {}, 'HA-1109-K1L': '51\xa0– first production of HA-1112-K1L. Fitted with a Hispano-Suiza 12Z-17 engine and a de Havilland Hydromatic propeller in an improved installation, this version appeared in May 1951 armed with two Hispano HS-404 20mm cannon and 80mm rockets. 25 conversions from a HA-1109-J1L.', 'HA-1109-M1L': 'ototype of HA-1112-M1L. A single aircraft modified with a Rolls-Royce Merlin 500-45 engine. One conversion from a HA-1112-K1L.', 'HA-1110-K1L': 'spano powered two-seat trainer version. Used operationally. One built.', 'HA-1110-M1L': ' Merlin powered two-seat trainer version. Project only.', 'HA-1111-K1L': 'spano powered two-seat trainer version with wingtip mounted fuel tanks. Project only.', 'HA-1112-K1L "Tripala"': '51\xa0– used operationally. 65 built (25 conversions from a HA-1109-K1L).', 'HA-1112-M1L "Buchon"': '54\xa0– the final variant fitted with a RR Merlin engine and armed with two Hispano HS-404 20mm cannon and 80mm rockets. Used operationally. 172 built.', 'HA-1112-M4L': 'rlin engined two-seat trainer. Used operationally. One built and one conversion from a HA-1110-K1L.'}</t>
  </si>
  <si>
    <t>8.49 m (27 ft 10 in)</t>
  </si>
  <si>
    <t>9.92 m (32 ft 7 in)</t>
  </si>
  <si>
    <t>2.60 m (8 ft 6 in)</t>
  </si>
  <si>
    <t>16 m2 (170 sq ft)</t>
  </si>
  <si>
    <t>2,475 kg (5,456 lb)</t>
  </si>
  <si>
    <t>200 kg/m2 (41 lb/sq ft)</t>
  </si>
  <si>
    <t>1 × Hispano-Suiza 12Z-17 V-12 liquid-cooled piston engine, 1,200 kW (1,600 hp)</t>
  </si>
  <si>
    <t>3-bladed Hamilton-Standard constant speed propeller</t>
  </si>
  <si>
    <t>600 km/h (370 mph, 320 kn)</t>
  </si>
  <si>
    <t>400 km/h (250 mph, 220 kn)</t>
  </si>
  <si>
    <t>9,800 m (32,200 ft)</t>
  </si>
  <si>
    <t>Messerschmitt Bf 109</t>
  </si>
  <si>
    <t>https://en.wikipedia.org/Messerschmitt Bf 109</t>
  </si>
  <si>
    <t>28.33 m/s (5,577 ft/min)</t>
  </si>
  <si>
    <t>690 km (430 mi, 370 nmi)</t>
  </si>
  <si>
    <t>3,200 kg (7,055 lb)</t>
  </si>
  <si>
    <t>2x 20 mm Hispano-Suiza HS.404/408 cannon</t>
  </si>
  <si>
    <t>two racks of 8 x 80 mm Oerlikon rockets</t>
  </si>
  <si>
    <t>Avro Avocet</t>
  </si>
  <si>
    <t>The Avro Type 584 Avocet  was a British single-engined naval fighter prototype, designed and built by Avro. While the Avocet was not built in numbers, one of the prototypes was used as a seaplane trainer for the Royal Air Force's (RAF) High Speed Flight. The Avro 584 Avocet was designed by Avro's chief designer, Roy Chadwick to meet the requirements of Specification 17/25 for a Naval fighter.[1] It was a single-engined, all-metal biplane, powered by a 230 hp Armstrong Siddeley Lynx engine, having interchangeable wheels and floats. Although it did not have folding wings, it was designed to be easily dismantled for storage on board ship. Two prototypes were built, the first flying as a landplane in December 1927 and the second prototype flying as a seaplane in April 1928.[1] Both prototypes were evaluated for the Fleet Air Arm at RAF Martlesham Heath, where, owing to the low-powered engine, their performance was seen to be unimpressive,[2] and it was not ordered into production. Although no production occurred, the second prototype was used by the RAF's High Speed Flight at Calshot as a seaplane trainer for Schneider Trophy pilots.[2] Data from The British Fighter since 1912 [1]General characteristics Performance Armament   Aircraft of comparable role, configuration, and era</t>
  </si>
  <si>
    <t>//upload.wikimedia.org/wikipedia/commons/thumb/a/a0/AvAvocet.jpg/300px-AvAvocet.jpg</t>
  </si>
  <si>
    <t>Avro</t>
  </si>
  <si>
    <t>https://en.wikipedia.org/Avro</t>
  </si>
  <si>
    <t>Roy Chadwick</t>
  </si>
  <si>
    <t>https://en.wikipedia.org/Roy Chadwick</t>
  </si>
  <si>
    <t>24 ft 6 in (7.47 m)</t>
  </si>
  <si>
    <t>29 ft 0 in (8.84 m)</t>
  </si>
  <si>
    <t>11 ft 8.375 in (3.56553 m)</t>
  </si>
  <si>
    <t>308 sq ft (28.6 m2)</t>
  </si>
  <si>
    <t>1,612 lb (731 kg)</t>
  </si>
  <si>
    <t>2,495 lb (1,132 kg)</t>
  </si>
  <si>
    <t>8.1 lb/sq ft (40 kg/m2)</t>
  </si>
  <si>
    <t>1 × Armstrong Siddeley Lynx IV 7-cylinder air-cooled radial piston engine, 230 hp (170 kW)</t>
  </si>
  <si>
    <t>133 mph (214 km/h, 116 kn)</t>
  </si>
  <si>
    <t>23,000 ft (7,000 m)</t>
  </si>
  <si>
    <t>0.092 hp/lb (0.151 kW/kg)</t>
  </si>
  <si>
    <t>2 × fixed .303 in (7.7 mm) Vickers machine guns</t>
  </si>
  <si>
    <t>CAC Ceres</t>
  </si>
  <si>
    <t>The Commonwealth Aircraft CA-28 Ceres was a crop-duster aircraft manufactured in Australia by the Commonwealth Aircraft Corporation (CAC) between 1959 and 1963. The aircraft was a development of the Wirraway trainer of World War II. In the 1950s, most crop-dusting aircraft in Australia were conversions of military types that met with varying success. Two CAC types so converted were the Wackett and the Wirraway. Neither type was successful as a crop duster, the Wackett because it was underpowered and the Wirraway because it was not designed for low-level slow-speed flight. Following a market survey conducted together with ICI[clarification needed], CAC determined there was a need for a purpose-built aircraft optimized for agricultural work. Once the board approved the project, a number of surplus Wirraways were purchased from the RAAF for use in the production of this new aircraft.[1] The design that emerged, although superficially similar to the Wirraway, was really a new type that used some Wirraway components, rather than a conversion. The only major components used in both types without alteration were the tail group and the landing gear. The fuselage was completely new, with a 41-cubic-foot (1.16 m3) hopper installed between the engine and the high-mounted single-seat cockpit. The Wirraway wing was substantially altered for use in the Ceres. The outer wing panels had slotted trailing-edge flaps and fixed leading edge slats, while the centre-section was substantially altered to accommodate the hopper, the greater weight of the Ceres, the different flaps (the Wirraway had split flaps,) and the new type's fixed landing gear with CAC Mustang main wheels,[2] as opposed to the Wirraway's retractable gear, although the same landing gear legs were used however. The increase in wingspan and wing area of the Ceres compared to the Wirraway was also incorporated in the centre section, and the result was an aircraft with much more docile stalling characteristics than those of the Wirraway.[2] The engine was the same, a Pratt &amp; Whitney R-1340, but altered so that it was direct drive rather than geared as on the Wirraway.[2] The three-bladed variable-pitch propeller was also different, having a wider chord and smaller diameter compared to the Wirraway, to suit the Ceres different operating regime and the direct-drive engine.[2] The Ceres prototype first flew in February 1958, in the hands of CAC test pilot Bill Scott, and the first production aircraft was delivered in April 1959. After five aircraft had been built, provision was made for a rear-facing seat behind the cockpit, housed under an extended canopy, which was the only major design change during production. The CAC hoped to sell at least fifty aircraft, but production of the Ceres ended in July 1963 after 21 aircraft had been built, although one could be more accurately described as a rebuild, because it was manufactured using parts salvaged from the first aircraft, which had crashed in 1961. The Ceres succumbed to the popularity of more modern and economical designs such as the Piper Pawnee and PAC Fletcher. Ceres aircraft survive in small numbers, with two still registered to fly in Australia, and examples in museums in Australia and New Zealand, the latter being a survivor of the six Ceres exported to that country. Recently, with the popularity of the Wirraway as a warbird, and the scarcity of Wirraway components, Ceres wings have been "de-converted" for use in Wirraway restorations. However, because of the substantial differences between the two types, that has proved to be troublesome. Data from Sword into Ploughshare,[3] Jane's all the World's Aircraft 1959-60 [4]General characteristics Performance  Related development Aircraft of comparable role, configuration, and era</t>
  </si>
  <si>
    <t>//upload.wikimedia.org/wikipedia/commons/thumb/0/0c/CAC-28_Ceres_1988.jpg/300px-CAC-28_Ceres_1988.jpg</t>
  </si>
  <si>
    <t>Commonwealth Aircraft Corporation</t>
  </si>
  <si>
    <t>https://en.wikipedia.org/Commonwealth Aircraft Corporation</t>
  </si>
  <si>
    <t>1958 (see Development)</t>
  </si>
  <si>
    <t>30 ft 9 in (9.36 m)</t>
  </si>
  <si>
    <t>46 ft 11 in (14.3 m)</t>
  </si>
  <si>
    <t>9 ft 0 in (2.74 m)</t>
  </si>
  <si>
    <t>312 sq ft (29.0 m2)</t>
  </si>
  <si>
    <t>4,400 lb (1,996 kg)</t>
  </si>
  <si>
    <t>6,720 lb (3,048 kg)</t>
  </si>
  <si>
    <t>https://en.wikipedia.org/1959</t>
  </si>
  <si>
    <t>2,380 lb (1,080 kg) max payload / 40 cu ft (1.1 m3) hopper</t>
  </si>
  <si>
    <t>1 × Pratt &amp; Whitney R-1340 S3H1-G 9-cyl. air-cooled radial piston engine, 600 hp (450 kW)</t>
  </si>
  <si>
    <t>3-bladed variable-pitch propeller</t>
  </si>
  <si>
    <t>105 kn (121 mph, 194 km/h) at4,950 lb (2,250 kg)</t>
  </si>
  <si>
    <t>CAC Wirraway</t>
  </si>
  <si>
    <t>https://en.wikipedia.org/CAC Wirraway</t>
  </si>
  <si>
    <t>63.9 kn (73.5 mph, 118.3 km/h) at max AUW</t>
  </si>
  <si>
    <t>725 ft/min (3.68 m/s) at max AUW</t>
  </si>
  <si>
    <t>1959-1963</t>
  </si>
  <si>
    <t>7,350 lb (3,334 kg)</t>
  </si>
  <si>
    <t>450 nmi (520 mi, 830 km) with 80 imp gal (96 US gal; 360 l) fuel</t>
  </si>
  <si>
    <t>96.5 kn (111.1 mph; 178.7 km/h) with max payload</t>
  </si>
  <si>
    <t>2,185 ft (666 m) with max payload</t>
  </si>
  <si>
    <t>585 ft (178 m) at 5,500 lb (2,500 kg) AUW</t>
  </si>
  <si>
    <t>Stearman XBT-17</t>
  </si>
  <si>
    <t>The Stearman XBT-17 was a prototype 1940s American two-seat low-wing monoplane primary trainer designed and built by Stearman Aircraft (as the Model X-90).[1] It was evaluated by the America Army Air Force in 1942 as the XBT-17.[2] The X-90 was a low-wing cantilever monoplane with two-seats in tandem under an enclosed canopy.[1] It had a fixed conventional landing gear and was powered by a 225 hp (168 kW) Lycoming R-680 engine and first flew in 1940.[1] It had wooden wings and a steel tube forward fuselage in order minimize use of aluminum.[3] In 1942 the aircraft was re-engined with a 450 hp (336 kW) Pratt &amp; Whitney R-985 engine and redesignated the Model X-91.[1] The X-91 was evaluated by the America Army Air Force as the XBT-17 but no more were built.[1][2] Data from [4]General characteristics Performance     Related lists</t>
  </si>
  <si>
    <t>//upload.wikimedia.org/wikipedia/commons/thumb/9/99/Stearman_XBT-17.jpg/300px-Stearman_XBT-17.jpg</t>
  </si>
  <si>
    <t>Training monoplane</t>
  </si>
  <si>
    <t>Stearman Aircraft</t>
  </si>
  <si>
    <t>https://en.wikipedia.org/Stearman Aircraft</t>
  </si>
  <si>
    <t>27 ft 9 in (8.46 m)</t>
  </si>
  <si>
    <t>35 ft 9 in (10.90 m)</t>
  </si>
  <si>
    <t>200 sq ft (19 m2)</t>
  </si>
  <si>
    <t>3,080 lb (1,397 kg)</t>
  </si>
  <si>
    <t>4,150 lb (1,882 kg)</t>
  </si>
  <si>
    <t>1 × Pratt &amp; Whitney R-985-AN-1 , 450 hp (340 kW)</t>
  </si>
  <si>
    <t>190 mph (310 km/h, 170 kn)</t>
  </si>
  <si>
    <t>20,000 ft (6,100 m)</t>
  </si>
  <si>
    <t>1,300 ft/min (6.6 m/s)</t>
  </si>
  <si>
    <t>Northrop N-9M</t>
  </si>
  <si>
    <t>The Northrop N-9M was an approximately one-third scale, 60-foot (18 m) span all-wing aircraft used for the development of the full size, 172-foot (52 m) wingspan Northrop XB-35 and YB-35 flying wing long-range, heavy bomber. First flown in 1942, the N-9M (M for Model) was the third in a lineage of all-wing Northrop aircraft designs that began in 1929 when Jack Northrop succeeded in early experiments with his single pusher propeller, twin-tailed, twin-boom, all stressed metal skin Northrop X-216H monoplane,[1]  and a decade later, the dual-propeller N-1M of 1939–1941.[2] Northrop's pioneering all-wing aircraft would lead Northrop Grumman many years later to eventually develop the advanced B-2 Spirit stealth bomber, which debuted in 1989 in US Air Force inventory.[3] On 30 October 1941, the preliminary order for development of the B-35 Flying Wing bomber was confirmed, including engineering, testing, and most importantly a 60 ft (18 m) wingspan, one-third scale aircraft, designated N-9M.[4] It was to be used in gathering data on flight performance and for familiarizing pilots with the program's radical, all-wing design. The first N-9M was ordered in the original contract, but this was later expanded to three test aircraft in early 1943. A fourth was ordered a few months later after a crash of the first N-9M destroyed that airframe; this fourth N-9M incorporated various flight test-derived improvements and upgrades, including different, more powerful engines. The four aircraft were designated N-9M-1, -2, -A, and -B, respectively.[5] The N-9M framework was partially constructed of wood to reduce its overall weight. The wings' outer surfaces were also skinned with a strong, specially laminated plywood. The central section (roughly equivalent to the fuselage) was made of welded tubular steel. The aircraft were originally powered by two 290 hp (216 kW) Menasco C6S-1 "Buccaneer" inverted air-cooled straight-six engines, driving twin-bladed propellers, except for the N-9MB which was powered by two 300 hp (224 kW) Franklin XO-540-7 engines.[4] The first flight of the N-9M occurred on 27 December 1942 with Northrop test pilot John Myers at the controls.[6] During the next five months, 45 flights were made. Nearly all were terminated by various mechanical failures, the Menasco engines being the primary source of the problems. After roughly 22.5 hours of accumulated flight time, the first N-9M crashed approximately 12 miles (19 km) west of Muroc Army Air Base (now Edwards Air Force Base) on 19 May 1943. The pilot, Max Constant, was killed as he attempted to recover the aircraft from a right-hand, 60° nose-down spin. The investigation found that Constant had suffered control reversal, the control column had been pressed against his chest during his recovery attempt from the steep spin, preventing him from parachuting to safety. Actions were taken to fix this problem and prevent it from happening on other N-9M test aircraft.[6] When Northrop's Flying Wing bomber program was canceled, all remaining N-9M flight test aircraft, except for the final N-9MB, were scrapped. For more than three decades, it slowly deteriorated until the Chino, California Planes of Fame Air Museum acquired the aircraft in 1982 and began the labor-intensive restoration process. For the next two decades, former Northrop employees and other volunteers restored the N-9MB to its final flight configuration.[7] Since 1993, the yellow-and-blue Flying Wing has been exhibited, with flight demonstrations at several airshows every year.[8] In April 2006, the N-9MB suffered an in-flight engine fire. The aircraft was landed safely with limited damage. Donations to the museum were solicited for its repair, and the aircraft was fully repaired to flight status. It was flown again during the annual Chino airshow on 15–16 May 2010.[7] On 22 April 2019, N-9MB was destroyed shortly after takeoff, when it crashed into a prison yard in Norco, California.[9] General characteristics Performance  Related development Aircraft of comparable role, configuration, and era</t>
  </si>
  <si>
    <t>//upload.wikimedia.org/wikipedia/commons/thumb/a/ad/Northrop_N-9M_Flying_Wing_-_Chino_Airshow_2014_%2814059039438%29.jpg/300px-Northrop_N-9M_Flying_Wing_-_Chino_Airshow_2014_%2814059039438%29.jpg</t>
  </si>
  <si>
    <t>Jack Northrop</t>
  </si>
  <si>
    <t>https://en.wikipedia.org/Jack Northrop</t>
  </si>
  <si>
    <t>17 ft 9 in (5.4 m)</t>
  </si>
  <si>
    <t>60 ft 0 in (18.3 m)</t>
  </si>
  <si>
    <t>6 ft 7 in (2 m)</t>
  </si>
  <si>
    <t>490 sq ft (45.5 m2)</t>
  </si>
  <si>
    <t>NACA 65-019</t>
  </si>
  <si>
    <t>5,893 lb (2,673 kg)</t>
  </si>
  <si>
    <t>13,946 lb (6,326 kg)</t>
  </si>
  <si>
    <t>2 × Menasco C6S-4 "Buccaneer" 6-cyl. supercharged inverted air-cooled in-line piston engine, 275 hp (205 kW)  each</t>
  </si>
  <si>
    <t>258 mph (415 km/h, 224 kn)</t>
  </si>
  <si>
    <t>21,500 ft (6,600 m)</t>
  </si>
  <si>
    <t>500 mi (800 km, 430 nmi)</t>
  </si>
  <si>
    <t>AC Mobil 34 Chrysalin</t>
  </si>
  <si>
    <t>The AC Mobil 34 Chrysalin is a two-seat light aircraft produced in France in kitplane form. The aircraft was designed to comply with the Fédération Aéronautique Internationale microlight rules.[1][2] Constructed of composite materials, it is a conventional high-wing braced monoplane with fixed tricycle undercarriage. The pilot and passenger sit in side-by-side configuration.[1][2] Construction is of fibreglass and vinylester sandwich, which results in a low empty weight of 283 kg (624 lb). The aircraft features folding wings. Standard engine is the 60 kW (80 hp) Rotax 912 air and liquid-cooled, four stroke, four cylinder piston aircraft engine.[1][2] Data from Tacke[2]General characteristics Performance Comparable aircraft:</t>
  </si>
  <si>
    <t>Microlight aircraft</t>
  </si>
  <si>
    <t>https://en.wikipedia.org/Microlight aircraft</t>
  </si>
  <si>
    <t>AC Mobil 34</t>
  </si>
  <si>
    <t>https://en.wikipedia.org/AC Mobil 34</t>
  </si>
  <si>
    <t>9.6 m (31 ft 6 in)</t>
  </si>
  <si>
    <t>13.5 m2 (145 sq ft)</t>
  </si>
  <si>
    <t>283 kg (624 lb)</t>
  </si>
  <si>
    <t>one passenger</t>
  </si>
  <si>
    <t>1 × Rotax 912 air-cooled, four stroke, four cylinder piston engine, 60 kW (80 hp)</t>
  </si>
  <si>
    <t>150 km/h (93 mph, 81 kn)</t>
  </si>
  <si>
    <t>62 km/h (39 mph, 33 kn)</t>
  </si>
  <si>
    <t>5.25 m/s (1,033 ft/min)</t>
  </si>
  <si>
    <t>In Production</t>
  </si>
  <si>
    <t>472.5 kg (1,042 lb)</t>
  </si>
  <si>
    <t>Vickers Type 123</t>
  </si>
  <si>
    <t>The Vickers Type 123 was a 1920s British single-seat biplane fighter designed and built by Vickers Limited as a private venture.[1] The only Type 123 was later modified into the Type 141 but, not winning any orders, it was scrapped in 1930.[1] The Type 123 was a conventional biplane powered by a 400 hp (298 kW) Hispano-Suiza T52 (Hispano 12 Jb) engine, built at Weybridge Aerodrome in 1926. It was registered as G-EBNQ in February 1926[2] and first flew on 11 September 1926.[1] In 1927 it had a 480 hp (358 kW) Rolls-Royce F.XI engine fitted and was redesignated Type 141.[1] It competed unsuccessfully in an Air Ministry fighter procurement competition in January 1928.[1] It was then modified as a fleet fighter to meet Specification 21/26 and carried out trials on HMS Furious in June 1929.[1] Without winning any orders the aircraft was scrapped in 1930.[1] Data from [1]General characteristics Performance Armament</t>
  </si>
  <si>
    <t>//upload.wikimedia.org/wikipedia/commons/thumb/4/46/Vickers_123.jpg/300px-Vickers_123.jpg</t>
  </si>
  <si>
    <t>Single-seat fighter</t>
  </si>
  <si>
    <t>Vickers Limited</t>
  </si>
  <si>
    <t>https://en.wikipedia.org/Vickers Limited</t>
  </si>
  <si>
    <t>29 ft 6 in (8.99 m)</t>
  </si>
  <si>
    <t>34 ft 0 in (10.36 m)</t>
  </si>
  <si>
    <t>9 ft 4 in (2.84 m) [3]</t>
  </si>
  <si>
    <t>336 sq ft (31.2 m2) [3]</t>
  </si>
  <si>
    <t>2,278 lb (1,033 kg)</t>
  </si>
  <si>
    <t>3,300 lb (1,497 kg)</t>
  </si>
  <si>
    <t>1 × Hispano-Suiza T52 liquid-cooled V12 engine, 400 hp (300 kW)</t>
  </si>
  <si>
    <t>149 mph (240 km/h, 129 kn) at 10,000 ft (3,000 m)[3]</t>
  </si>
  <si>
    <t>Scrapped</t>
  </si>
  <si>
    <t>6.6 min to 10,000 ft (3,000 m)[3]</t>
  </si>
  <si>
    <t>2× Vickers machine guns in fuselage-side blisters[3]</t>
  </si>
  <si>
    <t>SZD-9 Bocian</t>
  </si>
  <si>
    <t>The SZD-9 Bocian (Polish: "Stork") is a multi-purpose two-seat sailplane that was designed and built in Poland at Szybowcowy Zakład Doświadczalny (Glider Experimental Works) in Bielsko-Biała, beginning in 1952. It was designed  to be capable of fulfilling the needs of every area from training to competition flying. Main designer was Marian Wasilewski, with Roman Zatwarnicki and Justyn Sandauer. The prototype SZD-9 flew for the first time on 10 March 1952, piloted by Adam Zientek. After flight testing was completed, suggested changes were incorporated into the design and production began, as SZD-9bis Bocian-1A (or simply "Bocian A"). The first production unit flew for the first time on 13 March 1953, and 11 units were built. Apart from use in Poland, the type was exported to 27 countries, including Austria, Australia, Belgium, China, France, Greece, India, Norway, former East Germany and West Germany, Switzerland, Tunisia, Turkey, Venezuela, United Kingdom, and the Soviet Union.[1] Polish pilots set many international records flying SZD-9s.[1] Data from The World's Sailplanes:Die Segelflugzeuge der Welt:Les Planeurs du Monde[2]General characteristics Performance   Aircraft of comparable role, configuration, and era  Related lists</t>
  </si>
  <si>
    <t>//upload.wikimedia.org/wikipedia/commons/thumb/d/d9/Szybowiec_SZD-9_Bocian_SP-2801_Areoklubu_Opolskiego_w_trakcie_lotu_%C5%BCaglowego.JPG/300px-Szybowiec_SZD-9_Bocian_SP-2801_Areoklubu_Opolskiego_w_trakcie_lotu_%C5%BCaglowego.JPG</t>
  </si>
  <si>
    <t>Two Seater Class sailplane</t>
  </si>
  <si>
    <t>https://en.wikipedia.org/Two Seater Class sailplane</t>
  </si>
  <si>
    <t>Poland</t>
  </si>
  <si>
    <t>https://en.wikipedia.org/Poland</t>
  </si>
  <si>
    <t>SZD</t>
  </si>
  <si>
    <t>https://en.wikipedia.org/SZD</t>
  </si>
  <si>
    <t>Marian WasilewskiRoman ZatwarnickiJustyn Sandauer</t>
  </si>
  <si>
    <t>https://en.wikipedia.org/Marian WasilewskiRoman ZatwarnickiJustyn Sandauer</t>
  </si>
  <si>
    <t>{'SZD-9 Bocian': ' two ', 'SZD-9bis Bocian-1A': ' the first variant, 11 built', 'SZD-9bis Bocian-1B': ' improved variant (e.g. bigger ', 'SZD-9bis Bocian-1C': ' improved variant of 1954 (', 'SZD-9bis Bocian-Z': '- modified competition variant for 1956 ', 'SZD-9bis Bocian-1D': ' improved variant of 1958 (bigger wheel and minor modifications), 186 built', 'SZD-9bis Bocian-1E': ' modified ', 'SZD-33 Bocian 3': " intended to replace SZD-9's and "}</t>
  </si>
  <si>
    <t>8.2 m (26 ft 11 in)</t>
  </si>
  <si>
    <t>18.1 m (59 ft 5 in)</t>
  </si>
  <si>
    <t>1.8 m (5 ft 11 in)</t>
  </si>
  <si>
    <t>20 m2 (220 sq ft)</t>
  </si>
  <si>
    <t>330 kg (728 lb)</t>
  </si>
  <si>
    <t>(ultimate)</t>
  </si>
  <si>
    <t>26 at 84 km/h (52 mph; 45 kn)</t>
  </si>
  <si>
    <t>0.8 m/s (160 ft/min) at 71 km/h (44 mph; 38 kn)</t>
  </si>
  <si>
    <t>Polish Aero Club</t>
  </si>
  <si>
    <t>https://en.wikipedia.org/Polish Aero Club</t>
  </si>
  <si>
    <t>52 km/h (32 mph, 28 kn)</t>
  </si>
  <si>
    <t>in service</t>
  </si>
  <si>
    <t>525 kg (1,157 lb)</t>
  </si>
  <si>
    <t>140 km/h (87 mph; 76 kn)</t>
  </si>
  <si>
    <t>115 km/h (71 mph; 62 kn)</t>
  </si>
  <si>
    <t>Pilatus B-4</t>
  </si>
  <si>
    <t>The Pilatus B4-PC11 (also known as the PC-11 in the Pilatus numbering sequence) is an all-metal intermediate glider built by Pilatus Aircraft of Switzerland. The B4-PC11 is designed to Standard Class specifications, meaning that it has a 15-metre wingspan and no flaps. Air brakes are provided on the top surface of each wing for glidepath control. Construction is aluminium, with foam ribs in the mainplane, fin and tailplane. The design of this glider originated in the 1960s, when the company Firma Rheintalwerke G. Basten (from which the "B" in the original designation is derived) manufactured the first two prototypes. The designers were Ingo Herbst, Manfred Küppers and Rudolf Reinke. The first flight of the first prototype took place on 7 November 1966. However, no series production was started. In 1972 Pilatus bought the manufacturing licence for the B-4 and renamed it the B4-PC11. In the spring of the same year the first production example (numbered HB-1100) made its first flight. A total of 322 B4-PC11s of all versions were built by Pilatus by 1980, when the license to manufacture the craft was sold to Nippi Aircraft of Japan, who built only 13 examples, plus a two-seater designated the Nippi B4T.[1] Subsequently, in 1994, EWMS Technomanagement bought the rights to produce and service the B4-PC11. This company also specializes in renovating and upgrading older B4-PC11 craft. In addition, it manufactures a motorized B4-PC11. The changes in construction from B4-PC11 through A and AF variants were to add extra ribs through the fuselage section (increasing torsional rigidity, only AF variant), and to modify the control column stops and shorten the rudder, giving greater control surface deflection. General characteristics Performance   Aircraft of comparable role, configuration, and era  Related lists</t>
  </si>
  <si>
    <t>//upload.wikimedia.org/wikipedia/commons/thumb/e/ea/Pilatus_B4-PC11_AF_D-3993.jpg/300px-Pilatus_B4-PC11_AF_D-3993.jpg</t>
  </si>
  <si>
    <t>Club-class glider</t>
  </si>
  <si>
    <t>https://en.wikipedia.org/Club-class glider</t>
  </si>
  <si>
    <t>Switzerland</t>
  </si>
  <si>
    <t>Pilatus</t>
  </si>
  <si>
    <t>https://en.wikipedia.org/Pilatus</t>
  </si>
  <si>
    <t>Ingo Herbst, Manfred Küppers and Rudolf Reinke</t>
  </si>
  <si>
    <t>{'B4-PC11': 'rmitted to fly a number of aerobatic manoeuvres, it was not permitted to do inverted loops or flick/snap/quick maneuvers. The B4-PC11 was available with either fixed or retractable landing gear.', 'B4-PC11A': 'veloped to perform inverted loops and was also able to handle higher g-forces.', 'B4-PC11AF': 'leased in 1975, with full aerobatic capabilities.', 'Lynch B4M1': 'motor glider conversion in Australia by John F. Lynch, powered by a 17.9\xa0kW (24.0\xa0hp) König SC 430 engine.[2]'}</t>
  </si>
  <si>
    <t>6.57 m (21 ft 7 in)</t>
  </si>
  <si>
    <t>15 m (49 ft 3 in)</t>
  </si>
  <si>
    <t>1.57 m (5 ft 2 in)</t>
  </si>
  <si>
    <t>14 m2 (150 sq ft)</t>
  </si>
  <si>
    <t>NACA 64(3)-618</t>
  </si>
  <si>
    <t>350 kg (772 lb)</t>
  </si>
  <si>
    <t>240 km/h (150 mph, 130 kn)</t>
  </si>
  <si>
    <t>0.63 m/s (124 ft/min)</t>
  </si>
  <si>
    <t>Focke-Wulf Fw 43 Falke</t>
  </si>
  <si>
    <t>The Focke-Wulf Fw 43 Falke (German: "Falcon") - known internally to Focke-Wulf as the A 43 - was a light utility aircraft developed in Germany in 1932. The last project undertaken by the company under the technical direction of Henrich Focke, it was a high-wing strut-braced monoplane of conventional design, with fixed tailwheel undercarriage. The pilot and two passengers sat in a fully enclosed cabin. Only a single example was built. General characteristics Performance</t>
  </si>
  <si>
    <t>Civil utility aircraft</t>
  </si>
  <si>
    <t>https://en.wikipedia.org/Civil utility aircraft</t>
  </si>
  <si>
    <t>one, pilot</t>
  </si>
  <si>
    <t>8.30 m (27 ft 3 in)</t>
  </si>
  <si>
    <t>2.30 m (7 ft 7 in)</t>
  </si>
  <si>
    <t>14.0 m2 (151 sq ft)</t>
  </si>
  <si>
    <t>725 kg (1,600 lb)</t>
  </si>
  <si>
    <t>1,125 kg (2,480 lb)</t>
  </si>
  <si>
    <t>two passengers</t>
  </si>
  <si>
    <t>1 × Argus As 10 , 164 kW (220 hp)</t>
  </si>
  <si>
    <t>255 km/h (158 mph, 137 kn)</t>
  </si>
  <si>
    <t>5,100 m (16,730 ft)</t>
  </si>
  <si>
    <t>1,050 km (652 mi, 567 nmi)</t>
  </si>
  <si>
    <t>Flanders F.4</t>
  </si>
  <si>
    <t>The Flanders F.4 was a 1910s British experimental military two-seat monoplane aircraft designed and built by Howard Flanders as a development of the Flanders F.3. Following success with his F.3 experimental monoplane in the spring of 1912, the British War Office ordered four Flanders monoplanes for use by the newly formed Royal Flying Corps.[1] The aircraft had the same configuration as the F.3 but was improved with larger cockpits, accommodating a crew of two in tandem, was powered by a 70 hp (52 kW) Renault engine driving a four-bladed propeller[2] and had other modifications to improve reliability and maintainability. The fixed landing gear of the F.3 was improved with the addition of coil-spring suspension. The first aircraft was flying at Brooklands by 6 July 1912, with all four flown and delivered to the RFC by 2 January 1913. Testing showed the monoplanes flew well,[3] but following the fatal crashes of a Deperdussin and a Bristol-Coanda Monoplane on 6 and 10 September 1912, the Royal Flying Corps had banned the use of monoplanes and the aircraft were not used, with their engines being removed to power Royal Aircraft Factory BE.2s.[4][5] Data from The Illustrated Encyclopedia of Aircraft (Part Work 1982–1985), 1985, Orbis PublishingGeneral characteristics Performance     Related lists</t>
  </si>
  <si>
    <t>//upload.wikimedia.org/wikipedia/commons/thumb/1/16/Flanders-F4-1912.jpg/300px-Flanders-F4-1912.jpg</t>
  </si>
  <si>
    <t>Two-seat military monoplane</t>
  </si>
  <si>
    <t>Howard Flanders</t>
  </si>
  <si>
    <t>https://en.wikipedia.org/Howard Flanders</t>
  </si>
  <si>
    <t>31 ft 6 in (9.60 m)</t>
  </si>
  <si>
    <t>240 sq ft (22.30 m2)</t>
  </si>
  <si>
    <t>1,350 lb (612 kg)</t>
  </si>
  <si>
    <t>1,850 lb (839 kg)</t>
  </si>
  <si>
    <t>1 × Renault 70 hp 8-cylinder Vee piston engine , 70 hp (52 kW)</t>
  </si>
  <si>
    <t>67 mph (108 km/h, 58 kn)</t>
  </si>
  <si>
    <t>Royal Flying Corps</t>
  </si>
  <si>
    <t>https://en.wikipedia.org/Royal Flying Corps</t>
  </si>
  <si>
    <t>Hawker Siddeley Trident</t>
  </si>
  <si>
    <t>The Hawker Siddeley HS-121 Trident (originally the de Havilland DH.121 and briefly the Airco DH.121) is a British airliner produced by Hawker Siddeley. In 1957, de Havilland proposed its DH.121 trijet design to a British European Airways (BEA) request. By 1960, de Havilland had been acquired by Hawker Siddeley. The Trident's maiden flight happened on 9 January 1962, and it was introduced on 1 April 1964, two months after its main competitor, the Boeing 727. By the end of the programme in 1978, 117 Tridents had been produced, and the Trident was withdrawn from service in 1995. The jetliner is powered by three rear-mounted Rolls-Royce Spey low-bypass turbofans, it has a low swept wing and a T-tail.  Advanced avionics allowed it to be the first airliner to make a blind landing in revenue service in 1965. The initial Trident 1/2 could seat 101-115 passengers over up to 2,350 nmi (4,350 km). The Trident 3 was stretched by 5 m (16 ft) to seat 180 over 1,940 nmi (3,590 km; 2,230 mi), and had an additional RB.162 booster engine in the tail. In 1953, as British European Airways (BEA) introduced the world's first turboprop-powered civil airliner – the Vickers Viscount – into passenger service, the operator was already considering what would be required of a potential successor.[1] Following the entry into service of jet airliners in 1952, many airline managers and economists remained sceptical, and advocated turboprop airliners as replacements of piston-engined airliners.[2] In 1953, while several manufacturers across the world were investing in pure jet-powered aircraft, BEA chose to favour turboprops on the basis of their superior economics and produced a specification that called for an aircraft capable of seating 100 passengers and attaining a maximum speed of 370 knots.[3] As a result of the BEA specification, Vickers developed an enlarged derivative of the Viscount for BEA, the Vickers Vanguard, which was ordered by the airline on 20 July 1956. By this point, however, the French-built Sud Aviation Caravelle had conducted its maiden flight during the previous year, and BEA was beginning to recognise that jet aircraft could soon be providing stiff competition.[4] In April 1956, Anthony Milward, chief executive of BEA, stated that he "would rather do without [jet airliners]". Nevertheless, in December of that same year Lord Douglas of Kirtleside, BEA's chairman, stated that  a number of jet-powered short haul aircraft might need to be introduced while retaining turboprop aircraft as the mainstay of the company's inventory for the foreseeable future.[4] In July 1956, BEA had announced what it called "outline requirements" for a short-haul "second-generation jet airliner", to work alongside its turboprop fleet. It would carry a payload of some 20,000 lb (9,100 kg) or some 70 passengers up to 1,000 mi (1,600 km), weigh about 100,000 lb (45,000 kg), use 6,000-foot (1,800 m) runways, cruise at a very high speed of 610 to 620 mph (980 to 1,000 km/h), and have "more than two engines".[5][6][N 1][7] According to aviation author Derek Woods, BEA "wanted something that was faster than the Caravelle which was threatening to be highly competitive".[8] While they were not intended as an express requirement, commentators ever since have taken these figures to constitute a definite call to industry.[5] Four companies prepared projects to match the BEA outline. Bristol proposed the initially four-engined Bristol Type 200.[1] Avro proposed the futuristic Avro 740 trijet before shelving it and joining forces with Bristol and Hawker Siddeley. Vickers proposed the VC11 four-engined airliner, derived from its in-development VC10. The de Havilland company considered three possible contenders for the specification; two of these were four-engined developments of the early Comet, the world's first jet-powered airliner: the D.H.119 and the D.H.120, the latter being also intended to be offered to British Overseas Airways Corporation (BOAC). In July 1957, de Havilland made another submission in the form of the DH.121; this proposal was furnished with three turbojets, Rolls-Royce Avon engines, and greatly resembled the eventual production aircraft.[9] By August 1957, the DH.121 proposal had been revised; differences included the adoption of the in-development turbofan, the Rolls-Royce Medway, and an expansion to accommodate a maximum of 98 passengers.[9] The DH.121 was to be the world's first trijet airliner. Its designers felt this configuration offered a trade-off between cruising economy and take-off safety in case of an engine failure; moreover, the BEA specification had called for "more than two engines". Each of the three engines would drive its own hydraulic system, offering triple redundancy in case of any of the other systems failing. The engines were to be 13,790 lbf (61.34 kN) Medway engines. The DH.121 was to have a gross weight of 123,000 lb (56,000 kg) or optionally, up to 150,000 pounds (68,000 kg), a range of 2,070 mi (3,330 km), and seating for 111 in a two-class layout (or for over 140 in a high-density, single-class layout as typical from the 1960s onwards on inclusive-tour charter flights).[10] The design initially included a cruciform tail layout similar to that of the Caravelle.[9] The engines were clustered at the rear, with the centre engine situated in the extreme rear of the fuselage fed by air ducted through a large oval intake at the front of the fin, a configuration similar to the later Boeing 727; the design eventually settled on a variable-incidence T-tail.[11] From the outset, the DH.121 was planned to employ avionics that were very advanced for the period. Among other capabilities, they would offer automatic approach and landing within a few years of service entry. The avionics were also to have triplicated components for reliability and to allow "majority 2:1 voting" for aircraft guidance during automatic approach and landing.[12] The physical dimensions of most avionics of the period required them to be housed in a large compartment beneath the Trident's flightdeck; the compartment's size was among the factors dictating a distinctive nose undercarriage design, with the nose landing gear offset by 2 ft (61 cm) to the port side and retracting sideways to stow across the DH.121's longitudinal axis. BEA soon selected the DH.121 as the basis for detailed negotiations, but these talks were protracted due to multiple factors, including wider policy decisions of the British government and indecision within BEA itself.[9] During the time that the DH.121 had emerged in the late 1950s, the British government came to view the airframe and aeroengine industries as too fragmented into small companies; accordingly, a policy favouring mergers into a few large groups was adopted.  De Havilland was keen to retain their independence and leadership of the DH.121, so approached the government with a proposal to form a consortium under which de Havilland would produce the fuselage, Bristol would manufacture the wings, and various other companies, including Hunting Aircraft and Fairey Aviation, would be responsible for other elements; however, Bristol strongly opposed this arrangement and chose to work with Hawker Siddeley in competition against de Havilland.[13] Companies vigorously competed to be selected by BEA due to the lure of its £30 million contract (equivalent to £716,556,000 in 2020[14]), as well as the likelihood of lucrative overseas export sales.[15] On 4 February 1958, de Havilland, along with Hunting and Fairey, announced that they had agreed to form a partnership for the purpose of manufacturing and marketing the DH.121; the consortium adopted the corporate name of the defunct Airco company, which had been Geoffrey de Havilland's employer during the First World War.[15] The Minister of Supply stated of the Airco consortium that "this is not quite what [he] had in mind". Nevertheless, both Airco and the rival Bristol-Hawker Siddeley team proceeded to conduct their own approaches to various overseas airlines; sufficiently interested, American Pan American World Airways invited both teams to present their proposed airliners in January 1958.[15] Sir Matthew Slattery, chairman of Bristol and Short Brothers, appealed for BEA to delay any decision until after one of the competing firms had already secured an export order for their airliner. In response, Lord Douglas stated that BEA wished to order the DH.121 and was awaiting approval from the government; Douglas's reply has been viewed as the death knell for the rival Type 200 proposal.[15] Meanwhile, a rival airliner emerged, this time from Boeing in the America, in the form of the 727, which also had a trijet configuration.[16] Boeing had begun its studies into this sector of the market in 1956, and elected to launch its own trijet programme in 1959. Airco executives, who were at the time intensely exploring various alternatives and further partnerships with other aircraft companies, considered the possibility that Boeing might choose to drop the 727 project and instead co-manufacture the DH.121 in the USA; Lord Douglas was one of the proponents of this initiative.[16] As a result, Airco invited a team of Boeing engineers and executives to Hatfield; (Boeing later permitted a return visit by de Havilland representatives to Seattle); however, Boeing revealed few details of their plans for the 727, while virtually all information on the DH.121 had been shared with Boeing, an openness that had allegedly "amazed" them.[16] British commentators have tended to interpret this episode as involving the acquisition of sensitive proprietary data on the DH.121 by a direct competitor.[17] Woods remarked that "de Havilland solemnly handed all its research over to its rivals...the crowning piece of stupidity".[16] On 12 February 1958, the British government authorised BEA to commence contractual negotiations along with the issuing of a letter of intent for 24 aircraft.[15] Accordingly, that same month, BEA announced that the DH.121 had come closest to its requirements and that it would proceed to order 24 with options on 12 more.[18] A further six months were needed for the government to approve a formal BEA order for the DH.121; the government had favoured the Bristol 200 for industrial policy reasons.[19][20] Reportedly, BEA had a considerable interest in the Caravelle itself, but this would have been a politically unacceptable choice.[21] BEA also favoured de Havilland, and therefore the Trident submission, due to the firm's established experience with jet airlines with its prior development of the Comet.[9][21] In April 1958, de Havilland firmed the general configuration of the DH.121 and established a development timetable, including a projected date for the type's maiden flight to be conducted during mid-1961.[15] The company's market research department was forecasting that as many as 550 airliners in its category would be sold by 1965. Noting that a greater preference for the seating dimensions of what would become economy class was emerging amongst airlines, design alterations were made to adopt a slightly larger diameter fuselage to accommodate six-abreast seating, providing for a maximum configuration of 111 seats.[22] According to Woods, this enlarged version of the DH.121 was "on the verge of building the right aeroplane for the market and the success of the Viscount looked like being repeated".[16] In March 1959, BEA, which had become concerned by a recent decline in passenger growth, concluded that the DH.121's payload-range capacity could be too great for their needs and petitioned de Havilland to reduce the scale of the design to suit their revised projections.[16] Fearing that the proposed scale of the Trident was too large, the airline had elected to effectively tear up the programme for its redesigning for their immediate situation. In 1959, BEA had a large fleet in operation and on order, and the issue of overcapacity was a critical concern.[23] The airline's concerns reflected three factors - a short-lived airline recession in the late 1950s; the imminent arrival into service of a large fleet of turboprop Vickers Vanguards, which duplicated the DH.121's general payload-range area; and the growing trend to higher-density seating.[24] Although de Havilland stated that they generally concurred with BEA, its management also stated that they had worked "under terms more onerous than anything D.H. had previously undertaken".[25] Industry observers at the time felt that the British aircraft industry had again stumbled "into the pitfall of having designed exclusively for one customer an aeroplane that has potentially a much wider scope":[25] a sentiment which would be echoed throughout the Trident's subsequent history. The de Havilland board elected to submit to BEA's demand, over-riding input from its own sales and market research departments, which indicated that other airlines sought the larger model, instead.[16] Notably, de Havilland had not yet secured a formal and final BEA order and  its competitor Bristol was actively promoting their 200 [N 2] project, which was significantly smaller than the DH.121. At the time Boeing and Douglas were also downsizing their DC-9 and 727 projects. It was felt the original large DH.121 would have to compete against the Convair 880 and Boeing 720 some four years after their service entries, whereas a cut-back design would be more competitive against the then-projected 75–100 seat, twin-engined DC-9.[26] Downsizing the Trident involved substantial changes to the design being made, including a powerplant change from the Medway to a scaled-down derivative, the 40% less powerful 9,850 lbf (43.8 kN) Rolls-Royce Spey 505.[16] The gross weight was cut by about a third to 105,000 pounds (48,000 kilograms), while the range was cut by more than half to 930 mi (1,500 km), and mixed-class seating was cut by about a quarter to 75 or 80 (97 in a single-class layout). Wing span was reduced by roughly 17 ft (5.2 m), wing area by 30%, and overall length by 13 ft (4.0 m). The revised design retained some features of the original one, notably its fuselage diameter. It had a smaller flightdeck and single-axis, two-wheel, four-tyre main undercarriage legs in place of four-wheel bogies.[27] Woods summarised the BEA-mandated redesign as: "At one blow the 121 was emasculated in terms of size, power and range".[16] Six months following BEA's request, de Havilland and the airline came to an agreement on the downsized DH.121.[16] Details of the emerging aircraft, including its pioneering avionics, were announced to the public in early 1960.[28] It was this revised aircraft that BEA ultimately ordered on 24 August 1959, initially in 24 examples with 12 options.[29] In September 1960, the future airliner's name, Trident, was announced at the Farnborough Airshow; this name had been chosen as a reflection of its then-unique three-jet, triple-hydraulic configuration.[30] By 1960, de Havilland had been acquired by the Hawker Siddeley group.[31] After the de Havilland takeover, Airco was disbanded. Hunting was marshalled into the competing newly formed British Aircraft Corporation (BAC); their departure removed any putative possibility of the Hunting 107 (later the BAC One-Eleven) being marketed alongside the DH.121 as a complementary, smaller member of the same airliner family. Fairey Aviation, partially incorporated into Westland Aircraft, also left the DH.121 project.[N 3] With the move to Hawker Siddeley Aviation, the designation was eventually revised to the HS 121. The reorganisation of the industry had compounded upon the delays caused by BEA's changes to the specification, which had in turn harmed the Trident's competitiveness against the Boeing 727. The rival Boeing 727 had quickly established a lead over the Trident.[32] The 727's early lead only strengthened it in subsequent competitions; one such example is Trans Australia Airlines, which had determined the Trident to be superior to the Boeing 727 from an operational standpoint, but it was also viewed as having been commercially risky to choose a different fleet from rival airlines such as Ansett Australia, which had already selected the 727.[33] In 1972, its unit cost was US$7.8M.[34] By 1975, only 117 Tridents had been sold against over 1,000 727s.[35] According to Woods, a significant opportunity that may have enabled the Trident to catch up with the 727 was lost during the 1960s in the form of two competitions for a maritime patrol aircraft; a NATO design competition to replace the Lockheed P-2 Neptune, and Air Staff Requirement 381, which sought a replacement for the Royal Air Force's piston-engined Avro Shackleton.[35] Amongst the various submissions that had been produced in response was a bid by Avro, part of the Hawker Siddeley Group, which was designated as the Avro 776. The proposed Avro 776 mated the Trident's fuselage with a redesigned and enlarged wing along with more powerful Rolls-Royce RB178 engines capable of 16,300 lb of thrust.[36] In addition to the maritime patrol requirement, Avro envisioned that the aircraft could be used in various military roles, including as a 103-seat troop transport and as being armed with up to four GAM-87 Skybolt air-launched ballistic missiles  as a nuclear-armed bomber.[37] In addition to Avro's proposals, Armstrong Whitworth had also proposed their own military variants of the Trident.[37] Later revisions of the Avro 776 substituted the RB.178 engine for the newer turbofan, the Rolls-Royce RB211, the development of the latter being supported by the 776's procurement if selected.[38] Rolls-Royce Limited, having shelved development of the Medway following the Trident's redesign, was keen to develop an engine to slot between the 10,000 lb Spey engine and the 20,000 lb Rolls-Royce Conway engine; if such an engine had been produced, it could have equipped new versions of the civil Trident, as well. Furnished with a more capable engine that could provide more thrust than the Spey could, an extended fuselage could also have been adopted and existing landing restrictions could have been discarded; overall, the Trident would have been a far closer match to the 727.[39] Wood summarised the importance of this prospective development as: "For the Trident programme, the RB.177 would have been a God-send".[40] At one point, the Avro 776 looked set to win the competition to be selected as the RAF's new maritime patrol aircraft.[41] Due to a desire to cut costs, though, the RAF decided to issue an entirely new operational requirement, under which the demands for speed, endurance, and capacity had all been diminished. As a result of the changes, the design team was recalled and the Avro 776 was entirely sidelined for a new proposal.[41] This new proposal, based upon the de Havilland Comet's fuselage, had little to do with the Trident save for the use of its existing Spey engines; this would go on to be selected and procured as the Hawker Siddeley Nimrod. As a result of this loss, prospects for an enlarged, higher-power Trident effectively evaporated.[41] Hawker Siddeley Aviation, which had absorbed de Havilland, needed additional customers for the Trident, so entered into discussions with American Airlines (AA) in 1960. AA requested   greater range than what the aircraft initially had, which meant that the original DH121 design would have fulfilled its requirements almost perfectly. In response, design began on a new Trident 1A, powered with up-rated Rolls-Royce Spey 510 engines of 10,700 lbf (47.6 kN) thrust, and a larger wing with more fuel, raising gross weight to 120,000 lb (54,000 kg) and range to 1,800 mi (2,900 km), but AA eventually declined the aircraft in favour of the Boeing 727. Some of these changes were added into the original prototype, and it was renamed the Trident 1C. The main difference was a larger fuel tank in the centre section of the wing, raising weights to 115,000 lb (52,000 kg), and range to 1,400 mi (2,300 km). The first Trident 1, G-ARPA, made its maiden flight on 9 January 1962 from Hatfield Aerodrome.[42] The Trident was a jet airliner of all-metal construction with a T-tail and a low-mounted wing with a quarter-chord sweepback of 35 degrees. It had three rear-mounted engines: two in side-fuselage pods, and the third in the fuselage tailcone, with an S-shaped intake duct. One version, the 3B, had a fourth "boost" engine with a separate intake duct above the main S-duct. All versions were powered by versions of the Rolls-Royce Spey, while the boost engine was a Rolls-Royce RB162, originally intended as a lift engine for VTOL applications. The Trident was one of the fastest subsonic commercial airliners, cruising at over 610 mph (980 km/h). At introduction into service its cruise Mach Number was 0.88/ 380 kn IAS. Designed for high speed, with a critical Mach number of 0.93,[43] the wing produced relatively limited lift at lower speeds. This, and the aircraft's low thrust-to-weight ratio, called for prolonged takeoff runs. Nevertheless, the Trident fulfilled BEA's 6,000 ft (1,800 m) field length criterion and its relatively staid airfield performance was deemed adequate before the arrival into service of the Boeing 727 and later jet airliners built to 4,500 ft (1,400 m) field length criteria.[44] The aerodynamics and wing was developed by a team led by Richard Clarkson, who would later use the Trident wing design as the basis for the wing of the Airbus A300; for the Trident he won the Mullard Award in 1969. The Trident normal descent rate was up to 4500 ft/min (23 m/s). In emergency descents of up to 10,000 ft/min, it was permissible to use reverse thrust. Below 280 kn IAS, it was also possible to extend the main landing gear for use as an airbrake. The Trident's first version, Trident 1C, had the unusual capability of using reverse thrust prior to touchdown. The throttles could be closed in the flare and reverse idle set to open the reverser buckets. At pilot discretion, up to full reverse thrust could then be used prior to touchdown. This was helpful to reduce hydroplaning and give  very short landing runs on wet or slippery runways while preserving wheel brake efficiency and keeping wheel brake temperatures low. Brakes were fitted with the Dunlop Maxaret anti-skid system. The Trident had a complex, sophisticated and comprehensive avionics fit which was successful in service. This comprised a completely automatic blind landing system developed by Hawker Siddeley and Smiths Aircraft Instruments.[12][45] It was capable of guiding the aircraft automatically during airfield approach, flare, touchdown and even roll-out from the landing runway. The system was intended to offer autoland by 1970. In the event, it enabled the Trident to perform the first automatic landing by a civil airliner in scheduled passenger service on 10 June 1965[46] and the first genuinely "blind" landing in scheduled passenger service on 4 November 1966.[42][47][48] The ability to land in fog solved a major problem at London Heathrow and other British airports. Delays were commonplace when Category 1 (Cat 1 = 200 ft (61 m) decision height and 600 metre runway visual range RVR) instrument landing system (ILS) was in use. The Trident's autoland system pioneered the use of lower landing minima, initially with Category 2 (100 ft decision height and 400 metres RVR) and soon after "zero-zero" (Category 3C) conditions. Since Tridents could operate safely to airfields equipped with suitable ILS installations, they could operate schedules regardless of weather, while other aircraft were forced to divert.[47] The Trident's advanced avionics displayed the aircraft's momentary position relative to the ground on a moving map display on the centre instrument panel. This electro-mechanical device also recorded the aircraft's track using a stylus plotting on a motor-driven paper map. Positional information was given by a Doppler navigation system which read groundspeed and drift data which, alongside heading data, drove the stylus. The Trident was the first airliner fitted with a quick access flight data recorder. This sampled 13 variables, converted them into a digital format, and stored them on magnetic tape for ground analysis.[49] The first Trident entered service on 1 April 1964.[42] By 1965,  15 Tridents were in BEA's fleet, and by March 1966, the fleet had increased to 21. Hawker Siddeley then proposed an improved 1C, the Trident 1E. This would be powered by 11,400 lbf (50.7 kN) Spey 511s, have a gross weight of 128,000 lb (58,000 kg), an increased wing area by extending the chord, and the same fuselage, but with up to 140 seats in a six-abreast configuration. This specification took the 1C closer to the larger concept of the original DH121, but with 7,000 lbf (31 kN) less thrust. Only a few sales of the new design were made, three each for Kuwait Airways and Iraqi Airways, four for Pakistan International Airlines (later sold to CAAC), two each for Channel Airways and Northeast Airlines, and one for Air Ceylon. Channel Airways' aircraft were equipped with cramped, 21 in (53 cm) seat pitch,[citation needed] seven-abreast seating in the forward section, seating 149 passengers. At this point, BEA decided that the Trident was too short-legged for its ever-expanding routes, and that an even longer-ranged version was needed. Hawker Siddeley responded with another upgrade designated Trident 1F. It would have the Spey 511 engines, a 2.8 m fuselage stretch, a gross weight of 132,000 lb (60,000 kg) and up to 128 seats in the original five-abreast configuration. BEA planned to buy 10 1Fs, plus an option for 14 further aircraft. As work continued on the 1F the changes became so widespread that it was renamed the Trident 2E, E for Extended Range. Now powered by newer Spey 512s with 11,930 lbf (53.1 kN) thrust, it also replaced wing leading-edge droop flaps with slats, and extended the span with Küchemann-style tips.[citation needed] It had a gross weight of 142,400 lb (64,600 kg) and a 2,000 miles (3,200 kilometres) range. BEA bought 15,[50] while two were bought by Cyprus Airways. CAAC, the Chinese national airline, bought 33. The first flight of this version was made on 27 July 1967 and it entered service with BEA in April 1968. Subsequently, the Trident was becoming the backbone of BEA's fleet and BEA wanted an even larger aircraft. Hawker Siddeley offered two new designs in 1965: a larger 158-seat two-engine aircraft otherwise similar to the Trident known as the HS132; and the 185-seat HS134, which moved the engines under the wings, a design very similar to the Boeing 737. Both were to be powered by a new high-bypass engine under development at the time, the Rolls-Royce RB178. BEA instead opted for Boeing 727s and 737s to fill the roles of both the BAC 1–11 and Trident, but this plan was vetoed by the British government. BEA returned to Hawker Siddeley and chose a stretched version of the basic Trident, the Trident 3. A fuselage stretch of 5 m (16 ft 5 in) made room for up to 180 passengers; Hawker Siddeley raised the gross weight to 143,000 lb (65,000 kg) and made modifications to the wing to increase its chord; the engines remained the same. BEA rejected the design as being unable to perform adequately in "hot and high" conditions, in light of such issues experienced with the Trident 2E. Since the Spey 512 was the last of the Spey line, extra thrust would be difficult to obtain. Instead of attempting to replace the three engines with a completely different type, which would have been difficult with one engine buried in the tail, Hawker Siddeley's engineers decided to add a fourth engine in the tail, the tiny Rolls-Royce RB162 turbojet, fed from its own intake behind a pair of movable doors. The engine added 15% more thrust for takeoff, while adding only 5% more weight, and it would only be used when needed. BEA accepted this design as the Trident 3B, and ordered 26. The first flight was on 11 December 1969 and the aircraft entered service on 1 April 1971. Addition of extra fuel capacity resulted in the Super Trident 3B. The Trident experienced some key export sales, particularly to China. Following a thawing of relations between Britain and the People's Republic of China, China completed several purchase deals and more than 35 Tridents were eventually sold.[51][52] In 1977, fatigue cracks were discovered in the wings of British Airways' Tridents. The aircraft were ferried back to the manufacturer and repaired, then returned to service.[53] The beginning of the Trident's end came in the early 1980s, since ICAO began drafting noise regulations that would require first- and second-generation jet airliners to fit hush kits to the engines. These regulations would go into effect on 1 January 1986. British Airways, the type's main operator, saw the required refits as not viable and instead chose to phase the Trident out of their fleet in 1985. The Trident's services in China ended in 1995, marking its permanent retirement from service.[54] Only 117 Tridents were produced, and are no longer in service. In contrast, 1832 Boeing 727 aircraft (designed to the Trident's original specification) were built and the last continued in passenger service until 2019.[55]   Aircraft of comparable role, configuration, and era  Related lists</t>
  </si>
  <si>
    <t>//upload.wikimedia.org/wikipedia/commons/thumb/6/6d/British_Airways_Trident3B_%287107744185%29.jpg/300px-British_Airways_Trident3B_%287107744185%29.jpg</t>
  </si>
  <si>
    <t>Narrow-body airliner</t>
  </si>
  <si>
    <t>https://en.wikipedia.org/Narrow-body airliner</t>
  </si>
  <si>
    <t>Hawker Siddeley</t>
  </si>
  <si>
    <t>https://en.wikipedia.org/Hawker Siddeley</t>
  </si>
  <si>
    <t>British European AirwaysBritish Airways CAAC Airlines Cyprus Airways</t>
  </si>
  <si>
    <t>https://en.wikipedia.org/British European AirwaysBritish Airways CAAC Airlines Cyprus Airways</t>
  </si>
  <si>
    <t>1962–1978</t>
  </si>
  <si>
    <t>Fletcher FU-24</t>
  </si>
  <si>
    <t>The Fletcher FU-24 is an agricultural aircraft made in New Zealand. One of the first aircraft designed for aerial topdressing, the Fletcher has also been used for other aerial applications as a utility aircraft, and for sky diving. In the early 1950s New Zealand topdressing operators were in the U.S. seeking a replacement for war surplus De Havilland Tiger Moths which formed the backbone of the industry. To answer the New Zealand request US aeronautical engineer and light aircraft enthusiast John W. Thorp, working for the Fletcher Aviation Corporation, conceived the T.15 with design elements taken from his earlier T.11 Sky Scooter including an all-moving horizontal tailplane but with a wing design similar to that of his Fletcher FD-25 Defender. Further design work was carried out by Gerald Barden of the Fletcher Aviation Corporation under Thorp's direction.[1] A group of New Zealand top dressing operators gathered a hundred purchase options for the design, now marketed as the Fletcher FU-24, off the drawing board and New Zealand farming company Cable Price Corporation funded the construction of two prototypes (one for static stress tests which never received a constructor's number and the second, c/n1, to fly) in the U.S. with the New Zealand Meat Producers Board acting as financial guarantor. The Fletcher is a conventional low-wing monoplane with tricycle undercarriage, side-by-side seating in front of the wing and hopper and pronounced dihedral on the outer wing panels. A door aft of the wing's trailing edge on the port side allows access to a cargo compartment. The Fletcher's airframe is constructed entirely of aluminium, heavily treated to prevent corrosion. FU-24 c/n1 flew on 14 June 1954 in the America as N6505C, then was disassembled for shipment to New Zealand where it flew as ZK-BDS. This original prototype had a 225 hp (168 kW) engine and open cockpit.  Prior to production commencing the design was altered to add an enclosed cockpit and more powerful 260 to 310 hp (230 kW) Continental engines. The next 70 aircraft were delivered to New Zealand in kit form and assembled at Hamilton airport by operator James Aviation and later at Tasman Empire Airways Limited's Mechanics Bay factory under contract from a new firm, Air Parts (NZ) Limited. From 1961 full production was undertaken locally by Air Parts which later became part of AESL. It was during Air Parts' production that detail improvements and the option of dual controls were added, becoming the FU-24 Mark II. After the 257th aircraft the engine was changed to a 400 hp (300 kW) Lycoming IO-720 horizontally-opposed eight-cylinder engine (over a hundred earlier aircraft were re-built and re-engined by the factory). In 1967 a PT6 turboprop version was built by James Aviation as ZK-CTZ, a 530 hp (400 kW) Garrett TPE 331-powered version followed in 1968 and a 665 hp (496 kW) Garrett-powered version in 1971, both for Robertson Air Service. Several others were converted aftermarket with these or Walter turbines, (including the first prototype, which flew until recently with a Walter). Two aircraft were also converted to Garrett TPE 331-10 engines by the Scone (NSW Australia) operator Airpasture. These aircraft have since flown many thousands of hours without incident. In the mid 1990s operator Fieldair experimented with a turbocharged small block Chevrolet 402 V-8 producing 550hp, although the project was cancelled before it flew, and in the early 2000s Super Air flew a Fletcher powered by a 550hp Ford V-8 diesel which was replaced by a Walter turbine after trials were completed. In 2018 another Fletcher was fitted with a RED A03/V12 diesel engine and trials are ongoing as of 2022[2][3][4]. At least nineteen different engines have been fitted to the Fletcher[5]. In the mid 1970s, Pacific Aerospace decided the Fletcher design was reaching the limits of redevelopment and introduced the  larger and stronger PAC Cresco. Despite the similar appearance this is a new aircraft, though sharing a few components. For several years production of the two continued side by side, but the type is now effectively out of production, (new Fletchers remain nominally available from the manufacturer, but no new aircraft have been built since a batch of five for Syria was completed in 1992). Although Fletcher was the name of the manufacturer in the U.S. and the aircraft was called the FU-24, over time the type has become colloquially known as the Fletcher.  Fletchers have been sold to most parts of the world, although they are rare in Europe and the US. Government orders came from many developing countries including Iraq, Sudan, Syria and Thailand. As of February 2022 36 Fletchers are listed on the New Zealand civil aircraft register, and 19 in Australia. One example, c/n78 ZK-BYC, is maintained by a private owner as an airworthy heritage aircraft in New Zealand. Three examples are held by aviation museums in New Zealand: Additionally the remains of c/n87 ZK-CBG are held for future static restoration by a private owner in Whanganui and the cockpit section of c/n100 ZK-CKA is being restored for use as a flight simulator by a private owner at Renwick, near Blenheim. Data from Jane's All The World's Aircraft 1993–94 [6]General characteristics Performance Related development Aircraft of comparable role, configuration, and era</t>
  </si>
  <si>
    <t>//upload.wikimedia.org/wikipedia/commons/thumb/2/2e/PAC_Fletcher_Fu24_Aerial_Topdresser.JPG/300px-PAC_Fletcher_Fu24_Aerial_Topdresser.JPG</t>
  </si>
  <si>
    <t>agricultural aircraft</t>
  </si>
  <si>
    <t>https://en.wikipedia.org/agricultural aircraft</t>
  </si>
  <si>
    <t>Fletcher Aviation</t>
  </si>
  <si>
    <t>https://en.wikipedia.org/Fletcher Aviation</t>
  </si>
  <si>
    <t>John Thorp</t>
  </si>
  <si>
    <t>https://en.wikipedia.org/John Thorp</t>
  </si>
  <si>
    <t>PAC Cresco</t>
  </si>
  <si>
    <t>https://en.wikipedia.org/PAC Cresco</t>
  </si>
  <si>
    <t>Production ceased, in active service</t>
  </si>
  <si>
    <t>Flightstar</t>
  </si>
  <si>
    <t>The Flightstar is a large family of single and two-seat, high wing, single engined kit aircraft that was produced by Flightstar Sportplanes of South Woodstock, Connecticut. In 2009 the rights, tooling and parts inventory were sold to Yuneec International of China when Flightstar Sportplanes' business was wound up.[1][2][3][4][5][6] Flightstar designer Tom Peghiny built the first Flightstar in the mid-1980s for the US FAR 103 Ultralight Vehicles category with its maximum 254 lb (115 kg) empty weight requirement. The two-seat Flightstar II soon followed to fill the role of a trainer. The designs quickly became commercial successes and the basic design has been extensively developed over time. By 2007 over 700 single seaters had been sold.[1][5] All models are constructed from anodized aluminum tubing assembled with bolts. The fuselage is suspended from a keel tube that also mounts the engine at the front, the tail at the back and the wings. The wings are strut-braced and utilize jury struts. The wings and tail surfaces are covered in pre-sewn Dacron envelopes, which reduces construction time. The wings have full-span ailerons, while the tail features conventional elevators and rudder. The landing gear is a tricycle gear arrangement with bungee suspension on the main wheels. The nosewheel is steerable and mainwheel brakes are an available option. The reported construction time for the single seat models is 100 hours.[1][5] The fuselage is built around an overhead aluminum tube keel that mounts the tail at the back, the wings and fuselage in the centre and the engine at the front. The pod-type cockpit fairing is made from fibreglass and includes a windshield.[1] The two seat models all have side-by-side seating and have folding wings. Reported construction time for the current two seat models is 150 hours.[1][2][4][5] Reviewer Andre Cliche described the Flightstar line as: "a strong ultralight that is built to last" and particularly singled out the control system for praise saying: "the controls are well-balanced, light and authoritative."[1] In July 2009 a new single seat model was exhibited at EAA AirVenture Oshkosh. The e-Spyder is an electric-powered version of the Sportstar Spyder, developed by Tom Peghiny. The aircraft replaces the Spyder's two-stroke engine with a Yuneec Power Drive 20 20 kW (27 hp) electric motor and two 28 lb (13 kg) Lithium polymer battery packs which provide a 40-minute endurance. The aircraft is intended to be developed into a commercially available kit and forecast to be available for under US$25,000.[7][8][9] The aircraft are also produced under licence in India by Albatross Flying Systems.[6] Data from Kitplanes[4]General characteristics Performance   Aircraft of comparable role, configuration, and era</t>
  </si>
  <si>
    <t>//upload.wikimedia.org/wikipedia/commons/thumb/e/e0/EAA_Flightstar_FS-IISL.jpg/300px-EAA_Flightstar_FS-IISL.jpg</t>
  </si>
  <si>
    <t>Ultralight aircraft</t>
  </si>
  <si>
    <t>https://en.wikipedia.org/Ultralight aircraft</t>
  </si>
  <si>
    <t>Flightstar Sportplanes</t>
  </si>
  <si>
    <t>https://en.wikipedia.org/Flightstar Sportplanes</t>
  </si>
  <si>
    <t>Tom Peghiny</t>
  </si>
  <si>
    <t>https://en.wikipedia.org/Tom Peghiny</t>
  </si>
  <si>
    <t>15 ft 0 in (4.56 m)</t>
  </si>
  <si>
    <t>32 ft 0 in (9.76 m)</t>
  </si>
  <si>
    <t>157 sq ft (14.60 m2)</t>
  </si>
  <si>
    <t>430 lb (195 kg)</t>
  </si>
  <si>
    <t>6.05 lb/sq ft (29.52 kg/m2)</t>
  </si>
  <si>
    <t>one passenger and 520 lb (236 kg) useful load</t>
  </si>
  <si>
    <t>1 × HKS 700E two-cylinder four-stroke, 60 hp (45 kW)</t>
  </si>
  <si>
    <t>96 mph (156 km/h, 83 kn)</t>
  </si>
  <si>
    <t>75 mph (122 km/h, 65 kn)</t>
  </si>
  <si>
    <t>12,000 ft (3,660 m)</t>
  </si>
  <si>
    <t>15.83 lb/hp (0.104 kW/kg)</t>
  </si>
  <si>
    <t>36 mph (58 km/h, 31 kn)</t>
  </si>
  <si>
    <t>800 ft/min (4.06 m/s)</t>
  </si>
  <si>
    <t>345 mi (559 km, 300 nmi)</t>
  </si>
  <si>
    <t>Out of production</t>
  </si>
  <si>
    <t>1987-2009</t>
  </si>
  <si>
    <t>950 lb (431 kg)</t>
  </si>
  <si>
    <t>Focke Rochen</t>
  </si>
  <si>
    <t>The Focke Rochen, also known as Focke-Wulf Schnellflugzeug or Focke-Wulf VTOL was a German VTOL aircraft project. Designed by Heinrich Focke of the Focke-Wulf company towards the end of World War II, the project remained unbuilt before the surrender of Nazi Germany, but saw some development in the postwar years. The information about this project is limited; it was named after the ray owing to its unusual shape.[1] The aircraft had an airfoil section with two huge propellers in the center.[2] Towards the last years of the Third Reich, Heinrich Focke started design work on the Rochen, also known as Schnellflugzeug, as soon as he had the relevant data for the new German jet engines. In 1939, he patented the idea of a circular aircraft with a large airfoil section and an open center that acted as a huge propeller duct for twin contra-rotating propellers, driven by a projected Focke-Wulf designed turbojet engine via an axle and gearbox. The Fw-Rochen would have achieved forward flight by vectoring the downwash from the propellers rearward through a series of louvers below them. The louvers themselves could also be completely closed for gliding flight in the event of engine failure. The exhaust nozzle forked in two at the end of the turbojet engine and ended in two auxiliary combustion chambers located on the trailing edges of the circular wing. When fuel was added, the auxiliary combustion chambers acted as primitive afterburners, providing horizontal flight. Control at low speed was achieved by varying the power to each auxiliary chamber through two small nozzles. The landing gear was very simple, consisting of the two main gear legs on either side of the central propellers and a small tailwheel. A single fin and rudder would be provided to help with lateral stability at higher speeds. The pilot would sit in a cockpit nacelle that protruded from the front of the circular airfoil-section fuselage. After the war, a wooden 1/10 scale model of the Rochen was built in Bremen and subjected to wind tunnel tests. Heinrich Focke filed for a patent of the aircraft in 1957, but it was never built.[3][4]     Related lists</t>
  </si>
  <si>
    <t>//upload.wikimedia.org/wikipedia/commons/thumb/e/eb/Focke_Rochen_drawing.png/300px-Focke_Rochen_drawing.png</t>
  </si>
  <si>
    <t>None completed</t>
  </si>
  <si>
    <t>Initially terminated by end of war but developed later</t>
  </si>
  <si>
    <t>Folland Fo.108</t>
  </si>
  <si>
    <t>The Folland Fo.108, also known as the Folland 43/37 and by the nickname Folland Frightful[1] (or Frightener), was a large monoplane engine testbed aircraft of the 1940s. The Fo.108 was Folland's response to Air Ministry Specification 43/37 for an engine testbed. It was Folland's first design to be accepted by the Air Ministry for production. The Fo.108 was a large low-wing cantilever monoplane with a conventional cantilever tailplane and a fixed tailwheel landing gear. It had a glazed cockpit for the pilot, and a cabin for two observers behind and below the pilot, fitted out so that they could make detailed measurements of engine performance during flight. To enable the aircraft to be delivered from the Hamble factory and later ferried to new assignments, they were normally fitted with a Bristol Hercules radial engine. In service, the Fo.108 was fitted with a number of other engines including the inline Napier Sabre (four),[2] Bristol Centaurus radial, and Rolls-Royce Griffon V-engine. Entering service in 1940,[3] the type was operated by the Bristol Aeroplane Company, Napier and Rolls-Royce,[4] Five of the twelve production aircraft were lost in crashes, the type earning the nickname "Frightener" as a result.[3] The last examples of the Fo.108 were withdrawn from service in 1946, by de Havilland's engine division.[4][5] Data from Jane's Fighting aircraft of World War II[6]General characteristics Performance     Related lists</t>
  </si>
  <si>
    <t>Engine testbed</t>
  </si>
  <si>
    <t>Folland Aircraft</t>
  </si>
  <si>
    <t>https://en.wikipedia.org/Folland Aircraft</t>
  </si>
  <si>
    <t>43 ft 4 in (13.21 m)</t>
  </si>
  <si>
    <t>58 ft (18 m)</t>
  </si>
  <si>
    <t>16 ft 3 in (4.95 m)</t>
  </si>
  <si>
    <t>588 sq ft (54.6 m2)</t>
  </si>
  <si>
    <t>16,000 lb (7,257 kg)</t>
  </si>
  <si>
    <t>2 observers</t>
  </si>
  <si>
    <t>1 × Bristol Centaurus 18-cylinder air-cooled radial piston engine</t>
  </si>
  <si>
    <t>292 mph (470 km/h, 254 kn) [citation needed]</t>
  </si>
  <si>
    <t>267 mph (430 km/h, 232 kn) [citation needed]</t>
  </si>
  <si>
    <t>Sikorsky S-69</t>
  </si>
  <si>
    <t>The Sikorsky S-69 (military designation XH-59) is an American experimental co-axial compound helicopter developed by Sikorsky Aircraft as the demonstrator of the Advancing Blade Concept (ABC) under America Army and NASA funding. In late 1971, the Army Air Mobility Research and Development Laboratory, which later became a part of the Army Research Laboratory, awarded Sikorsky a contract for the development of the first prototype.[citation needed] The S-69 was the demonstrator for the Advancing Blade Concept (ABC).[1] The first S-69 built (73-21941) first flew on July 26, 1973.[2] However, it was badly damaged in a low-speed crash on August 24, 1973 due to unexpected rotor forces and insufficient control systems.[3] The airframe was then converted into a wind tunnel testbed, which was tested in the NASA Ames Research Center 40x80 feet full-scale wind tunnel in 1979.[4] A second airframe was completed (73-21942) which first flew on July 21, 1975. After initial testing as a pure helicopter, two auxiliary turbojets were added in March 1977. As a helicopter, the XH-59A demonstrated a maximum level speed of 156 knots (289 km/h; 180 mph), but with the auxiliary turbojets, it demonstrated a maximum level speed of 238 knots (441 km/h; 274 mph) and eventually a speed of 263 knots (487 km/h; 303 mph) in a shallow dive. At 180 knots (333 km/h; 207 mph) level flight, it could enter a 1.4 g bank turn with the rotor in autorotation, increasing rotor rpm.[5] Airframe stress prevented rotor speed reduction and thus full flight envelope expansion.[5] The XH-59A had high levels of vibration and fuel consumption.[6][3] The 106-hour test program for the XH-59A ended in 1981. In 1982 it was proposed that the XH-59A be converted to the XH-59B configuration with advanced rotors, new powerplants (two GE T700s), and a ducted pusher propeller at the tail. This proposed program did not proceed as Sikorsky refused to pay a share of the costs.[5][7][8] Sikorsky and its partners funded the development of the next helicopters using the Advancing Blade Concept; the Sikorsky X2 and Sikorsky S-97 Raider from 2007. The Advancing Blade Concept system consisted of two rigid, contra-rotating rotors (30 inches apart)[9] which made use of the aerodynamic lift of the advancing blades. At high speeds, the retreating blades were offloaded, as most of the load was supported by the advancing blades of both rotors and the penalty due to stall of the retreating blade was thus eliminated.[10][11] This system did not require a wing to be fitted for high speeds and to improve maneuverability,[5] and also eliminated the need for an anti-torque rotor at the tail.[12] Forward thrust was provided by two turbojets, which allowed the main rotor to only be required to provide lift. It was found to have good hover stability against crosswind and tailwind. With jets installed, it lacked power to hover out of ground effect and used short take-off and landing for safety reasons.[5] Airframe 73-21941 is in storage at the NASA Ames Research Center[13] and 73-21942 is on display at the Army Aviation Museum, Fort Rucker, Alabama.[14] Data from U.S. Army Aircraft Since 1947,[15] Illustrated Encyclopedia,[12] US Army Research Laboratory[5]General characteristics Performance  Related development Aircraft of comparable role, configuration, and era  Related lists</t>
  </si>
  <si>
    <t>//upload.wikimedia.org/wikipedia/commons/thumb/3/3a/XH-59_U.S._Army_demonstrator.jpg/300px-XH-59_U.S._Army_demonstrator.jpg</t>
  </si>
  <si>
    <t>Experimental compound helicopter</t>
  </si>
  <si>
    <t>https://en.wikipedia.org/Experimental compound helicopter</t>
  </si>
  <si>
    <t>Sikorsky Aircraft</t>
  </si>
  <si>
    <t>https://en.wikipedia.org/Sikorsky Aircraft</t>
  </si>
  <si>
    <t>40 ft 9 in (12.42 m)</t>
  </si>
  <si>
    <t>13 ft 2 in (4.01 m)</t>
  </si>
  <si>
    <t>NASAAmerica Army</t>
  </si>
  <si>
    <t>https://en.wikipedia.org/NASAAmerica Army</t>
  </si>
  <si>
    <t>2 × Pratt &amp; Whitney J60-P-3A turbojet engines, 3,000 lbf (13 kN) thrust each</t>
  </si>
  <si>
    <t>263 kn (303 mph, 487 km/h) with turbojets</t>
  </si>
  <si>
    <t>109 kn (125 mph, 202 km/h)</t>
  </si>
  <si>
    <t>25,000 ft (7,600 m) with turbojets[5]</t>
  </si>
  <si>
    <t>1,200 ft/min (6.1 m/s) at 140 kn (161 mph; 259 km/h)</t>
  </si>
  <si>
    <t>11,000 lb (4,990 kg) with turbojets</t>
  </si>
  <si>
    <t>2 × 36 ft 0 in (10.97 m)</t>
  </si>
  <si>
    <t>2,036 sq ft (189.2 m2)</t>
  </si>
  <si>
    <t>- root NACA 63(230)-224A ; tip NACA 23012(64)[16]</t>
  </si>
  <si>
    <t>Vought VE-7</t>
  </si>
  <si>
    <t>The Vought VE-7 "Bluebird" was an early biplane of the America. First flying in 1917, it was designed as a two-seat trainer for the America Army, then adopted by the America Navy as its first fighter aircraft. In 1922, a VE-7 became the first airplane to take off from an American aircraft carrier.[1] The Lewis &amp; Vought Corporation was formed just months after the U.S. entered World War I, with the intention of servicing war needs. The company's trainer was patterned after successful European designs; for instance, the engine was a Wright Hispano Suiza of the type used by the French Spads. In practice, the VE-7's performance was much better than usual for a trainer, and the Army ordered 1,000 of an improved design called the VE-8. However, the contract was cancelled due to the end of the war.[1] However, the Navy was very interested in the VE-7, and received the first machine in May 1920. Production orders soon followed, and in accordance to Navy policy at the time, examples were also built by the Naval Aircraft Factory. In all, 128 VE-7s were built.[1] The fighter version of the VE-7 was designated VE-7S. It was a single-seater, the front cockpit being faired over and a .30 in (7.62 mm) Vickers machine gun mounted over it on the left side and synchronized to fire through the propeller. Some planes, designated VE-7SF, had flotation gear consisting of inflatable bags stowed away, available to help keep the plane afloat when ditching at sea.[1] The Bluebird won the 1918 Army competition for advanced training machines.[2] The VE-8 variant completed in July 1919 had a 340hp Wright-Hispano H engine, reduced overall dimensions, increased wing area, a shorter faired cabane, and two Vickers guns. Two were completed. Flight test results were disappointing, the aircraft was overweight, with heavy controls, inadequate stability and sluggish performance.[3] The VE-9 variant, first delivered to the Navy on 24 June 1922, was essentially an improved VE-7, with most of the improvements in the fuel system area. Four of the 21 ordered by the U.S. Navy were unarmed observation float seaplanes for battleship catapult use.[3] The VE-7s equipped the Navy's first two fighter squadrons VF-1 and VF-2. A VE-7 flown by Lieutenant Virgil C. Griffin made history on October 17, 1922 when it took off from the deck of the newly commissioned carrier Langley. The VE-7s were the Navy's frontline fighters for several years, with three still assigned to the Langley in 1927; all were retired the following year.[1] No survivors remain, however a replica Bluebird was completed in early 2007 by volunteers of the Vought Aircraft Heritage Foundation.[4] It is now on display at the National Naval Aviation Museum in Pensacola, Florida.[5] Data from Janes Fighting Aircraft of World War I by Michael John Haddrick Taylor (Random House Group Ltd. 20 Vauxhall Bridge Road, London SW1V 2SA, 2001,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1-85170-347-0), 320 pp.General characteristics Performance Armament</t>
  </si>
  <si>
    <t>//upload.wikimedia.org/wikipedia/commons/thumb/c/c6/VOUGHT_VE-7_USAF.JPG/300px-VOUGHT_VE-7_USAF.JPG</t>
  </si>
  <si>
    <t>Fighter and trainer</t>
  </si>
  <si>
    <t>Lewis &amp; Vought Corporation</t>
  </si>
  <si>
    <t>https://en.wikipedia.org/Lewis &amp; Vought Corporation</t>
  </si>
  <si>
    <t>Chance M. Vought</t>
  </si>
  <si>
    <t>https://en.wikipedia.org/Chance M. Vought</t>
  </si>
  <si>
    <t>{'VE-7': '1918) - 14 built for the U.S. Army Air Service; 39 built for the U.S. Navy; (one of two known, built at McCook Field. Reportedly four more were built by Springfield Co)', 'VE-7F': '1921) - 29 built for the U.S. Navy', 'VE-7G': '1921) - One converted from VE-7 for U.S. Marine Corps, 23 converted from VE-7 for U.S. Navy', 'VE-7GF': '1921) - One converted from VE-7', 'VE-7H': '1924) - Nine ', 'VE-7S': '1925) - One converted from VE-7', 'VE-7SF': '1925) - 11 built for the U.S. Navy', 'VE-7SH': ' One VE-7SF converted into a floatplane.', 'VE-8': '1918) - Four ordered by the U.S. Army on October 11, 1918; two were canceled; 340\xa0hp Wright-Hispano H engine installed, two Vickers guns, wingspan decreased to 31\xa0ft (9.4\xa0m), wing area increased to 307\xa0sq\xa0ft (28.5\xa0m', 'VE-9': '1927) - 22 built for the U.S. Army, 17 built for the U.S. Navy. (U.S. Army used same designation as U.S. Navy)', 'VE-9H': '1927) - Four unarmed observation float seaplanes built for the U.S. Navy battleships, modified vertical tail surfaces for improved catapult and water stability', 'VE-9W': ' canceled'}</t>
  </si>
  <si>
    <t>24 ft 5.375 in (7.45 m)</t>
  </si>
  <si>
    <t>34 ft 4 in (10.47 m)</t>
  </si>
  <si>
    <t>8 ft 7.5 in (2.63 m)</t>
  </si>
  <si>
    <t>284.5 sq ft (26.43 m2)</t>
  </si>
  <si>
    <t>RAF-15[6]</t>
  </si>
  <si>
    <t>1,392 lb (631 kg)</t>
  </si>
  <si>
    <t>1,937 lb (879 kg)</t>
  </si>
  <si>
    <t>America NavyAmerica Army Air Service</t>
  </si>
  <si>
    <t>https://en.wikipedia.org/America NavyAmerica Army Air Service</t>
  </si>
  <si>
    <t>1 × Wright-Hispano E-3 liquid cooled V-8, 180 hp (134 kW)</t>
  </si>
  <si>
    <t>2-bladed, 8 ft 8 in (2.64 m) diameter wooden fixed pitch propeller</t>
  </si>
  <si>
    <t>106 mph (171 km/h, 92 kn)</t>
  </si>
  <si>
    <t>15,000 ft (4,600 m)</t>
  </si>
  <si>
    <t>738 ft/min (3.75 m/s)</t>
  </si>
  <si>
    <t>290 mi (467 km, 250 nmi)</t>
  </si>
  <si>
    <t>1918-1928</t>
  </si>
  <si>
    <t>(VE-7S) 1 x .30 in (7.62 mm) Vickers machine gun machine gun synchronized to fire through the propeller</t>
  </si>
  <si>
    <t>Pomilio PE</t>
  </si>
  <si>
    <t>The Pomilio PE was a First World War Italian armed reconnaissance biplane designed and built by the Pomilio brothers. It was developed from the earlier Pomilio PC and PD. The Pomilio brothers first armed reconnaissance biplane was the Pomilio PC which appeared in 1917. It was a conventional biplane of mixed construction with a fixed tailskid landing gear. It had two open cockpits in tandem and was powered by a nose-mounted 260 hp (194 kW) Fiat A.12 engine. It first entered service in 1917 and was found to dangerously unstable which led to an improved design the Pomilio PD. Only some 70 Pomilio PC were made for Italian Air Force.[1] Apart from other improvements, the PD introduced a tail fin and a ventral fin to help with the stability.[1] The cylinder heads were exposed, and a radiator was placed in front of an upper wing.[1] The PD was flown in June 1917.[1] 431 PD were manufactured, including 93 dual control trainers, which were needed due to difficult flight characteristics.[2] A further improvement was the Pomilio PE, fitted with a more powerful variant of the Fiat A.12bis. It had a fully cowled engine, with a vertical radiator in front of it, what changed the plane's appearance.[1] On later machines, a triangular fin was replaced with a bigger trapezoid one.[1] It entered production in October 1917, and 984 were made, including 103 trainers.[3] Changes were made throughout the production run with later aircraft fitted with synchronized forward-firing machine-guns[citation needed] as well as observer's Lewis machine gun.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2759.General characteristics Performance Armament</t>
  </si>
  <si>
    <t>//upload.wikimedia.org/wikipedia/commons/thumb/a/a3/Pomilio_PE.jpg/300px-Pomilio_PE.jpg</t>
  </si>
  <si>
    <t>Two-seat armed reconnaissance biplane</t>
  </si>
  <si>
    <t>Pomilio</t>
  </si>
  <si>
    <t>https://en.wikipedia.org/Pomilio</t>
  </si>
  <si>
    <t>545 (PC and PD)1071 (PE)</t>
  </si>
  <si>
    <t>2 (pilot, observer)</t>
  </si>
  <si>
    <t>8.95 m (29 ft 4.25 in)</t>
  </si>
  <si>
    <t>11.80 m (38 ft 8.5 in)</t>
  </si>
  <si>
    <t>3.35 m (11 ft 0 in)</t>
  </si>
  <si>
    <t>1,535 kg (3,384 lb)</t>
  </si>
  <si>
    <t>1 × Fiat A.12bis six-cylinder inline piston engine , 224 kW (300 hp)</t>
  </si>
  <si>
    <t>195 km/h (121 mph, 105 kn)</t>
  </si>
  <si>
    <t>Corpo Aeronautico Militare  Regia Aeronautica</t>
  </si>
  <si>
    <t>https://en.wikipedia.org/Corpo Aeronautico Militare  Regia Aeronautica</t>
  </si>
  <si>
    <t>3 hours 30 minutes</t>
  </si>
  <si>
    <t>PZL P.6</t>
  </si>
  <si>
    <t>The PZL P.6 was a Polish fighter, designed by the engineer Zygmunt Puławski, manufactured by PZL state-owned factory. It remained a prototype. The history of PZL P.6 started in 1928, when a talented designer, Zygmunt Puławski designed an all-metal metal-covered monoplane fighter PZL P.1. It introduced a high gull wing, giving a pilot an optimal view. The P.1 was powered with an inline engine, and developed a speed of 302 km/h, but remained a prototype, because it was decided, that a fighter for the Polish Air Force should be powered with a radial engine, licence produced in Poland. Therefore, the next model PZL P.6, was powered with the Bristol Jupiter VI FH radial engine. The PZL P.6 was flown for the first time in August 1930 with test pilot Bolesław Orliński at the controls. It had a very similar wing to the P.1, but the fuselage was completely redesigned with a modern semi-monocoque configuration introduced that was oval in cross-section, as well, the  tail was also changed. As a result of the modifications, the aircraft was over 200 kg lighter. The PZL P.6 was an all-metal duralumin-covered, braced, high-wing monoplane. The fuselage was framed in a front section and semi-monocoque in mid and tail sections with an oval cross-section. The two-spar wing of trapezoid shape, thinner by the fuselage, covered with a rimmed Wibault type duralumin sheet, was supported by two struts on either side. The pilot's cockpit was open, with a windshield. The Bristol Jupiter VI FH radial engine mounted in front was fitted with a Townend ring and used a two-blade propeller. The fixed undercarriage with a rear skid was mainly conventional and typical of the period. An unusual feature was a fuselage fuel tank that could be dropped in case of a fire emergency. The P.6, just like the P.1, garnered a great deal of interest worldwide. Their wing design was called the "Polish wing" or "Puławski wing". During a presentation at the Paris Air Show in Le Bourget in December 1931, the aviation press, such as L'Air, The Aeroplane, Flight and Die Luftwacht acknowledged the P.6 as one of the world's top fighter designs. Significantly, the  P.6 prototype, piloted by Bolesław Orliński, won the American National Air Races in 29 August-7 September 1931. The PZL P.6 did not enter production, because at the same time the next improved variant, the PZL P.7 was being developed. The first P.7 prototype was basically the P.6 with a more powerful Bristol Jupiter VII F engine. With the provision of a supercharger, it achieved better performance at higher altitudes. The P.6 prototype crashed on 11 October 1931 near Częstochowa due of a propeller breaking apart, resulting in the engine tearing apart. Pilot, Orliński, bailed out successfully. Data from Polish aircraft 1893-1939[1]General characteristics Performance Armament  Related development Aircraft of comparable role, configuration, and era</t>
  </si>
  <si>
    <t>//upload.wikimedia.org/wikipedia/commons/thumb/d/de/Pzl_p-6.jpg/300px-Pzl_p-6.jpg</t>
  </si>
  <si>
    <t>PZL</t>
  </si>
  <si>
    <t>https://en.wikipedia.org/PZL</t>
  </si>
  <si>
    <t>Zygmunt Puławski</t>
  </si>
  <si>
    <t>{'P.6/I': ' First prototype, later became P.7 prototype.'}</t>
  </si>
  <si>
    <t>https://en.wikipedia.org/PZL P.7</t>
  </si>
  <si>
    <t>7.16 m (23 ft 6 in)</t>
  </si>
  <si>
    <t>10.3 m (33 ft 10 in)</t>
  </si>
  <si>
    <t>2.75 m (9 ft 0 in)</t>
  </si>
  <si>
    <t>17.2 m2 (185 sq ft)</t>
  </si>
  <si>
    <t>908 kg (2,002 lb)</t>
  </si>
  <si>
    <t>1,355 kg (2,987 lb)</t>
  </si>
  <si>
    <t>78.7 kg/m2 (16.1 lb/sq ft)</t>
  </si>
  <si>
    <t>250 l (66 US gal; 55 imp gal) in a jettisonable fuselage tank</t>
  </si>
  <si>
    <t>1 × Bristol Jupiter VIFH 9-cylinder air-cooled radial piston engine, 340 kW (450 hp)</t>
  </si>
  <si>
    <t>2-bladed Gnome-Rhŏne fixed-pitch metal propeller</t>
  </si>
  <si>
    <t>292 km/h (181 mph, 158 kn) at sea level</t>
  </si>
  <si>
    <t>8,600 m (28,200 ft)</t>
  </si>
  <si>
    <t>0.2491 kW/kg (0.1515 hp/lb)</t>
  </si>
  <si>
    <t>Polish Air Force</t>
  </si>
  <si>
    <t>https://en.wikipedia.org/Polish Air Force</t>
  </si>
  <si>
    <t>PZL P.1</t>
  </si>
  <si>
    <t>https://en.wikipedia.org/PZL P.1</t>
  </si>
  <si>
    <t>103 km/h (64 mph, 56 kn) [citation needed]</t>
  </si>
  <si>
    <t>10.3 m/s (2,030 ft/min) [citation needed]</t>
  </si>
  <si>
    <t>600 km (370 mi, 320 nmi)</t>
  </si>
  <si>
    <t>Prototype Destroyed</t>
  </si>
  <si>
    <t>2,000 m (6,562 ft) in 2 minutes 50 seconds</t>
  </si>
  <si>
    <t>2 x 7.7 mm (0.303 in) Vickers E machine guns in fuselage</t>
  </si>
  <si>
    <t>100 km/h (62 mph; 54 kn)</t>
  </si>
  <si>
    <t>Schempp-Hirth Standard Cirrus</t>
  </si>
  <si>
    <t>The Standard Cirrus is a German Standard-class glider built by Schempp-Hirth. The Standard Cirrus was produced between 1969 and 1985, when it was replaced by the Discus. Over 800 examples were built, making it one of the most successful early fibreglass glider designs. The Standard Cirrus was designed by Dipl. Ing. Klaus Holighaus and flew for the first time in February 1969. It is a Standard Class glider with a 15-metre span, and laminar-flow airfoil section designed by Professor Franz Wortmann. The all-moving tailplane, a feature of many designs of that period due to its theoretically higher efficiency, caused less than desirable high-speed stability characteristics, and so modifications were made to the early design. Even so, the glider is still very sensitive in pitch. The aircraft built before 1972 have a washout of -0.75 degrees. The washout was then increased to -1.5 degrees which improved low-speed performance and response at slow speed.[1] Improvements were made with the Standard Cirrus 75. These included better air-brakes with an increased frontal area and a safer tailplane attachment system. By April 1977, when production by Schempp-Hirth ended, a total of 700 Standard Cirruses had been built, including 200 built under licence by Grob between 1972 and July 1975. A French firm, Lanaverre Industrie, had also built 38 Standard Cirruses under licence by 1979. VTC of Yugoslavia also licence-built Standard Cirruses, reaching approximately 100 by 1985. The Baby Cirrus is similar to a Standard Cirrus 75. The only thing different about them is the fact it had its wing on top of the fuselage mounted on a fiberglass beam of some sort. Only one was made. It was primarily used to try and improve the design of the Standard Cirrus. The original registration was D-3111. It was later converted to a Standard Cirrus 75 and was given a new registration. It is still flying to the day of this edit and is owned by a club in Germany. The Cirrus B is based on the Standard Cirrus 75 but with interchangeable wingtips giving a span of either 15m or 16m. The two Cirrus K have a reduced span (12.6m), larger ailerons, a cross tail with larger elevator, and a strengthened fuselage which make them suitable for aerobatics. This modification was initiated by Wilhelm Düerkop in the late 1980s.[2][3] Wolfgang Seitz took part in the 1995 World Glider Aerobatic Championships with a Cirrus K.[4] The last Cirrus model was the G/81 built by VTC until 1985. This incorporated a longer fuselage and canopy, and a conventional tailplane and elevator with the wings of the Cirrus 75. Data from Jane's all the World's Aircraft 1976–77 [5]General characteristics Performance  Related development Aircraft of comparable role, configuration, and era  Related lists</t>
  </si>
  <si>
    <t>//upload.wikimedia.org/wikipedia/commons/thumb/7/7c/Standard_Cirrus_D-3085.jpg/300px-Standard_Cirrus_D-3085.jpg</t>
  </si>
  <si>
    <t>Standard-class sailplane</t>
  </si>
  <si>
    <t>https://en.wikipedia.org/Standard-class sailplane</t>
  </si>
  <si>
    <t>Schempp-Hirth</t>
  </si>
  <si>
    <t>https://en.wikipedia.org/Schempp-Hirth</t>
  </si>
  <si>
    <t>Klaus Holighaus</t>
  </si>
  <si>
    <t>https://en.wikipedia.org/Klaus Holighaus</t>
  </si>
  <si>
    <t>ca. 838</t>
  </si>
  <si>
    <t>{'[object HTMLElement]': {}, 'Baby Cirrus': 's similar to a Standard Cirrus 75. The only thing different about them is the fact it had its ', 'Cirrus B': 's based on the Standard Cirrus 75 but with interchangeable wingtips giving a span of either 15m or 16m.', 'Cirrus K': 'ave a reduced span (12.6m), larger ', 'G/81': 'uilt by VTC until 1985. This incorporated a longer fuselage and canopy, and a conventional tailplane and elevator with the wings of the Cirrus 75.'}</t>
  </si>
  <si>
    <t>6.35 m (20 ft 10 in)</t>
  </si>
  <si>
    <t>1.32 m (4 ft 4 in)</t>
  </si>
  <si>
    <t>10 m2 (110 sq ft)</t>
  </si>
  <si>
    <t>215 kg (474 lb)</t>
  </si>
  <si>
    <t>220 km/h (140 mph, 120 kn)</t>
  </si>
  <si>
    <t>+10</t>
  </si>
  <si>
    <t>0.6 m/s (120 ft/min) at 71 km/h (44 mph; 38 kn)</t>
  </si>
  <si>
    <t>39 kg/m2 (8.0 lb/sq ft) with water ballast</t>
  </si>
  <si>
    <t>80 kg (180 lb) water ballast</t>
  </si>
  <si>
    <t>390 kg (860 lb) with water ballast</t>
  </si>
  <si>
    <t>150 km/h (93 mph; 81 kn)</t>
  </si>
  <si>
    <t>120 km/h (75 mph; 65 kn)</t>
  </si>
  <si>
    <t>Malmö MFI-9</t>
  </si>
  <si>
    <t>The Malmö Flygindustri MFI-9 Junior was a light aircraft produced in Sweden in the 1960s. The aircraft was also produced under licence in West Germany as the Bölkow Bo 208. The BA-7 was designed by Björn Andreasson [sv] and flown by him in prototype form on 10 October 1958. He built this first plane in his spare time while working for Convair in the America. It was powered by an air-cooled Continental A-75 engine giving 56 kW (75 hp) driving a two-bladed variable-pitch propeller. The shoulder wings were forward swept to place occupants ahead of the spar for visibility.[1] In 1960 Andreasson returned to Sweden and started working at Malmö Flygindustri where he designed an improved version of the BA-7 that went into production as the MFI-9 Junior. Changes included a larger cockpit and the powerplant was now a Continental O-200-A flat-four-cylinder air-cooled piston engine giving 75 kW (100 HP). In 1963 it was followed by the MFI-9B Trainer and then the MFI-9B Mili-Trainer. The MFI-9 uses a tricycle undercarriage. Between 1963 and 1971, 210 Bölkow Bo 208s were built under licence by Bölkow Apparatebau GmbH in Laupheim, Germany. Many examples survive in private hands and are most commonly found in Germany, the United Kingdom and Scandinavia. A limited number of airworthy examples can be found in both the America and New Zealand. The most widely produced variant of the Bo 208 is the Bo 208C, which used a Continental O-200-A flat-four-cylinder air-cooled piston engine giving 75 kW (100 HP). A number of O-200 engines installed on Juniors were licence-built by Rolls-Royce in England. One variant of the MFI-9 which gained widespread fame was the MiniCOIN (an acronym for "Miniature Counter-Insurgency"), a modification of the MFI-9B military trainer variant of the MFI-9, adapted to carry weapons. The name and concept originated with Carl Gustaf von Rosen, who realized that in a low intensity conflict even a few small, minimally armed aircraft are capable of having a significant impact. Light aircraft are in any event more suitable for operation in the primitive conditions typical in such conflicts. Von Rosen was familiar with the military trainer version of the MFI-9, which was robust enough to be able to carry significant loads of ordnance suspended from hard points on the wings. A number of MFI-9Bs had been constructed in hopes of a sale to the Swedish Air Force, but when the sale fell through, the aircraft became available at a low price. So in May 1969, von Rosen formed a squadron of five MiniCOINs to fight in the Nigerian Civil War (1967–1970) on the side of the Biafrans in support of their effort to create an independent state.[2]  Von Rosen had the planes painted in camouflage colours and fitted with rockets from Matra, and proceeded with a band of friends to form a squadron called Biafra Babies to strike at the airfields from which the federal Nigerian Air Force launched their attacks against the civilian population in Biafra. On 22 May 1969, and over the next few days, Von Rosen and his five aircraft launched attacks against Nigerian airfields at Port Harcourt, Enugu, Benin and other small airports. The Nigerians were taken by surprise and a number of expensive jets, including a few MiG-17 fighters and three of Nigeria's six Ilyushin Il-28 bombers, were destroyed on the ground.[3]The pilots included Lynn Garrison among a group of other mercenaries[4] and Biafran-born pilots.[2] Lynn Garrison co-ordinated the attacks, personally destroying an Ilyushin Il-28 and a MiG-17 during the first raid on Port Harcourt. The MiniCOINs saw extensive service during most of the war, including the delivery of food aid drops. Garrison introduced a supply-dropping procedure learned in northern Canada. A bag of grain was enclosed in a larger bag before dropping; when the load hit the ground, the inner bag would rupture, while the outer bag contained the contents. Many lives were saved through air drops using this simple concept. A total of 18 were supplied.[5] Data from Jane's All The World's Aircraft 1965–66[6]General characteristics Performance   Aircraft of comparable role, configuration, and era</t>
  </si>
  <si>
    <t>//upload.wikimedia.org/wikipedia/commons/thumb/6/69/Malmo_MFI-9_Junior_%28SE-CPG%29_03.jpg/300px-Malmo_MFI-9_Junior_%28SE-CPG%29_03.jpg</t>
  </si>
  <si>
    <t>Primary trainer</t>
  </si>
  <si>
    <t>https://en.wikipedia.org/Primary trainer</t>
  </si>
  <si>
    <t>Malmö Flygindustri  Bölkow (under licence)</t>
  </si>
  <si>
    <t>https://en.wikipedia.org/Malmö Flygindustri  Bölkow (under licence)</t>
  </si>
  <si>
    <t>Björn Andreasson [sv]</t>
  </si>
  <si>
    <t>https://en.wikipedia.org/Björn Andreasson [sv]</t>
  </si>
  <si>
    <t>{'MFI-9': ' Two-seat primary trainer aircraft. 25 built.', 'Bölkow Bo 208': ' MFI-9 produced under licence by ', 'MFI-9B Trainer': ' Two-seat sports, primary trainer aircraft. 43 built.', 'Biafra Baby': ' Five MFI-9Bs armed with six ', 'MFI-9B Mili-Trainer': ' Two-seat primary trainer, light-attack aircraft. Two prototypes built. Ten aircraft leased by the '}</t>
  </si>
  <si>
    <t>https://en.wikipedia.org/Saab Safari</t>
  </si>
  <si>
    <t>5.85 m (19 ft 2 in)</t>
  </si>
  <si>
    <t>7.43 m (24 ft 5 in)</t>
  </si>
  <si>
    <t>2.00 m (6 ft 7 in)</t>
  </si>
  <si>
    <t>8.70 m2 (93.6 sq ft)</t>
  </si>
  <si>
    <t>NACA 23008.5 (mod.)</t>
  </si>
  <si>
    <t>305 km/h (190 mph, 165 kn)</t>
  </si>
  <si>
    <t>80 L (21 US gal; 18 imp gal)</t>
  </si>
  <si>
    <t>1 × Rolls-Royce/Continental O-200-A air-cooled flat-four engine, 75 kW (100 hp)</t>
  </si>
  <si>
    <t>380 km/h (236 mph, 205 kn) at sea level</t>
  </si>
  <si>
    <t>215 km/h (134 mph, 116 kn) (econ. cruise)</t>
  </si>
  <si>
    <t>4,500 m (14,800 ft)</t>
  </si>
  <si>
    <t>80 km/h (50 mph, 43 kn)</t>
  </si>
  <si>
    <t>4.3 m/s (850 ft/min)</t>
  </si>
  <si>
    <t>800 km (500 mi, 430 nmi) (with maximum payload)</t>
  </si>
  <si>
    <t>575 kg (1,268 lb)</t>
  </si>
  <si>
    <t>Kawasaki KH-4</t>
  </si>
  <si>
    <t>The Kawasaki KH-4 was a light utility helicopter produced in Japan in the 1960s as a development of the Bell 47 that Kawasaki had been building under licence since 1952. The most visible difference between the KH-4 and its forerunner was its new and enlarged cabin. This was fully enclosed (although the side doors were removable) and provided seating for three passengers side-by-side on a bench seat behind the pilot's seat. The helicopter was provided with a new control system, revised instrumentation, and larger fuel tank. A total of 211 KH-4s were built, including four that were modified from existing Bell 47Gs. The vast majority of these were bought by civil operators, although some were purchased by the military forces of Japan and Thailand.[citation needed] Data from Jane's All The World's Aircraft 1966–67[5]General characteristics Performance  Related development Aircraft of comparable role, configuration, and era</t>
  </si>
  <si>
    <t>//upload.wikimedia.org/wikipedia/commons/thumb/0/08/Kawasaki_KH-4_VH-JAJ_%28enhanced%29_%28cropped%29.jpg/300px-Kawasaki_KH-4_VH-JAJ_%28enhanced%29_%28cropped%29.jpg</t>
  </si>
  <si>
    <t>Utility helicopter</t>
  </si>
  <si>
    <t>https://en.wikipedia.org/Utility helicopter</t>
  </si>
  <si>
    <t>Kawasaki</t>
  </si>
  <si>
    <t>https://en.wikipedia.org/Kawasaki</t>
  </si>
  <si>
    <t>13.30 m (43 ft 8 in) (overall length), 9.93 m (32 ft 7 in) (fuselage length)</t>
  </si>
  <si>
    <t>2.84 m (9 ft 4 in)</t>
  </si>
  <si>
    <t>816 kg (1,799 lb)</t>
  </si>
  <si>
    <t>3 passengers</t>
  </si>
  <si>
    <t>1 × Lycoming TVO-435-B1A air-cooled six-cylinder horizontally-opposed engine, 200 kW (270 hp)</t>
  </si>
  <si>
    <t>169 km/h (105 mph, 91 kn)</t>
  </si>
  <si>
    <t>5,640 m (18,500 ft)</t>
  </si>
  <si>
    <t>Bell 47</t>
  </si>
  <si>
    <t>https://en.wikipedia.org/Bell 47</t>
  </si>
  <si>
    <t>400 km (250 mi, 220 nmi)</t>
  </si>
  <si>
    <t>1,293 kg (2,851 lb)</t>
  </si>
  <si>
    <t>4 hr 6 min</t>
  </si>
  <si>
    <t>11.32 m (37 ft 2 in)</t>
  </si>
  <si>
    <t>100.6 m2 (1,083 sq ft)</t>
  </si>
  <si>
    <t>Caudron G.3</t>
  </si>
  <si>
    <t>The Caudron G.3 was a single-engined French biplane built by Caudron, widely used in World War I as a reconnaissance aircraft and trainer. The Caudron G.3 was designed by René and Gaston Caudron as a development of their earlier Caudron G.2 for military use. It first flew in May 1914 at their Le Crotoy aerodrome.[2] The aircraft had a short crew nacelle, with a single engine in the nose of the nacelle, and an open tailboom truss. It was of sesquiplane layout, and used wing warping for lateral control, although this was replaced by conventional ailerons fitted on the upper wing in late production aircraft. Usually, the G.3 was not armed, although sometimes light machine guns and small bombs were fitted. It was ordered in large quantities following the outbreak of the First World War with the Caudron factories building 1423 of the 2450  built in France. 233 were also built in England and 166 built in Italy along with several other countries. The Caudron brothers did not charge a licensing fee for the design, as an act of patriotism.[2] It was followed in production by the Caudron G.4, which was a twin-engined development. It also has a maximum of 66 mph or 80 hp The G.3 equipped Escadrille C.11 of the French Aéronautique Militaire at the outbreak of war, and was well-suited for reconnaissance use, proving stable and having good visibility. As the war progressed, its low performance and lack of armament made it too vulnerable for front line service, and it was withdrawn from front line operations in mid-1916.[2] The Italians also used the G.3 for reconnaissance on a wide scale until 1917, as did the British RFC (continuing operations until October 1917), who fitted some with light bombs and machine guns for ground attack.[2] The Australian Flying Corps operated the G.3 during the Mesopotamian campaign of 1915–16. It continued in use as a trainer until well after the end of the war. Chinese Fengtian clique warlord Caudron G.3s remained in service as trainers until the Mukden Incident of 1931, when many were captured by the Japanese. In 1921 Adrienne Bolland, a French test pilot working for Caudron, made the first crossing of the Andes by a woman, flying between Argentina and Chile in a G.3. Most G.3s were the A2 model, used by various airforces for artillery spotting on the Western front, in Russia and in the Middle East. The G.3 D2 was a two-seat trainer, equipped with dual controls and the E2 was a basic trainer. The R1 version (rouleur or roller) was used by France and the America Air Service for taxi training, with the wing trimmed down to prevent its becoming airborne. The last version, the G.3. L2, was equipped with a more powerful 100 hp (75 kW) Anzani 10 radial engine. In Germany, Gotha built a few copies of the G.3 as the Gotha LD.3 and Gotha LD.4 (Land Doppeldecker – "Land Biplane"). Few Caudron G.3s survived and most of them are displayed in museums: - one restored as s/n 324 at the Musée de l'Air et de l'Espace, Paris, - one restored as s/n 2531 at the Royal Museum of the Armed Forces, Brussels, - one restored as 1E18 at the Hallinportti Aviation Museum in Finland, - one restored as 3066, at the RAF Museum Hendon, - one restored at the Museu Aeroespacial of Rio de Janeiro, - one rebuilt from original parts displayed in the Museum of Maracaï in Venezuela. including. One Caudron G.3 is part of a private collection in France but unrestored. A Caudron G.3 replica is part of the rotary engined contingent of accurately-built vintage aircraft reproductions, at the Old Rhinebeck Aerodrome living aviation museum, in Rhinebeck, New York.[3] In France, a replica is currently airworthy at La Ferté Alais, powered by a Walter radial engine. As of 2017, another airworthy replica of the G.3 was introduced to the collections of the Aviation Museum of Metoděj Vlach in Mladá Boleslav, the Czech Republic. Though a replica  visually accurate in dimensions and appearance, it was built on an ultralight basis. The project development began in 2009, and the replica was closely based on a Caudron G.3 displayed in the Musée de l’air et de l’espace in Le Bourget, Paris.[4][5] Data from Suomen ilmavoimien lentokoneet 1918-1939[12]General characteristics Performance Armament  Related development</t>
  </si>
  <si>
    <t>//upload.wikimedia.org/wikipedia/commons/thumb/1/14/Gervais-Courtellemont_franz%C3%B6sisches_Kampfflugzeug_1914_001.jpg/300px-Gervais-Courtellemont_franz%C3%B6sisches_Kampfflugzeug_1914_001.jpg</t>
  </si>
  <si>
    <t>Caudron</t>
  </si>
  <si>
    <t>https://en.wikipedia.org/Caudron</t>
  </si>
  <si>
    <t>Late 1913[1]</t>
  </si>
  <si>
    <t>{'A2': 'odel, used by various airforces for artillery spotting on the Western front, in Russia and in the Middle East. The G.3 ', 'D2': 'as a two-seat trainer, equipped with dual controls and the ', 'E2': 'as a basic trainer. The ', 'R1': 'ersion (rouleur or roller) was used by France and the ', 'G.3. L2': 'was equipped with a more powerful 100\xa0hp (75\xa0kW) ', 'Gotha LD.3': 'nd ', 'Gotha LD.4': ''}</t>
  </si>
  <si>
    <t>6.4 m (21 ft 0 in)</t>
  </si>
  <si>
    <t>13.4 m (44 ft 0 in)</t>
  </si>
  <si>
    <t>2.5 m (8 ft 2 in)</t>
  </si>
  <si>
    <t>27 m2 (290 sq ft)</t>
  </si>
  <si>
    <t>420 kg (926 lb)</t>
  </si>
  <si>
    <t>1914[1]</t>
  </si>
  <si>
    <t>Aéronautique MilitaireUS Army Air ServiceFinnish Air ForcePolish Air Force</t>
  </si>
  <si>
    <t>https://en.wikipedia.org/Aéronautique MilitaireUS Army Air ServiceFinnish Air ForcePolish Air Force</t>
  </si>
  <si>
    <t>1 × Le Rhône 9C 9-cylinder air-cooled rotary piston engine, 60 kW (80 hp)</t>
  </si>
  <si>
    <t>106 km/h (66 mph, 57 kn)</t>
  </si>
  <si>
    <t>4,300 m (14,100 ft) [2]</t>
  </si>
  <si>
    <t>Caudron G.2</t>
  </si>
  <si>
    <t>https://en.wikipedia.org/Caudron G.2</t>
  </si>
  <si>
    <t>710 kg (1,565 lb)</t>
  </si>
  <si>
    <t>4 hours</t>
  </si>
  <si>
    <t>One light machine gun (optional)</t>
  </si>
  <si>
    <t>hand released bombs (optional)</t>
  </si>
  <si>
    <t>Supermarine Type 224</t>
  </si>
  <si>
    <t>The Supermarine Type 224 was an inverted gull-wing monoplane fighter aircraft designed by R.J. Mitchell at Supermarine in response to Air Ministry Specification F.7/30, which sought a fighter for introduction to succeed the Gloster Gauntlet. It was powered by the Rolls-Royce Goshawk engine, which used an experimental evaporative cooling system, and problems with this system, combined with its disappointing performance, led to it being rejected, a contract for production aircraft eventually going to the Gloster Gladiator. It is nevertheless notable because R.J. Mitchell learnt lessons from its failure that were to contribute greatly to his success with the Supermarine Spitfire. Specification F.7/30, which was formally issued to the aircraft industry in October 1931, called for an all-metal day and night fighter armed with four machine guns, a high top speed and rate of climb, and a landing speed of less than 60 mph. The importance of a good view from the cockpit was made clear. Although the use of any power plant was permitted, the Air Ministry did express a preference for the evaporatively cooled Rolls-Royce Goshawk then being developed. Of the many proposals submitted by manufacturers, three were selected for official development as prototypes, the Supermarine 224 among them. In addition, privately funded submissions for the competition were encouraged. R. J. Mitchell, Supermarine's designer, came up with a clean-looking inverted gull-wing monoplane with a fixed undercarriage powered by the 600 hp Goshawk II. The gull wing configuration was chosen in order to shorten the undercarriage legs and so reduce drag, but since this configuration was known to be liable to produce problems with lateral stability an extensive programme of wind-tunnel testing using models was carried out before arriving at the final design. These tests also revealed a lack of directional stability: Mitchell accordingly enlarged the fin area. The cockpit was open, and further wind-tunnel tests were also carried out on a full-size model of the cockpit area to ensure that the pilot would not be subjected to undue buffeting. The fuselage was of monocoque construction, with one pair of guns mounted either side of the cockpit and the other pair in the 'trouser' fairings of the undercarriage. The wing was of unusual construction, having a single main spar, forward of which  the condensers of the engine cooling system formed the entire leading edge of the wing, the combination of the two producing a 'D-box' spar of great torsional rigidity. Behind the main spar the wing was fabric-covered. The evaporative cooling system used by the Goshawk involved allowing the cooling water to reach a temperature greater than 100 °C without boiling by keeping it under pressure while circulating through the engine: this superheated water was then allowed to boil off by releasing the pressure, the resulting steam then being cooled in a condenser, collected as water and then recirculated through the engine. The system had been experimentally flown in other aircraft, but these were all biplanes, and the condensers and collector tank for the condensed water were all mounted in the upper wing. In the Type 224 the collector tanks were in the undercarriage fairings, and, as the condensed water was nearly at boiling point, it was liable to turn to steam under any slight change of pressure; this frequently occurred in the water pumps and would cause them to stop working.[2] The Type 224 first flew on 19 February 1934, piloted by "Mutt" Summers.[3] Its performance was disappointing: maximum speed was 228 mph (367 km/h) and it took 9.5 minutes to climb to 15,000 ft (4,600 m), well below the predicted performance of a 245 mph (394 km/h) speed and climb to 15,000 ft (4,600 m) in 6.6 min.[4] The aircraft which was chosen for production, the radial-engined Gloster Gladiator, was a late entrant to the F.7/30 competition, making its first flight on 12 September 1934 and was a rapidly undertaken development of the aircraft the competition was intended to provide a replacement for. However, Mitchell was already in discussions about a number of improvements - these included a new wing, tailplane, and engine arrangements - which would give it a top speed of 265 mph (426 km/h). The Ministry felt that, as eight rather than four guns would be needed, a wholly new aircraft, rather than a modification of the Type 224, was called for.[1] In 1933, Supermarine had asked the Air Ministry for the name "Spitfire" to be reserved for it.[1] The Type 224 ended its career as a target on a firing range at Orford Ness, Suffolk in summer 1937.[5] Data from Supermarine Aircraft since 1914.[6]General characteristics Performance Armament   Aircraft of comparable role, configuration, and era</t>
  </si>
  <si>
    <t>//upload.wikimedia.org/wikipedia/commons/thumb/8/8c/Supermarine_224.JPG/300px-Supermarine_224.JPG</t>
  </si>
  <si>
    <t>R. J. Mitchell</t>
  </si>
  <si>
    <t>https://en.wikipedia.org/R. J. Mitchell</t>
  </si>
  <si>
    <t>19 February 1934[1]</t>
  </si>
  <si>
    <t>29 ft 5+1⁄4 in (8.973 m)</t>
  </si>
  <si>
    <t>45 ft 10 in (13.97 m)</t>
  </si>
  <si>
    <t>295 sq ft (27.4 m2)</t>
  </si>
  <si>
    <t>3,422 lb (1,552 kg)</t>
  </si>
  <si>
    <t>4,743 lb (2,151 kg)</t>
  </si>
  <si>
    <t>1 × Rolls-Royce Goshawk II V-12 evaporative/steam cooled piston engine, 600 hp (450 kW)</t>
  </si>
  <si>
    <t>228 mph (367 km/h, 198 kn) at 15,000 ft (4,572 m)</t>
  </si>
  <si>
    <t>38,800 ft (11,800 m) Absolute ceiling</t>
  </si>
  <si>
    <t>15,000 ft (4,572 m) in 9 minutes 30 seconds</t>
  </si>
  <si>
    <t>4× 0.303 in (7.7 mm) Vickers Mk IV machine-guns</t>
  </si>
  <si>
    <t>Northrop N-1M</t>
  </si>
  <si>
    <t>The Northrop N-1M (Northrop Model 1 Mockup),[1] also known by the nickname "Jeep",[1] is a retired American experimental aircraft used in the development of the flying wing concept by Northrop Aircraft during the 1940s. Jack Northrop became involved with all-wing aircraft designs in the late-1920s, with his first Flying Wing being built in the 1928–1930 time period. That first prototype, the 1929 Flying Wing X-216H, evolved from earlier design studies. The X-216H had twin rudders with a single horizontal stabilizer running between them; both rudders were connected by twin booms to the thick, all-wing blended fuselage. The aircraft had an open cockpit in the center wing section and single, rear-facing, pusher propeller connected to a piston engine blended into the all-wing shape. The X-216H was first test flown in 1929 with Edward Bellande at the controls;[2] the aircraft displayed adequate performance and was noted for its unique all-metal stressed skin and multi-cellular construction. At about this same time, Jack Northrop became aware of Walter and Reimar Horten's prewar record-setting "tailless" flying wing glider designs being tested in Germany beginning in 1934.[3] The N-1M was one of a progression of experimental aircraft that further developed Northrop's all-wing concept. The aircraft was produced in the America and was developed during 1939 and 1940 as a flying testbed for the purpose of proving Jack Northrop's vision of a practical Flying Wing. Built mostly of specially laminated layers of glued wood, the design of both wooden wings allowed for easy configuration changes with the central blended fuselage, which was made of tubular steel. The aircraft first flew on 3 July 1941 at Baker Dry Lake in California.[4][N 1] Northrop's Chief Test Pilot Vance Breese flew the N-1M on its maiden flight, unexpectedly bouncing into the air during a planned high-speed taxi run. He reported that the aircraft could fly no higher than five feet. Flight could only be sustained by maintaining a precise angle of attack, but Theodore von Kármán solved the problem by making adjustments to the trailing edges of the elevons. Control of the aircraft was achieved through the use of a system of elevons and wingtip rudders. The elevons served in tailless type aircraft both as elevators and ailerons, while split flaps on the downward angled wingtips took the place of a conventional rudder; they were later straightened after that angle proved unnecessary during flight testing.[5] The flight test program continued with Moye W. Stephens, Northrop Test Pilot and Secretary to the Northrop Corporation, serving as a test pilot. Early tests showed the N-1M to be satisfactory in stability and control, but overweight and underpowered. The aircraft's two 65-horsepower (48 kW) Lycoming O-145 four-cylinder engines (buried in the wing to reduce drag) were replaced by two 120-horsepower (89 kW) six-cylinder 6AC264F2 air-cooled Franklin engines. By November 1941, after 28 flights, Stephens reported that when attempting to move the N-1M about its vertical axis, the aircraft had a tendency to "Dutch roll." The oscillations proved to be manageable when adjustments were made to the aircraft's wing configuration.[5] The N-1M proved to be basically sound, paving the way for Northrop's later and much larger Northrop YB-35 and YB-49 aircraft. The aircraft was donated to the America Army Air Forces in 1945 and was placed in the storage collection of the National Air Museum the following year. It sat there for nearly three decades, but was brought back to static, non-flying status, in its final flight configuration, after several years of restoration during the 1980s. The N-1M is now on public display at the National Air and Space Museum's Steven F. Udvar-Hazy Center.[5] Data from American X&amp;Y Planes[5]General characteristics Performance  Related development</t>
  </si>
  <si>
    <t>//upload.wikimedia.org/wikipedia/commons/thumb/b/bb/Northrop_N1M.jpg/300px-Northrop_N1M.jpg</t>
  </si>
  <si>
    <t>Flying wing</t>
  </si>
  <si>
    <t>https://en.wikipedia.org/Flying wing</t>
  </si>
  <si>
    <t>https://en.wikipedia.org/Northrop N-9M</t>
  </si>
  <si>
    <t>17 ft 11 in (5.46 m)</t>
  </si>
  <si>
    <t>38 ft 8 in (11.79 m)</t>
  </si>
  <si>
    <t>4 ft 11 in (1.50 m)</t>
  </si>
  <si>
    <t>350 sq ft (33 m2) (approx)</t>
  </si>
  <si>
    <t>3,900 lb (1,769 kg)</t>
  </si>
  <si>
    <t>https://en.wikipedia.org/1945</t>
  </si>
  <si>
    <t>2 × Franklin 6AC-264F2 six-cylinder air-cooled horizontally opposed piston engines, 117 hp (87 kW)  each (after reengining) [1]</t>
  </si>
  <si>
    <t>4,000 ft (1,200 m)</t>
  </si>
  <si>
    <t>Northrop N-1</t>
  </si>
  <si>
    <t>https://en.wikipedia.org/Northrop N-1</t>
  </si>
  <si>
    <t>300 mi (480 km, 260 nmi)</t>
  </si>
  <si>
    <t>North American XF-108 Rapier</t>
  </si>
  <si>
    <t>The North American XF-108 Rapier was a proposed long-range, high-speed interceptor aircraft designed by North American Aviation intended to defend the America  from supersonic Soviet strategic bombers. The aircraft would have cruised at speeds around Mach 3 (3,200 km/h; 2,000 mph) with an unrefueled combat radius over 1,000 nautical miles (1,900 km; 1,200 mi), and was equipped with radar and missiles offering engagement ranges up to 100 miles (160 km) against bomber-sized targets. To limit development costs, the program shared engine development with the North American XB-70 Valkyrie strategic bomber program, and used a number of elements of earlier interceptor projects. The program had progressed only as far as the construction of a single wooden mockup when it was cancelled in 1959, due to a shortage of funds and the Soviets' adoption of ballistic missiles as their primary means of nuclear attack. Had it flown, the F-108 would have been the heaviest fighter of its era. Prior to the project's cancellation, U.S. President Dwight D. Eisenhower noted that raising the F-108 interceptor force would have cost the U.S. taxpayer $4 billion (equivalent to $36 billion today).[1] During the early 1950s, the USAF proposed a very high-performance, long-range interceptor. On 20 July 1955, formal development of what became known as the Long-Range Interceptor, Experimental (LRI-X) was approved, planned as an F-102 Delta Dagger/F-106 Delta Dart replacement.[2] The specification was laid down on 6 October 1955, calling for an interceptor that could fly at 60,000 ft (18,000 m) at a speed of Mach 1.7 (1,122 mph (1,806 km/h), with a range of 1,000 miles (1,600 km).[2] It was to have a two-man crew and at least two engines.[2] A further consideration was that an integrated fire-control system would be fitted, allowing the interception of a bomber at 60 nmi (110 km) and three targets to be destroyed during a single mission.[3] Of the eight interested companies, contracts for preliminary studies were issued to North American Aviation, Lockheed and Northrop on 11 October 1955, five days after the specification's release.[2] Of the paper designs, the North American proposal, dubbed "NA-236", seemed the most promising. The NA-236 shared some similarities with the XF-108, although the most obvious differences were the additions of two finlets at the midspan of the horizontal stabilizers, and canards.[4] Political and budgetary difficulties led to the cancellation of the program on 9 May 1956. After considerable confusion, the program was reinstated on 11 April 1957 with North American awarded a contract for two prototypes. The designation F-108 was issued, also known as "Weapon System 202A" (WS-202A). North American's company designation was "NA-257", although it was basically identical to the NA-236. At the time, Air Defense Command anticipated an order for 480 aircraft.[5] The resulting design went through considerable evolution, owing to both its cutting-edge technology and continual redefinition of the USAF requirements. Early revisions prominently featured canards, with a span of 19 feet 10 inches (6.05 m), and a wing of 53.5° sweep.[6] The aircraft in this configuration would have had a maximum takeoff weight of 99,400 pounds (45,100 kg) with a 72,550-foot (22,110 m) operational ceiling.[6] In addition to the F-108's interceptor role, North American proposed it as a penetration fighter to aid its own B-70 Valkyrie supersonic bomber prototype.[7] Commonality between the B-70 bomber and the F-108 included the escape capsule and General Electric YJ93 engines. Another role considered was for the F-108 to be "gap-fillers" for the Distant Early Warning (DEW) system; because of its great speed, the F-108 could have scanned up to 278,000 square miles (720,000 km2) per hour.[8] From September 1958, substantial engineering and design changes were implemented; however, SAC had lost interest in the escort fighter concept. To accompany the B-70 all the way to its target and back, the F-108 in its initial concept would have, at best, marginal range.[9] On 30 December 1958, YF-108A preproduction aircraft on order were reduced from 31 to 20 test aircraft and the first test flight was delayed from February to April 1961.[10] The eventual design, which was built as a full-sized XF-108 mockup, was displayed to Air Force officials on 17–20 January 1959.[9] The project was given the name "Rapier" on 15 May 1959, following a contest by the Air Defense Command asking airmen for suggestions.[10] Even as the XF-108 program was progressing well, there were signs that would ultimately lead to its eventual cancellation. Unconfirmed Soviet bomber threats, the overwhelming trend toward offensive and defensive nuclear missiles in the late 1950s and early 1960s, as well as rising costs, contributed to the termination of the XF-108.[8][11] The cancellation was announced on 23 September 1959.[8] North American continued refining the design through 1960 in hopes that the program might be revived.[12] Despite the extra money and time spent on the Rapier, it was not wholly in vain; the North American A-5 Vigilante supersonic carrier-based nuclear strike bomber developed for the U.S. Navy, which was later modified into a carrier-based reconnaissance aircraft, retained the fuselage/weapon package and systems design of the Rapier. In many ways the Vigilante could be seen as the successful application of the Rapier design principles in a Mach 2 supersonic design.[13] Hughes Aircraft would continue the development of the advanced fire control system and the GAR-9 missile.[N 1] Development of the F-108 radar and missiles was continued by the USAF and the system was eventually used in the Lockheed YF-12 program.[14] The final configuration for the rear cockpit in the YF-12A looked similar to that of the F-108 since it incorporated the same displays and controls required for the Hughes AN/ASG-18 fire control system.[15] The initial F-108 configuration featured a very large "cranked" delta wing. There were fixed ventral stabilizers on the wings, mounted at mid-span, and a tall all-moving vertical tailfin, supplemented by two ventral stabilizers that extended when the landing gear retracted. Although some earlier versions of the design had separate tailplanes or forward canards, both were abandoned in the final design.[16] The large fuselage and wing had two and five fuel tanks, respectively, giving an estimated combat radius of some 1,100 nautical miles (2,000 km).[6] Top speed was estimated at 1,980 miles per hour (3,190 km/h), about Mach 3, at 81,800 feet (24,900 m).[5] The aircraft was powered by two General Electric J93 turbojet engines, also used in North American's XB-70 Valkyrie bomber, in the fuselage.[17] The F-108 was intended to carry the Hughes AN/ASG-18 radar, the U.S.'s first pulse-Doppler radar set.[18] It was to have look-down/shoot-down capability, but could track only one target at a time. The radar was paired with an infra-red search and tracking (IRST) system on the wing leading edges. The radar was used to guide the Hughes GAR-9 (later redesignated AIM-47) air-to-air missile, three of which would be carried on a rotary launcher in an internal weapons bay.[8] The GAR-9 was a very large, long-range weapon with its own radar set for terminal homing. It was intended to fly at Mach 6, with a range of almost 112 miles (180 km).[19] As part of WS-202A, a design for a high-speed (Mach 3+) aerial target for use in testing the F-108's weapons system was proposed. The Wright Air Development Center requested the designation XQ-11 for the target design; the request was denied due to the early stage of development, and the F-108 program was cancelled before further work was undertaken.[20] Data from National Museum of the America Air Force[7] and U.S. Standard Aircraft Characteristics[21]General characteristics Performance Armament Avionics  Related development Aircraft of comparable role, configuration, and era  Related lists</t>
  </si>
  <si>
    <t>//upload.wikimedia.org/wikipedia/commons/thumb/5/5e/F-108-8x.png/300px-F-108-8x.png</t>
  </si>
  <si>
    <t>Interceptor aircraft</t>
  </si>
  <si>
    <t>https://en.wikipedia.org/Interceptor aircraft</t>
  </si>
  <si>
    <t>North American Aviation</t>
  </si>
  <si>
    <t>https://en.wikipedia.org/North American Aviation</t>
  </si>
  <si>
    <t>One mockup</t>
  </si>
  <si>
    <t>89 ft 2 in (27.2 m)</t>
  </si>
  <si>
    <t>57 ft 5 in (17.5 m)</t>
  </si>
  <si>
    <t>22 ft 1 in (6.7 m)</t>
  </si>
  <si>
    <t>1,865 sq ft (173.4 m2)</t>
  </si>
  <si>
    <t>50,907 lb (23,098 kg)</t>
  </si>
  <si>
    <t>76,118 lb (34,527 kg)</t>
  </si>
  <si>
    <t>40.8 lb/sq ft (199.2 kg/m2)</t>
  </si>
  <si>
    <t>2 × General Electric J93-GE-3AR afterburning turbojet, 20,900 lbf (93 kN) thrust each dry, 29,300 lbf (130 kN) with afterburner</t>
  </si>
  <si>
    <t>1,980 mph (3,190 km/h, 1,721 kn)</t>
  </si>
  <si>
    <t>80,100 ft (24,400 m)</t>
  </si>
  <si>
    <t>America Air Force (intended)</t>
  </si>
  <si>
    <t>https://en.wikipedia.org/America Air Force (intended)</t>
  </si>
  <si>
    <t>105 mph (169 km/h, 91 kn)</t>
  </si>
  <si>
    <t>45,000 ft/min (230 m/s)</t>
  </si>
  <si>
    <t>Cancelled (1959)</t>
  </si>
  <si>
    <t>102,533 lb (46,508 kg)</t>
  </si>
  <si>
    <t>1,162 mi (1,870 km, 1,010 nmi)</t>
  </si>
  <si>
    <t>2,487 mi (4,002 km, 2,161 nmi)</t>
  </si>
  <si>
    <t>3 × Hughes GAR-9A air-to-air missiles in a rotary weapons bay</t>
  </si>
  <si>
    <t>Stinson Airliner</t>
  </si>
  <si>
    <t>The Stinson SM-6000 Airliner was a 1930s three-engined (trimotor) ten-passenger airliner designed and built by the Stinson Aircraft Corporation. The SM-6000 was a high-wing braced monoplane with room for a pilot and a cabin for ten passengers. It was powered by three 215 hp (160 kW) Lycoming R-680 engines strut-mounted one each side above the main landing gear units and one in the nose. A number of variants were built mainly with improved interiors. In 1932 the Model U Airliner was produced which had low-set stub wings with an engine mounted at each wingtip. Only two of these high-wing models are known to exist.  One is owned and operated by Mid America Flight Museum in Mount Pleasant, TX, the other by Kermit Weeks and is maintained in airworthy condition at Fantasy of Flight in Polk City, Florida. [3] Data from [4][5]General characteristics Performance       Media related to Stinson SM-6000 at Wikimedia Commons</t>
  </si>
  <si>
    <t>//upload.wikimedia.org/wikipedia/commons/thumb/2/28/Stinson_SM-6000B.jpg/300px-Stinson_SM-6000B.jpg</t>
  </si>
  <si>
    <t>Three-engined airliner</t>
  </si>
  <si>
    <t>Stinson Aircraft Corporation</t>
  </si>
  <si>
    <t>https://en.wikipedia.org/Stinson Aircraft Corporation</t>
  </si>
  <si>
    <t>53 (SM-6000)24 (Model U)[1]</t>
  </si>
  <si>
    <t>42 ft 0 in (12.8 m)</t>
  </si>
  <si>
    <t>60 ft 0 in (18.29 m)</t>
  </si>
  <si>
    <t>12 ft 0 in (3.66 m)</t>
  </si>
  <si>
    <t>490 sq ft (45.6 m2)</t>
  </si>
  <si>
    <t>5,670 lb (2,620 kg)</t>
  </si>
  <si>
    <t>8,600 lb (3,910 kg)</t>
  </si>
  <si>
    <t>ten (B1), eight (B2)</t>
  </si>
  <si>
    <t>3 × Lycoming R-680 , 215 hp (160 kW)  each</t>
  </si>
  <si>
    <t>146 mph (234 km/h, 127 kn)</t>
  </si>
  <si>
    <t>125 mph (200 km/h, 109 kn)</t>
  </si>
  <si>
    <t>14,200 ft (4,330 m)</t>
  </si>
  <si>
    <t>1,000 ft/min (5.1 m/s)</t>
  </si>
  <si>
    <t>390 mi (628 km, 340 nmi)</t>
  </si>
  <si>
    <t>Wide-body aircraft</t>
  </si>
  <si>
    <t>A wide-body aircraft, also known as a twin-aisle aircraft, is an airliner with a fuselage wide enough to accommodate two passenger aisles with seven or more seats abreast.[1]  The typical fuselage diameter is 5 to 6 m (16 to 20 ft).[2] In the typical wide-body economy cabin, passengers are seated seven to ten abreast,[3] allowing a total capacity of 200 to 850[4] passengers. The largest wide-body aircraft are over 6 m (20 ft) wide, and can accommodate up to eleven passengers abreast in high-density configurations. By comparison, a typical narrow-body airliner has a diameter of 3 to 4 m (10 to 13 ft), with a single aisle,[1][5] and seats between two and six people abreast.[6] Wide-body aircraft were originally designed for a combination of efficiency and passenger comfort and to increase the amount of cargo space. However, airlines quickly gave in to economic factors, and reduced the extra passenger space in order to maximize revenue and profits.[7] Wide-body aircraft are also used for the transport of commercial freight and cargo[8] and other special uses, described further below. The term jumbo jet usually refers to the largest wide-body airliners due to their very large size; examples include the Boeing 747 (the first wide-body and original "jumbo jet"), Airbus A380 ("superjumbo jet"), and Boeing 777X ("mini jumbo jet").[9][10] The phrase "jumbo jet" derives from Jumbo, a circus elephant in the 19th century.[11][12] Seven-abreast aircraft typically seat 160 to 260 passengers, eight-abreast 250 to 380, nine- and ten-abreast 350 to 480.[13] By the end of 2017, nearly 8,800 wide-body airplanes had been delivered since 1969, peaking at 412 in 2015.[14] Following the success of the Boeing 707 and Douglas DC-8 in the late 1950s and early 1960s, airlines began seeking larger aircraft to meet the rising global demand for air travel. Engineers were faced with many challenges as airlines demanded more passenger seats per aircraft, longer ranges and lower operating costs. Early jet aircraft such as the 707 and DC-8 seated passengers along either side of a single aisle, with no more than six seats per row. Larger aircraft would have to be longer, higher (such as a double-deck), or wider in order to accommodate a greater number of passenger seats. Engineers realized having two decks created difficulties in meeting emergency evacuation regulations with the technology available at that time. During the 1960s, it was also believed that supersonic airliners would succeed larger, slower planes. Thus, it was believed that most subsonic aircraft would become obsolete for passenger travel and would be eventually converted to freighters. As a result, airline manufacturers opted for a wider fuselage rather than a taller one (the 747, and eventually the DC-10 and L-1011). By adding a second aisle, the wider aircraft could accommodate as many as 10 seats across, but could also be easily converted to a freighter and carry two eight-by-eight freight pallets abreast.[15] The engineers also opted for creating "stretched" versions of the DC-8 (61, 62 and 63 models), as well as longer versions of Boeing's 707 (-320B and 320C models) and 727 (-200 model); and Douglas' DC-9 (-30, -40, and -50 models), all of which were capable of accommodating more seats than their shorter predecessor versions. The wide-body age began in 1970 with the entry into service of the first wide-body airliner, the four-engined, partial double-deck Boeing 747.[16]  New trijet wide-body aircraft soon followed, including the McDonnell Douglas DC-10 and the Lockheed L-1011 TriStar. The first wide-body twinjet, the Airbus A300, entered service in 1974. This period came to be known as the "wide-body wars".[17] L-1011 TriStars were demonstrated in the USSR in 1974, as Lockheed sought to sell the aircraft to Aeroflot.[18][19] However, in 1976 the Soviet Union launched its own first four-engined wide-body, the Ilyushin Il-86.[20] After the success of the early wide-body aircraft, several subsequent designs came to market over the next two decades, including the Boeing 767 and 777, the Airbus A330 and A340, and the McDonnell Douglas MD-11.  In the "jumbo" category, the capacity of the Boeing 747 was not surpassed until October 2007, when the Airbus A380 entered commercial service with the nickname "Superjumbo".[21] Both the Boeing 747 and Airbus A380 "jumbo jets" have four engines each (quad-jets), but the upcoming Boeing 777X ("mini jumbo jet") is a twinjet.[9][10] In the mid-2000s, rising oil costs in a post-9/11 climate caused airlines to look towards newer, more fuel-efficient aircraft.  Two such examples are the Boeing 787 Dreamliner and Airbus A350 XWB. The proposed Comac C929 and C939 may also share this new wide-body market. The production of the large Boeing 747-8 and Airbus A380 four-engine, long-haul jets is coming to an end as airlines are now preferring the smaller, more efficient A350, 787 and 777 twin-engine, long-range airliners.[22] Although wide-body aircraft have larger frontal areas (and thus greater form drag) than narrow-body aircraft of similar capacity, they have several advantages over their narrow-body counterparts, such as: British and Russian designers had proposed wide-body aircraft similar in configuration to the Vickers VC10 and Douglas DC-9, but with a wide-body fuselage. The British Three-Eleven project never left the drawing board, while the Russian Il-86 wide-body proposal eventually gave way to a more conventional wing-mounted engine design, most likely due to the inefficiencies of mounting such large engines on the aft fuselage. As jet engine power and reliability have increased over the last decades, most of the wide-body aircraft built today have only two engines.  A twinjet design is more fuel-efficient than a trijet or quadjet of similar size.[citation needed]  The increased reliability of modern jet engines also allows aircraft to meet the ETOPS certification standard, which calculates reasonable safety margins for flights across oceans. The trijet design was dismissed due to higher maintenance and fuel costs compared to a twinjet.[citation needed] Most modern wide-body aircraft have two engines, although the heaviest wide-body aircraft are built with four engines: the Airbus A380, Boeing 747-8. The upcoming Boeing 777X-9 twinjet is approaching the capacity of the earlier Boeing 747.[9][10] The Boeing 777 twinjet features the most powerful jet engine, the General Electric GE90.[24] The early variants have a fan diameter of 312 centimetres (123 in), and the larger GE90-115B has a fan diameter of 325 centimetres (128 in).[25] This is almost as wide as the 3.30 metres (130 in) Fokker 100 fuselage. Complete GE90 engines can only be ferried by outsize cargo aircraft such as the Antonov An-124, presenting logistics problems if a 777 is stranded in a place due to emergency diversions without the proper spare parts. If the fan is removed from the core, then the engines may be shipped on a Boeing 747 Freighter.[26] The General Electric GE9X, powering the Boeing 777X, is wider than the GE90 by 15 centimetres (6 in). The 560 tonnes (1,230,000 lb) maximum takeoff weight of the Airbus A380 would not have been possible without the engine technology developed for the Boeing 777 such as contra-rotating spools.[27]  Its Trent 900 engine has a fan diameter of 290 centimetres (116 in), slightly smaller than the GE90 engines on the Boeing 777. The Trent 900 is designed to fit into a Boeing 747-400F freighter for easier transport by air cargo.[28] The interiors of aircraft, known as the aircraft cabin, have been undergoing evolution since the first passenger aircraft. Today, between one and four classes of travel are available on wide-body aircraft. Bar and lounge areas which were once installed on wide-body aircraft have mostly disappeared, but a few have returned in first class or business class on the Airbus A340-600,[29] Boeing 777-300ER,[30] and on the Airbus A380.[31] Emirates has installed showers for first-class passengers on the A380; twenty-five minutes are allotted for use of the room, and the shower operates for a maximum of five minutes.[32][33] Depending on how the airline configures the aircraft, the size and seat pitch of the airline seats will vary significantly.[34] For example, aircraft scheduled for shorter flights are often configured at a higher seat density than long-haul aircraft. Due to current economic pressures on the airline industry, high seating densities in the economy class cabin are likely to continue.[35] In some of the largest single-deck wide-body aircraft, such as the Boeing 777, the extra space above the cabin is used for crew rest areas and galley storage. A comparison of interior cabin widths and economy class seating layouts is shown below under wide-body specifications. Further information can be found under external links. The economy class cabin of an Airbus A350 The business class cabin on an A350. Cathay Pacific's First Class cabin on board a Boeing 747-400 Aircraft are categorized by ICAO according to the wake turbulence they produce. Because wake turbulence is generally related to the weight of an aircraft, these categories are based on one of four weight categories:[36]  light, medium, heavy, and super.[37] Due to their weight, all current wide-body aircraft are categorized as "heavy", or in the case of the A380 in U.S. airspace, "super". The wake-turbulence category also is used to guide the separation of aircraft.[38] Super- and heavy-category aircraft require greater separation behind them than those in other categories. In some countries, such as the America, it is a requirement to suffix the aircraft's call sign with the word heavy (or super) when communicating with air traffic control in certain areas. Wide-body aircraft are used in science, research, and the military.  Some wide-body aircraft are used as flying command posts by the military like the Ilyushin Il-80[citation needed] or the Boeing E-4, while the Boeing E-767 is used for Airborne Early Warning and Control. New military weapons are tested aboard wide-bodies, as in the laser weapons testing on the Boeing YAL-1. Other wide-body aircraft are used as flying research stations, such as the joint German–U.S. Stratospheric Observatory for Infrared Astronomy (SOFIA). Airbus A340,[39] Airbus A380,[40] and Boeing 747[41] four-engine wide-body aircraft are used to test new generations of aircraft engines in flight. A few aircraft have also been converted for aerial firefighting, such as the DC-10-based[42] Tanker 910 and the 747-based Evergreen Supertanker.[43] Some wide-body aircraft are used as VIP transport. Canada uses the Airbus A310, while Russia use the Ilyushin Il-96, to transport those holding the highest offices. Germany replaced their Airbus A310 with an Airbus A340 in spring 2011. Specially-modified Boeing 747-200s (Boeing VC-25s) are used to ferry the President of the America. Some wide-body aircraft have been modified to enable transport of especially large cargo. Examples include the Airbus Beluga, Airbus Beluga XL, and the Boeing Dreamlifter. Two specially modified Boeing 747s were used to transport the U.S. Space Shuttle, while the Antonov An-225 was initially built to carry the Buran.</t>
  </si>
  <si>
    <t>AEG DJ.I</t>
  </si>
  <si>
    <t>The AEG DJ.I was a highly streamlined biplane ground attack aircraft of late World War I that was undergoing evaluation at the time of the Armistice.[1] The single seat attack biplane, which began evaluation in September 1918, carried a pair of 7.92 mm (.312 in) "Spandau"-type machine guns and a light bomb load. The design featured aluminium fuselage coverings, I-type interplane struts with no flying or landing wires, and protective armour.[1] Data from German Aircraft of the First World War[1]General characteristics Performance Armament   Aircraft of comparable role, configuration, and era  Related lists</t>
  </si>
  <si>
    <t>Armoured ground attack</t>
  </si>
  <si>
    <t>AEG[1]</t>
  </si>
  <si>
    <t>https://en.wikipedia.org/AEG[1]</t>
  </si>
  <si>
    <t>September 1918[1]</t>
  </si>
  <si>
    <t>6.69 m (21 ft 11 in)</t>
  </si>
  <si>
    <t>3 m (9 ft 10 in)</t>
  </si>
  <si>
    <t>1,185 kg (2,612 lb)</t>
  </si>
  <si>
    <t>1 × Benz Bz.IIIb V-8 water-cooled piston engine, 145 kW (194 hp)</t>
  </si>
  <si>
    <t>4.167 m/s (820.3 ft/min)</t>
  </si>
  <si>
    <t>1,000m (3,281ft) in 4min</t>
  </si>
  <si>
    <t>* 2 × forward-firing 7.92 mm (.312 in) LMG 08/15 Spandau machine guns</t>
  </si>
  <si>
    <t>Light bomb load</t>
  </si>
  <si>
    <t>Hawker Woodcock</t>
  </si>
  <si>
    <t>The Hawker Woodcock was a British single-seat fighter built by the Hawker Engineering Company as the first fighter to be produced by Hawker Engineering (the successor to Sopwith Aviation). It was used by the RAF as a night fighter in the 1920s. The Hawker Woodcock was designed as a night fighter in 1922 to meet specification 25/22.[1] The chief designer was Captain Thomson, and the prototype, serial number J6987, was first flown with a 358 hp (267 kW) Armstrong Siddeley Jaguar II engine in March 1923 with F. P. Raynham at the controls. It featured a two-bay wing.[2][3] The prototype was rejected because of lack of manoeuvrability as well as suffering from serious wing flutter and ineffective rudder control, with spinning prohibited.[4] Following the first flight W. G. Carter took over as chief designer and changed the design, reducing the wingspan by 2 ft (0.61 m) and making it a single-bay structure. The powerplant was changed to a 380 hp (283 kW) Bristol Jupiter IV engine. The modified design was designated the Woodcock Mk II and first flew in August 1923, and after further modifications, was accepted for service with initial orders placed late in 1924.[5][2] A number of accidents occurred in the early part of service, with the aircraft being prone to wing spar failures and collapse of the undercarriage but these structural weakness were cured by the end of 1925.[6] The Woodcock was armed with two .303 in (7.7 mm) Vickers machine guns, synchronised to fire through the propeller arc. The guns were mounted externally on each side of the fuselage, just below the edge of the cockpit.[7] The first order for the Royal Air Force was for ten Woodcock IIs, with the first six being completed without any night flying equipment.[1] The service eventually ordered a total of 62 aircraft. One of the first batch of aircraft was given a civil registration to allow it to be demonstrated in Scandinavia.[1][8] On return to the United Kingdom, the demonstrator was entered into the 1925 King's Cup Air Race but it crashed during the race in bad weather near Luton.[1] The first aircraft to be delivered to the Royal Air Force entered service with 3 Squadron in May 1925 at RAF Upavon. No. 17 Squadron was the only other operational squadron, with first deliveries being made in March 1926. Once the type's early structural problems were solved, the Woodcock proved popular with its pilots. It was replaced by the Gloster Gamecock in 1928. However, some Woodcocks were still flying in 1936.[6] In June 1927 a Woodcock II of No. 17 Squadron was borrowed by the notable aviator Charles Lindbergh.[1] He used the aircraft to fly back to Paris from London soon after his transatlantic flight in the Spirit of St. Louis.[1] Data from The British Fighter since 1912[11]General characteristics Performance Armament     Related lists</t>
  </si>
  <si>
    <t>//upload.wikimedia.org/wikipedia/commons/thumb/8/82/Hawker_woodcock.jpg/300px-Hawker_woodcock.jpg</t>
  </si>
  <si>
    <t>Capt. Thomson W.G. Carter</t>
  </si>
  <si>
    <t>https://en.wikipedia.org/Capt. Thomson W.G. Carter</t>
  </si>
  <si>
    <t>https://en.wikipedia.org/Hawker Danecock</t>
  </si>
  <si>
    <t>26 ft 2 in (7.98 m)</t>
  </si>
  <si>
    <t>32 ft 6 in (9.91 m)</t>
  </si>
  <si>
    <t>9 ft 11 in (3.02 m)</t>
  </si>
  <si>
    <t>346 sq ft (32.1 m2)</t>
  </si>
  <si>
    <t>2,014 lb (914 kg)</t>
  </si>
  <si>
    <t>2,979 lb (1,351 kg)</t>
  </si>
  <si>
    <t>50 imp gal (60 US gal; 230 L)[12]</t>
  </si>
  <si>
    <t>1 × Bristol Jupiter IV 9-cylinder radial engine, 425 hp (317 kW)</t>
  </si>
  <si>
    <t>141 mph (227 km/h, 123 kn) at sea level</t>
  </si>
  <si>
    <t>103 mph (166 km/h, 90 kn) [13]</t>
  </si>
  <si>
    <t>22,500 ft (6,900 m)</t>
  </si>
  <si>
    <t>280 mi (450 km, 240 nmi)</t>
  </si>
  <si>
    <t>1925-1927</t>
  </si>
  <si>
    <t>8.3 min to 10,000 ft (3,000 m)</t>
  </si>
  <si>
    <t>2 × .303 in (7.7 mm) Vickers machine guns on sides of fuselage</t>
  </si>
  <si>
    <t>Mikoyan-Gurevich MiG-9</t>
  </si>
  <si>
    <t>The Mikoyan-Gurevich MiG-9 (Russian: Микоян и Гуревич МиГ-9, USAF/DoD designation: Type 1, NATO reporting name: Fargo[2]) was the first turbojet fighter developed by Mikoyan-Gurevich in the years immediately after World War II. It used reverse-engineered German BMW 003 engines. Categorized as a first-generation jet fighter, it was moderately successful, but suffered from persistent problems with engine flameouts when firing its guns at high altitudes due to gun gas ingestion. A number of different armament configurations were tested, but nothing solved the problem. Several different engines were evaluated, but none were flown as the prototype of the Mikoyan-Gurevich MiG-15 promised superior performance. A total of 610 aircraft were built, including prototypes, and they entered service in 1948 with the Soviet Air Forces. At least 372 were transferred to the People's Liberation Army Air Force in 1950 to defend Chinese cities against air raids by the Nationalist Chinese and train the Chinese pilots in jet operations. The MiG-9 was quickly replaced by the MiG-15. Three are known to survive. In February 1945, the Council of People's Commissars ordered the Mikoyan-Gurevich (MiG) OKB to develop a single-seat jet fighter to be equipped with two German BMW 003 engines. Intended to destroy bombers, the aircraft was to be equipped with a single 57-millimeter (2.2 in) or 37-millimeter (1.5 in) gun, plus two 23-millimeter (0.9 in) guns. A more detailed directive was issued on 9 April setting out requirements that the aircraft should have a maximum speed of 900 kilometers per hour (559 mph) at sea level and a speed of 910 km/h (565 mph) at an altitude of 5,000 meters (16,400 ft). It should be able to climb to that altitude in four minutes or less and it should have a maximum range of 820 kilometers (510 mi). Three prototypes were ordered to be ready for flight tests by 15 March 1946.[3] The OKB chose a "pod-and-boom" layout for their new fighter, the I-300 (also called the izdeliye F (model or product F) by the OKB) because it offered the advantages of improved landing performance and better visibility from the cockpit when landing but it had some drawbacks, such as the unfamiliar tricycle arrangement of the landing gear, protecting the rear fuselage from the jet exhaust, and where to place the aircraft's armament. The all-metal aircraft had unswept, mid-mounted wings with two prominent air intakes in the nose. Its two-spar wings were fitted with slotted flaps and Frise ailerons. Its powerplant comprised two RD-20 turbojets, which were Soviet-manufactured versions of the BMW 003. The two engines were located behind the cockpit in the lower fuselage, with the exhaust exiting under the tail unit. A steel laminate heatshield was installed on the bottom of the rear fuselage to protect it from the exhaust gasses. There were four bag-type fuel tanks in the fuselage and three in each wing, providing a total internal fuel capacity of 1,625 liters (429 US gallons). The cockpit was not pressurized. The planned armament consisted of a 57 mm NL-57 cannon mounted in the centerline engine intake bulkhead and two 23 mm Nudelman-Suranov NS-23 autocannon mounted on the lower lip of the air intakes.[4] The N-57 gun was provided with 28 rounds and the two NS-23 cannons had 80 rounds each.[5] Construction of the three prototypes began in late 1945 and the first prototype began manufacturer's testing on 30 December. The ground testing revealed that the engine exhaust caused a low-pressure area under the rear fuselage which caused the fighter to tilt tail-down during engine tests. The rigidly mounted heatshield caused the underside of the rear fuselage to deform because the steel and the duralumin skin of the fuselage had different expansion ratios when heated. The rear fuselage and the heatshield were both redesigned to eliminate these problems. On 23 March the prototype was trucked to the Flight Research Institute (LII)'s airfield at Ramenskoye to begin preparations for flight testing.[6] According to aviation historian Bill Gunston, on 24 April 1946 representatives from Mikoyan-Gurevich and the Yakovlev OKB tossed a coin to determine which aircraft would be the first Soviet jet to fly. (MiG had brought the I-300, and Yakovlev the Yak-(3)-15.)[7] MiG won and the I-300's first flight lasted six minutes.[8] These early flights revealed problems with the stability of the aircraft and vibration problems with the new articulated heatshield. It was stiffened before the twelfth flight, but that only partially cured the problem. The first aircraft crashed, killing the pilot, during a demonstration in front of high-ranking officials on 11 July when the attachment lugs of the wing leading edge fairings failed and they hit the horizontal stabilizers. The remaining two prototypes began flight testing the following month, but preparations for the 7 November parade commemorating the October Revolution delayed the start of the State acceptance trials until 17 December. Meanwhile, the horizontal stabilizer of the second prototype disintegrated during flight, but the pilot was able to land the aircraft safely. Another such incident happened to the third prototype in February 1947 and forced the tail to be reinforced.[9] The aircraft was given the service designation of MiG-9 (internal OKB designations of I-301 and izdeliye FS) and a small batch of ten aircraft, equipped with original German engines, was ordered during 1946 from Factory No. 1 in Kazan before flight testing was completed. They were intended to be used in the parade, but bad weather forced the cancellation of their flypast. Two of them were assigned to participate in the state acceptance trials while others were used as testbeds for various programs. The trials were concluded in June and the MiG-9 generally met the performance goals set by the Council of People's Commissars. The test pilots found the fighter easy and simple to fly. Defects noted during testing were that the engines flamed out when firing the cannon at high altitudes due to gun gas ingestion, no ejection seat was fitted, nor were air brakes or a fire suppression system. The fuel tanks were not self-sealing and no armor was provided for the pilot. Despite these drawbacks, the MiG-9 was ordered into production at Factory No. 1 before the acceptance tests were completed as the Soviet leadership believed that its shortcomings could be rectified during production. A batch of 50 aircraft, 40 single-seat fighters and 10 two-seat trainers, were ordered in late 1946 to participate in the 1947 May Day parade. In recognition of their accomplishment Artem Mikoyan and Mikhail Gurevich were awarded the Stalin Prize in 1947.[10] The two-seat trainer had the internal OKB designations of I-301T and izdeliye FT and the first prototype was converted from one of the "parade" aircraft during 1946. Its fuel capacity had to be reduced by one third to make room for the second tandem cockpit. Dual controls were fitted as was an intercom to allow the instructor and student to communicate in the air. Each man had an ejection seat designed after that used by the Germans in their Heinkel He 162 fighter. This aircraft was delivered on 17 January 1947, although flight testing was not completed until 5 April. The ejection seats were not tested in the air, but they required extensive testing on the ground to ensure the proper operation of the seat. State acceptance trials were not completed until 2 June and the aircraft was rejected because of the poor visibility from the rear cockpit. A second aircraft was completed on 15 July and the visibility from the rear cockpit was improved by replacing the original bulletproof windscreen with a larger glass plate, reshaping the canopy's side panels, and removing a partition between the cockpits. This aircraft was fitted with air brakes in the wings and two 260-litre (57 imp gal; 69 US gal) drop tanks hung under its wingtips. It passed its state acceptance trials later in 1947 and was recommended for production with the service designation of UTI MiG-9. The ejection seats were extensively tested during 1948 and approved for use, but by this time the aircraft was deemed obsolete and there was no point in building a training version.[11] The order for 50 aircraft placed in 1946 was modified to 48 single seaters and one aircraft for the OKB itself, all lacking armament. They were manufactured in March–April 1947 with the standard armament of one 37 mm Nudelman N-37 autocannon, with 40 rounds, and two 23 mm Nudelman-Suranov NS-23 guns, but the production line shut down afterward to incorporate some of the desired changes. These included reinforcement and enlargement of the vertical tail to improve lateral stability; air brakes were added on the wings and the fuel system was improved. The underside of the rear fuselage was recontoured to smooth the air flow of the engine exhaust and air suction inside the fuselage was eliminated. Production restarted and a total of 243 single seaters were completed during the remainder of the year. 250 fighters and 60 trainers were scheduled to be built in 1948, but production was disrupted by preparations to begin manufacture of the vastly superior MiG-15 later that year. Only 302 fighters were delivered that year before production ceased.[12] The fourth and fifth aircraft of the parade batch were used in flight tests to eliminate the engine flameout problem from late 1947 through early 1948. They were fitted with a prominent rectangular hollow vane on the barrel of the N-37 cannon that was nicknamed the "butterfly" (bahbochka). This allowed all three cannon to be fired simultaneously at altitudes up to 10,100 meters (33,100 ft), but the fin disintegrated after only 813 shots, which could be very dangerous if the debris from the fin was ingested by the engines. An additional problem was that the fin hampered the directional stability of the aircraft and caused it to yaw after 3–5 shots. Another attempt to fix the problem was made in the I-302 (izdeliye FP), a modification of a production aircraft, that moved the N-37 to the port side of the aircraft, but this was apparently not successful either. Other attempts to ameliorate the problem included fitting a muzzle brake on the N-37 as well as extending its barrel, but nothing worked.[13] The I-305 (izdeliye FT) was a MiG-9 airframe with a single Lyulka TR-1 turbojet of 1,500 kgf (15 kN; 3,300 lbf) that replaced the pair of RD-20 turbojets. The armament was rearranged with the 23 mm cannon moved to each side of the fuselage, even with the N-37 gun in the centerline bulkhead; the latter's ammunition supply was increased to 45 rounds. The aircraft was intended to have a pressurized cockpit and its overall weight was reduced to 4,500 kilograms (9,900 lb). The engine, however, was not ready for testing and the aircraft's development was cancelled after the prototype MiG-15 began flight testing in early 1948.[14] In mid-1946, the Council of Ministers ordered the development of a MiG-9 with afterburning versions of the RD-20, based on the BMW 003S engine. These engines had a maximum power of 1,000–1,050 kgf (9.8–10.3 kN; 2,200–2,300 lbf) and were intended to increase the aircraft's speed to 920 km/h (570 mph) at sea level and 950 km/h (590 mph) at 5,000 meters (16,000 ft). The OKB was directed to build two prototypes, with a 45-millimeter (1.8 in) gun replacing the N-37, that would begin flight tests in April 1947. The OKB added 12-millimeter (0.47 in) armor plates fore and aft to protect the pilot and he was provided with a bulletproof windscreen, but no other changes were made to the aircraft. The I-307 (izdeliye FF) was ready for flight testing a month late and had to use German engines because the Soviet-built versions had not yet been tested. Manufacturer's flight tests were completed on 21 June and the fighter began its state acceptance trials on 2 August, after its engines were replaced, but crashed on 19 August. The second prototype was converted from the fifth aircraft of the parade batch and retained the butterfly used during its earlier gun trials. It was given the same cockpit armor and windscreen as the first prototype, but it used Soviet-built RD-20F (later RD-21) engines. It began its flight trials in December and it demonstrated a top speed of 947 km/h (588 mph) at an altitude of 3,000 meters (9,843 ft) and 928 km/h (577 mph) at 5,200 meters (17,100 ft), but no further development work was done. Some late-production aircraft received this engine.[15] Another prototype equipped with RD-21 engines and a pressurized cockpit was completed in June 1947. It was known internally as the I-307 (izdeliye FR) and was given the service designation of MiG-9M. The armament was rearranged in another attempt to ameliorate the gun gas ingestion problem with the N-37 being mounted on the starboard side of the fuselage and the two NS-23s on the port side, well aft so that the gun barrels did not protrude beyond the air intake. This caused the cockpit to be moved forward slightly which gave the pilot a better view when landing. The number of fuel tanks was reduced to five, but the aircraft's total capacity remained the same. It made its first flight in July, but the factory flight tests were not completed until early 1948. Despite a top speed of 965 km/h (600 mph) at 5,000 meters (16,000 ft), it failed its state acceptance tests. The reasons given were that the engines continued to flame out if they were run at low rpm at altitudes above 8,000 meters (26,000 ft), the mounts for the cannon were not fully developed and the workmanship of the pressurized cockpit was low. The real reason was that the aircraft was inferior to the MiG-15 already in flight testing.[16] Another re-engined version of the MiG-9 was the I-320 (izdeliye FN). It had an imported Rolls-Royce Nene I centrifugal-flow turbojet rated at 2,230 kgf (21.9 kN; 4,900 lbf) and the armament was rearranged yet again in another attempt to eliminate the gas ingestion problem. The N-37 cannon was moved to the underside of the fuselage and the NS-23 guns were moved to each side of the fuselage as in the I-305, although none of the gun barrels protruded past the lips of the air intakes. Construction began in late 1947, but it was never completed as the MiG-15 prototype used the same engine and had a higher performance.[17] One MiG-9 (izdeliye FK) was modified in 1949 to serve as a testbed for the KS-1 Komet air-launched anti-shipping cruise missile. A second unpressurized cockpit was built in line with the trailing edge of the wing for the guidance system operator. The aircraft was fitted with two radars, a K-1M target illumination radar in a prominent bullet-shaped fairing above the air intakes and an aft-looking radar mounted in a cigar-shaped fairing at the top of the vertical stabilizer. This latter system was intended to test the mid-course guidance system of the launching aircraft and the guidance systems of the missile. Signals from the K-1M radar were received in small bullet-shaped fairings on the leading edges of the wings. The aircraft served in this role for four years, until the missile passed its state acceptance trials in 1952–53.[18] The MiG-9 was flown in Soviet service by fighter regiments in the 1st, 7th, 14th, 15th, and 16th Air Armies. These last two were based near Kaliningrad and in East Germany respectively. In addition, the 177th Fighter Aviation Regiment of the 303rd Aviation Division near Yaroslavl flew the aircraft in 1949.[19] Six divisions of MiG-9s, each with two regiments of 31 aircraft, were transferred to China in November–December 1950 for air defense and training duties. The 17th Guards Fighter Aviation Division (GIAD) defended Shenyang, the 20th Fighter Aviation Division (IAD) guarded Tangshan, and the 65th IAD protected Guangzhou. The 144th IAD defended Shanghai, the 309th guarded Gongzhuling and the 328th IAD protected Peking. These units later handed their aircraft over to the 6th, 7th, 12th, 14th, 16th, and 17th Fighter Divisions of the People's Liberation Army Air Force when their training was complete.[20] The Chinese considered sending their MiG-9s to Korea in 1951 under Soviet pressure, but reconsidered when the PLAAF commanders reported that they believed that it would be better to retrain MiG-9 pilots on MiG-15s.[21]  Soviet Union  People's Republic of China Data from MiG: Fifty Years of Secret Aircraft Design[23]General characteristics Performance Armament   Aircraft of comparable role, configuration, and era  Related lists</t>
  </si>
  <si>
    <t>//upload.wikimedia.org/wikipedia/commons/thumb/7/71/MiG-9_VVS_museum.jpg/300px-MiG-9_VVS_museum.jpg</t>
  </si>
  <si>
    <t>Mikoyan-Gurevich</t>
  </si>
  <si>
    <t>https://en.wikipedia.org/Mikoyan-Gurevich</t>
  </si>
  <si>
    <t>598 (including 12 prototypes)[1]</t>
  </si>
  <si>
    <t>3.225 m (10 ft 7 in)</t>
  </si>
  <si>
    <t>18.2 m2 (196 sq ft)</t>
  </si>
  <si>
    <t>3,283 kg (7,238 lb)</t>
  </si>
  <si>
    <t>4,860 kg (10,714 lb)</t>
  </si>
  <si>
    <t>1,050 km/h (650 mph, 570 kn) / Mach 0.85</t>
  </si>
  <si>
    <t>+6</t>
  </si>
  <si>
    <t>267 kg/m2 (55 lb/sq ft)</t>
  </si>
  <si>
    <t>Soviet Air ForcesPeople's Liberation Army Air Force</t>
  </si>
  <si>
    <t>https://en.wikipedia.org/Soviet Air ForcesPeople's Liberation Army Air Force</t>
  </si>
  <si>
    <t>1,625 l (429 US gal; 357 imp gal)</t>
  </si>
  <si>
    <t>2 × RD-20 axial-flow turbojet engines, 7.80 kN (1,754 lbf) thrust  each</t>
  </si>
  <si>
    <t>Mach 0.7</t>
  </si>
  <si>
    <t>13,000 m (43,000 ft)</t>
  </si>
  <si>
    <t>22 m/s (4,300 ft/min)</t>
  </si>
  <si>
    <t>1946–1948</t>
  </si>
  <si>
    <t>Dewoitine D.27</t>
  </si>
  <si>
    <t>The Dewoitine D.27 was a parasol monoplane fighter aircraft designed by Émile Dewoitine in 1928. After the end of World War I, the slump in demand for aircraft forced Dewoitine to close his company and move to Switzerland in 1927. He produced the D.27 the following year, 66 of which were produced for the Swiss Air Force from 1931. It was also license-built in Yugoslavia by Zmaj aircraft and in Romania. Seven strengthened versions, designated the D.53, served experimentally with the French Escadrille 7C1, flying from the aircraft carrier Béarn. Data from Encyclopedia of Military Aircraft[1]General characteristics Performance Armament     Related lists</t>
  </si>
  <si>
    <t>//upload.wikimedia.org/wikipedia/commons/thumb/3/3b/Dewoitine_D.27.jpg/300px-Dewoitine_D.27.jpg</t>
  </si>
  <si>
    <t>{'D.271': '  One aircraft used for testing a ', 'D.273': '  One aircraft used for testing a ', 'D.531': ' One aircraft used for testing a Hispano-Suiza engine.', 'D.532': ' A single aircraft used for testing a ', 'D.535': ' One aircraft fitted with an HS 12Xbis engine.', 'D.534': ' Used for parachute trials.'}</t>
  </si>
  <si>
    <t>6.5 m (21 ft 4 in)</t>
  </si>
  <si>
    <t>9.8 m (32 ft 2 in)</t>
  </si>
  <si>
    <t>2.79 m (9 ft 2 in)</t>
  </si>
  <si>
    <t>1,038 kg (2,288 lb)</t>
  </si>
  <si>
    <t>1,382 kg (3,047 lb)</t>
  </si>
  <si>
    <t>1 × Hispano-Suiza 12Mc V-12 liquid-cooled piston engine, 373 kW (500 hp)</t>
  </si>
  <si>
    <t>9,200 m (30,200 ft)</t>
  </si>
  <si>
    <t>Swiss Air Force</t>
  </si>
  <si>
    <t>https://en.wikipedia.org/Swiss Air Force</t>
  </si>
  <si>
    <t>10 m/s (2,000 ft/min)</t>
  </si>
  <si>
    <t>1,414 kg (3,117 lb)</t>
  </si>
  <si>
    <t>2 × fixed forward-firing 7.5 mm (.295 in) Darne machine guns</t>
  </si>
  <si>
    <t>de Havilland Don</t>
  </si>
  <si>
    <t>The de Havilland DH.93 Don was a 1930s British multi-role three-seat training aircraft built by de Havilland at Hatfield Aerodrome. The Don was designed to meet Air Ministry Specification T.6/36 for a multi-role trainer and was a single-engined monoplane of wooden stressed-skin construction. The DH.93 Don was intended to be a trainer for pilots and radio operators, and as a gunnery trainer, the gunnery requirement involved the mounting of a dorsal gun turret. Student pilot and instructor sat side by side up front, while accommodation for a trainee WT (radio) operator and the turret gunner was behind in the cabin.[1] The prototype with test marks E-3 (later military serial number L2387) first flew on 18 June 1937 and was transferred to RAF Martlesham Heath for official evaluation. In the course of the trials, more equipment was added which increased the weight, and as a result, in an attempt to reduce weight, the dorsal turret was removed. The aircraft was also modified with small auxiliary fins fitted beneath the tailplane.[2] Despite the changes incorporated from the fifth aircraft,[2] the type was deemed not suitable for training and the original order for 250 aircraft was reduced to only 50 aircraft, 20 of which were delivered as engineless airframes for ground training.[3] The remaining aircraft served as communications and liaison aircraft, serving with No. 24 Sqn and numerous RAF Station Flights throughout the UK until early 1939, but all were grounded for use as instructional airframes in March 1939.[4] Data from de Havilland Aircraft since 1909[5]General characteristics Performance     Related lists</t>
  </si>
  <si>
    <t>//upload.wikimedia.org/wikipedia/commons/thumb/1/10/De_Havilland_DH.93_Don.jpg/300px-De_Havilland_DH.93_Don.jpg</t>
  </si>
  <si>
    <t>Communications/Liaison</t>
  </si>
  <si>
    <t>de Havilland</t>
  </si>
  <si>
    <t>https://en.wikipedia.org/de Havilland</t>
  </si>
  <si>
    <t>30 (plus 20 unassembled airframes)</t>
  </si>
  <si>
    <t>37 ft 4 in (11.38 m)</t>
  </si>
  <si>
    <t>47 ft 6 in (14.48 m)</t>
  </si>
  <si>
    <t>304 sq ft (28.2 m2)</t>
  </si>
  <si>
    <t>RAF 34 modified[6]</t>
  </si>
  <si>
    <t>5,050 lb (2,291 kg)</t>
  </si>
  <si>
    <t>6,530 lb (2,962 kg)</t>
  </si>
  <si>
    <t>2 passengers</t>
  </si>
  <si>
    <t>1 × de Havilland Gipsy King V-12 inverted air-cooled piston engine, 525 hp (391 kW)</t>
  </si>
  <si>
    <t>2-bladed variable-pitch propeller</t>
  </si>
  <si>
    <t>189 mph (304 km/h, 164 kn)</t>
  </si>
  <si>
    <t>23,300 ft (7,100 m)</t>
  </si>
  <si>
    <t>820 ft/min (4.2 m/s)</t>
  </si>
  <si>
    <t>890 mi (1,430 km, 770 nmi)</t>
  </si>
  <si>
    <t>de Havilland DH.71 Tiger Moth</t>
  </si>
  <si>
    <t>The de Havilland DH.71 Tiger Moth was a British single-seat monoplane, designed to research high-speed flight and to test replacement engines for the Cirrus. Only two were built.[1] It was a low-wing monoplane based on the earlier Moth biplanes with a stressed plywood covering and the cockpit designed around its test pilot, Hubert Broad, to make it as streamlined as possible: this resulted in the fuselage sides being sloped outwards to accommodate his shoulders.[1] The Tiger Moth had a fixed conventional landing gear with a tail skid.[1] The first aircraft built (registration G-EBQU) first flew from Stag Lane Aerodrome on 24 June 1927 and was fitted with an 85 hp (63 kW) ADC Cirrus II engine to check its handling characteristics. This was then replaced with Major Halford's prototype engine, by then named the Gipsy.[1] The second example, G-EBRV, was fitted with a Cirrus engine and first flew on 28 July 1927.[1] Both aircraft were entered for the 1927 King's Cup Race which was to be held at Hucknall on 30 July; 'QU was withdrawn but Broad flew 'RV in the race, retiring because of handling problems.[1] In August 1927 Broad flew G-EBQU over a 62-mile (100 km) closed-circuit to set a new record for Class III Light Aircraft of 186.47 mph (300.09 km/h).[1] Five days later he flew to 19,191 ft (5,849 m) without oxygen in an attempt to break the altitude record for its category. For these record attempts the aircraft was fitted with new wings with a reduced span of 19 ft (6 m).[1] G-EBQU was exported to Australia in 1930 and registered VH-UNH.  On 17 September 1930 it crashed when the engine cut out while practising for an air race, killing pilot David Smith.[1] The second airframe was for a time displayed outside de Havilland's Hatfield factory, eventually being destroyed there on 3 October 1940 during an air raid.[1] Data from De Havilland Aircraft since 1909.[1]General characteristics Performance     Related lists</t>
  </si>
  <si>
    <t>//upload.wikimedia.org/wikipedia/commons/thumb/6/6a/De_Havilland_DH_71_Tiger_Moth.jpg/300px-De_Havilland_DH_71_Tiger_Moth.jpg</t>
  </si>
  <si>
    <t>high-speed research and racing monoplane</t>
  </si>
  <si>
    <t>De Havilland Aircraft Company</t>
  </si>
  <si>
    <t>https://en.wikipedia.org/De Havilland Aircraft Company</t>
  </si>
  <si>
    <t>18 ft 7 in (5.66 m)</t>
  </si>
  <si>
    <t>22 ft 6 in (6.86 m)</t>
  </si>
  <si>
    <t>7 ft 0 in (2.13 m)</t>
  </si>
  <si>
    <t>76.5 sq ft (7.11 m2)</t>
  </si>
  <si>
    <t>618 lb (280 kg)</t>
  </si>
  <si>
    <t>905 lb (411 kg)</t>
  </si>
  <si>
    <t>1 × ADC Cirrus II inline piston, 85 hp (63 kW)</t>
  </si>
  <si>
    <t>166 mph (267 km/h, 144 kn)</t>
  </si>
  <si>
    <t>Blériot III</t>
  </si>
  <si>
    <t>The Blériot III was an early French aeroplane built by pioneer aviators Louis Blériot and Gabriel Voisin. It was later modified and renamed the Blériot IV, but both versions failed to fly. The Blériot III was radically different from what was to become the orthodox design for aircraft, having two large elliptical closed wing cells in tandem connected by booms.  A single transversely mounted 24 hp (18 kW) Antoinette engine mounted on the lower front wing drove two tractor propellers using flexible drive shafts incorporating reduction gearing to reduce the 1,800 rpm of the engine to 600 rpm.  The transmission arrangement accounted for 100 kg of the aircraft's 400 kg weight.  The undercarriage consisted of a pair of long floats under the front wing cell and a third below the aft wing cell.  Blériot and Voisin attempted to fly it from the Lac d'Engheim in May 1906, but the machine would not become airborne.[1] In October they made major changes to the design, adding a rudder to the aft cell, replacing the forward wings with a more conventional biplane arrangement, adding a second engine, and changing the propellers from tractors to pushers.  At this point, it was renamed the Blériot IV.  Attempts to fly the aircraft as a floatplane were made on 12 and 18 October at Lac d'Engheim.[2] Even with these modifications, the aircraft still refused to leave the ground.  They then removed the floats and added a wheeled undercarriage.  On 12 November 1906 further attempts at flight were made at the Parc de Bagatelle, but the aircraft hit an obstacle during a ground run and was damaged beyond repair. To underline this failure, Voisin and Blériot were then to witness Santos-Dumont's successful flight in the 14-bis, made at Bagatelle the same day.[3] After this failure the partnership between Voisin and  Blériot was dissolved, both men preferring to concentrate on their own design ideas.  Voisin set up  Appareils d'Aviation Les Frères Voisin with his brother, and  Blériot went on to build further experimental aircraft in collaboration with various other people.  General characteristics</t>
  </si>
  <si>
    <t>//upload.wikimedia.org/wikipedia/commons/thumb/a/a3/Bleriot_IV.jpg/300px-Bleriot_IV.jpg</t>
  </si>
  <si>
    <t>Louis Blériot and Gabriel Voisin</t>
  </si>
  <si>
    <t>https://en.wikipedia.org/Louis Blériot and Gabriel Voisin</t>
  </si>
  <si>
    <t>73 m2 (785 sq ft)</t>
  </si>
  <si>
    <t>480 kg (1,060 lb)</t>
  </si>
  <si>
    <t>https://en.wikipedia.org/1906</t>
  </si>
  <si>
    <t>2 × Antoinette V-8 , 18 kW (24 hp) each</t>
  </si>
  <si>
    <t>Temco TT Pinto</t>
  </si>
  <si>
    <t>The Temco TT Pinto is a tandem two-seat primary jet trainer built for the America Navy by Temco Aircraft of Dallas, Texas.[citation needed] The Temco Model 51 had been initially proposed to the US Air Force in response to an Air Force competition for a jet-powered primary trainer, which was won by the Cessna T-37 Tweet. The concept behind the Model 51 was an attempt to provide primary training in a jet-powered aircraft. The official name for the Model 51 was the Pinto.[citation needed] The Pinto was a mid-wing, tricycle landing gear trainer with an enclosed cockpit powered by a single Continental Motors J69-T-9 (license-built Turbomeca Marboré) jet engine. The aircraft carried no armament.[citation needed] The TT-1s were equipped with many of the same features found in operational jets, including ejection seats, liquid oxygen equipment, speed brakes, along with typical flight controls and instrument panels. Although the flight characteristics were considered good, the "wave off" capability was rated marginal due to being slightly underpowered.[citation needed] After its first flight in 1956, the prototype was sent to the Naval Air Test Center (NATC) Patuxent River to be evaluated alongside the Beech Model 73 Jet Mentor. Fourteen of the aircraft, designated TT-1, were produced between 1955 and 1957.[citation needed] In 1968, American Jet Industries (AJI) (later to become Gulfstream Aerospace) re-engined a TT-1 Pinto.  The J69 was replaced with a 2,850 lbf (12.7 kN) General Electric CJ610 (the civil version of the J85).  The modified aircraft, called the T-610 Super Pinto, flew on 28 June 1968.[1] The new engine significantly increased performance, with maximum speed reaching 450 kn (518 mph; 833 km/h), and AJI marketed the aircraft as a light attack aircraft.[1][2] The prototype Super Pinto, together with drawings and production rights, were purchased by the Philippine Air Force, which planned to build the aircraft as the T-610 Cali.[3] In 1959, these aircraft served in the Air Training Command at Pensacola, Florida and used in a training program demonstration testing the feasibility of using a jet-powered trainer for primary flight training.[citation needed] By the end of 1960, the TT-1s were phased out of operations in the Naval Air Training Command because performance was deemed insufficient,[4] and sold as surplus. In December 2016, five of the TT-1 Pinto series still appeared on the U.S. civil roster[5] (one with an expired certificate[6]), down from seven, four of them Super Pintos, in 2011.[7] As of late 2015, one T-610 prototype was still preserved at the Philippine Air Force Museum.[8] Data from Jane's All The World's Aircraft 1956–57[9]General characteristics Performance  Related development Aircraft of comparable role, configuration, and era</t>
  </si>
  <si>
    <t>//upload.wikimedia.org/wikipedia/commons/thumb/3/34/Temco_TT-1_Pinto_in_flight_%28colour%29_c1957.jpeg/300px-Temco_TT-1_Pinto_in_flight_%28colour%29_c1957.jpeg</t>
  </si>
  <si>
    <t>Jet Trainer</t>
  </si>
  <si>
    <t>https://en.wikipedia.org/Jet Trainer</t>
  </si>
  <si>
    <t>Temco Aircraft</t>
  </si>
  <si>
    <t>https://en.wikipedia.org/Temco Aircraft</t>
  </si>
  <si>
    <t>https://en.wikipedia.org/AJI T-610 Super Pinto</t>
  </si>
  <si>
    <t>30 ft 7 in (9.32 m)</t>
  </si>
  <si>
    <t>29 ft 10 in (9.09 m)</t>
  </si>
  <si>
    <t>10 ft 10 in (3.30 m)</t>
  </si>
  <si>
    <t>150 sq ft (14 m2)</t>
  </si>
  <si>
    <t>4,440 lb (2,014 kg)</t>
  </si>
  <si>
    <t>518 mph (834 km/h, 450 kn)</t>
  </si>
  <si>
    <t>119 US gal (99 imp gal; 450 l) normal; 165 US gal (137 imp gal; 620 l) max</t>
  </si>
  <si>
    <t>1 × Continental YJ69-T-9 centrifugal flow compressor turbojet engine, 920 lbf (4.1 kN) thrust</t>
  </si>
  <si>
    <t>345 mph (555 km/h, 300 kn) at 15,000 ft (4,600 m); 328 mph (285 kn; 528 km/h) at sea level</t>
  </si>
  <si>
    <t>247 mph (398 km/h, 215 kn) at 25,000 ft (7,600 m)</t>
  </si>
  <si>
    <t>30,000 ft (9,100 m)</t>
  </si>
  <si>
    <t>76 mph (122 km/h, 66 kn) at take-off weight</t>
  </si>
  <si>
    <t>1,900 ft/min (9.7 m/s)</t>
  </si>
  <si>
    <t>1.5 hours</t>
  </si>
  <si>
    <t>Vickers Wibault</t>
  </si>
  <si>
    <t>The Vickers Type 121 Wibault Scout was a British fighter built by Vickers in the 1920s. It was a licensed version of the French Wibault 7 aircraft, with 26 being sold to Chile in 1926, where they served until 1934. Vickers set up a partnership with the French aircraft manufacturer, Société des Avions Michel Wibault to exploit the patented system of all-metal construction developed by Michel Wibault. This used corrugated light alloy skin panels, and made for easy maintenance and inspection.[1] As part of this partnership, Vickers placed an order with Wibault for a single Wibault 7, re-engined with a Bristol Jupiter VI radial engine, to act as a prototype for potential licensed production. The Wibault 7, and therefore the Vickers licensed copy, were single-engine high-wing parasol monoplanes. The prototype, which differed from the standard Wibault 7 by having a new undercarriage and British instruments, was delivered to Britain in February 1926[2] and was later fitted by Vickers with strengthened wing struts. The durability of the aircraft's all-metal structure, together with promised good altitude performance, attracted the attention of the Chilean Military Air Service, which, after evaluating the prototype, placed an order for 26 aircraft, known as the Vickers Type 121, or Vickers-Wibault Scout.[3] The first Vickers built Type 121 flew at the end of June 1926, but crashed following an inverted spin on its first flight. This was found to be due to problems with the aircraft's centre of gravity, which were resolved by modifying the tailplane.[4] The first Type 121s were delivered to Chile in November 1926, partly equipping the Groupo Mixto de Aviación 1, with deliveries continuing until October 1927.[2]  Several were lost in accidents, with at least one losing its wing in flight,[2] but it remained in service when the Chilean Air Force was formed from the air components of the Chilean Army and Navy, finally being retired in 1934.[2] Data from The British Fighter since 1912 [4]General characteristics Performance Armament  Related development     Media related to Vickers Wibault at Wikimedia Commons</t>
  </si>
  <si>
    <t>//upload.wikimedia.org/wikipedia/commons/thumb/7/7e/Vickers_121_Wibault_Scout.jpg/300px-Vickers_121_Wibault_Scout.jpg</t>
  </si>
  <si>
    <t>Vickers</t>
  </si>
  <si>
    <t>https://en.wikipedia.org/Vickers</t>
  </si>
  <si>
    <t>23 ft 2 in (7.06 m)</t>
  </si>
  <si>
    <t>36 ft 1 in (11.00 m)</t>
  </si>
  <si>
    <t>11 ft 6 in (3.51 m)</t>
  </si>
  <si>
    <t>237 sq ft (22.0 m2)</t>
  </si>
  <si>
    <t>1,920 lb (871 kg)</t>
  </si>
  <si>
    <t>2,970 lb (1,347 kg)</t>
  </si>
  <si>
    <t>1 × Bristol Jupiter VI nine cylinder radial engine, 455 hp (339 kW)</t>
  </si>
  <si>
    <t>154 mph (248 km/h, 134 kn) at sea level; 144 mph (125 kn; 232 km/h) at 15,000 ft (4,600 m)</t>
  </si>
  <si>
    <t>Chile</t>
  </si>
  <si>
    <t>https://en.wikipedia.org/Chile</t>
  </si>
  <si>
    <t>Wibault 7</t>
  </si>
  <si>
    <t>https://en.wikipedia.org/Wibault 7</t>
  </si>
  <si>
    <t>7 min 40 s to 10,000 ft (3,000 m)</t>
  </si>
  <si>
    <t>2 × .303 in (7.7 mm) Vickers machine guns</t>
  </si>
  <si>
    <t>Ansaldo A.120</t>
  </si>
  <si>
    <t>The Ansaldo A.120 (sometimes called the FIAT A.120, since FIAT (Fabbrica Italiana Automobili Torino - Italian Automobile Factory of Turin) bought Ansaldo, was a reconnaissance aircraft developed in Italy in the 1920s.  The A.120 was a conventional, parasol-wing monoplane with fixed tailskid undercarriage which accommodated the pilot and observer in tandem open cockpits. The design was based on a wing developed for the Ansaldo A.115 and the fuselage of the Dewoitine D.1 fighters that Ansaldo had built under licence. The type was operated in modest quantities by the Italian Air Force, and was exported to the air forces of Austria and Lithuania, the latter's machines remaining in service until the Soviet annexation of the country. General characteristics Performance Armament Note: Lithuanian A.120's had two rear machine guns.[1]     Related lists</t>
  </si>
  <si>
    <t>//upload.wikimedia.org/wikipedia/commons/thumb/f/f1/Ansaldo_A.120.jpg/300px-Ansaldo_A.120.jpg</t>
  </si>
  <si>
    <t>Ansaldo</t>
  </si>
  <si>
    <t>https://en.wikipedia.org/Ansaldo</t>
  </si>
  <si>
    <t>{'A.120': ' prototype with ', 'A.120bis': ' improved version with ', 'A.120Ady': ' definitive production version, most with ', 'A.120R': ' revised version for Austrian service (6 built)'}</t>
  </si>
  <si>
    <t>Two, pilot and observer</t>
  </si>
  <si>
    <t>8.60 m (28 ft 3 in)</t>
  </si>
  <si>
    <t>12.80 m (42 ft 0 in)</t>
  </si>
  <si>
    <t>2.80 m (9 ft 2 in)</t>
  </si>
  <si>
    <t>27.4 m2 (295 sq ft)</t>
  </si>
  <si>
    <t>1 × Fiat A.22 piston engine , 410 kW (550 hp)</t>
  </si>
  <si>
    <t>254 km/h (158 mph, 137 kn)</t>
  </si>
  <si>
    <t>7 hours</t>
  </si>
  <si>
    <t>Bombardier Global 7500</t>
  </si>
  <si>
    <t>The Bombardier Global 7500 and Global 8000 are ultra long-range business jets developed by Bombardier Aviation (formerly Bombardier Aerospace). Announced in October 2010, the program was delayed by two years by a wing redesign. The 7500, originally named the 7000, made its first flight on November 4, 2016, was type certified by Transport Canada on September 28, 2018, and entered service on 20 December 2018. The Global 8000 schedule has not yet been determined. Based on the Global 6000 with a new transonic wing, the longer, four-zone cabin 7500 has a range of 7,700 nmi (14,300 km), while the shorter three-zone 8000 was to reach 7,900 nmi (14,600 km). Announced in October 2010, the jets were initially scheduled for introduction in 2016 for the 7500 and 2017 for the 8000.[5] In 2015, Bombardier decided to redesign the aircraft's wing and, along other development challenges, delayed the programme by over two years.[6] The goal of the redesign was to reduce the wing's weight without altering its aerodynamic profile. The aircraft fly-by-wire system architecture is based on that of the CSeries.[7] The airframe will use Aluminium–lithium alloys like the new airliner.[8] The program cost more than US$1 billion.[9] Formerly named Global 7000, its entry into service was initially scheduled for 2016.[5] Former Formula One driver and long time Bombardier brand ambassador Niki Lauda announced his order ahead of the EBACE 2015 convention.[10] The first test aircraft underwent taxi testing in October 2016.[11] Dedicated to testing basic system functionality and assessing the handling and flying qualities of the aircraft, its maiden flight was performed on November 4, 2016, climbing to 20,000 feet (6,096 m) and reaching 240 knots during the 2 h 27 min flight.[1] The production wing was in final design in February 2017.[12] FTV2 flew on March 6, 2017, "The Powerhouse" is designed to test aircraft systems, including propulsion, electrical and mechanical systems.[13] FTV1 is used to open the performance envelope and reached Mach 0.995 on March 29, 2017.[14] FTV3 flew on May 10, 2017, "The Navigator" will be used to test the avionics and electrical system performance.[15] By the end of May 2017, the three prototypes flew a combined 250 hours.[16] The fourth prototype, used for cabin interior validation, is called "The Architect" and the fifth and final, for the entry-into-service, is called "The Masterpiece".[17] The fifth has a slightly lighter production wing supplied by the Triumph Group, after a dispute over the wing weight was resolved.[18] By mid-July 2017, the three flight-test aircraft had accumulated 500 hours.[8] On 15 August 2017, after "high vibration and high inter-turbine temperature readings", the second prototype's right GE Passport had an in-flight flameout at FL410 and the aircraft went back to Wichita Airport 156 nmi (290 km) away for a single engine landing.[19] By October 2017, the four flight-test aircraft had flown 900 hours.[20] In April 2018, the flight test campaign surpassed 1,800 hours and confirmed a range increase from 7,400 to 7,700 nmi (13,700 to 14,300 km), greater than the competing Gulfstream G650ER's 7,500 nmi (13,900 km), but still overshadowed by the smaller Global 8000's range of 7,900 nmi (14,600 km), 200 nmi (370 km) more than the Global 7500.[21] As the original Global Express is developed into the Global 5500 and 6500, it is renamed Global 7500 to reflect this range increase.[22] By the end of May 2018, the five flight-test aircraft had amassed about 2,000 hours towards the type's planned entry-into-service at year-end.[23] By June 2018, 2,300 flight test hours had been completed by the test fleet towards certification. The first production aircraft entered the completion centre in May 2018.[24] Flight testing was completed by August 2018 after over 2,400 hours; type certification and introduction into service are expected by year-end, with 15-20 customer deliveries in 2019, as 20 aircraft were in final assembly.[25] By September 2018, the test aircraft had flown over 2,700 hours as FTV1 was retired from testing and repainted to be used as a demonstrator.[26] Bombardier was expecting certification in September 2018.[27] Transport Canada awarded its type certification on September 28, 2018.[28] FAA type certification followed on November 7, 2018.[29] The first should be delivered in December, and Bombardier expects to deliver 15 to 20 in 2019, then 35-40 in 2020, with the program sold out through 2021.[30] After being delivered in early December, the Global 7500 entered service on 20 December with 100 secured orders.[2] In February 2019, Bombardier acquired the Global 7500 wing manufacturing program and facilities from Triumph Group.[31] In 2021, its equipped price was $75M.[32] Entry into service was initially scheduled for 2017.[5] By September 2016, it was delayed to early 2019.[6] Trading nearly 8 ft (2.4 m) of cabin space for 600 nmi (1,100 km) of range, the Global 8000 accounted for a very small part of the backlog in December 2017 and its schedule was expected to be determined after the Global 7500 entered service. Lacking differentiation, it might be replaced by a higher maximum take-off weight (MTOW) Global 7500 variant with more range.[3] The 8000 unit cost was $71 million in 2014.[33] Both are stretched derivatives of the Global 6000 with a new transonic wing.[34] They are powered by the new General Electric Passport 20 16,500 lbf (73 kN) thrust engine with reduced NOx emissions and 8% better fuel efficiency than the Global Express XRS, allowing a Mach 0.90 high-speed cruise.[5] As part of its effort to make the long-range aircraft comfortable for the passengers, Bombardier developed a new ergonomic passenger seat, called the Nuage. The seat design took seven years to complete.[35] Airbus-owned Stelia supplies the main fuselage.[36] The new, larger and lower-drag wing is optimized for Mach 0.85 with a 35.3° quarter chord wing sweep, a thinner thickness-to-chord ratio, leaner flap track fairings, improved lift-to-drag performance, more efficient winglets and up to 30% better low-speed lift due to double-slotted, inboard Fowler flaps. The new fly-by-wire flight controls with active load alleviation and the flexible, relatively highly loaded wing damps turbulence.[37] The metal airframe uses aluminium–lithium alloys to save weight.[37] It shares the same fuselage diameter with older Global models, but has thinner frames, which increase the cabin width and height by 1 in (25 mm).[37] Additionally the 300 sq in (19 dm2) cabin windows are 80% larger, the nose cowl is recontoured, and the aft fuselage and empennage are both new designs.[37] The basic inspection intervals are 850 hours or 36 months, with C checks are every 12 years or 8,500 cycles and a limit of 17,000 cycles before life extension through intensive maintenance is required.[37] Officially designated as the BD-700-2A12, the design is marketed as the Global 7500. It is stretched by 11 ft 3 in (3.43 m) from the original Global.[34] It is planned to have a four-zone 2,637 cu ft (74.67 m3) cabin, 20% more than the previous. It was originally designed to cover a 7,300 nmi (13,500 km) range at Mach 0.85 with 10 passengers.[5] Its cabin is one-third longer than competing models, providing a fourth seating section up from three, can sleep eight passengers and offers an optional shower and a sleeping crew rest area. Bombardier marketing focused on ultra-high-net-worth individuals and the Global 7500 is the largest, longest range, roomiest and most luxurious purpose-built business aircraft yet built.[37] Despite the wing area being smaller than the Gulfstream G650ER and a 11% higher MTOW, it has lower V speeds and better runway performance due to the high-lift system with leading-edge slats and double-slotted flaps for a similar power loading. Hourly fuel flow per engine is 500 lb (230 kg) at idle, 6,240 lb (2,830 kg) at takeoff, 1,280 to 1,370 lb (580 to 620 kg) in cruise at Mach 0.85/484 kn (896 km/h) TAS, 1,730 lb (780 kg) at Mach 0.9/515 kn (954 km/h) TAS and 2,400 lb (1,100 kg) at Mach 0.925/523 kn (969 km/h) TAS, around 75,000 lb (34,000 kg) and ISA conditions. An even longer range variant could reach 1,000 nmi (1,900 km) more with another 8,000 lb (3,600 kg) of fuel.[37] BD-700-2A13, marketed as the Global 8000, is stretched by 2 ft 3 in (0.69 m) from the Global Express.[34] It will feature a three-zone 2,236 cu.ft. (63.32 cu.m.) cabin and a range of 7,900 nmi (14,631 km) at Mach 0.85, farther than any other existing business jet and connecting Sydney to Los Angeles, Hong Kong to New York, and Mumbai to New York with eight passengers.[5] In March 2019, a Global 7500 set the record for the longest mission ever flown by a purpose-built business jet, with a 8,152 nmi (15,098 km), 16-hour flight from Singapore to Tucson, Arizona; the aircraft landed with fuel reserves for nearly 1.5 hours of additional flight.[38] Gulfstream announced in April 2019 that the G650ER had surpassed this record flying 8,379 nmi (15,518 km), i.e. 225 nm (417 km) farther over a timespan 44 minutes shorter.[39] On 6 October 2019 Bombardier improved their longest mission with an 8,225 nmi (15,233 km) non-stop flight between Sydney and Detroit, claiming the record for "the longest city-pair flown by a purpose-built business aircraft".[40] The Global 7500 also broke the business jet speed record for a flight from Van Nuys Airport near Los Angeles to Teterboro Airport near New York in under four hours, cruising at Mach 0.925 for much of the flight.[41] While Bombardier is not publishing a specific backlog, industry analyst Rolland Vincent estimated that 200 orders had accumulated by the time of the first flight in November 2016, mostly for the 7500 version.[42] Including the Global 5500/6500, Bombardier expects to deliver 90-100 Globals a year by 2021, up from 40 in 2018, with four 7500 a month, and higher if needed. Luxury charter VistaJet signed a deal to purchase up to 30 units; NetJets, the largest fractional jet provider, will take up to 20 Global 7500s and Hong Kong management firm HK Bellawings Jet has 18 Global 6500/7500s orders and options.[43] The Global 7500 had 100 secured orders as it entered service on 20 December 2018.[2] In October 2019, VistaJet said it plans to launch commercial flights on its first Global 7500 in January 2020.[44]  Bombardier considered 2020 a successful year for the Global 7500 as they delivered 35 aircraft to various customers, and on 29 March 2021, the company marked the milestone delivery of the 50th Global 7500.[45]  Related development Aircraft of comparable role, configuration, and era  Related lists</t>
  </si>
  <si>
    <t>//upload.wikimedia.org/wikipedia/commons/thumb/6/69/Bombardier_Global_7500_at_EBACE_2019%2C_Le_Grand-Saconnex_%28EB190309%29.jpg/300px-Bombardier_Global_7500_at_EBACE_2019%2C_Le_Grand-Saconnex_%28EB190309%29.jpg</t>
  </si>
  <si>
    <t>Bombardier Aviation</t>
  </si>
  <si>
    <t>https://en.wikipedia.org/Bombardier Aviation</t>
  </si>
  <si>
    <t>7500: November 4, 2016[1]</t>
  </si>
  <si>
    <t>50 as of March 2021[4]</t>
  </si>
  <si>
    <t>7500: 20 Dec. 2018[2]8000: to be determined[3]</t>
  </si>
  <si>
    <t>Bombardier Global 6000</t>
  </si>
  <si>
    <t>https://en.wikipedia.org/Bombardier Global 6000</t>
  </si>
  <si>
    <t>In production</t>
  </si>
  <si>
    <t>Douglas XFD</t>
  </si>
  <si>
    <t>The Douglas XFD was a carrier-based biplane fighter aircraft designed for the America Navy, and the first fighter to be built by the Douglas Aircraft Company. A victim of changing requirements, no production was undertaken. The XFD was designed to the U.S. Navy's Bureau of Aeronautics (BuAer) Specification No. 311, requesting a carrier-based two-seater biplane fighter.[1] On June 30, 1932, the Navy ordered the XFD, Vought XF3U, and Curtiss XF12C for testing.[2] The first naval fighter designed by Douglas Aircraft,[3] the XFD was constructed of metal, with a fabric outer covering. The crew sat in tandem in a single bay, enclosed by a long canopy. The aircraft had fixed conventional landing gear, and was designed to be armed with two .30 in (7.6 mm) machine guns, one fixed in the cowling and the other on a flexible mount for the observer. A 500-pound (230 kg) bomb load could be carried.[4] Powered was supplied by a Pratt &amp; Whitney R-1535 Twin Wasp Junior radial engine.[4] The XFD-1[N 1] prototype first flew in January 1933;[2] it was delivered to the U.S. Navy for trials at Naval Air Station Anacostia in June 1933, within four days of the delivery of the Vought XF3U-1;[4] evaluations of the types were undertaken between June 18, 1933 and August 14, 1934.[2] While the XFD-1's performance was considered to be acceptable, the U.S. Navy's operational requirements were already changing to see the two-seat fighter concept falling out of favor, the scout bomber being considered more useful for the Navy's needs, and accordingly after the end of the XFD-1's flight trials no further orders were placed for the type.[4] Data from Angelucci 1987,[2] Johnson 2011[4]General characteristics Performance Armament   Aircraft of comparable role, configuration, and era  Related lists</t>
  </si>
  <si>
    <t>//upload.wikimedia.org/wikipedia/commons/thumb/8/89/Douglas_XFD-1.jpg/300px-Douglas_XFD-1.jpg</t>
  </si>
  <si>
    <t>Two (pilot and observer)</t>
  </si>
  <si>
    <t>25 ft 4 in (7.72 m)</t>
  </si>
  <si>
    <t>3,227 lb (1,464 kg)</t>
  </si>
  <si>
    <t>5,000 lb (2,268 kg)</t>
  </si>
  <si>
    <t>1 × Pratt &amp; Whitney R-1535-64 14-cylinder air-cooled radial engine, 700 hp (520 kW)</t>
  </si>
  <si>
    <t>2-bladed Hamilton Standard</t>
  </si>
  <si>
    <t>204 mph (328 km/h, 177 kn)</t>
  </si>
  <si>
    <t>170 mph (270 km/h, 150 kn)</t>
  </si>
  <si>
    <t>23,700 ft (7,200 m)</t>
  </si>
  <si>
    <t>1,670 ft/min (8.5 m/s)</t>
  </si>
  <si>
    <t>1 x .30-caliber machine gun, fixed forwards-firing cowl mounting1 x .30-caliber machine gun, flexible mounting in rear cockpit</t>
  </si>
  <si>
    <t>500 pounds (230 kg) external</t>
  </si>
  <si>
    <t>576 mi (927 km, 501 nmi)</t>
  </si>
  <si>
    <t>NASA Paresev</t>
  </si>
  <si>
    <t>The Paresev (Paraglider Research Vehicle) was an experimental NASA glider aircraft based upon the kite-parachute studies by NASA engineer Francis Rogallo. Between 1961 and 1965 the ability of the Rogallo wing (also called "Parawing") to descend a payload such as the Gemini space capsule safely from high altitude to ground was studied.[1][2] The Paresev was a test vehicle used to learn how to control this parachute-wing for a safe landing at a normal airfield. Publicity on the Paresev and the Ryan XV-8 "Flying Jeep" aircraft inspired hobbyists to adapt Rogallo's flexible wing airfoil onto elementary hang gliders leading to the most successful hang glider configuration in history. NASA experimented with the flexible Rogallo wing, which they renamed the Parawing, in order to evaluate it as a recovery system for the Gemini space capsules and recovery of used Saturn rocket stages.[3][4] Under a directive by Paul Bikle, NASA engineer Charles Richard in 1961–1962 designed the collapsible four-tube Rogallo wing used in the Paresev. The Paresev series included wing configurations that were tightly foldable from the nose plate for easy transport, using initially a cloth sail and later one of Dacron. Qlllllll Data developed by NASA in the late 1950s fed both the Charles Richard team and a different Ryan Aeronautical team that produced the Fleep. The Paresev used a cantilevered cross-beam but did not use a kingpost.[5] Note that the "paraglider" involved in the early 1960s experiments is a different airfoil concept used today in paragliding. The Paresev 1A and 1B were unpowered; the "fuselage" was an open framework fabricated of welded SAE 4130 steel tubing, called a "space frame". The keel and leading edges of the wing were constructed of 2.5-inch-diameter (64 mm) aluminium tubing. The leading edge sweepback angle was held at 50 degrees by a rigid spreader bar. Additional wing structure fabricated from steel tubing ensured structural integrity. The basic vehicle was slightly more than 11 ft (3.4 m) high from the top of the paraglider's wing to the ground, while the length of the center keel was 15 ft (4.6 m). Total weight was about 600 lb (270 kg)[6]  On August 24, 1962, seven weeks after the project was initiated, the team rolled out the Paresev 1.[7] The Paresev was controlled by moving the tensionally hung pilot's and fuselage's mass relative to the position of the wing. This mass-shifting was effected by tilting the wing from side to side and fore and aft by using a control stick in front of the pilot that descended from the wing above. Another version translated the same weight-shift control via cables.[1] As the Paresev was towed in a kite mode, it usually rose from the ground at about 46 mph (74 km/h) and had a maximum air speed of about 65 mph (105 km/h). [8] The Paresev control pendulum weight-shift control system was presaged by a published patent,[9] an early use of the hung pilot behind a cable-stayed triangle control bar in 1908 in the territory of Breslau,[10] and then also by the "control wing" of George Spratt in the 1920s.[11] Paresev flight log (NOTE – This log is incomplete*):  Paresev Flight Log * The Paresev vehicle was flown 341 times. Thompson made numerous ground-tow flights and claimed about 60 air-tow flights. Peterson claimed 228 flights (ground and air tows). Grissom made two flights. Champine made four flights. Kleuver made at least eight flights. It is unknown how many times Armstrong, Hetzel, and Slayton flew.The Paresev completed nearly 350 flights during a research program that ran from 1962 until 1964.[13][14] Using the fully flexible parawing or the tube-stiffened paraglider of the Paresev 1A, 1B, 1C as an alternate to spacecraft recovery was deemed too unreliable upon unfolding so round parachutes for water landings were used instead. The Paresev and other flexible-wing projects such as the Ryan XV-8 stopped being funded by NASA on 1965. Although Rogallo wrote about, modeled, and spoke about recreational applications including hang gliding, NASA was not in the business of applying Rogallo's family of airfoils to personal aircraft such as kites, hang gliders, and powered light aircraft. The Paresev was transferred to the Smithsonian National Air and Space Museum located in Washington, D.C. for display. Data from[citation needed]General characteristics Performance</t>
  </si>
  <si>
    <t>//upload.wikimedia.org/wikipedia/commons/thumb/6/6b/Paresev_in_landing.jpg/300px-Paresev_in_landing.jpg</t>
  </si>
  <si>
    <t>Flexible-wing research glider</t>
  </si>
  <si>
    <t>NASA</t>
  </si>
  <si>
    <t>https://en.wikipedia.org/NASA</t>
  </si>
  <si>
    <t>{'Paresev flight log': 'NOTE – This log is incomplete*):  '}</t>
  </si>
  <si>
    <t>One pilot</t>
  </si>
  <si>
    <t>15 ft 0 in (4.57 m)</t>
  </si>
  <si>
    <t>179 sq ft (16.6 m2)</t>
  </si>
  <si>
    <t>600 lb (270 kg)</t>
  </si>
  <si>
    <t>65 mph (100 km/h, 56 kn)</t>
  </si>
  <si>
    <t>Avia BH-11</t>
  </si>
  <si>
    <t>The Avia BH-11 was a two-seat sport aircraft built in Czechoslovakia in 1923, a further development of the Avia BH-9. The main changes in this version involved a redesign of the forward fuselage. 15 examples were ordered by the Czechoslovakian Army as trainers and general liaison aircraft, and operated under the military designation B.11. Six years after the BH-11 first flew, a new version was produced for the civil market as the BH-11B Antelope. This replaced the original Walter NZ 60 45 kW (60 hp) engine with a Walter Vega of 63 kW (85 hp) and was built in small numbers. As a further development, the BH-11C retained the original engine but the wingspan was increased by 1.4 m (4 ft 6 in). A BH-11A and a BH-11C are preserved at the Prague Aviation Museum, Kbely. Data from Jane's all the World's Aircraft 1928[1]General characteristics Performance  Related development</t>
  </si>
  <si>
    <t>//upload.wikimedia.org/wikipedia/commons/thumb/9/97/Leteck%C3%A9_muzeum_Kbely_%28168%29.jpg/300px-Leteck%C3%A9_muzeum_Kbely_%28168%29.jpg</t>
  </si>
  <si>
    <t>Sports plane</t>
  </si>
  <si>
    <t>ca. 20</t>
  </si>
  <si>
    <t>6.64 m (21 ft 9 in)</t>
  </si>
  <si>
    <t>9.72 m (31 ft 11 in)</t>
  </si>
  <si>
    <t>2.53 m (8 ft 4 in)</t>
  </si>
  <si>
    <t>13.6 m2 (146 sq ft)</t>
  </si>
  <si>
    <t>360 kg (794 lb)</t>
  </si>
  <si>
    <t>610 kg (1,345 lb)</t>
  </si>
  <si>
    <t>45 kg/m2 (9.2 lb/sq ft)</t>
  </si>
  <si>
    <t>80 kg (180 lb) fuel and oil</t>
  </si>
  <si>
    <t>1 × Walter NZ 60 5-cylinder air-cooled radial piston engine, 45 kW (60 hp)</t>
  </si>
  <si>
    <t>160 km/h (99 mph, 86 kn)</t>
  </si>
  <si>
    <t>3,300 m (10,800 ft)</t>
  </si>
  <si>
    <t>0.0733 kW/kg (0.0446 hp/lb)</t>
  </si>
  <si>
    <t>Avia BH-9</t>
  </si>
  <si>
    <t>https://en.wikipedia.org/Avia BH-9</t>
  </si>
  <si>
    <t>75 km/h (47 mph, 40 kn)</t>
  </si>
  <si>
    <t>2.7 m/s (530 ft/min)</t>
  </si>
  <si>
    <t>650 km (400 mi, 350 nmi)</t>
  </si>
  <si>
    <t>1,000 m (3,300 ft) in 6 minutes; 2,000 m (6,600 ft) in 18 minutes</t>
  </si>
  <si>
    <t>SAGEM Crecerelle</t>
  </si>
  <si>
    <t>The Sagem Crecerelle ("Kestrel") is a reconnaissance UAV developed in France in the 1990s, based on the Meggitt Banshee target drone. Its configuration is much like that of the Banshee, with a pusher prop, a clipped delta wing, and a single tailfin, though its fuselage is more cylindrical. It is powered by a 20 kW (26 hp) rotary engine and has no landing gear, being recovered by parachute and airbags. The Crecerelle saw action with French forces during the Kosovo campaign in 1999. Meggitt sells much the same machine as the Spectre. General characteristics Performance      This article contains material that originally came from the web article Unmanned Aerial Vehicles by Greg Goebel, which exists in the Public Domain.  This article on an aircraft of the 1990s is a stub. You can help Wikipedia by expanding it.</t>
  </si>
  <si>
    <t>//upload.wikimedia.org/wikipedia/commons/thumb/6/67/BAM-63-Sagem_Crecerelle.jpg/300px-BAM-63-Sagem_Crecerelle.jpg</t>
  </si>
  <si>
    <t>Reconnaissance UAV</t>
  </si>
  <si>
    <t>https://en.wikipedia.org/Reconnaissance UAV</t>
  </si>
  <si>
    <t>SAGEM</t>
  </si>
  <si>
    <t>https://en.wikipedia.org/SAGEM</t>
  </si>
  <si>
    <t>2.40 m (7 ft 11 in)</t>
  </si>
  <si>
    <t>3.30 m (10 ft 10 in)</t>
  </si>
  <si>
    <t>0.70 m (2 ft 4 in)</t>
  </si>
  <si>
    <t>120 kg (250 lb)</t>
  </si>
  <si>
    <t>1 × WAE 342 , 19 kW (25 hp)</t>
  </si>
  <si>
    <t>3,100 m (10,000 ft)</t>
  </si>
  <si>
    <t>Meggitt Banshee</t>
  </si>
  <si>
    <t>https://en.wikipedia.org/Meggitt Banshee</t>
  </si>
  <si>
    <t>Kawasaki Ki-3</t>
  </si>
  <si>
    <t>The Kawasaki Ki-3 (九三式単軽爆撃機, Kyūsan-shiki tankei bakugekiki) was a light bomber built by Kawasaki Kōkūki Kōgyō K.K. for the Imperial Japanese Army in the 1930s. It was the last biplane bomber design to be produced for the Imperial Japanese Army Air Force, and saw combat service in Manchukuo and in north China during the early stages of the Second Sino-Japanese War. The Ki-3 was a biplane design of all-metal construction with light alloy and fabric covering, with staggered wings and a fixed, divided landing gear. It was powered by one supercharged 592 kW (790 hp) BMW IX V12 inline engine, driving a wooden two-bladed propeller.[1] Maximum speed was 259 km/h (161 mph) and maximum take-off weight 3,097 kg (6,828 lb). One 7.7 mm (.303 in) machine gun was mounted to fire forward, synchronized with the propeller, and another was mounted dorsally on a flexible mount. The maximum bomb load was 500 kg (1,100 lb). The two man crew sat in open cockpits. The Ki-3 originated as a private venture, launched by Kawasaki to develop a dedicated reconnaissance aircraft. The latter's prototype, designated KDA-6, was designed by the German engineer Dr. Richard Vogt, who was working in Japan at the time. Takeo Doi the future chief designer for Kawasaki, worked as Vogt's assistant on the project; Vogt later went on to become chief designer for Blohm &amp; Voss. The KDA-6 was rejected by the IJA due to changes in the procurement process, despite having excellent performance and handling characteristics. Awarded the contract to build the Army Type 93 Single-engined Light Bomber, Kawasaki used their experience of the KDA-6 in their design for this new aircraft, which was given the Kitai number Ki-3.[1] A civilian version of the KDA-6, later designated Kawasaki A-6, was produced as a communications aircraft and was used successfully by the Asahi Shimbun newspaper for printing plate and personnel transport duties.[1] The Kawasaki Ki-3 was designated "Army Type 93-1 Single-engine Light Bomber" under the other Japanese military aircraft nomenclature system. It flew in April 1933[1] and entered operational service initially with the 6th Composite Air Regiment in Chosen (Korea). It subsequently was used in combat in Manchukuo (Manchuria) and in north China during the initial stages of the Second Sino-Japanese War, where it could make use of its good maneuverability to support ground troops. It was considered a rugged ground-attack aircraft, but the supercharger of its liquid-cooled engine was a constant source of problems.[1] Data from Japanese Aircraft, 1910–1941[1]General characteristics Performance Armament     Related lists</t>
  </si>
  <si>
    <t>//upload.wikimedia.org/wikipedia/commons/thumb/3/3a/Kawasaki_Ki-3.jpg/300px-Kawasaki_Ki-3.jpg</t>
  </si>
  <si>
    <t>Light bomber</t>
  </si>
  <si>
    <t>https://en.wikipedia.org/Light bomber</t>
  </si>
  <si>
    <t>Kawasaki Kōkūki Kōgyō K.K.</t>
  </si>
  <si>
    <t>https://en.wikipedia.org/Kawasaki Kōkūki Kōgyō K.K.</t>
  </si>
  <si>
    <t>Takeo Doi</t>
  </si>
  <si>
    <t>https://en.wikipedia.org/Takeo Doi</t>
  </si>
  <si>
    <t>{'Ki-3 (Army Type 93-1 Single-engine Light Bomber)': '243 built (3 prototypes, 200 by Kawasaki and 40 by '}</t>
  </si>
  <si>
    <t>10 m (32 ft 9.6 in)</t>
  </si>
  <si>
    <t>13 m (42 ft 7.8 in)</t>
  </si>
  <si>
    <t>38 m2 (409 sq ft)</t>
  </si>
  <si>
    <t>1,650 kg (3,638 lb)</t>
  </si>
  <si>
    <t>3,097 kg (6,828 lb)</t>
  </si>
  <si>
    <t>1 × Supercharged BMW IX liquid-cooled V12 engine , 592 kW (790 hp)</t>
  </si>
  <si>
    <t>259 km/h (161 mph, 140 kn)</t>
  </si>
  <si>
    <t>1933–1935</t>
  </si>
  <si>
    <t>Supermarine Nighthawk</t>
  </si>
  <si>
    <t>The Supermarine P.B.31E Nighthawk was a British aircraft of the First World War and the first project of the Pemberton-Billing operation after it became Supermarine Aviation Works Ltd. It was an anti-Zeppelin night fighter operated by a crew of three to five and had a planned flight endurance of 9–18 hours. The prototype flew in February 1917 with Clifford Prodger at the controls.[1] It proved to not meet the promised specification and no more were built. The Nighthawk had six-bay swept quadraplane wings and a biplane tailplane with twin fins and rudders. The fuselage filled the gap between the second and third wings; the cockpit, which carried up to the top wing "turret", was enclosed and heated. Along with the intended long endurance, it was suggested it would be able to patrol at low speeds and await the Zeppelin.[2] For armament, it had a trainable nose-mounted searchlight, a 1½-pounder (37 mm) Davis gun mounted above the top wing with 20 shells, and two .303 in (7.7 mm) Lewis guns. Power for the searchlight was provided by an independent petrol engine-driven generator set made by ABC Motors, possibly the first instance of a recognisable airborne auxiliary power unit.[3] Although touted as being able to reach 75 miles per hour (121 km/h), the P.B.31E prototype only managed 60 miles per hour (97 km/h) at 6,500 feet (2,000 m) and took an hour to climb to 10,000 feet (3,000 m), which was totally inadequate for intercepting Zeppelins.[4] German airships, such as P, or R Class military Zeppelins were themselves capable of top speeds of around 60 miles per hour (97 km/h).[5] Furthermore, given the Anzani engine's reputation for unreliability and overheating, it is unlikely that the aircraft would have delivered the advertised endurance. One of the two propellers of the Nighthawk is preserved in Solent Sky, an aviation museum in Southampton, England. Data from The British Fighter since 1912[1]General characteristics Performance Armament</t>
  </si>
  <si>
    <t>//upload.wikimedia.org/wikipedia/commons/thumb/e/ea/Supermarine_P.B.31E_Nighthawk.jpg/300px-Supermarine_P.B.31E_Nighthawk.jpg</t>
  </si>
  <si>
    <t>Anti-Zeppelin fighter Night fighter</t>
  </si>
  <si>
    <t>https://en.wikipedia.org/Anti-Zeppelin fighter Night fighter</t>
  </si>
  <si>
    <t>4 (2 pilots, 2 gunners)</t>
  </si>
  <si>
    <t>37 ft 0 in (11.28 m)</t>
  </si>
  <si>
    <t>17 ft 8.5 in (5.398 m)</t>
  </si>
  <si>
    <t>962 sq ft (89.4 m2)</t>
  </si>
  <si>
    <t>3,677 lb (1,668 kg)</t>
  </si>
  <si>
    <t>6,146 lb (2,788 kg)</t>
  </si>
  <si>
    <t>2 × Anzani 10-cylinder air-cooled radial piston engines, 100 hp (75 kW)  each</t>
  </si>
  <si>
    <t>4-bladed fixed-pitch propellers</t>
  </si>
  <si>
    <t>75 mph (121 km/h, 65 kn)</t>
  </si>
  <si>
    <t>Pemberton Billing P.B.29E</t>
  </si>
  <si>
    <t>https://en.wikipedia.org/Pemberton Billing P.B.29E</t>
  </si>
  <si>
    <t>Prototype only</t>
  </si>
  <si>
    <t>9 hours normal ; 18 hours maximum</t>
  </si>
  <si>
    <t>10,000 ft (3,048 m) in 60 minutes</t>
  </si>
  <si>
    <t>One 1½-pdr Davis gun and one Lewis gun above upper wing, and one Lewis gun in the nose</t>
  </si>
  <si>
    <t>Oberlerchner JOB 15</t>
  </si>
  <si>
    <t>The Oberlerchner JOB 15 was an Austrian two-seat light aircraft produced by Josef Oberlerchner Holzindustrie, which had previously designed and built gliders. Using experience as sailplane designers and builders, Josef Oberlerchner Holzindustrie determined to create a powered aircraft. The result was the JOB 5,[1] a two-seat side-by-side light aircraft of wooden construction.[2] It first flew in 1958. The company decided to build a slightly larger three-seat production version, the JOB 15. The JOB 15 was a low-winged monoplane of composite construction with fixed tailwheel undercarriage, with a wooden wing and steel-tube fuselage covered in glass-reinforced plastic and fabric. The prototype first flew in 1960 with a 135 hp (101 kW) Avco Lycoming O-290-D2B engine. Three aircraft were built before the a more powerful version, the JOB 15-150, was built with a 150 hp (112 kW) Avco Lycoming O-320-A2B engine. After 11 15-150s had been built an improved version, the JOB 15-150/2, was introduced and ten were built before production ended in the late 1960s. Data from Janes's All The World's Aircraft 1969-70[4]General characteristics Performance  Media related to Oberlerchner JOB 15 at Wikimedia Commons</t>
  </si>
  <si>
    <t>//upload.wikimedia.org/wikipedia/commons/thumb/8/80/JOB_15_D-EFNA_Bergfliegen_2009.jpg/300px-JOB_15_D-EFNA_Bergfliegen_2009.jpg</t>
  </si>
  <si>
    <t>Two-seat lightplane</t>
  </si>
  <si>
    <t>Josef Oberlerchner Holzindustrie</t>
  </si>
  <si>
    <t>7.68 m (25 ft 2 in)</t>
  </si>
  <si>
    <t>10.10 m (33 ft 2 in)</t>
  </si>
  <si>
    <t>1.99 m (6 ft 6 in)</t>
  </si>
  <si>
    <t>14.7 m2 (158 sq ft)</t>
  </si>
  <si>
    <t>NACA 643-418 at root, NACA 643-412 at tip</t>
  </si>
  <si>
    <t>601 kg (1,325 lb)</t>
  </si>
  <si>
    <t>285 km/h (177 mph, 154 kn)</t>
  </si>
  <si>
    <t>https://en.wikipedia.org/1960</t>
  </si>
  <si>
    <t>https://en.wikipedia.org/1962</t>
  </si>
  <si>
    <t>140 L (37 US gal; 31 imp gal)</t>
  </si>
  <si>
    <t>1 × Avco Lycoming O-320-A2B four-cylinder air-cooled horizontally-opposed engine, 110 kW (150 hp)</t>
  </si>
  <si>
    <t>235 km/h (146 mph, 127 kn)</t>
  </si>
  <si>
    <t>195 km/h (121 mph, 105 kn) (economical cruise)</t>
  </si>
  <si>
    <t>Oberlerchner JOB 5</t>
  </si>
  <si>
    <t>70 km/h (43 mph, 38 kn) (flaps down)</t>
  </si>
  <si>
    <t>4.40 m/s (866 ft/min)</t>
  </si>
  <si>
    <t>1,000 km (620 mi, 540 nmi) with max payload (65% power)</t>
  </si>
  <si>
    <t>1962-1966</t>
  </si>
  <si>
    <t>965 kg (2,127 lb)</t>
  </si>
  <si>
    <t>306 m (1,000 ft)</t>
  </si>
  <si>
    <t>338 m (1,109 ft)</t>
  </si>
  <si>
    <t>Mráz Bonzo</t>
  </si>
  <si>
    <t>The Mráz M-3 Bonzo was a light aircraft built in Czechoslovakia in 1948 as a further development in the family of light aircraft that had commenced with the M-1 Sokol.  The Bonzo was based on the Sokol airframe, but with a redesigned wing and substantial changes to the fuselage. These included lengthening it to allow for the addition of a fourth seat, reducing the height of the rear fuselage to allow for a new cabin with all-around visibility, and the addition of a semi-retractable nosewheel in place of a tailwheel. Funding for the construction of two prototypes was not approved by the Department of Transport, but designer Rublič was able to raise the money elsewhere to build one prototype, which flew in April 1948. It was hoped that production could begin in 1950, and the Bonzo was exhibited at the 1949 Paris Air Show. No sales resulted, however, and the prototype was flown for a while by the Institute of Cartography in Bratislava before being handed over for aeroclub use in 1952. In 1961, the Bonzo was flown to set a number of national speed records, but was withdrawn from use soon afterwards. Data from Jane's All The World's Aircraft 1951–52 [1]General characteristics Performance  Related development</t>
  </si>
  <si>
    <t>//upload.wikimedia.org/wikipedia/commons/thumb/7/7e/M-3_Bonzo_%281948%29_2.jpg/300px-M-3_Bonzo_%281948%29_2.jpg</t>
  </si>
  <si>
    <t>Utility aircraft</t>
  </si>
  <si>
    <t>Mráz</t>
  </si>
  <si>
    <t>https://en.wikipedia.org/Mráz</t>
  </si>
  <si>
    <t>Zdeněk Rublič</t>
  </si>
  <si>
    <t>https://en.wikipedia.org/Zdeněk Rublič</t>
  </si>
  <si>
    <t>7.72 m (25 ft 4 in)</t>
  </si>
  <si>
    <t>10.60 m (34 ft 9 in)</t>
  </si>
  <si>
    <t>2.25 m (7 ft 5 in)</t>
  </si>
  <si>
    <t>15.9 m2 (171 sq ft)</t>
  </si>
  <si>
    <t>580 kg (1,279 lb)</t>
  </si>
  <si>
    <t>165 L (36 imp gal; 44 US gal)</t>
  </si>
  <si>
    <t>1 × Walter Minor 6-III air-cooled six-cylinder inverted inline engine, 120 kW (160 hp)</t>
  </si>
  <si>
    <t>266 km/h (165 mph, 144 kn)</t>
  </si>
  <si>
    <t>5,000 m (16,000 ft)</t>
  </si>
  <si>
    <t>3.0 m/s (590 ft/min)</t>
  </si>
  <si>
    <t>Avia B-135</t>
  </si>
  <si>
    <t>The Avia B.135 (RLM designation Av-135) was a Czechoslovak cantilever monoplane fighter aircraft. It was the production version of the Avia B.35 developed shortly before the war, based on the B.35/3 prototype but featuring a new all-metal wing. The B.135/1 prototype attracted the attention of Bulgarian Air Force officers visiting the Avia plant, and a production contract for 12 aircraft and 62 engines was signed, as well as a license to allow an additional 50 airframes to be constructed by DAR as the DAR 11 Lyastovitsa (Bulgarian: "Лястовица"; "Swallow"). However, the DAR facilities proved to be incapable of producing the aircraft, and only the 12 Czech-built examples were ever made. Plans for further production were stopped by the RLM, which also interrupted engine deliveries after 35 units, and the Bulgarian Air Force was encouraged to purchase the Messerschmitt Bf 109 instead.  In service, the B.135s had continual engine problems and were soon relegated to training roles. Four aircraft did, however, see combat on 30 March 1944 when they intercepted USAAF bomber formations encroaching on Bulgarian airspace after attacking Ploieşti. Some (Bulgarian) sources credit Lieutenant Yordan Ferdinandov with a B-24 Liberator kill that morning. According to Bílý, all four Avias, led by Captain Atanasov, took part in the possible shooting down of a four-engined bomber that day.[1] The downed aircraft crashed in the area of Tran and Breznik, according to the log of Lieutenant Yordan Ferdinandov.  General characteristics Performance Armament   Aircraft of comparable role, configuration, and era  Related lists</t>
  </si>
  <si>
    <t>//upload.wikimedia.org/wikipedia/commons/thumb/7/7c/Avia_B-135_PD.jpg/300px-Avia_B-135_PD.jpg</t>
  </si>
  <si>
    <t>František Novotný</t>
  </si>
  <si>
    <t>https://en.wikipedia.org/František Novotný</t>
  </si>
  <si>
    <t>8.5 m (27 ft 11 in)</t>
  </si>
  <si>
    <t>10.85 m (35 ft 7 in)</t>
  </si>
  <si>
    <t>1.6 m (5 ft 3 in)</t>
  </si>
  <si>
    <t>2,063 kg (4,548 lb)</t>
  </si>
  <si>
    <t>https://en.wikipedia.org/28 September 1938</t>
  </si>
  <si>
    <t>1 × Avia (Hispano-Suiza) 12Ycrs V-12 liquid-cooled piston engine, 641 kW (860 hp)</t>
  </si>
  <si>
    <t>2-bladed wooden fixed pitch propeller</t>
  </si>
  <si>
    <t>535 km/h (332 mph, 289 kn) at 4,000 m (13,000 ft)</t>
  </si>
  <si>
    <t>460 km/h (290 mph, 250 kn)</t>
  </si>
  <si>
    <t>Bulgarian Air Force</t>
  </si>
  <si>
    <t>https://en.wikipedia.org/Bulgarian Air Force</t>
  </si>
  <si>
    <t>13.5 m/s (2,660 ft/min)</t>
  </si>
  <si>
    <t>550 km (340 mi, 300 nmi)</t>
  </si>
  <si>
    <t>2,547 kg (5,615 lb)</t>
  </si>
  <si>
    <t>Fieseler Fi 98</t>
  </si>
  <si>
    <t>The Fieseler Fi 98 was a prototype ground-attack aircraft produced by German aircraft manufacturer Fieseler as a rival to the Henschel Hs 123. Fieseler developed the model in response to the Reich Air Ministry specification of 11 February 1934 calling for a robust biplane for low-level attack and dive bombing. Three prototypes were ordered, of which one prototype was completed, and the design was rejected in favour of the Hs 123.  The design of the model, a braced-wing biplane, was essentially obsolescent. Data from The warplanes of the Third Reich,[1] Luftwaffe secret projects : ground attack &amp; special purpose aircraft [2]General characteristics Performance Armament   Aircraft of comparable role, configuration, and era  Related lists</t>
  </si>
  <si>
    <t>//upload.wikimedia.org/wikipedia/commons/thumb/e/e3/Fieseler_Fi_98.jpg/300px-Fieseler_Fi_98.jpg</t>
  </si>
  <si>
    <t>Dive bomberground-attack aircraft</t>
  </si>
  <si>
    <t>Fieseler</t>
  </si>
  <si>
    <t>https://en.wikipedia.org/Fieseler</t>
  </si>
  <si>
    <t>7.4 m (24 ft 3 in)</t>
  </si>
  <si>
    <t>24.51 m2 (263.8 sq ft)</t>
  </si>
  <si>
    <t>1,453 kg (3,203 lb)</t>
  </si>
  <si>
    <t>2,165 kg (4,773 lb)</t>
  </si>
  <si>
    <t>1 × BMW 132A-2 9-cylinder air-cooled radial engine, 485 kW (650 hp)</t>
  </si>
  <si>
    <t>295 km/h (183 mph, 159 kn) at 2,000 m (6,562 ft)</t>
  </si>
  <si>
    <t>470 km (290 mi, 250 nmi)</t>
  </si>
  <si>
    <t>1,000 m (3,281 ft) in 1 minute 7 seconds</t>
  </si>
  <si>
    <t>2 x fixed forward-firing 7.92 mm (0 in) MG 17 machine guns</t>
  </si>
  <si>
    <t>4 x 50 kg (110 lb) bombs</t>
  </si>
  <si>
    <t>SZD-45 Ogar</t>
  </si>
  <si>
    <t>The SZD-45 Ogar (Hound) is a T-tailed cantilever high-wing monoplane of wooden, aluminium and fibreglass construction designed and manufactured in Poland. Designed bu Dipl.-Ing. Tadeusz Labuc, the 2-seat Ogar is intended for training glider pilots from ab-initio to advanced stages as well as cross-country flying. The first prototype,(reg. no. SP-0001), first flew on 29 May 1973 powered by a 34 kW (45 hp) Stark-Stamo engine. Due to the Stamo engine being unavailable, production SZD-45A Ogars were built with 51 kW (68 hp) Limbach SL1700EC engines and later with Franklin 2A-120 engines as the SZD-45-2 Ogar F.[1] Of pod and boom layout the Ogar has a T-tail on a tubular Aluminium alloy tubular boom extending from the keel of the fuselage pod, which houses the cockpit and engine. A variety of materials are used in construction, with a glass-fibre cockpit shell over two load-bearing wooden frames. The wings are of wooden single-spar construction skinned with plywood and covered with glass-fibre. The engine is mounted at the rear of the fuselage pod, aft of the wing trailing edge at the same level and driving a pusher propeller. The undercarriage consists of a semi-retractable mainwheel fitted with a disc brake, steerable tailwheel and optional outrigger wheels on flexible struts at the wing-tips. Accommodation for two pilots is provided side by side under an aft-hinged upward-opening canopy. The Ogar was certified for simple aerobatics.[1] Of the 66 production aircraft, 41 were exported;those destined for the America were powered by dual-ignition, turbocharged, Revmaster/Volkswagen VW 2962 engines.[1] Data from Jane's World Sailplanes and Motor Gliders,[1] Gliders &amp; Sailplanes of the World[2]General characteristics Performance</t>
  </si>
  <si>
    <t>//upload.wikimedia.org/wikipedia/en/thumb/e/e0/Ogar_at_egtp.JPG/300px-Ogar_at_egtp.JPG</t>
  </si>
  <si>
    <t>2-seat Motorglider</t>
  </si>
  <si>
    <t>SZD (Szybowcowy Zakład Doświadczalny)</t>
  </si>
  <si>
    <t>Tadeusz Labuc[1]</t>
  </si>
  <si>
    <t>https://en.wikipedia.org/Tadeusz Labuc[1]</t>
  </si>
  <si>
    <t>29 May 1973[1]</t>
  </si>
  <si>
    <t>66[1]</t>
  </si>
  <si>
    <t>7.95 m (26 ft 1 in)</t>
  </si>
  <si>
    <t>17.53 m (57 ft 6 in)</t>
  </si>
  <si>
    <t>1.72 m (5 ft 8 in)</t>
  </si>
  <si>
    <t>19.1 m2 (206 sq ft)</t>
  </si>
  <si>
    <t>Wortmann FX-61-168/1261</t>
  </si>
  <si>
    <t>470 kg (1,036 lb)</t>
  </si>
  <si>
    <t>27.5 at 100 km/h (62 mph; 54 kn)</t>
  </si>
  <si>
    <t>0.96 m/s (189 ft/min) at 73 km/h (45 mph; 39 kn)</t>
  </si>
  <si>
    <t>36.6 kg/m2 (7.5 lb/sq ft)</t>
  </si>
  <si>
    <t>22 kg (48.5 lb)</t>
  </si>
  <si>
    <t>1 × Limbach SL 1700EC 4-cyl. air-cooled horizontally opposed piston engine, 50.7 kW (68.0 hp)</t>
  </si>
  <si>
    <t>2-bladed Hoffmann pusher propeller</t>
  </si>
  <si>
    <t>180 km/h (110 mph, 97 kn) at sea level in straight and level flight</t>
  </si>
  <si>
    <t>68 km/h (42 mph, 37 kn)</t>
  </si>
  <si>
    <t>549 km (341 mi, 296 nmi)</t>
  </si>
  <si>
    <t>700 kg (1,543 lb)</t>
  </si>
  <si>
    <t>89 km/h (55 mph; 48 kn)</t>
  </si>
  <si>
    <t>LVG C.VI</t>
  </si>
  <si>
    <t>The LVG C.VI was a German two-seat reconnaissance and artillery spotting aircraft used during World War I. The aircraft was designed by Willy Sabersky-Müssigbrodt and developed by Luft-Verkehrs-Gesellschaft (LVG) in 1917. The C.VI was a further development of the C.V, which Sabersky-Müssigbrodt had made for his former employer DFW. It was lighter, smaller and aerodynamically refined, although its fuselage seemed more bulky. It was a biplane of mixed, mostly wooden construction. It featured a semi-monocoque fuselage, plywood covered. Rectangular wings of wooden and metal construction, canvas covered. Upper wing of slightly greater span, shifted some 25 cm (10 in) towards front. Vertical fin plywood covered, rudder and elevators of metal frame canvas covered, stabilizers (tailplanes) of wooden frame canvas covered. Straight uncovered engine in the fuselage nose, with a chimney-like exhaust pipe. Two-blade Benz wooden propeller, 2.88 m (9.45 ft) diameter. Flat water radiator in central section of upper wing. Fixed conventional landing gear, with a straight common axle and a rear skid. Aircraft were equipped with a radio (morse;send only); transmissions were by means of an antenna which could be lowered below the aircraft when needed. The crew had parachutes and heated flying suits. A total of 1,100 aircraft of the type were manufactured.[1] Post-war several C.VIs with passenger cabins aft of the open cockpit were converted by Raab-Katzenstein as the LVG P.I, LVG P.II and alternatively Raab-Katzenstein RK-8 Marabu. Most LVG C.VIs were used by the German military aviation in last operations of World War I, mostly on Western Front, for close reconnaissance and observation. After the war, Deutsche Luft-Reederei (DLR) used several C.VIs to provide mail and passenger transport service. The Polish Air Force used several aircraft during the Polish-Soviet war, one left by the Germans, another completed from parts in 1920 and several more bought abroad. Suomen ilmailuliikenne Oy purchased two C.VIs in 1923, from a Swedish airline that had gone bankrupt in 1922, becoming the predecessor to Aero O/Y and Finnair. The Finnish Air Force purchased two aircraft;one destroyed in a spin in Santahamina in 1923, the other used until the end of 1924. More than 20 were used by Lithuania, two of which survived until 1940. Three were used in Czechoslovakia, two in Switzerland (1920–1929) and several in the USSR. Today, there are three surviving C.VIs. One is currently being restored at the RAF Museum in Cosford, one is on display at the Royal Museum of the Armed Forces and Military History in Belgium and the third one is at the Musée de l'Air et de l'Espace in Paris. Data from Thulinista Hornettiin[3]General characteristics Performance Armament  Related development Aircraft of comparable role, configuration, and era  Related lists</t>
  </si>
  <si>
    <t>//upload.wikimedia.org/wikipedia/commons/thumb/0/0e/LVG_C.VI.jpg/300px-LVG_C.VI.jpg</t>
  </si>
  <si>
    <t>Luft-Verkehrs-Gesellschaft G.m.b.H.</t>
  </si>
  <si>
    <t>https://en.wikipedia.org/Luft-Verkehrs-Gesellschaft G.m.b.H.</t>
  </si>
  <si>
    <t>1,100[1]</t>
  </si>
  <si>
    <t>7.45 m (24 ft 5 in)</t>
  </si>
  <si>
    <t>2.85 m (9 ft 4 in)</t>
  </si>
  <si>
    <t>37 m2 (400 sq ft)</t>
  </si>
  <si>
    <t>945 kg (2,083 lb)</t>
  </si>
  <si>
    <t>https://en.wikipedia.org/1917</t>
  </si>
  <si>
    <t>1 × Benz Bz.IV 6-cylinder water-cooled in-line piston engine, 147 kW (197 hp)</t>
  </si>
  <si>
    <t>170 km/h (110 mph, 92 kn)</t>
  </si>
  <si>
    <t>Luftstreitkräfte</t>
  </si>
  <si>
    <t>https://en.wikipedia.org/Luftstreitkräfte</t>
  </si>
  <si>
    <t>LVG C.V</t>
  </si>
  <si>
    <t>https://en.wikipedia.org/LVG C.V</t>
  </si>
  <si>
    <t>4.17 m/s (821 ft/min)</t>
  </si>
  <si>
    <t>1,390 kg (3,064 lb)</t>
  </si>
  <si>
    <t>Bartel BM 5</t>
  </si>
  <si>
    <t>The Bartel BM 5, initially known as M.5 was a Polish biplane advanced trainer used from 1930 to 1939 by the Polish Air Force, manufactured in the Samolot factory in Poznań. The aircraft was designed by Ryszard Bartel in Samolot factory in Poznań, as an advanced trainer, transitory between primary trainers and bomber or reconnaissance aircraft.  Bartel had worked since 1926 on his BM-3 advanced trainer design, the preliminary design for which won a military contest, but in the meantime he developed a quite successful primary trainer Bartel BM-4 and then decided to model the advanced trainer upon that plane, to obtain better durability.  The result was the BM 5 design.  The BM 5 prototype was built in 1928 and flown on 27 July that year in Poznań. It had good handling, high stability and spin resistance, which made it a suitable trainer for larger aircraft.  A distinguishing feature of all Bartels was an upper wing of a shorter span, because lower and upper wing halves were interchangeable (i.e. the lower wingspan included the width of the fuselage). The first prototype was designated BM 5a and was fitted with a 220 hp (160 kW) Austro-Daimler inline engine.  The second prototype, flown on  15 April 1929, was designated BM 5b and was fitted with a 230 hp (170 kW) SPA-6A inline engine, then was refitted in August with a 320 hp (240 kW) Hispano-Suiza 8Fb V-engine and redesignated BM 5c (it was meant to utilize engine stores from the Bristol F.2 Fighter).  Next 20 aircraft of each type were built: BM 5a, BM 5b and BM 5c. A disadvantage of most BM 5s were old and faulty engines. From all the variants the BM 5a variant was the heaviest and had the worst performance. For that reason in 1935 one BM 5 was fitted at the PZL works with a 240 hp (180 kW) Wright Whirlwind J-5 radial engine, produced in Poland (in Polish Skoda Works, then Avia). This variant was designated the BM 5d and 20 of BM 5a and BM-5b were next converted to BM 5d. BM 5s were used in the Polish Air Force for training from 1930, in a central pilots' school in Dęblin. Five BM 5c's were used in Naval Air Unit (MDLot) in Puck, but most were written off in the second half of 1930s and replaced with the PWS-26. Some survived until the German invasion of Poland in September 1939, but none survived the war. Wooden construction biplane. Fuselage rectangular in cross-section, plywood covered (engine section - aluminum covered). Rectangular two-spar wings, plywood and canvas covered. Crew of two, sitting in tandem in open cockpits, with individual windshields and twin controls, instructor in rear cockpit.  Fixed landing gear, with a rear skid. Engine in front, with a water radiator below fuselage nose (BM-4a,b,c). Two-blade wooden propeller. Fuel tanks in upper wings and fuselage, capacity: 235-270 L. Data from Polish Aircraft 1893–1939[1]General characteristics Performance</t>
  </si>
  <si>
    <t>//upload.wikimedia.org/wikipedia/commons/thumb/a/ac/Bartel_BM-5%2C_scheda_Aerei_da_Guerra.jpg/300px-Bartel_BM-5%2C_scheda_Aerei_da_Guerra.jpg</t>
  </si>
  <si>
    <t>Samolot</t>
  </si>
  <si>
    <t>https://en.wikipedia.org/Samolot</t>
  </si>
  <si>
    <t>7.81 m (25 ft 7 in)</t>
  </si>
  <si>
    <t>11.2 m (36 ft 9 in)</t>
  </si>
  <si>
    <t>3.18 m (10 ft 5 in)</t>
  </si>
  <si>
    <t>31 m2 (330 sq ft)</t>
  </si>
  <si>
    <t>906 kg (1,997 lb)</t>
  </si>
  <si>
    <t>1,294 kg (2,853 lb)</t>
  </si>
  <si>
    <t>41.7 kg/m2 (8.5 lb/sq ft)</t>
  </si>
  <si>
    <t>260 l (69 US gal; 57 imp gal) in two gravity tanks and a main fuselage tank</t>
  </si>
  <si>
    <t>1 × SPA 6A 6-cyl. water-cooled in-line piston engine, 160 kW (220 hp)</t>
  </si>
  <si>
    <t>2-bladed Szomański fixed pitch wooden propeller</t>
  </si>
  <si>
    <t>164 km/h (102 mph, 89 kn) at sea level</t>
  </si>
  <si>
    <t>3,250 m (10,660 ft)</t>
  </si>
  <si>
    <t>0.116 kW/kg (0.0704 hp/lb)</t>
  </si>
  <si>
    <t>70 km/h (43 mph, 38 kn)</t>
  </si>
  <si>
    <t>4 m/s (790 ft/min)</t>
  </si>
  <si>
    <t>450 km (280 mi, 240 nmi)</t>
  </si>
  <si>
    <t>1929-1930</t>
  </si>
  <si>
    <t>8 minutes 9 seconds to 1,000 m (3,300 ft), 35minute 38 seconds to 3,000 m (9,800 ft)</t>
  </si>
  <si>
    <t>Grob G180 SPn</t>
  </si>
  <si>
    <t>The Grob G180 SPn is a low-wing twin-engined composite corporate jet designed and built by German aircraft manufacturer Grob Aerospace. Development was suspended during 2008 in response to the Grob's insolvency; since then, multiple efforts have been made to re-launch the programme. By the turn of the century, German aircraft manufacturer Grob Aerospace had established itself as a producer of motor gliders and trainer aircraft.[1] However, during the mid-2000s, the company decided to embark on designing a jet-powered light aircraft; development work was carried out in relative secrecy at Grob's Tussenhausen-Mattsies facility. In response to perceived market demand, this aircraft would possess both the short-field and cargo-carrying performance traditionally associated with turboprop-powered aircraft, as well as the extensive use of composite materials.[1] The requirements of the aircraft were defined in close collaboration with the Swiss-based company ExecuJet Aviation Group. Grob Aerospace president Dr Andreas Plesske stated of the design: "We have created a new category of jet aircraft".[1] It was initially referred to as the 'SPn Utility Jet.[1] In a standard layout, the cabin seated a maximum of eight passengers; a typical cabin configuration would have included a forward toilet and a basic galley. The cabin, which had a volume of 11.5m3 (405ft3) and headroom of 1.64m, could be converted within an hour from a passenger to cargo configuration or vice versa, as well as accommodating a combi configuration that shared the space between passengers and cargo.[1] Both the wings and fuselage were composed of a rugged carbon fibre reinforced plastic (CFRP) composite, which were combined with a highly-reinforced undercarriage. This undercarriage was equipped with anti-lock brakes, large wheels and low-pressure tyres, aimed at making the aircraft capable of hassle-free routine operations from austere and unimproved landing strips.[2] The aircraft was powered by a pair Williams FJ44-3A turbofan engines, capable of generating up to of 2,800lb (12kN) of thrust; the cockpit was furnished with Honeywell's APEX integrated avionics suite, comprising a pair of 15in (0.4m) primary flight displays and two 10in multi-function displays.[1] The avionics were designed to accept various optional items, including an enhanced vision system, auto-throttle, emergency descent mode and an electronic flight bag.[2][3] During May 2005, the first prototype was completed; the first handful of sales were secured within the following weeks.[1] During June 2005, the programme's existence was publicly revealed. On 20 July 2005, the first prototype performed its maiden flight, flown by chief test pilot Gerard Guillaumaud, who later commented that: "During the flight, all systems and controls performed as expected...The aircraft was easy to handle and was a pleasure to fly".[4][5] By this point, ExecuJet Aviation Group has been appointed the exclusive worldwide sales distributor and maintenance support partner for the aircraft; Execujet stated it had forecast sales of roughly 400 aircraft over the next 10 years within the utility business jet market, for which the SPn was viewed as the sole option available.[1][6] During May 2006, a six-seat VIP cabin configuration was revealed for the type.[2][7] During November 2006, Grob stated that it had received significant interest in the development of a stretched variant of the aircraft being produced, including for surveillance purposes as a cost-effective alterative to the Northrop Grumman RQ-4 Global Hawk unmanned aerial vehicle.[8] Plans for a family of aircraft based on the type were mooted.[9] On 29 November 2006, the second prototype was destroyed by a crash that resulted in the death of chief test pilot Gerard Guillaumaud; it had been performing a demonstration flight at the time of the accident.[10] A subsequent investigation determined the primary cause of the accident was due to flutter in the elevators and tailplane.[11] Despite the accident, work continued on the production of a third prototype.[10] The crash impacted the company's certification timetable, which called for European Aviation Safety Agency (EASA) type certification to be achieved during the first quarter of 2007.[5] During February 2007, following a three month break, flight testing resumed using the third prototype; by this point, certification was targeted for early 2008.[12] During November 2008, development of the G180 was put on hold by the insolvency of Grob Aerospace.[13] The company's finances had been badly affected by the withdrawal of a major investor in the venture, aggravated by delays to the programme. While subsequent attempts had been made to raise investment amid the Great Recession, these had been unsuccessful.[14] While Grob's existing product range became the property of the newly-formed Grob Aircraft, the G180 programme fell under the ownership of the company's largest creditor. Prior to the company's collapse, around 100 orders had been secured for the G180, which had a list price of €5.9 million ($8.7 million).[13][15] The rights to the aircraft were acquired by Allied Aviation Technologies as a result of Grob's insolvency.[13] During March 2009, it was announced that the programme was intended to be reactivated.[16] During September 2010, DAHER subsidiary SOCATA announced that it would be evaluating the G180 SPn during the next few months, and was considering the programme's acquisition from Allied Aviation Technologies.[13] However, during 2012, DAHER-SOCATA stated that, following its year-long evaluation of the aircraft, it had identified several shortcomings and would not be participating in its development; the company stated that it would prefer to pursue its own clean-sheet twin-engine design instead.[17] After several years of quiet, reports emerged of a potential revival around 2015, some claiming that the recent success of the Pilatus PC-24 had stimulated such interest.[18] During the end of 2020 it was reported that Tata Advanced Systems of India has likely bought the Intellectual Property Rights of the aircraft [19] for the development of a military variant to be offered to the Indian army as a Signals intelligence gathering and surveillance platform.  Data from Flug-Revue[20]General characteristics Performance   Aircraft of comparable role, configuration, and era</t>
  </si>
  <si>
    <t>//upload.wikimedia.org/wikipedia/commons/thumb/5/59/Grob_Aircraft_SPn_D-CSPN.jpg/300px-Grob_Aircraft_SPn_D-CSPN.jpg</t>
  </si>
  <si>
    <t>Corporate jet</t>
  </si>
  <si>
    <t>Grob Aircraft</t>
  </si>
  <si>
    <t>https://en.wikipedia.org/Grob Aircraft</t>
  </si>
  <si>
    <t>1 pilot</t>
  </si>
  <si>
    <t>14.81 m (48 ft 7 in)</t>
  </si>
  <si>
    <t>14.86 m (48 ft 9 in)</t>
  </si>
  <si>
    <t>5.12 m (16 ft 9.5 in)</t>
  </si>
  <si>
    <t>6,300 kg (13,889 lb)</t>
  </si>
  <si>
    <t>9 passengers</t>
  </si>
  <si>
    <t>2 × Williams FJ44-3A turbofans , 12.44 kN (2,800 lbf) thrust  each</t>
  </si>
  <si>
    <t>Mach 0.70</t>
  </si>
  <si>
    <t>143 km/h (89 mph, 77 kn)</t>
  </si>
  <si>
    <t>22 m/s (4,360 ft/min)</t>
  </si>
  <si>
    <t>3,425 km (2,128 mi, 1,849 nmi)</t>
  </si>
  <si>
    <t>Operative</t>
  </si>
  <si>
    <t>Bell XP-52</t>
  </si>
  <si>
    <t>The Bell XP-52 and subsequent XP-59 were World War II fighter aircraft design projects by the American Bell Aircraft Corporation. Both projects featured a twin-boom layout with a rear-mounted engine driving pusher contra-rotating propellers. When the XP-59 project was cancelled the designation XP-59A was used as a cover for a secret jet fighter prototype, which would enter production as the P-59 Airacomet. The XP-52 design was begun by the Bell Company in 1940, separate from the R-40C competition, under the Air Material Command designator MX-3. The short fuselage carried a piston engine in the rear, driving a pair of contra-rotating propellers in a pusher configuration. The wings were swept back at an angle of 20 degrees, with a horizontal stabilizer mounted behind the propeller on twin booms running back from the wings. The fuselage was unusually streamlined, being round and barrel-shaped, with the forward-located pilot's cockpit fully faired-in to its lines and the nose ending in a round air intake which was ducted back internally to the engine.[1] The undercarriage was a tricycle arrangement, with the main wheels retracting into the tailbooms. Propulsion was to be provided by the experimental Continental XIV-1430-3 inverted V-12 engine.[2] The XP-52 was cancelled in October 1940 because the XIV-1430 engine ran into technical difficulties. Bell submitted a similar design to the US Navy as the Model 19, but this too was never built.[3] Although generally similar in layout to the XP-52, the XP-59 was slightly larger and heavier, and was to be powered by a Pratt and Whitney R-2800-23 engine of 2,000 horsepower (1,500 kW).[1] Two prototypes were ordered in February 1941.[3] On 3 October 1941 the contract for Bell's first jet fighter was signed. The prototype was designated the XP-59A and it would enter production as the P-59 Airacomet. The original XP-59 was cancelled on November 25, 1941 because Bell itself was pre-occupied with development of the Bell P-63 Kingcobra.[1][3]   Aircraft of comparable role, configuration, and era  Related lists</t>
  </si>
  <si>
    <t>//upload.wikimedia.org/wikipedia/commons/thumb/b/b4/Bell_XP-59_wind_tunnel_model_060913-F-1234P-012.jpg/300px-Bell_XP-59_wind_tunnel_model_060913-F-1234P-012.jpg</t>
  </si>
  <si>
    <t>Bell Aircraft Corporation</t>
  </si>
  <si>
    <t>https://en.wikipedia.org/Bell Aircraft Corporation</t>
  </si>
  <si>
    <t>Cancelled October 1940 (XP-52) Cancelled 25 November 1941 (XP-59)</t>
  </si>
  <si>
    <t>LWD Żuraw</t>
  </si>
  <si>
    <t>The LWD Żuraw was a Polish utility and liaison aircraft prototype of 1951, high-wing monoplane with single engine, that did not enter production. The name means crane. The aircraft was designed in 1949 by the LWD (Lotnicze Warsztaty Doświadczalne - Aircraft Experimental Workshops) as a utility and liaison aircraft for the Polish Air Force. The chief designer was Tadeusz Sołtyk. It was the last LWD design. A prototype first flew on 16 May 1951 (pilot Antoni Szymański). Because of a shortage of more powerful engines, it was fitted with the only available license-built Soviet radial Shvetsov M-11FR (118 kW, 160 hp). In addition to increased airframe weight (it was 160 kg heavier, than expected), the engine appeared too weak. To obtain STOL capabilities, the wings had slats and flaps. The wings were thinner near the canopy to obtain a good view, and they were slightly swept forward. Despite advantages, like short takeoff and landing and low stall speed, the performance was poor and the plane was not ordered for production. It was considered to use more powerful WN-3 or Ivchenko AI-14 engines, but the design was abandoned, because Poland had bought a license to produce the Yakovlev Yak-12M. An unusual feature was the triple tail, with two small vertical stabilizers in addition to a main central one. It was meant to improve aircraft stability at high angles of attack. The prototype was painted in Polish Air Force colours and markings, but was not used by the Polish Air Force. In 1951 it was passed to the Aviation Institute (Instytut Lotnictwa) to obtain certification of approval, and next it was used there for a couple of years. In 1952 it was given a civilian registration SP-GLB. The prototype was withdrawn from use in 1960 and in 1963 given to the Polish Aviation Museum in Kraków, where it remains in a damaged condition. Data from Jane's All The World's Aircraft 1956–57 [1]General characteristics Performance   Aircraft of comparable role, configuration, and era</t>
  </si>
  <si>
    <t>//upload.wikimedia.org/wikipedia/commons/thumb/b/ba/LWD-Zuraw_%28POL%29.jpg/300px-LWD-Zuraw_%28POL%29.jpg</t>
  </si>
  <si>
    <t>Liaison aircraft</t>
  </si>
  <si>
    <t>https://en.wikipedia.org/Liaison aircraft</t>
  </si>
  <si>
    <t>LWD</t>
  </si>
  <si>
    <t>https://en.wikipedia.org/LWD</t>
  </si>
  <si>
    <t>8.26 m (27 ft 1 in)</t>
  </si>
  <si>
    <t>11.70 m (38 ft 5 in)</t>
  </si>
  <si>
    <t>2.56 m (8 ft 5 in)</t>
  </si>
  <si>
    <t>21 m2 (230 sq ft)</t>
  </si>
  <si>
    <t>NACA 23012</t>
  </si>
  <si>
    <t>899 kg (1,982 lb)</t>
  </si>
  <si>
    <t>1,157 kg (2,551 lb)</t>
  </si>
  <si>
    <t>1 × Shvetsov M-11FR air-cooled 5-cylinder radial engine, 120 kW (160 hp)</t>
  </si>
  <si>
    <t>2-bladed wooden, 2.4 m (7 ft 10 in) diameter</t>
  </si>
  <si>
    <t>175 km/h (109 mph, 94 kn)</t>
  </si>
  <si>
    <t>2,500 m (8,200 ft)</t>
  </si>
  <si>
    <t>Polish military aviation</t>
  </si>
  <si>
    <t>2.1 m/s (410 ft/min)</t>
  </si>
  <si>
    <t>950 km (590 mi, 510 nmi)</t>
  </si>
  <si>
    <t>4.42 m (14 ft 6 in) (wings folded)</t>
  </si>
  <si>
    <t>Piper PA-36 Pawnee Brave</t>
  </si>
  <si>
    <t>The Piper PA-36 Pawnee Brave is a 1970s American single-engined, low-wing, propeller-driven agricultural plane built by Piper Aircraft. The PA-36 was first announced in 1972 as a new version of the PA-25 Pawnee with a more powerful 285 hp Continental Tiara 6-285 flat-six engine. The aircraft had a new wing with removable leading edges; improved ventilation and heating system; "Safoam" anti-sloshing compound in the fuel tanks; and a larger standard hopper of 30 ft³ (0.85m³).[1] An optional 38 ft³ (1.08 m³) hopper was also available. The type entered service in 1973. In 1977 a new version became available with a 300 hp (224 kW) Lycoming IO-540-K1G5 engine.  The new model was called the PA-36 Pawnee Brave 300 while the original aircraft was redesignated the PA-36 Pawnee Brave 285. In 1978 the Brave 300 became the standard model and another more powerful model was introduced, the PA-36 Brave 375 with a 375 hp (280 kW) Lycoming IO-720-D1CD flat-eight engine. In 1981 Piper sold the rights in the design to WTA Incorporated, which marketed two versions from 1982 with 375 hp and 400 hp (298 kW) engines as the New Brave 375 and New Brave 400 respectively. It had built a total of 150 New Braves by 1987.[2] In October 1997, the rights were assigned to The New Piper Aircraft, Inc. Data from Jane's All The World's Aircraft 1988–89 [3]General characteristics Performance  Related development</t>
  </si>
  <si>
    <t>//upload.wikimedia.org/wikipedia/commons/thumb/e/eb/Piper_PA-36_Pawnee_Brave.jpg/300px-Piper_PA-36_Pawnee_Brave.jpg</t>
  </si>
  <si>
    <t>Agricultural plane</t>
  </si>
  <si>
    <t>https://en.wikipedia.org/Agricultural plane</t>
  </si>
  <si>
    <t>Piper Aircraft</t>
  </si>
  <si>
    <t>https://en.wikipedia.org/Piper Aircraft</t>
  </si>
  <si>
    <t>938 (Piper-built)</t>
  </si>
  <si>
    <t>{'Brave 300': ''}</t>
  </si>
  <si>
    <t>27 ft 6 in (8.38 m)</t>
  </si>
  <si>
    <t>38 ft 9+1⁄2 in (11.824 m)</t>
  </si>
  <si>
    <t>225.65 sq ft (20.964 m2)</t>
  </si>
  <si>
    <t>NACA 633-618</t>
  </si>
  <si>
    <t>2,465 lb (1,118 kg)</t>
  </si>
  <si>
    <t>38 cu ft (1.08 m3)275 US gal (229 imp gal; 1,040 L) liquids or2,200 lb (1,000 kg) dry chemicals</t>
  </si>
  <si>
    <t>86 US gal (72 imp gal; 330 L) usable fuel</t>
  </si>
  <si>
    <t>1 × Avco Lycoming IO-720-D1C flat-eight air-cooled piston engine, 375 hp (280 kW)</t>
  </si>
  <si>
    <t>3-bladed Hartzell constant-speed propeller, 7 ft 2 in (2.18 m) diameter</t>
  </si>
  <si>
    <t>142 mph (229 km/h, 123 kn) (crop sprayer)</t>
  </si>
  <si>
    <t>Piper PA-25 Pawnee</t>
  </si>
  <si>
    <t>https://en.wikipedia.org/Piper PA-25 Pawnee</t>
  </si>
  <si>
    <t>920 ft/min (4.7 m/s)</t>
  </si>
  <si>
    <t>452 mi (727 km, 393 nmi)</t>
  </si>
  <si>
    <t>1973–1981</t>
  </si>
  <si>
    <t>4,800 lb (2,177 kg)</t>
  </si>
  <si>
    <t>1,500 ft (460 m)</t>
  </si>
  <si>
    <t>1,440 ft (440 m)</t>
  </si>
  <si>
    <t>Argus As 292</t>
  </si>
  <si>
    <t>The Argus As 292 was originally developed in 1939 as a small, remote-controlled unmanned anti-aircraft target drone. A short-range reconnaissance version was also developed. The success of the project led to the Argus Fernfeuer UAV proposal. The As 292 was designed by Dr. Ing. Fritz Gosslau at Argus Motoren GmbH. Work began on the drone in 1937 at the Argus-Flugmotorenwerke (Argus aero-engine factory) in Berlin-Reinickendorf. Apart from Argus, two other companies were involved in the production of the As 292: Deutsche Forschungsanstalt für Segelflug (German: German Research Institute for Gliding) supplied technical assistance with the airframe construction; C. Lorenz Company with the radio-control system. At DFS the drone was referred to as Model 12. As a target for anti-aircraft gunners, the As 292 was given the designation of Flakzielgerät 43 (Flak-Target Apparatus 43). An earlier effort in 1937 at developing an aircraft-sized target drone, the Fieseler Fi 157, ended in failure. The first As 292 made the type's first unguided flight on June 9, 1937. First remotely controlled flight was made on May 14, 1939. During flight testing, cameras were fitted to a prototype As 292. Testing of this Aufklärungsgerät (reconnaissance device) version started in early 1939 and first aerial photography was made on 2 October 1939. After successful demonstrations Argus received an initial production order for 100 As 292 aircraft in late 1939. Ordered aircraft were delivered in 1942–43. The airframe was of simple tubular construction; the high dihedral wings were removable for when the As 292 was being transported. At least one As 292 was painted in overall red with white strips. General characteristics Performance Avionics</t>
  </si>
  <si>
    <t>Unmanned anti-aircraft target drone; short-range reconnaissance UAV</t>
  </si>
  <si>
    <t>https://en.wikipedia.org/Unmanned anti-aircraft target drone; short-range reconnaissance UAV</t>
  </si>
  <si>
    <t>Argus Motoren GmbH</t>
  </si>
  <si>
    <t>https://en.wikipedia.org/Argus Motoren GmbH</t>
  </si>
  <si>
    <t>9 June 1937 (Unguided)14 May 1939 (Remotely controlled)</t>
  </si>
  <si>
    <t>At least 100</t>
  </si>
  <si>
    <t>Argus Fernfeuer</t>
  </si>
  <si>
    <t>https://en.wikipedia.org/Argus Fernfeuer</t>
  </si>
  <si>
    <t>2.4 m (7 ft 10 in)</t>
  </si>
  <si>
    <t>27 kg (60 lb)</t>
  </si>
  <si>
    <t>https://en.wikipedia.org/9 June 1937 (Unguided)14 May 1939 (Remotely controlled)</t>
  </si>
  <si>
    <t>1 × Argus Motoren GmbH , 2.2 kW (3 hp)   6–7 hp (4.5–5.2 kW)</t>
  </si>
  <si>
    <t>30 minutes</t>
  </si>
  <si>
    <t>https://en.wikipedia.org/1942-1943</t>
  </si>
  <si>
    <t>Dufaux 4</t>
  </si>
  <si>
    <t>The Dufaux 4 was an experimental aircraft built in Switzerland in 1909 and which was originally constructed as an unnamed biplane, the third aircraft constructed by the brothers Armand and Henri Dufaux. The aircraft was entirely conventional for the era - a two-bay biplane with unstaggered wings of equal span and a triangular-section fuselage. Construction began in mid-September 1909 and work proceeded rapidly, as the brothers hoped to claim a CHF 1,000 prize put up by the Automobile Club de Suisse for the first Swiss-built aircraft to fly a 1 km closed-circuit. In early December, flight tests commenced at a field in Corsier. Although the machine made a few hops, it would not fly. The Dufaux brothers concluded that the field chosen was too small to give the aircraft enough room to build up speed for takeoff, so they selected a new location for their tests in Viry, in neighbouring France. The aircraft was assembled there on December 16 and a number of successful flights were made that same afternoon. The following day, the aircraft refused to takeoff on a number of attempts, but finally became airborne late in the afternoon. During this flight, at an altitude of 15 metres (50 ft), Henri attempted to bank the aircraft, but instead, it sideslipped to the ground. Both wings and the propeller were destroyed in the crash, but Henri was completely uninjured and the engine was undamaged. The brothers quickly rebuilt the machine in time to display it at an aviation meet at Colombier, but due to the inclement weather, did not attempt to fly it. By this time the brothers had started building the design, now dubbed the Dufaux 4, in series and were accepting orders for aircraft. In May, the aircraft was demonstrated for the Swiss military, but the brothers were informed that the aircraft was not suitable for military purposes. The Dufaux 4 is perhaps best remembered for a successful aerial crossing of Lake Geneva, performed by Armande on 28 August.  He flew 66 km (41 mi) from St. Gingolph to Geneva at an altitude of around 150 m (500 ft), taking 56 minutes and 5 seconds for the crossing, and collecting a prize of CHF 5,000 that had been put up by the Perrot-Duval Company for this feat. An example is preserved at the Swiss Transport Museum. Data from[citation needed]General characteristics Performance</t>
  </si>
  <si>
    <t>//upload.wikimedia.org/wikipedia/commons/thumb/9/9b/Dufaux_4_-_1909.jpg/300px-Dufaux_4_-_1909.jpg</t>
  </si>
  <si>
    <t>Armand and Henri Dufaux</t>
  </si>
  <si>
    <t>https://en.wikipedia.org/Armand and Henri Dufaux</t>
  </si>
  <si>
    <t>9.50 m (31 ft 2 in)</t>
  </si>
  <si>
    <t>2.70 m (8 ft 10 in)</t>
  </si>
  <si>
    <t>24.0 m2 (258 sq ft)</t>
  </si>
  <si>
    <t>180 kg (397 lb)</t>
  </si>
  <si>
    <t>320 kg (705 lb)</t>
  </si>
  <si>
    <t>https://en.wikipedia.org/17 December 1909</t>
  </si>
  <si>
    <t>1 × Anzani 3-cylinder fan engine , 19 kW (25 hp)</t>
  </si>
  <si>
    <t>500 m (1,600 ft)</t>
  </si>
  <si>
    <t>Hawker Hornbill</t>
  </si>
  <si>
    <t>The Hawker Hornbill was the last Hawker military aircraft designed under the direction of W. G. Carter. The design was started in 1925 and the first flight took place in July 1925.[1] The Hornbill did not achieve service in the Royal Air Force due to problems in its power plant and radiator. Only one aircraft was built. The Hornbill had a mixed material construction, having a steel engine mount and front fuselage covered with duralumin sheet. The rear fuselage was made of wood structure covered with canvas. The wings also were of wood and canvas. The engine was a 698 hp (520 kW) Rolls-Royce Condor IV driving a fine pitch wooden propeller. The aircraft was very fast but lacking in stability and control. At 150 mph (241 km/h), steep turns could not be made without applying full rudder. Engine overheating occurred during flight tests. The single centrally mounted radiator was replaced by two radiators mounted in the lower inner wings, but the problem was not fully cured. The small size of the cockpit restricted the movement of the pilot. Data from The British Fighter since 1912[1]General characteristics Performance Armament</t>
  </si>
  <si>
    <t>//upload.wikimedia.org/wikipedia/commons/thumb/c/c0/Hawker_Hornbill_flying.png/300px-Hawker_Hornbill_flying.png</t>
  </si>
  <si>
    <t>Hawker Aircraft</t>
  </si>
  <si>
    <t>https://en.wikipedia.org/Hawker Aircraft</t>
  </si>
  <si>
    <t>W. G. Carter</t>
  </si>
  <si>
    <t>https://en.wikipedia.org/W. G. Carter</t>
  </si>
  <si>
    <t>26 ft 7+1⁄4 in (8.109 m)</t>
  </si>
  <si>
    <t>31 ft 0 in (9.45 m)</t>
  </si>
  <si>
    <t>9 ft 8 in (2.95 m)</t>
  </si>
  <si>
    <t>317 sq ft (29.5 m2)</t>
  </si>
  <si>
    <t>2,975 lb (1,349 kg)</t>
  </si>
  <si>
    <t>3,769 lb (1,710 kg)</t>
  </si>
  <si>
    <t>1 × Rolls-Royce Condor IV water cooled V12 engine, 698 hp (520 kW)</t>
  </si>
  <si>
    <t>187 mph (301 km/h, 162 kn) at sea level</t>
  </si>
  <si>
    <t>22,700 ft (6,900 m)</t>
  </si>
  <si>
    <t>200 mi (320 km, 170 nmi)</t>
  </si>
  <si>
    <t>3,800 lb (1,724 kg) (overload)</t>
  </si>
  <si>
    <t>6 min 30 s to 10,000 ft (3,000 m)</t>
  </si>
  <si>
    <t>1 × .303 in (7.7 mm) Vickers machine gun</t>
  </si>
  <si>
    <t>LTV XC-142</t>
  </si>
  <si>
    <t>The Ling-Temco-Vought (LTV) XC-142 was a tri-service tiltwing experimental aircraft designed to investigate the operational suitability of vertical/short takeoff and landing (V/STOL) transports. An XC-142A first flew conventionally on 29 September 1964, and on 11 January 1965, it completed its first transitional flight by taking off vertically, changing to forward flight and finally landing vertically. Its service sponsors pulled out of the program one by one, and it eventually ended due to a lack of interest after demonstrating its capabilities successfully. In 1959 the America Army, Navy and Air Force began work on the development of a prototype V/STOL aircraft that could augment helicopters in transport-type missions. Specifically they were interested in designs with longer range and higher speeds than existing helicopters, in order to support operations over longer distances, or in the case of the America Marine Corps, from further offshore. On 27 January 1961, a series of DOD actions resulted in an agreement where all of the military services would work on the Tri-Service Assault Transport Program under the Navy's Bureau of Naval Weapons (BuWeps) leadership. The original outline had been drawn up as a replacement for the Sikorsky HR2S, with a payload on the order of 10,000 lb (4,500 kg). BuWeps released a revised specification that specified the same payload, but extended the operational radius to 250 miles (400 km) and increased the cruising airspeed to 250–300 knots (460–560 km/h) and the maximum airspeed to 300–400 knots (560–740 km/h). However, for the Marine Corps mission, the requirement stated that the fuel load could be reduced so that the maximum gross weight would not exceed 35,000 pounds (16,000 kg), as long as a 100-nautical-mile (190 km) radius was maintained. Vought responded with a proposal combining engineering from their own design arm, as well as Ryan and Hiller, who had more extensive helicopter experience. Their proposal won the design contest, and a contract for five prototypes was signed in early 1962 with first flight specified for July 1964. The design was initially known as the Vought-Ryan-Hiller XC-142, but when Vought became part of the LTV conglomerate this naming was dropped. During the prototype development the Navy decided to exit the program. They were concerned that the strong propeller downwash would make it difficult to operate. Their existing HR2S fleet had a ground pressure of about 7.5 psi (500 hPa), and proved to blow people about on the ground and stir up considerable amounts of debris. The C-142 was predicted to have an even higher loading of 10 psi (700 hPa), which they believed would limit it to operations to and from prepared landing pads and was therefore unsuitable for assault operations. The first prototype made its first conventional flight on 29 September 1964, first hover on 29 December 1964, and first transition on 11 January 1965. The first XC-142A was delivered to the Air Force test team in July 1965. During the XC-142A program, a total of 420 hours were flown in 488 flights. The five XC-142As were flown by 39 different military and civilian pilots. Tests included carrier operations, simulated rescues, paratroop drops, and low-level cargo extraction. During testing the aircraft's cross-linked driveshaft proved to be its Achilles heel. The shaft resulted in excessive vibration and noise, resulting in a high pilot workload. Additionally, it proved susceptible to problems due to wing flexing. Shaft problems, along with operator errors, resulted in a number of hard landings causing damage. One crash occurred as a result of a failure of the driveshaft to the tail rotor, causing three fatalities. One of the limitations found in the aircraft was an instability between wing angles of 35 and 80 degrees, encountered at extremely low altitudes. There were also high side forces which resulted from yaw and weak propeller blade pitch angle controls. The new "2FF" propellers also proved to generate less thrust than predicted. The basic design was fairly typical for a cargo aircraft, consisting of a large boxy fuselage with a tilted rear area featuring a loading ramp. It had a wingspan of 67 ft (20 m) and was 58 ft (18 m) long overall. The fuselage housed a 30 ft (9.1 m) long, 7.5 ft (2.3 m) wide 7 ft (2.1 m) high cargo area with a somewhat boxy cockpit on the front for the crew of two pilots and a loadmaster. The wing was high-mounted and the tail surfaces were a "semi-T-tail" to keep the rear area clear during loading. Tricycle landing gear were used, with the main legs retracting into blisters on the fuselage sides. In normal parked configuration it would appear to be a conventional cargo plane. For V/STOL operations, the aircraft "converted" by tilting its wing to the vertical. Roll control during hover was provided by differential clutching of the propellers, while yaw used the ailerons, which were in the airflow. For pitch control the aircraft featured a separate tail rotor, oriented horizontally to lift the tail, as opposed to the more conventional anti-torque rotors on helicopters that are mounted vertically. When on the ground, the tail rotor folded against the tail to avoid being damaged during loading. The wing could be rotated to 100 degrees, past vertical, in order to hover in a tailwind. The C-142 was powered by four General Electric T64 turboshaft engines cross-linked on a common driveshaft, which eliminated engine-out asymmetric thrust problems during V/STOL operations, to drive four 15.5-foot (4.7 m) Hamilton Standard fiberglass propellers. Compared to conventional designs it was overpowered: it had 0.27 hp/lb, compared to 0.12 hp/lb for the contemporary Lockheed C-130D Hercules. This extra power was required for safe VTOL operations, and gave the aircraft excellent all-around performance which included a maximum speed of over 400 mph (640 km/h), making it one of the fastest VTOL transport aircraft of the era. The aircraft never proceeded beyond the prototype stage. In 1966, while tests were still underway, the Air Force requested a proposal for a production version, the C-142B. Since the Navy had backed out by this time, the Navy carrier compatibility requirement could be eliminated, which dramatically reduced the empty weight. Other changes proposed for this version included a streamlined cockpit, larger fuselage, upgraded engines and simplified engine maintenance. After reviewing the C-142B proposal, the tri-services management team could not develop a requirement for a V/STOL transport. XC-142A testing ended, and the remaining flying copy was turned over to NASA for research testing from May 1966 to May 1970. In service it would carry 32 equipped troops or 8,000 pounds (4,000 kg) of cargo. It had maximum gross weight of 41,000 pounds (19,000 kg) for a vertical take-off and 45,000 pounds (20,000 kg) for a short takeoff. A civilian version, the Downtowner, was also proposed. This was designed to carry 40–50 passengers at a cruise speed of 290 mph (470 km/h) using only two of its engines.[1] Of the five aircraft built, only one still survives. Data from Jane's All The World's Aircraft 1965–66[3]General characteristics Performance  Aircraft of comparable role, configuration, and era  Related lists</t>
  </si>
  <si>
    <t>//upload.wikimedia.org/wikipedia/commons/thumb/b/b5/Ling-Temco-Vought_XC-142A.jpg/300px-Ling-Temco-Vought_XC-142A.jpg</t>
  </si>
  <si>
    <t>Experimental V/STOL transport</t>
  </si>
  <si>
    <t>https://en.wikipedia.org/Experimental V/STOL transport</t>
  </si>
  <si>
    <t>Ling-Temco-Vought (LTV)</t>
  </si>
  <si>
    <t>https://en.wikipedia.org/Ling-Temco-Vought (LTV)</t>
  </si>
  <si>
    <t>58 ft 1 in (17.70 m)</t>
  </si>
  <si>
    <t>67 ft 6 in (20.57 m)</t>
  </si>
  <si>
    <t>26 ft 1 in (7.95 m)</t>
  </si>
  <si>
    <t>534.5 sq ft (49.66 m2)</t>
  </si>
  <si>
    <t>22,595 lb (10,249 kg)</t>
  </si>
  <si>
    <t>34,474 lb (15,637 kg) (VTOL weight)</t>
  </si>
  <si>
    <t>32 fully-equipped troops or24 stretcher patients and 4 attendants or8,000 lb (3,600 kg) cargo</t>
  </si>
  <si>
    <t>1,400 US gal (1,200 imp gal; 5,300 L)</t>
  </si>
  <si>
    <t>4 × General Electric T64-GE-1 turboprops, 2,850 shp (2,130 kW)  each</t>
  </si>
  <si>
    <t>4-bladed Hamilton Standard variable-pitch propellers, 15.5 ft 0 in (4.72 m) diameter</t>
  </si>
  <si>
    <t>431 mph (694 km/h, 375 kn) at 20,000 ft (6,100 m)</t>
  </si>
  <si>
    <t>288 mph (463 km/h, 250 kn) at sea level</t>
  </si>
  <si>
    <t>6,800 ft/min (35 m/s)</t>
  </si>
  <si>
    <t>44,500 lb (20,185 kg) (STOL)</t>
  </si>
  <si>
    <t>230–470 mi (370–760 km, 200–410 nmi)</t>
  </si>
  <si>
    <t>3,800 mi (6,100 km, 3,300 nmi)</t>
  </si>
  <si>
    <t>Hawker 4000</t>
  </si>
  <si>
    <t>The Hawker 4000, originally known as the Hawker Horizon, is a super-midsize business jet developed by Hawker Beechcraft (formerly Raytheon Aircraft Company). Raytheon announced a new business jet in November 1996 as a larger aircraft than the existing Hawker 1000 that formed the top of Raytheon's jet range. The design, then known as the Hawker Horizon, was intended to fly in 1999, with certification and initial customer deliveries planned for 2001.[2] The first prototype made its maiden flight on August 11, 2001,[3] with the second prototype and third prototypes making their maiden flights on May 10 and July 31, 2002.[4] It made its public debut in November 2002 when a development aircraft was displayed at the National Business Aviation Association (NBAA) convention.[4] As of March 2007 orders totaled more than 130 aircraft, with deliveries scheduled to begin in June 2008.  On December 2, 2005 NetJets signed an order for 50 of the new aircraft, the largest single commercial order in the history of Raytheon Aircraft.[5] The Hawker 4000 was certified to FAA FAR Part 25 standards, which places a five-year time limit on certification of a new transport category aircraft. The 4000 completed Function and Reliability Tests on May 25, 2006.[6] During September 2005, a prototype underwent testing at the McKinley Climatic Laboratory at Eglin Air Force Base, Florida.[7]  However, since the Part 25 five-year window expired May 31, 2006, the company filed an extension request to head off the possibility that the certification program would need to restart from the beginning. On November 21, 2006, the company announced that the 4000 had received its FAA type certification.[8] In May 2008, BJETS completed an order for ten Hawker 4000 business jets from Hawker Beechcraft Corporation. The contract value including all options exercised was said to be in excess of $330 million. The deal was announced at EBACE on May 20, 2008.[9] and[10] Following the BJETS order, Hawker Beechcraft delivered its Hawker 4000 super-midsized business jet to customer Jack P. DeBoer during a special ceremony at the company's Customer Delivery Center in Wichita, Kan. At the time, the Hawker 4000 was the first aircraft in its class to use carbon composite construction.[11] The Hawker 4000 received its certification from the Civil Aviation Administration of China in December 2009.[12] In February 2010, Hawker Beechcraft delivered its first Hawker 4000 to a customer in mainland China.[13] As of May 2013, Hawker-Beechcraft is offering its jet division, including the Hawker 4000 project, for sale. The company intends to focus on propeller-driven aircraft; leaving the future of the Hawker 4000 up to an eventual buyer.[14][15] By 2018, 2008-2010 Hawker 4000s were priced around $4 million, at the engines’ scrap value.[16] The Hawker 4000 can be outfitted to seat ten people. The aircraft's carbon composite construction gives it more interior space than many jets in its class.[citation needed] Interior standing room is an average of six feet.[17]  This composite construction also makes the aircraft lighter than a standard aluminum structure, allowing a maximum range of 3,445 nautical miles, and a service ceiling of 45,000 feet (14,000 m).[18]  The flight deck features a Honeywell Primus Epic avionics suite with EICAS, FADEC and autothrottle. Data from Flight International.[19]General characteristics Performance   Aircraft of comparable role, configuration, and era  Related lists</t>
  </si>
  <si>
    <t>//upload.wikimedia.org/wikipedia/commons/thumb/7/7e/Hawker_4000_%289357283224%29.jpg/300px-Hawker_4000_%289357283224%29.jpg</t>
  </si>
  <si>
    <t>Hawker Beechcraft  Raytheon Aircraft Company</t>
  </si>
  <si>
    <t>https://en.wikipedia.org/Hawker Beechcraft  Raytheon Aircraft Company</t>
  </si>
  <si>
    <t>73[1]</t>
  </si>
  <si>
    <t>2 pilots</t>
  </si>
  <si>
    <t>69 ft 2 in (21.08 m)</t>
  </si>
  <si>
    <t>61 ft 9 in (18.82 m)</t>
  </si>
  <si>
    <t>19 ft 7 in (5.97 m)</t>
  </si>
  <si>
    <t>22,275 lb (10,104 kg)</t>
  </si>
  <si>
    <t>8 passengers typical, 14 maximum and 15,225 lb (6,906 kg) useful load</t>
  </si>
  <si>
    <t>14600 lb / 6623 kg</t>
  </si>
  <si>
    <t>2 × Pratt &amp; Whitney Canada PW308A turbofan, 6,900 lbf (31 kN) thrust each</t>
  </si>
  <si>
    <t>470 kn (540 mph, 870 km/h)</t>
  </si>
  <si>
    <t>45,000 ft (13,716 m)</t>
  </si>
  <si>
    <t>3,341 nmi (3,845 mi, 6,188 km)</t>
  </si>
  <si>
    <t>Active Service</t>
  </si>
  <si>
    <t>2001-2013</t>
  </si>
  <si>
    <t>39,500 lb (17,917 kg)</t>
  </si>
  <si>
    <t>25 ft / 7.62 m</t>
  </si>
  <si>
    <t>6 ft 6 in / 1.97 m</t>
  </si>
  <si>
    <t>6 ft / 1.83 m</t>
  </si>
  <si>
    <t>33,500 lb / 15,195 kg</t>
  </si>
  <si>
    <t>2625 lb / 1190 kg</t>
  </si>
  <si>
    <t>4,509 ft / 1,374 m</t>
  </si>
  <si>
    <t>2,916 ft / 889 m</t>
  </si>
  <si>
    <t>Grumman American AA-5</t>
  </si>
  <si>
    <t>The Grumman American AA-5 series is a family of American all-metal, four-seat, light aircraft used for touring and training. The line includes the original American Aviation AA-5 Traveler, the Grumman American AA-5 Traveler, AA-5A Cheetah, and AA-5B Tiger, the Gulfstream American AA-5A Cheetah and AA-5B Tiger, the American General AG-5B Tiger, and the Tiger Aircraft AG-5B Tiger. Following American Aviation's success with the AA-1 Yankee Clipper two-seat light aircraft in 1969, the company decided to produce a four-seat aircraft. They started with a new "clean-sheet" design that was designated the American Aviation AA-2 Patriot. The AA-2 design did not meet its performance goals during test-flying and only one was ever built. Still needing a four-seat aircraft to fill its product line, the company simply enlarged the external and cabin dimensions of the AA-1 Yankee to create the four-seater. This decision capitalized on the marketplace identification of the Yankee and its derivative the AA-1A Trainer and also resulted in 2/3 parts commonality between the designs, saving development time and production costs. The new four-place aircraft, named the American Aviation AA-5 Traveler, was powered by a Lycoming O-320-E2G engine of 150 hp (110 kW). It would carry four people at 121 knots (224 km/h) cruise speed and was certified under US FAR Part 23.[1] Production of the Traveler had just started in 1971 when American Aviation was sold to Grumman and became the Grumman American division. Grumman continued production of the Traveler. 834 Travelers had been produced when production of this model ceased in 1975. A redesign of the AA-5 was undertaken in 1974, with the resulting 1975 model Traveler featuring an aerodynamic cleanup of the engine cowling and main landing gear fairings. The tail section remained unchanged. As a result of these changes the 1975 Traveler had a cruise speed of 127 knots (235 km/h). The Traveler was superseded in production the following year by the further refined AA-5A Cheetah. Grumman's engineers felt that the AA-5 design had more speed potential than the original Traveler, even with its 1975 improvements, and so embarked on an aerodynamic cleanup and redesign. Changes were made to the engine cowling and baffling to reduce cooling drag, the exhaust system was redesigned, the main landing gear fairings were further improved, the ventral fin was eliminated, and the horizontal tail was enlarged to allow a larger center of gravity range. Fuel capacity was increased from the Traveler's 37 US gallons to 52 gallons, thus increasing its range. The new variant was named the AA-5A Cheetah and was introduced as a 1976 model in late 1975. In keeping with its namesake it was six knots (seven mph) faster than the Traveler with the same 150 hp (110 kW) Lycoming O-320-E2G powerplant. Because the Cheetah looked very much like the Traveler externally, Grumman's marketing department created a "leaping cheetah" emblem to differentiate it from the earlier AA-5. Grumman sold its light aircraft division to Gulfstream Aerospace in 1978 and the division was renamed Gulfstream American. Gulfstream continued production of the AA-5A until 1979. A total of 900 Cheetahs were produced. The final variant of the AA-5 line was the AA-5B Tiger. The Tiger was designed by Grumman engineers and was first produced in late 1974 as the 1975 model. The Tiger was the outcome of the same redesign work on the AA-5 Traveler that resulted in the 150 hp (110 kW) Cheetah and it was originally little more than the same aircraft with a Lycoming O-360-A4K 180 hp (130 kW) engine, resulting in a 139-knot (257 km/h) cruise speed. Gross weight was increased from the AA-5/AA-5A's 2,200 lb (1,000 kg) to 2,400 lb (1,100 kg) on the Tiger. Externally the Tiger looked much like the AA-5 Traveler and AA-5A Cheetah so once again Grumman's marketing department came up with a distinctive decal package to differentiate the design – this time a "galloping tiger". While the earlier AA-1s and AA-5s did not change much from year to year the AA-5B Tiger underwent almost continual improvement. As with the AA-5A, the AA-5B was continued in production by Gulfstream when they purchased Grumman's American division. Gulfstream ceased production of all piston-engined aircraft in 1979 and the highly successful Tiger design went out of production after 1323 aircraft had been delivered. For eleven years the design was not produced and then in the late 1980s a new company was formed to produce the Tiger. American General Aviation Corporation carried out further design improvements including introducing a new split nose cowling (engine cover) that could be removed without removing the propeller, a new instrument panel, improved exterior lighting, a new fuel quantity indication system, a 28 volt electrical system replacing the older 14 volt system, a new-style throttle quadrant, and improvements to the heat and ventilation systems. Aerodynamic improvements raised the optimal altitude cruise speed from 139 knots (257 km/h) true airspeed to 143 knots (265 km/h) TAS. The redesigned aircraft was put into production under an amended type certificate as the American General AG-5B Tiger. The new company had considered producing AA-1s and AA-5A Cheetahs, but those plans were never fulfilled before it closed its doors in 1993. American General produced Tigers for model years 1990–93 and delivered 181 aircraft in that time. The design has a strong following among pilots and aircraft owners and so, in 1999, a new company was formed to put the Tiger back into production. Tiger Aircraft started production of the AG-5B Tiger in 2001 at their plant in Martinsburg, West Virginia. Tiger Aircraft did not produce any other models of the AA-1 or AA-5 family, although they owned the type certificates for the complete line of aircraft. Between 2001 and 2006 Tiger Aircraft produced 51 AG-5Bs. By the middle of 2006 Tiger Aircraft was experiencing financial problems and production of AG-5Bs had been halted and production workers laid off.[2][3] Tiger Aircraft filed for bankruptcy in January 2007.[4] On August 2, 2007 The Federal Bankruptcy Court approved the sale of Tiger Aircraft assets to True Flight Holdings LLC. True Flight has indicated its intention to produce parts and also return the AG-5B Tiger to production as soon as possible at a planned 60,000-square-foot (5,600 m2) facility on a 13-acre (53,000 m2) lot at the Valdosta, Georgia Airport, but as of 2021 had not produced any complete aircraft.[5][6][7][8] All told, 3,289 AA-5s and AG-5s were produced by the five manufacturers between 1971 and 2005. All models of the AA-5 have four seats under a sliding canopy, which can be partly opened in flight for ventilation. Entry for all four occupants is from the wing root over the canopy sill. Compared to competitive aircraft of the same era the AA-5s are noted for their light and pleasant handling characteristics as well as high cruising speed for the installed power. As derivatives of the original AA-1 Yankee, the AA-5 series share the same unique bonded aluminum wing and honeycomb fuselage that eliminates the need for rivets without sacrificing strength. The main landing gear is fibreglass with a spring-steel nose gear tube. There is no nosewheel steering as the nosewheel is free-castering through 180 degrees. Steering is by main wheel differential braking operated by using one's toes to push the tops of the rudder pedals. The wings have dihedral to improve lateral stability. In 2019 Garmin received a Supplemental Type Certificate for a full G3X Touch glass cockpit installation for the aircraft.[9] Data from Tiger Aircraft[10]General characteristics Performance  Related development Aircraft of comparable role, configuration, and era</t>
  </si>
  <si>
    <t>//upload.wikimedia.org/wikipedia/commons/thumb/5/52/Grumman.aa-5.traveller.g-bezf.arp.jpg/300px-Grumman.aa-5.traveller.g-bezf.arp.jpg</t>
  </si>
  <si>
    <t>Four-seat cabin monoplane</t>
  </si>
  <si>
    <t>American AviationGrumman AmericanGulfstream AmericanAmerican General Aviation CorporationTiger Aircraft</t>
  </si>
  <si>
    <t>https://en.wikipedia.org/American AviationGrumman AmericanGulfstream AmericanAmerican General Aviation CorporationTiger Aircraft</t>
  </si>
  <si>
    <t>August 21, 1970[citation needed]</t>
  </si>
  <si>
    <t>22 ft 0 in (6.7 m)</t>
  </si>
  <si>
    <t>31 ft 6 in (9.6 m)</t>
  </si>
  <si>
    <t>8 ft 0 in (2.4 m)</t>
  </si>
  <si>
    <t>140 sq ft (13 m2)</t>
  </si>
  <si>
    <t>1,500 lb (680 kg)</t>
  </si>
  <si>
    <t>2,400 lb (1,090 kg)</t>
  </si>
  <si>
    <t>17.1 lb/sq ft (83 kg/m2)</t>
  </si>
  <si>
    <t>https://en.wikipedia.org/August 21, 1970[citation needed]</t>
  </si>
  <si>
    <t>December 1971[citation needed]</t>
  </si>
  <si>
    <t>https://en.wikipedia.org/December 1971[citation needed]</t>
  </si>
  <si>
    <t>1 × Lycoming O-360-A4K air-cooled, 4-cylinder, horizontally-opposed piston engine, 180 hp (134 kW)</t>
  </si>
  <si>
    <t>143 kn (163 mph, 265 km/h)</t>
  </si>
  <si>
    <t>13,800 ft (4,200 m)</t>
  </si>
  <si>
    <t>0.08 hp/lb (0.12 kW/kg)</t>
  </si>
  <si>
    <t>850 ft/min (4.3 m/s)</t>
  </si>
  <si>
    <t>686 nmi (789 mi, 1,270 km)</t>
  </si>
  <si>
    <t>1971–2006</t>
  </si>
  <si>
    <t>Politechnika Warszawska PW-5</t>
  </si>
  <si>
    <t>The Politechnika Warszawska PW-5 Smyk (Polish: "Little rascal") is a single seater sailplane designed at the Warsaw University of Technology (Polish: "Politechnika Warszawska") and manufactured in Poland. It is a monotype World Class glider. The PW-5 was designed for, and won a competition held by the International Gliding Commission for a simple, low cost sailplane that would form the basis for a new competition class, the IGC World Class. Unlike other soaring competition classes, the World Class designation would guarantee that all pilots participated on an equal footing, and that pilots could not gain advantage by spending large amounts of money. The PW-5 was unanimously chosen from 42 design proposals in IGC international World Class design competition. In November 1989, the IGC issued a worldwide call for proposals. By February 1990, it had received 84 requests for design specifications from 25 countries. By August 1990, the IGC had received 42 design proposals from 20 countries. In September 1990, after reviewing the proposals, many of which came with models, the IGC recommended that 11 designs from 9 countries proceed to the prototype competition. In October 1992, the IGC inspected and tested 6 prototypes from 5 countries at Oerlinghausen Germany. After further review and collecting manufacturing data, in spring 1993 the IGC declared the PW-5, designed by a faculty/student team at Warsaw University of Technology, the first World Class glider. The glider was designed at the Faculty of Power and Aeronautical Engineering of the Warsaw University of Technology under the supervision of Roman Świtkiewicz. It was originally built by PZL at its factory in Świdnik and first flew in 1993. By the end of 2000 the new private company PZL-Bielsko1 was established by the original members of the design team from Warsaw University of Technology and the DWLKK company. A new factory at Bielsko produced a modified version of PW-5 glider called B1-PW-5.[1] Because its cost was comparable to the cost of the older Club class gliders of higher performance it did not sell as well as expected and the World class competitions were not very popular as well. In total fewer than 200 PW-5s have been built, though over 70 have been exported to the America, where there is a keen following. There are presently two versions of the PW-5. The Bielsko version, identified as B1 PW-5, has a few safety- and performance-related improvements: There is a project in progress for building a motorglider designated PW-5M based on the PW-5. The PW-5 has a two-seater derivative, the PW-6. General characteristics Performance</t>
  </si>
  <si>
    <t>//upload.wikimedia.org/wikipedia/commons/thumb/b/bb/Szybowiec_PW-5_w_locie.jpg/300px-Szybowiec_PW-5_w_locie.jpg</t>
  </si>
  <si>
    <t>World-class sailplane</t>
  </si>
  <si>
    <t>https://en.wikipedia.org/World-class sailplane</t>
  </si>
  <si>
    <t>Politechnika Warszawska</t>
  </si>
  <si>
    <t>https://en.wikipedia.org/Politechnika Warszawska</t>
  </si>
  <si>
    <t>ca. 200</t>
  </si>
  <si>
    <t>13.44 m (44 ft 1 in)</t>
  </si>
  <si>
    <t>1.86 m (6 ft 1 in)</t>
  </si>
  <si>
    <t>10.2 m2 (109.8 sq ft)</t>
  </si>
  <si>
    <t>190 kg (419 lb)</t>
  </si>
  <si>
    <t>300 kg (661 lb)</t>
  </si>
  <si>
    <t>0.65 m/s (128 ft/min)</t>
  </si>
  <si>
    <t>Start + Flug H-101</t>
  </si>
  <si>
    <t>The H-101 Salto (English: Loop) is an aerobatic glider of glass composite construction, developed in Germany in the 1970s. Based on the Standard Libelle H-201, it was designed by Ursula Hänle,[1] widow of Eugen Hänle, former Director of Glasflügel. It was first produced by Start + Flug GmbH Saulgau.[2] The H-101 differs from the Libelle in having a V-tail, showing its ancestry to the V-tailed Hütter H-30 GFK.[1] Four flush-fitting air brakes were fitted to the trailing edges of the wings, replacing the more conventionally sited air brakes of the Standard Libelle. The Salto's air brakes are hinged at their midpoints so that half the surface projects above the wing and half below.[2] The Salto prototype first flew on 6 March 1970, and 67 had been delivered by early 1977, when production at Start + Flug GmbH Saulgau ceased. Five more Saltos were built from 1993 to 1996 by the German company "LTB Frank &amp; Waldenberger", bringing total output of Salto gliders to 72. The Salto was again made available in the late 1980s by Doktor Fiberglas, set up by Ursula Hänle at Westerburg in West Germany as the Hänle H 101 Salto, available in utility and aerobatic versions, with the Utility version available with either short or long-span wings.[3] Data from Jane's World Sailplanes &amp; Motor Gliders,[2][3]General characteristics Performance   Aircraft of comparable role, configuration, and era  Related lists</t>
  </si>
  <si>
    <t>//upload.wikimedia.org/wikipedia/commons/thumb/1/1e/H101_Salto.jpg/300px-H101_Salto.jpg</t>
  </si>
  <si>
    <t>Aerobatic sailplane</t>
  </si>
  <si>
    <t>West Germany</t>
  </si>
  <si>
    <t>https://en.wikipedia.org/West Germany</t>
  </si>
  <si>
    <t>Start + Flug</t>
  </si>
  <si>
    <t>https://en.wikipedia.org/Start + Flug</t>
  </si>
  <si>
    <t>Ursula Hänle</t>
  </si>
  <si>
    <t>https://en.wikipedia.org/Ursula Hänle</t>
  </si>
  <si>
    <t>72 by 1996</t>
  </si>
  <si>
    <t>13.3 m (43 ft 8 in) 'A' version</t>
  </si>
  <si>
    <t>0.88 m (2 ft 11 in)</t>
  </si>
  <si>
    <t>8.58 m2 (92.4 sq ft) A version</t>
  </si>
  <si>
    <t>20.6 'A' version</t>
  </si>
  <si>
    <t>182 kg (401 lb) 'A' version</t>
  </si>
  <si>
    <t>280 km/h (170 mph, 150 kn) 'A' version</t>
  </si>
  <si>
    <t>+7 -4.9 'A' version</t>
  </si>
  <si>
    <t>34.5 'A' version at 94 km/h (51 kn; 58 mph)</t>
  </si>
  <si>
    <t>0.6 m/s (120 ft/min) 'A' version at 72 km/h (39 kn; 45 mph) at 250 kg (550 lb)</t>
  </si>
  <si>
    <t>32.6 kg/m2 (6.7 lb/sq ft) 'A' version</t>
  </si>
  <si>
    <t>Glasflügel H-201</t>
  </si>
  <si>
    <t>https://en.wikipedia.org/Glasflügel H-201</t>
  </si>
  <si>
    <t>70 km/h (43 mph, 38 kn) 'A' version</t>
  </si>
  <si>
    <t>280 kg (617 lb) 'A' version</t>
  </si>
  <si>
    <t>SOCATA Horizon</t>
  </si>
  <si>
    <t>The GY-80 Horizon is a French four-seat touring monoplane of the 1960s designed by Yves Gardan [fr] and built under licence, first by Sud Aviation, and later by that company's SOCATA subsidiary. This aircraft was designed by well-known French designer Yves Gardan [fr] during the 1950s. In 1960, Sud Aviation acquired from Gardan a licence to build the design. The prototype first flew on 21 July 1960 and the aircraft was initially produced by Sud Aviation at Nantes and Rochefort.[1] Sud Aviation later acquired the bankrupt Morane-Saulnier aircraft company,[2] and in 1966, formed the subsidiary SOCATA to continue production of the Morane-Saulnier Rallye; however, Sud Aviation soon transferred production of its other general aviation aircraft to SOCATA as well.[3] Sud-Aviation and its SOCATA subsidiary manufactured 267 units[1] by the end of 1969, when production was terminated.[citation needed] The all-metal design has a low-mounted cantilever wing with four mechanically operated Fowler-type trailing-edge flaps and two Frise-type ailerons.[4] The tricycle landing gear partially retracts, with all wheels retracting rearwards.[4] (A little more than half of each wheel remains exposed in the retracted position).[citation needed] The first prototype used a 150 hp (112 kW) Avco Lycoming O-320 flat air-cooled engine driving a fixed-pitch metal propeller, with production aircraft using this engine or a 160 hp (120 kW) version of the O-320, and had an option to use a constant speed propeller.[5][6] By 1966, a 180 hp (130 kW) Lycoming O-360 engine was available.,[7] and the 150 hp option was removed by 1967.[8] Most Horizons were bought by French pilot owners, but examples were exported to several countries including Germany, Switzerland and the United Kingdom and numbers remain in service in 2014. An improved variant was developed originally as the Super Horizon 200 and later went into production as the ST 10 Diplomate.[1] Data from Jane's All The World's Aircraft 1969-70 [9]General characteristics Performance  Related development Aircraft of comparable role, configuration, and era</t>
  </si>
  <si>
    <t>//upload.wikimedia.org/wikipedia/commons/thumb/4/4c/Gardan_GY-80_Horizon_r.jpg/300px-Gardan_GY-80_Horizon_r.jpg</t>
  </si>
  <si>
    <t>Four-seat touring monoplane</t>
  </si>
  <si>
    <t>Sud Aviation  SOCATA</t>
  </si>
  <si>
    <t>https://en.wikipedia.org/Sud Aviation  SOCATA</t>
  </si>
  <si>
    <t>Yves Gardan [fr]</t>
  </si>
  <si>
    <t>https://en.wikipedia.org/Yves Gardan [fr]</t>
  </si>
  <si>
    <t>SOCATA ST-10 Diplomate</t>
  </si>
  <si>
    <t>https://en.wikipedia.org/SOCATA ST-10 Diplomate</t>
  </si>
  <si>
    <t>9.70 m (31 ft 10 in)</t>
  </si>
  <si>
    <t>13.0 m2 (140 sq ft)</t>
  </si>
  <si>
    <t>NACA 4413.6 (mod) at root, NACA 63517 (mod) at tip</t>
  </si>
  <si>
    <t>625 kg (1,378 lb)</t>
  </si>
  <si>
    <t>300 km/h (190 mph, 160 kn)</t>
  </si>
  <si>
    <t>160 L (35 imp gal; 42 US gal)</t>
  </si>
  <si>
    <t>1 × Lycoming O-360-A flat-four piston engine, 130 kW (180 hp)</t>
  </si>
  <si>
    <t>250 km/h (160 mph, 130 kn) at sea level</t>
  </si>
  <si>
    <t>245 km/h (152 mph, 132 kn) at 2,500 m (8,200 ft) (75% power)</t>
  </si>
  <si>
    <t>4,700 m (15,400 ft)</t>
  </si>
  <si>
    <t>95 km/h (59 mph, 51 kn) (flaps and undercarriage down)</t>
  </si>
  <si>
    <t>4.50 m/s (885 ft/min)</t>
  </si>
  <si>
    <t>1,150 kg (2,535 lb)</t>
  </si>
  <si>
    <t>5 hr 20 min</t>
  </si>
  <si>
    <t>480 m (1,575 ft)</t>
  </si>
  <si>
    <t>490 m (1,608 ft)</t>
  </si>
  <si>
    <t>R100</t>
  </si>
  <si>
    <t>His Majesty's Airship R100 was a privately designed and built British rigid airship made as part of a two-ship competition to develop a commercial airship service for use on British Empire routes as part of the Imperial Airship Scheme. The other airship, the R101, was built by the British Air Ministry, but both airships were funded by the Government. R100 was built by the Airship Guarantee Company, a specially created subsidiary of the armaments firm Vickers-Armstrongs, led by Commander Dennis Burney. The design team was headed by Barnes Wallis, later famous for his invention of the bouncing bomb. The design team also included Nevil Shute Norway as the senior stress engineer (see his Slide Rule: Autobiography of an Engineer).[Note 1] R100 first flew in December 1929. It made a series of trial flights and a successful return crossing of the Atlantic in July–August 1930, but following the crash of R101 in October 1930 the Imperial Airship Scheme was terminated and R100 was broken up for scrap. R100 was built as part of a British government programme to develop airships to provide passenger and mail transport between Britain and the countries of the British Empire, including India, Australia and Canada.  This had its origin in Dennistoun Burney's 1922 proposal for a civil airship development programme to be subsidised by the Government and carried out by a specially established subsidiary of Vickers.  When the General Election of 1923 brought Ramsay MacDonald’s Labour administration to power, the new Air Minister, Lord Thomson formulated the Imperial Airship Scheme in its place.  This called for the building of two experimental airships: one, R101, to be designed and constructed under the direction of the Air Ministry, and the other, R100, to be built by the Vickers subsidiary under a fixed price contract. R100 was constructed at the former RNAS Air Station Howden in Yorkshire, a remote location 3 mi (5 km) from Howden and 25 mi (40 km) from Hull. Design work began in 1925 while at the same time the somewhat rundown site was put in order and a hydrogen-generating plant installed. The specially established subsidiary of Vickers, the Airship Guarantee Company, faced substantial difficulties. The contract for R100's construction was a fixed price one and it was obvious from very early on that the project would incur a loss, and so economies were made; for instance, only a dozen machine tools were in use for construction of the airship. There were also difficulties in finding skilled workers due to the remoteness of the location, and a large proportion of the workers were local people who had to be trained. Conditions in the unheated airship shed were also poor: the roof leaked, ice formed on the girders in winter, and condensation caused corrosion of the airship's duralumin structure, so that the girders had to be varnished. For three years the assembly work was close behind that of the designers, and the progress of the design work was the determining factor in speed of construction. Since wind tunnel tests showed that a 16-side transverse section had about the same drag as a circular one, both R100 and R101 used a smaller number of longitudinal girders than previous airships to simplify stress calculations. Even so, the calculations for the transverse frames required hand computation that took two or three months to produce a solution for each frame. The thoroughness of the stressing calculations was a consequence of new Air Ministry criteria for the strengths required of airships, formulated after the catastrophic structural failure of R38 in 1921. Fewer longitudinal girders resulted in larger unsupported panels of fabric in the envelope, and flight trials were to prove that the R100's covering was barely adequate. The envelope of R101 was also unsatisfactory and a failure in its cover was possibly a cause of its crash. Barnes Wallis created the frame of the airship using only 11 standard components. The 16 longitudinal girders were formed of three tubes each, formed from strips of Duralumin wound into a helix and riveted together. These connected 15 polygonal transverse frames, which were held in shape by wire bracing connected to a central longitudinal girder running the length of the ship.[1] A further consequence of the new rules for airframe stress design was that a new way of harnessing the lifting force of the gasbags had to be found. Wallis's solution to this problem later led to his innovative geodesic airframe fuselage and wing design for the Wellesley, Wellington and Windsor bombers. The elevators were aerodynamically balanced but the rudders were unbalanced. When the designers learned that R101 had been fitted with servo motors at a substantial cost in weight and money they thought that they had made a mistake and rechecked their calculations. They eventually concluded that their calculations had been correct: when R100 was flown the controls proved both light and effective, and its control characteristics were compared favourably with those of R101 by Nöel Atherstone, First Officer of R101.[2] R100 was built suspended from the roof of its shed. The individual transverse frames were assembled horizontally then lifted up and slung from roof-mounted trackways before being slid into position and attached to the adjacent frames by the longitudinal girders. The ship remained suspended until the gasbags were inflated with hydrogen.[3] By mid-1929 the ship's structure was nearly complete and its gasbags were inflated. Following inflation of the gasbags, the outer covering of linen fabric painted with aluminium aircraft dope was put in place, and it was completed at the beginning of November.[3] Lift and trim trials were carried out on 11 November: empty weight was 105.52 long tons (107.21 t) and gasbag volume was 5,156,000 cu ft (146,000 m3), giving a standard gross lift of 156.52 long tons (159.03 t) and so a disposable lift of 51.00 long tons (51.82 t). Deducting 18 long tons (18 t) for the service load (crew, stores and ballast) this meant the weight available for fuel and payload was 33.00 long tons (33.53 t).[4] It had originally been intended to design special engines for R100 which would be fuelled by hydrogen and kerosene but after a year's work it was realised that the engine would not be developed in time and it was decided to fit the Beardmore Tornado diesel engine that was being developed for the Air Ministry for installation in R101. At an early stage the Tornado was judged unsuitable because of its weight and other problems, and Wallis settled on the use of six reconditioned Rolls-Royce Condor petrol engines even though the fuel, with its lower flash point, was considered to be a fire risk under tropical conditions.[5]  The engines were contained in three gondolas, each with one engine driving a 17 ft (5.18 m) diameter tractor propeller and a second driving a 15 ft (4.57 m) diameter pusher propeller. The engines driving the pusher propellers were fitted with a gearbox to provide reverse thrust for docking the airship.[6] The passenger and crew accommodation were arranged on three decks occupying a single bay of the structure and entirely contained within the airship's envelope.  The lower deck contained the crew accommodation. The second deck had a dining room, which doubled as the passenger lounge, plus the kitchen, 18 four-berth passenger cabins and a gallery on either side for passengers to enjoy the view through the windows built into the skin. The third deck consisted of a gallery running around the dining room and 14 two-berth cabins.[6] R100 made its maiden flight in the morning of 16 December 1929. After departing Howden at 07:53, it flew slowly to York then set course for the Royal Airship Works at Cardington, Bedfordshire, running on five engines since one of the engines had to be shut down because of a cracked water jacket, and completing the mooring process at 13:40.[7] A second flight was made the next day, with the intention of making a flight to London, but shortly after slipping the mast, a strip of fabric became detached from the lower fin, and the flight was limited to a cruise around Bedfordshire to test control response, lasting 6hr 29 min.  The following day, R100 was taken from the mast to No.2 shed at Cardington and work on modifying the wiring holding the cover in place begun: this took until 11 January 1930.[8] During a test on 16 January 1930, R100 achieved a speed of 81.5 mph (131.2 km/h).[9]  At speed, a problem with the outer covering became apparent: it tended to ripple and flap excessively in the form of a standing wave.  During a fourth flight on 20 January, cine film was taken of this phenomenon, which occurred because of the large areas of unsupported fabric; it is also visible in some photographs. A further short flight was made on 20 January before an endurance flight, starting at 09:38 on 27 January when R100 slipped the mast at Cardington and ending at 15:26 on 29 January after more than 53 hours in the air.[10]  Following this flight, it was returned to the shed for work on the cover to be carried out. At the same time, the original reconditioned Condor IIIA engines were replaced by six new Condor IIIBs and some weight was eliminated by reducing the amount of passenger accommodation. The work was complete by the end of April, but on 24 April it was caught by a gust while being walked out of the shed, damaging the tail surfaces. The wind prevented it being replaced in the shed, so it was moored to the mast.[11]  It was not possible to return it to the shed for repairs until the morning of 27 April. Repairs took longer than expected, and R100 remained in the shed until 21 May, when it made a 24-hour flight intended to test the new engine installation and modifications to the cover. R100's contract had originally called for a demonstration flight to India.  The decision to use petrol engines resulted in a change in destination to Canada, as it was considered that a flight to the tropics with petrol aboard would be too hazardous.  All being well, it was planned to set off for Canada on 25 May.  During the flight of 21 May, the conical tail section collapsed due to unexpected aerodynamic pressure, and it was returned to the shed where the original tail section was replaced by a hemispherical cap designed and made by the Royal Airship Works,[12] reducing the airship's length by 15 ft (4.6 m) Shortly before R101's flights in June 1930, the Cardington engineers tentatively suggested that the long flights to Canada and India might be postponed until 1931 on the grounds that neither of the two airships was fit to make a lengthy flight at their current developmental stage.[13] The R100 team replied that their airship was perfectly capable of flying to Canada, and that the Canadian flight was a part of their contract.[14] R100 departed for Canada on 29 July 1930, reaching its mooring mast at the St-Hubert, Quebec Airport (outside Montreal) in 78 hours, having covered the great circle route of 3,300 mi (5,300 km) at an average ground speed of 42 mph (68 km/h). The airship stayed at Montreal for 12 days with over 100,000 people visiting the airship each day while it was moored there, and a song was composed by La Bolduc to make fun of the people's fascination with R100.[14] It also made a 24-hour passenger-carrying flight to Ottawa, Toronto, and Niagara Falls while in Canada. The airship departed on its return flight on 13 August, reaching Cardington after a 57½ hour flight. Nevil Shute later suggested in Slide Rule: Autobiography of an Engineer that the success of R100's Canadian flight indirectly led to the R101 disaster. Prior to the transatlantic flight, the Cardington team could suggest that neither airship was ready for a performance of such duration. However, when R100 returned in triumph they had to either make the flight to India or admit defeat – which would have meant discredit with the consequent danger of losing their jobs. He said that his team "guessed that their ship was a bad airship, but did not realise" (because of secrecy at Cardington) "how bad the other ship was."[14] The tale of the design of R100 and its claimed superiority to R101 is told in Shute's Slide Rule: Autobiography of an Engineer, first published in 1954. Although flawed and not quite as overwhelmingly superior as Shute  implied, R100 represented the best that conventional airship technology in Britain had to offer at the time.[citation needed] R101 suffered in comparison partly because of its many groundbreaking but ultimately dubious innovations, and also because of the weight of its diesel engines. In lifting efficiency, both dirigibles were inferior to the smaller LZ 127 Graf Zeppelin. After R101 crashed and burned in France, en route to India on 5 October 1930, the Air Ministry ordered R100 grounded. The airship was deflated and hung up in its shed at Cardington for a year whilst three options were considered: a complete refit of R100 and continuation of tests for the eventual construction of R102; static testing of R100 and retention of about 300 staff to keep the programme "ticking over"; or retention of staff and the scrapping of the airship. In November 1931, it was decided to sell R100 for scrap. The framework of the ship was dismantled, flattened by a steamroller and cut up into sections[15] sold for less than £600. Data from Masefield[16]General characteristics Performance   Aircraft of comparable role, configuration, and era  Related lists</t>
  </si>
  <si>
    <t>//upload.wikimedia.org/wikipedia/commons/thumb/5/5a/R100.jpg/300px-R100.jpg</t>
  </si>
  <si>
    <t>Passenger airship</t>
  </si>
  <si>
    <t>719 ft 9.5 in (219 m)</t>
  </si>
  <si>
    <t>236,365 lb (107,215 kg)</t>
  </si>
  <si>
    <t>6 × Rolls-Royce Condor IIIB 12 cylinder, 650 hp (485 kW)  each</t>
  </si>
  <si>
    <t>81.5 mph (131 km/h, 70.8 kn) [17]</t>
  </si>
  <si>
    <t>4,095 mi (6,590 km, 3,558 nmi) with 3 tons payload</t>
  </si>
  <si>
    <t>64 hours</t>
  </si>
  <si>
    <t>133 ft 4 in (41 m)</t>
  </si>
  <si>
    <t>5,156,000 cu ft (146,000 m3)</t>
  </si>
  <si>
    <t>350,607 lb (159,400 kg)</t>
  </si>
  <si>
    <t>Future Strategic Tanker Aircraft</t>
  </si>
  <si>
    <t>Future Strategic Tanker Aircraft (FSTA) is a British project to procure Airbus A330 Multi Role Tanker Transport aerial refuelling (AR) and air transport (AT) aircraft for the Royal Air Force, to replace older models such as the VC10s and TriStars. After evaluation of bids the RAF selected the AirTanker consortium, owned by Cobham plc, EADS, Rolls-Royce plc, Thales UK and VT Group plc, in 2004 offering the Airbus A330 MRTT. The project was to provide a replacement of the RAF's fleet of Vickers VC10s from 2008 and the Lockheed TriStars around 2012. The need for a new fleet of air-to-air refuelling aircraft was first identified in 1997. The chosen aircraft were to operate from the same RAF air transport hub, RAF Brize Norton, Oxfordshire as the replaced aircraft. The use of a Private Finance Initiative (PFI) rather than purchase was chosen in 2000. Under the PFI the RAF will pay for aerial refuelling and air transport missions as required. The RAF will continue to retain responsibility for all military missions, whilst the contractor will own, manage and maintain the aircraft and also provide training facilities and some personnel. The private company will also be able to earn extra revenue by using aircraft for commercial operations when not required by the RAF — the most suitable of which would be leased air-refuelling missions for other European air forces. The RAF however will always have the "first call" on aircraft, being able to mobilise the entire fleet in times of crisis. Final bids for the project were received from the two competing consortia on 30 April 2003.[1] The Ministry of Defence (MoD) announced on 26 January 2004 that Air Tanker had been selected to enter into final negotiations to provide the RAF's FSTA.[2] Following aircraft selection the MoD began exclusive negotiations with the Airtanker consortium. However, beginning in April 2004, there were rumours about the fragile state of the contract negotiations. With continuing doubts over the FSTA programme, Marshall Aerospace, responsible for the conversion of the RAF's original TriStars, offered to buy and convert some of the large number of surplus commercial TriStars.[3] On 28 February 2005 the MoD named Airtanker as its preferred bidder for the £13bn contract.[4] The MoD announced on 6 June 2007 that AirTanker had been given the approval it needed to continue with the project, allowing the company to seek the £2 billion private financing required to begin funding the aircraft. On 27 March 2008, a PFI deal was agreed with AirTanker, worth £10.5 billion over the course of the contract, and will involve 14 converted A330 aircraft being delivered from 2011 and being operated until at least 2035.[5] The contract will be paid for at £390 million per annum. Of this running costs are £80 million and the remainder covers the consortium's financing and profit [6] and the capital cost of the project, including aircraft and infrastructure.[7] All aircraft will be equipped with a pair of wing-mounted aerial-refuelling pods, while only seven FSTAs will be fitted for centreline flight refuelling units (FRUs); each conversion will take about nine months. The AirTanker facility is based at RAF Brize Norton, where a two-bay hangar and support building will provide a maintenance facility, flight operations centre and office headquarters for the programme.[8] Lufthansa Technik will provide support, repair, and overhaul services.[9] The first two development aircraft went through a comprehensive military conversion process and initial flight testing programme at Airbus Military's facility near Madrid. It was intended that the remaining 12 aircraft destined for the FSTA fleet would be converted by Cobham Aviation Services at their facility in Bournemouth,[10] but in June 2012 it was announced that the final ten aircraft would be converted in Spain to ensure that they were delivered on time and to cost.[11] The first aircraft to be converted in the UK arrived at Bournemouth Airport on 26 August 2011. Cobham held a ceremony to formally open the newly refurbished A330 conversion facility in Bournemouth on 2 September 2011. In a naming ceremony at RAF Fairford during the 2011 Royal International Air Tattoo, it was announced that the aircraft will be known as "Voyager" in RAF service.[12] In November 2010 it was suggested that the French Air Force might buy spare FSTA capacity.[13][14] The first completed aircraft arrived at RAF Brize Norton in December 2011; after a prolonged certification process, it began training flights in April 2012.[15]  Following technical issues with the new Cobham-designed High Speed-Variable Drag Drogue when refuelling the Tornado the drogues on the wing tip pods were replaced in early 2012 with standard Sargent Fletcher drogues, delaying the Release To Service clearance required to conduct Air to Air Refuelling (AAR) operations. Certification was finally granted on 16 May 2013 and the first operational tanker flight launched on 20 May 2013.[16] The Voyager started test flights refuelling the F-35B in 2015, with certification expected by mid-June 2015. This followed the Australian KC-30 variant completing refuelling trials with the F-35A in late 2015.[17] By May 2014 nine aircraft had been delivered, completing the "core fleet" of RAF aircraft.[18] The remaining 5 aircraft represent a "surge capability", available to the RAF when needed, but otherwise available to Airtanker for tasks such as "release to the civil market, less its military equipment or to partner nations in a military capacity with the MoD’s agreement".[18] In June 2014 Thomas Cook Airlines entered into an agreement to lease one of the 5 "surge" aircraft from Airtanker.[19] The aircraft will differ from the Voyager fleet by having 32 more seats, different seats with in flight video, and they will receive Thomas Cook livery.[19] In March 2010 the National Audit Office (NAO)  published a review of the scheme which was unable to conclude that the Ministry of Defence achieved value for money. Despite managing the later stages of the procurement well, the MOD's ability to get the best deal it could was undermined by shortcomings in the way it conducted the procurement and assessed alternative options. Although the project to provide air-to-air refuelling and military transport aircraft has achieved its delivery milestones since contract signature, it is still likely to be delivered five and a half years later than planned.[7] However, all the follow-on milestones have been achieved on or ahead schedule, and in particular the delivery of each of the fourteen aircraft. The FSTA Program has been the first UK aircraft program delivering on schedule and on budget since World War 2. The Public Accounts Committee found that the aircraft specification did not feature the adequate protection required for flights into Afghanistan and would therefore mean the Lockheed Tristar would continue to fulfil this role until 2016. This had been caused by the FSTA scheme beginning prior to the commencement of military operations in Afghanistan, and a significant delay in any decision being made on including the required protection systems within the contract.[20] However, the FSTA aircraft were quickly modified to fulfill the adequate protection, and Voyagers started operations into Afghanistan in December 2013. The Lockheed Tristar retired from RAF service in March 2014 and the VC10 in September 2013.</t>
  </si>
  <si>
    <t>//upload.wikimedia.org/wikipedia/commons/thumb/0/0c/RAF_Airbus_A330-203.jpg/300px-RAF_Airbus_A330-203.jpg</t>
  </si>
  <si>
    <t>Aerial refueling tanker aircraft</t>
  </si>
  <si>
    <t>https://en.wikipedia.org/Aerial refueling tanker aircraft</t>
  </si>
  <si>
    <t>AirTanker consortium's Airbus A330 MRTT selected</t>
  </si>
  <si>
    <t>https://en.wikipedia.org/AirTanker consortium's Airbus A330 MRTT selected</t>
  </si>
  <si>
    <t>Saunders-Roe SR.53</t>
  </si>
  <si>
    <t>The Saunders-Roe SR.53 was a British prototype interceptor aircraft of mixed jet and rocket propulsion developed for the Royal Air Force (RAF) by Saunders-Roe in the early 1950s.[2] As envisaged, the SR.53 would have been used as an interceptor aircraft, using its rocket propulsion to rapidly climb and approach incoming hostile bombers at high speeds; following its attack run, the aircraft would be able to return to its base by making use of the secondary jet propulsion instead. Although the SR.53 proved to have promising performance during test flights, the requirement for such an aircraft had been overtaken by rapid advances in surface-to-air missile technology, leading to reconsideration of the aircraft's purpose. In July 1960, the development programme was formally cancelled, by which time a total of 56 test flights had been performed.[3] A pair of prototype SR.53 aircraft had been completed and used during flight tests. The second prototype was destroyed during one such test flight in June 1958. The first prototype has been preserved to this day.  It rests on public display at the Royal Air Force Museum Cosford.[4] The Second World War had demonstrated the importance of strategic bombing to modern warfare, and as the emerging Cold War developed, the development of new and more effective air defences against large waves of hostile bomber aircraft armed with nuclear weapons became a priority for many nations. During the war, Nazi Germany had extensively developed its own rocket-powered aircraft to augment its interception capabilities, in the final two years of the war, it had been able to deploy aircraft such as the Messerschmitt Me 163 and Bachem Ba 349 which, via rocket propulsion, had been capable of unparalleled rates-of-climb, enabling them to (at least in theory) rapidly sortie to intercept enemy bombers before they reached their targets. As the performance of these aircraft had become increasingly well known to the Allies, RAF experts were eager to explore and understand the underlying technology.[5] In the aftermath of the war, German rocket technology was studied extensively by various members of the former Allied nations. Britain had quickly opted to commence a programme to develop liquid-propellant rockets with the aim of boosting aircraft during the take-off phase, known within the RAF as rocket-assisted take-off gear (RATOG), and during the climb-to-altitude phase of flight.[5] In 1946, work began on a pair of new British-built rocket motors, the de Havilland Sprite with a maximum thrust of 22 kN (5,000 lbf) and the Armstrong Siddeley Snarler with 8.9 kN (2,000 lbf) of thrust; these rocket motors made use of different propellants, the Sprite used a high-test peroxide (HTP) monopropellant while the Snarler harnessed a methanol/water/liquid oxygen mix. During the early 1950s, both engines proceeded to the flight testing phase; however, some of the demand for their role to provide fighters with increased performance was soon being met by the increasing prevalence of  conventional jet engines being equipped with reheat instead.[5] In May 1951, faced with reports on the increasingly potential capability of, and thus the threat posed by, the growing Soviet strategic bomber fleet and that nation's newly developed atomic weapons, the British Air Ministry proceeded to draft an Operational Requirement, OR 301, which sought a rocket-powered interceptor that could attain an altitude of 18,000 metres (60,000 ft) in just 2 minutes 30 seconds. Many of the performance requirement laid out by OR 301 was due to the anticipation of rapid increases in performance by the opposing Soviet aircraft; by the early 1960s, it was suspected that these bombers might well be capable of supersonic speeds of up to Mach 2 with a potential operational altitude as high as 24,000 metres (80,000 ft).[6] Accordingly, a capable defence interceptor that could form part of the nation's measures to counter this threat would need to be capable of similar speeds and an exceptionally high rate of climb in order to reach high altitude bombers in time.[7] The development of the Sprite and the Snarler had led to the possibility of a more powerful rocket engine being developed as the planned powerplant for a viable "point defence" interceptor.[8] The requirements of O.R. 301 were considered onerous, including a ramp launch and landing on a skid, and with the compliance of the companies which had approached to tender, the amended Specification F124T allowed for a mixed powerplant configuration along with the adoption of a conventional undercarriage.[8] On 21 February 1951, the revised Specification F124T was circulated to half a dozen of Britain's various aircraft manufacturers to solicit their submissions.[9] Saunders-Roe had not been one of the companies who received the Specification; this is likely due to the Ministry of Supply not considering them to be relevant, as the firm had typically been involved in the production of flying boats.[9] However, Saunders-Roe was in fact interested in the new requirement, having been already independently conducting studies into high-altitude and high-speed flight. Maurice Brennan, the company's chief designer, had already directed members of the design team to study the prospects of rocket-propelled aircraft capable of flying at altitudes of up to 30,000 metres (100,000 ft) and had published a report entitled 'Investigation of Problems of Pure Rocket Fighter Aircraft' at the same time that the Ministry had issued Specification F124T.[10][9] Saunders-Roe approached the Ministry on its failure to follow conventional policy in not dispatching the specification nor an invitation to tender to the firm; as a result, on 24 March 1951, the Ministry asked the company to submit its designs alongside the other competitors.[11] By the end of April 1951, Saunders-Roe submitted their detailed proposal.[11] The proposed single-seat aircraft, designated as the SR.53, was capable of very high speeds, being projected as being capable of a top speed of Mach 2.44 (2,592 km/h; 1,611 mph) when at an altitude of 18,000 metres (60,000 ft), and a rate of climb of 16,000 metres (52,000 ft) per minute around an altitude of 15,000 metres (50,000 ft).[11] An auxiliary disposable undercarriage could be used for takeoffs, along with cordite-based booster rockets. In the event of an emergency, the entire cabin would have originally been jettisoned as a means of providing the pilot with a means of escape; due to the work involved in developing this, it was instead replaced by a more standard ejection seat arrangement.[12] The firm had quickly identified that that original unpowered 'glide home' approach to be dangerous and expensive; they approached the Air Ministry with their concept of a secondary jet engine for the purposes of powering the aircraft's journey home. The Ministry was enthusiastic on this concept; in May 1951, all interested companies were asked to examine this arrangement.[11] The SR.53 was a sleek aircraft with a sharply-pointed nose, delta-like wing, and a T-tail.[13] It was powered by a combination of a single Armstrong Siddeley Viper turbojet engine and de Havilland Spectre rocket engine, the exhausts of which were mounted one atop the other on the rear fuselage beneath the tail.[13][12] Saunders-Roe had originally proposed to develop their own rocket motor to power the SR.53, having not been initially pleased with the performance of either the Spectre nor the Screamer; however, it was recognised that this would take substantial development work.[12] By October 1952, the basic outline of the aircraft had been finalised, replacing the combined flap and ailerons of earlier proposed with slotted flaps, the Viper engine was relocated upwards and was to be fitted with a straight jet pipe rather than a bifurcated one, the tailplane was also moved to a higher position at the top of the fin.[14] On 30 October 1952, the company received an Instruction to Proceed from the Ministry for the completion of three prototypes.[14] On 12 December 1952, further refinement of the concept led to the release of the defined Specification OR 337.[15] The changes of the defined specification mainly revolved around armament changes, adopting the Blue Jay infrared-guided air-to-air missile, which replaced the originally-envisaged retractable battery of 51-millimetre (2 in) rockets.[16][14] During the first four months of 1953, Saunders-Roe had to perform a structural redesign of the SR.53's fuselage, wing, and undercarriage due to a determination by the Royal Aircraft Establishment (RAE) that the wing required a greater anhedral angle than had originally been designed for.[14] On 5 May 1953, an advisory design conference was hosted at the Ministry of Supply focusing on the SR.53; three days later, a formal contract for the production of the three prototypes was received.[17] Due to doubts within the RAF and the Ministry over the correct fuel/motor to select for the aircraft in order to meet the Specification, it was decided to issue a modified specification, and later a development contract, to A.V. Roe, who commenced work on their own rocket-powered interceptor, designated as the Avro 720. Of the six companies that tendered proposals, two were selected for development contracts: A.V. Roe with their Avro 720 and Saunders-Roe with the SR.53.[15][17] Saunders-Roe, recognising that it would need to outdo the competing Avro 720 if the SR.53 was to be likely to survive, upon having been issued with the contract to build the three prototypes, set a schedule that called for a first flight to be conducted in July 1954, along with a projected service introduction date of 1957.[18][19] However, Wood observes that this was far too ambitious as it did not leave time to address the complexity of the aircraft, nor did it accommodate room for delays in the supply of the separately-produced Spectre engine.[19] Unresolved issues with elements of the design caused a series of setbacks, including one notable incident in the form of an explosion occurring during ground tests of the Spectre rocket engine. Construction of the first SR.53 prototype took longer than anticipated, in part due to de Havilland having problems delivering the Spectre engine on time, installing auxiliary equipment was also time-consuming.[20] Accordingly, the maiden flight of the SR.53 began to fall further and further behind schedule.[15][19] The date of the first flight was first set back to March 1955, and then into 1957.[21] Unique challenges were posed by the HTP fuel, including the development of suitable storage bags and the fuel flow proportioner.[21] In January 1954, the Ministry reduced its order from three SR.53 prototypes to two, which were constructed side by side at Saunders-Roe's Cowes facility.[22] Development with the competing Avro 720 proceeded more smoothly; by 1956, its prototype was virtually complete and was viewed as being capable of flying up to a year ahead of the lagging SR.53.[23] By September 1953, the programme to develop these aircraft came under scrutiny due to a need to implement cost cuts; as a result, the contract for the Avro 720 was eventually cancelled. One of the reasons for preferring the SR.53 was although the aircraft was developmentally behind, its use of hydrogen peroxide as an oxidiser was viewed as less problematic than the Avro 720's use of liquid oxygen, which posed a fire hazard.[18] According to Wood, there was a preference for the HTP approach, as used by the SR.53, alongside an unwillingness to continue to support the operation of two different fuel programmes.[22] However, the validity of this reason is undermined somewhat by the fact that Avro had been proposing to switch to using HTP and the Spectre, the same engine that was used by the SR.53.[24] Another factor that had influenced the cancellation was the hesitancy of the RAF to back either project, the service had apparently wanted to wait until after flight evaluations had been conducted before it was to make any determination on its preference.[19] During late 1953, Saunders-Roe commenced work upon a derivative design, which was designated the SR.177. Brennan considered the lack of an onboard radar on the SR.53 and the Avro 720 to have been a vital flaw despite it not being a requirement of the specification, leaving the pilot dependent on his own vision and direction being provided by ground-based radar control.[19] Brennan had also been dissatisfied with the use of the turbojet engine; he believed that a larger jet engine should match the steady supersonic cruising speed of the aircraft, and that the rocket motor should be mainly used for high performance climbs, turns, and rapid acceleration instead. Accordingly, the SR.177 was a much larger and sophisticated aircraft that would provide for more range and overall superior performance to the SR.53.[25] It was sized to be able to carry a useful airborne radar, which Brennan had deemed to be essential for interception at the high altitudes at which the new fighter was meant to operate. The new, larger aircraft was also to be developed into separate versions for maritime use by the Royal Navy and for West Germany as well as for the RAF.[26] Saunders-Roe worked on both the SR.53 and SR.177, the latter being worked on by a newly formed High Speed Development Section.[27] In October 1951, Saunders-Roe obtained facilities at RAF Hurn, Dorset, to support the site's use as a base for test flights of the SR.53.[28] This measure had been necessitated by a lack of suitable airfields on the Isle of Wight, where the company was based and typically conducted development from. To this end, the firm constructed a HTP storage faculty at the Hurn site; specialised radio aids were also installed and initially tested using a specially-modified Gloster Meteor which had been lent by the Ministry of Supply.[29] This setup would ultimately remain unused as flying trials were centered at RAF Boscombe Down instead.[30] On 28 June 1956, the completed first prototype, XD145, was dispatched for assembly by the Aeroplane and Armament Experimental Establishment at RAF Boscombe Down.[30] On 16 January 1957, the first installed ground run of its Spectre engine was performed; on 16 April 1957, this was followed by the first installed ground run of its Viper engine. On 9 May 1957, XD145 conducted the type's first ground taxiing trial.[30] On 16 May 1957, Squadron Leader John Booth DFC was at the controls of XD145 for the first test flight, following up with the maiden flight of the second prototype XD151, on 6 December 1957.[15][30] Test results indicated "...an extremely docile and exceedingly pleasant aircraft to fly, with very well harmonized controls".[8] Both prototypes flew a total of 56 test flights, with Mach 1.33 speeds being obtained.[3] While testing at RAE Boscombe Down, XD151 crashed on 5 June 1958 during an aborted takeoff on its 12th flight. Running off the runway, the aircraft struck a concrete approach light, exploding on impact and killing its pilot, Squadron Leader Booth.[31][30] The remaining prototype continued to fly with Lt Cdr Peter Lamb taking over the flight test programme.[3] It was 1957 before the first SR.53 took to the air,[2] just over a month after the infamous 1957 Defence White Paper had been published outlining the British government's policy to largely abandon piloted aircraft in favour of concentrating on missile development. At the same time, jet engine development had progressed a long way in the six years since the SR.53's initial design. Combined with the fact that improvements in radar had meant that any incoming bomber threat could be detected much earlier, the need for an aircraft like the SR.53 had disappeared, and the project was cancelled on 29 July 1960, with the third prototype (XD153) never built.[3] The first SR.53 prototype, XD145, is preserved at the Royal Air Force Museum Cosford near Wolverhampton.[32] Data from The British Fighter since 1912[33]General characteristics Performance Armament  Related development Aircraft of comparable role, configuration, and era  Related lists</t>
  </si>
  <si>
    <t>//upload.wikimedia.org/wikipedia/commons/thumb/b/b9/Saunders_Roe_SR.53_XD151_FAR_08.09.57.jpg/300px-Saunders_Roe_SR.53_XD151_FAR_08.09.57.jpg</t>
  </si>
  <si>
    <t>Saunders-Roe</t>
  </si>
  <si>
    <t>https://en.wikipedia.org/Saunders-Roe</t>
  </si>
  <si>
    <t>Maurice Brennan[1]</t>
  </si>
  <si>
    <t>https://en.wikipedia.org/Maurice Brennan[1]</t>
  </si>
  <si>
    <t>Saunders-Roe SR.177</t>
  </si>
  <si>
    <t>https://en.wikipedia.org/Saunders-Roe SR.177</t>
  </si>
  <si>
    <t>45 ft 0 in (13.72 m)</t>
  </si>
  <si>
    <t>25 ft 1.5 in (7.658 m)</t>
  </si>
  <si>
    <t>274 sq ft (25.5 m2)</t>
  </si>
  <si>
    <t>RAE 102[34]</t>
  </si>
  <si>
    <t>7,400 lb (3,357 kg)</t>
  </si>
  <si>
    <t>18,400 lb (8,346 kg)</t>
  </si>
  <si>
    <t>67.2 lb/sq ft (328 kg/m2)</t>
  </si>
  <si>
    <t>1 × de Havilland Spectre liquid-fuelled rocket engine, 8,000 lbf (36 kN) thrust</t>
  </si>
  <si>
    <t>Mach 2.2 at 52,800 ft (16,093 m) (M1.34 achieved)</t>
  </si>
  <si>
    <t>67,000 ft (20,000 m) [35]</t>
  </si>
  <si>
    <t>52,800 ft/min (268 m/s)</t>
  </si>
  <si>
    <t>7 minutes at full power (jet + rocket)</t>
  </si>
  <si>
    <t>50,000 ft (15,240 m) in 2 minutes 12 seconds</t>
  </si>
  <si>
    <t>2 × de Havilland Firestreak infra-red guided missiles</t>
  </si>
  <si>
    <t>Kuiper Airborne Observatory</t>
  </si>
  <si>
    <t>The Gerard P. Kuiper Airborne Observatory (KAO) was a national facility operated by NASA to support research in infrared astronomy. The observation platform was a highly modified Lockheed C-141A Starlifter jet transport aircraft (s/n: 6110, registration: N714NA,[1] callsign: NASA 714[1]) with a range of 6,000 nautical miles (11,000 km), capable of conducting research operations at altitudes of up to 48,000 feet (14 km). The KAO was based at the Ames Research Center, NAS Moffett Field, near Sunnyvale, California. Prior to its conversion to the airborne observatory, it had served as Lockheed's demonstrator for a potential civil version of the C-141.[3] Though it began operation in 1974 as a replacement for an earlier aircraft, the Galileo Observatory (itself a converted Convair 990 (N711NA) that was destroyed in a collision with a U.S. Navy Lockheed P-3C Orion patrol aircraft in 1973[4]), the KAO wasn't dedicated until May 21, 1975.[5] The KAO flew at altitudes of 41,000 to 45,000 feet, and flew a total of 1,417 times.[5] The KAO has a 160-foot wingspan, measures 145 feet long, and stands 39 feet high. A typical crew consisted of two pilots, a flight engineer, the mission staff, and the flight team, and the aircraft provided a stable platform for missions lasting up to seven and a half hours.[5] The KAO flew mostly out of Moffett Field, but also flew out of New Zealand, Australia, American Samoa, Panama, Japan, Guam, Brazil, Ecuador, Chile, Houston (Texas), and Hawaii.[5] During a flight in 1978 that took off from American Samoa, two of the observatory's four engines failed soon after takeoff, and after the aircraft staggered and instrument power was shut down, the flight engineer had to crank down the landing gear manually.[5] The KAO's telescope was a conventional Cassegrain reflector with a 36-inch (91.5 cm) aperture, designed primarily for observations in the 1 to 500 μm spectral range.  Its flight capability allowed it to rise above almost all of the water vapor in the Earth's atmosphere (allowing observations of infrared radiation, which is blocked before reaching ground-based facilities), as well as travel to almost any point on the Earth's surface for an observation. The KAO made several major discoveries, including the first sightings of the rings of Uranus in 1977 and a definitive identification of an atmosphere on Pluto in 1988.  The KAO was used to study the origin and distribution of water and organic molecules in regions of star formation, and in the vast spaces between the stars. Kuiper astronomers also studied the disks surrounding certain stars that may be related to the formation of planetary systems around these stars. It took infrared spectrum measurements of the planet Mercury in 1995.[6] No quartz or olivine in Mercury's surface rocks was detected.[6] Peering still deeper into space, KAO astronomers studied powerful far-infrared emissions from the center of our galaxy and other galaxies. Scientists on board the KAO tracked the formation of heavy elements like iron, nickel, and cobalt from the massive fusion reactions of supernova SN 1987A. The KAO was retired in 1995 and is viewable at Moffett Field, although it is no longer airworthy.[2] It has been succeeded by a Boeing 747-based airborne observatory equipped with a larger aperture telescope, the Stratospheric Observatory for Infrared Astronomy (SOFIA). SOFIA completed its first test flight on April 26, 2007[7] and its telescope saw first light on May 26, 2010.[8] Initial "routine" science observation flights began in December 2010[9] and the observatory is at full capability with about 100 flights per year.[10][11]</t>
  </si>
  <si>
    <t>//upload.wikimedia.org/wikipedia/en/thumb/4/4a/Commons-logo.svg/12px-Commons-logo.svg.png</t>
  </si>
  <si>
    <t>Airborne observatory</t>
  </si>
  <si>
    <t>https://en.wikipedia.org/Airborne observatory</t>
  </si>
  <si>
    <t>Lockheed C-141 Starlifter</t>
  </si>
  <si>
    <t>https://en.wikipedia.org/Lockheed C-141 Starlifter</t>
  </si>
  <si>
    <t>Lockheed C-141A Starlifter</t>
  </si>
  <si>
    <t>https://en.wikipedia.org/Lockheed C-141A Starlifter</t>
  </si>
  <si>
    <t>6110[1]</t>
  </si>
  <si>
    <t>N714NA</t>
  </si>
  <si>
    <t>Moffett Field[2]</t>
  </si>
  <si>
    <t>https://en.wikipedia.org/Moffett Field[2]</t>
  </si>
  <si>
    <t>Kuiper Airborne Observatory  Gerard P. Kuiper Airborne Observatory</t>
  </si>
  <si>
    <t>NASA 714</t>
  </si>
  <si>
    <t>1974 – 1995</t>
  </si>
  <si>
    <t>.mw-parser-output .geo-default,.mw-parser-output .geo-dms,.mw-parser-output .geo-dec{display:inline}.mw-parser-output .geo-nondefault,.mw-parser-output .geo-multi-punct{display:none}.mw-parser-output .longitude,.mw-parser-output .latitude{white-space:nowrap}37°25′17″N 122°02′51″W﻿ / ﻿37.4214649°N 122.047412°W﻿ / 37.4214649; -122.047412Coordinates: 37°25′17″N 122°02′51″W﻿ / ﻿37.4214649°N 122.047412°W﻿ / 37.4214649; -122.047412</t>
  </si>
  <si>
    <t>https://en.wikipedia.org/.mw-parser-output .geo-default,.mw-parser-output .geo-dms,.mw-parser-output .geo-dec{display:inline}.mw-parser-output .geo-nondefault,.mw-parser-output .geo-multi-punct{display:none}.mw-parser-output .longitude,.mw-parser-output .latitude{white-space:nowrap}37°25′17″N 122°02′51″W﻿ / ﻿37.4214649°N 122.047412°W﻿ / 37.4214649; -122.047412Coordinates: 37°25′17″N 122°02′51″W﻿ / ﻿37.4214649°N 122.047412°W﻿ / 37.4214649; -122.047412</t>
  </si>
  <si>
    <t>https://en.wikipedia.org/1995</t>
  </si>
  <si>
    <t>Canadair Sabre</t>
  </si>
  <si>
    <t>The Canadair Sabre is a jet fighter aircraft built by Canadair under licence from North American Aviation. A variant of the North American F-86 Sabre, it was produced until 1958 and used primarily by the Royal Canadian Air Force (RCAF) until replaced with the Canadair CF-104 in 1962. Several other air forces also operated the aircraft. There were two major production runs of the aircraft. The first, the Mk. 2 and Mk. 4's with just under 1,000 built, were very similar to their US counterparts, differing only in minor details. The second run, the Mk. 5's and Mk. 6's of similar numbers, were patterned on the later versions of the US Sabre with larger wings for improved maneuverability while replacing the original General Electric J47 engine with the locally-designed more-powerful Avro Canada Orenda. The Mk. 6, with a more powerful version of the Orenda, is widely considered[by whom?] the best of all Sabres. The last of the Canadair Sabres in front-line operation were in Pakistan, whose AIM-9 Sidewinder equipped Mk. 6 models were the backbone of their air force during the Indo-Pakistani War of 1971. These racked up an impressive victory ratio over their Indian counterparts, which lacked missiles. These were slowly phased out after 1971, with the last examples leaving combat service in 1980. Although replaced by higher-performance designs in most other forces by the 1960s, late-model versions served in secondary roles into the 1970s. Some Orenda-powered examples became famous for other feats. Most notable was the single Mk. 3, the test-bed for the Orenda fit, which Jacqueline Cochran used in 1953 to set several speed records, including becoming the first woman to break the sound barrier. Another, an ex-RCAF Mk. 6 that left service in 1974, went on to become Boeing's chase plane for test flights until 1991. Many of these later aircraft are now preserved in museums. In 1948, the Canadian government decided to re-equip the RCAF with the F-86 Sabre with Canadair contracted to produce them in Montreal, Quebec, Canada. An initial batch of 10 aircraft was ordered for tool verification. The Korean War changed this to a production batch of 100 aircraft. Canadair slowly built up its production facility to make all components with related equipment obtained from other Canadian suppliers. Canadair gave the Sabre the project number CL-13. Canadair produced six versions of the CL-13 Sabre. The sole Sabre Mk.1 was essentially the same as the North American Sabre F-86A. It had a General Electric J47-GE-13 turbojet of 5,200 lbf (23 kN) thrust. The Sabre Mk.2 had the same engine, although after the first 20 aircraft were produced, the remainder of the production run was distinguished in having power-assisted controls and an "all-flying" tailplane. The sole Sabre Mk 3 was the first of the Canadian Sabres to use the Avro Canada Orenda turbojet (Orenda 3 with 6,000 lbf (27 kN) thrust). The Sabre Mk.4 retained the General Electric engine and was destined for the RAF and was later passed on to other overseas air forces. The Sabre Mk.5 was the next production version, equipped with an Orenda 10 with 6,500 lbf (29 kN) thrust. A change to the Orenda 14 with 7,440 lbf (33 kN) powered the Sabre Mk.6. The last Sabre to be manufactured by Canadair (Sabre #1815), after being donated by the Pakistan Air Force, is now part of the permanent collection in the Western Canada Aviation Museum (WCAM) in Winnipeg, Manitoba.[citation needed] From 1950 to 1958, a total of 1,815 CL-13 Sabres were built at the Canadair plant in Montreal. The second generation of Canadair Sabre aircraft, and first to be built in quantity, was the Mk 2, with 350 produced from 1952–1953. The RCAF received 290 of these improved aircraft. During the first half of 1952, the remaining 60 Mk.2s were supplied to the U.S. Air Force for use in the Korean War. Most RCAF Mk.2 Sabres were utilized in the air defence role with NATO's No. 1 Air Division in Europe, proving itself to be an outstanding dogfighter. Others were assigned to the training role at bases in Canada. After replacement by the Sabre 5 in RCAF service from 1954, just over 210 surviving Sabre 2s were overhauled and modified in the UK and supplied in roughly equal numbers to the Greek Air Force and Turkish Air Forces.[1] In mid-1952, the Sabre Mk.4 went into production with the first one flown on 28 August 1952. Apart from some minor structural and systems changes, including improved air-conditioning and gun sight, the Mk 2 and the Mk 4 were identical. Of 438 Mk 4s built, approximately 70 were used temporarily by the RCAF, all surviving examples being passed to the RAF. The other Sabre 4s went directly to the RAF under a mutual aid program, equipping 11 RAF squadrons. The majority served in West Germany with NATO, with two squadrons being based in the UK as part of RAF Fighter Command. The Sabre Mk.4 served with the RAF until mid-1956 when they were replaced by Hawker Hunters. The survivors were overhauled in the UK, fitted with '6-3' wing modifications and handed to the USAF (which had funded these aircraft) which in turn passed them on to other NATO members, with the majority going to Italy and Yugoslavia. On 30 July 1953, the first Sabre Mk.5 flew with the Orenda 10 engine, which gave it a clear rate of climb and ceiling advantage over earlier variants. Other Mk 5 improvements included a new oxygen system and improved maneuverability and low-speed characteristics achieved by increasing the wing chord by six in (15.2 cm) at the root and three in. (7.2 cm) at the wing tip along with fitting a small vertical wing fence. This modification, originated by North American on the F-86F, dramatically improved maneuverability, though the loss of the slatted leading edge increased landing speed and degraded low speed handling considerably. Canadair built 370 Mk 5s with the majority designated for use in the RCAF's Air Division squadrons in Europe to replace the Mk.2s. A total of 75 RCAF Sabre 5s were transferred to the German Luftwaffe during 1957. The Canadair Sabre Mk.6 was the final variant and was considered to be the "best" production Sabre ever built.[2] It was equipped with a two-stage Orenda engine developing 7,275 lb (3,302 kg.) of static thrust. Its altitude performance and climb rate was enhanced over the Mk 5 and the reinstatement of the wing leading edge slat gave it excellent low-speed characteristics. The first production model was completed on 2 November 1954 and ultimately 655 were built with production terminating on 9 October 1958. A total of 390 Mk 6s went to the RCAF with the majority replacing the existing Canadair Sabre Mk 5s at the Air Division squadrons in West Germany and France. The main air threats to NATO in the 1950s in Central Europe were the early variants of the Soviet MiG- the MiG-15, MiG-17, MiG-19 and MiG-21. Based on the Korean War experience, the selection of the Mk 6 Sabre to provide an effective opposition to the MiG threat proved to be a logical one. Canada's commitment to NATO was to provide 12 squadrons located at four bases – two in France (Marville and Grostenquin) and two in West Germany (Zweibrücken and Baden Soellingen). Initially, the contribution consisted of only Sabre aircraft; however, later it was decided to include the Avro Canada CF-100 aircraft in the defense package to provide a night and all-weather fighter capability. Though the main use of the Sabre by the RCAF was in Europe, they were also used by RCAF Auxiliary part-time units in Canada, replacing de Havilland Vampire jets.  400 "City Of Toronto" and 411 "County Of York" Squadrons based at RCAF Station Downsview near Toronto, as well as 401 "City Of Westmount" and 438 "City Of Montreal" Squadrons at RCAF Station St-Hubert near Montreal, were equipped with Sabre 5s, as was 442 "City Of Vancouver" Squadron at RCAF Station Sea Island, near Vancouver. In addition to the RCAF deliveries, 225 Canadair Mk 6 Sabres were exported to the West German Luftwaffe, six were delivered to the Colombian Air Force, and 34 went to the South African Air Force. In January 1966, Germany sold 90 of its Canadian Mk 6 Sabres to Iran. These aircraft were quickly transferred to Pakistan and became the main day fighter of the Pakistan Air Force. Canadair Sabres were the mainstay of their respective air forces in the two major conflicts in which they were employed: the Korean War, where F-86 Sabres racked up an impressive 6-1 kill record, and the Indo-Pakistani War of 1971. The diminutive Folland Gnat was its main opponent in the Indo-Pakistan war. By the end of 1971, the Gnat proved to be a frustrating opponent for the larger, heavier and older Sabre. The Gnat was referred to as a "Sabre Slayer" by the Indian Air Force since most of its combat kills during the two wars were against Sabres.[3][4] Although the Canadair Sabre Mk 6 was widely regarded as the best dogfighter of its era,[5] tactics called for Gnats taking on the Sabres in the vertical arena, where the Sabres were at a disadvantage. Moreover, because the Gnat was lightweight and compact in shape, it was hard to see, especially at the low levels where most of the dogfights took place.[6] In 1952, Jacqueline Cochran, then aged 47, decided to challenge the world speed record for women, then held by Jacqueline Auriol. She tried to borrow an F-86 from the U.S. Air Force, but was refused. She was introduced to an Air Vice-Marshal of the RCAF who, with the permission of the Canadian Minister of Defence, arranged for her to borrow 19200, the sole Sabre 3. Canadair sent a 16-man support team to California for the attempt. On 18 May 1953, Ms. Cochran set a new 100 km speed record of 1,050.15 km/h (652.5 mph). Later on 3 June, she set a new 15 km closed circuit record of 1078 km/h (670 mph). While she was in California, she exceeded 1270 km/h in a dive, and thus became the first woman to exceed the speed of sound. The Golden Hawks were a Canadian aerobatic flying team that was established in 1959 to celebrate the Royal Canadian Air Force's 35th anniversary and the "Golden" 50th anniversary of Canadian flight, which began with the AEA Silver Dart in 1909. Initially, a six-plane team flying brilliantly-painted metallic-gold Canadair Sabre Mk.5s, was envisioned as performing for only one year, but the Golden Hawks were so popular after their single 63-show season that the team was expanded. In the following year, another plane was added to the team, allowing for a five-plane main formation with two solo jets. The Golden Hawks continued performing for three more seasons, changing to the Mk 6 in 1961, until they were disbanded on 7 February 1964, having flown a total of 317 shows across North America.[8] Data from Specification for the Canadair F-86 Sabre 6 Airplane for the Argentine Air Force, Report No. RD-13B-13 (Issue 1)[13]General characteristics Performance Armament Related development Aircraft of comparable role, configuration, and era  Related lists</t>
  </si>
  <si>
    <t>//upload.wikimedia.org/wikipedia/commons/thumb/1/1b/Canadair_Sabre_0258.jpg/300px-Canadair_Sabre_0258.jpg</t>
  </si>
  <si>
    <t>Canadair</t>
  </si>
  <si>
    <t>https://en.wikipedia.org/Canadair</t>
  </si>
  <si>
    <t>{'Sabre Mk.1': 'e built, prototype F-86A.', 'Sabre Mk.2': '0 built, F-86E-type, 60 to USAF, three to RAF, 287 to RCAF.', 'Sabre Mk.3': 'e built in Canada, test-bed for the Orenda 3 jet engine, various other structural modifications were made to accommodate the Orenda engine.', 'Sabre Mk.4': '8 built, production: ten to RCAF, 428 to RAF as Sabre F 4.', 'Sabre F 4': '', 'Sabre Mk.5': '0 built, F-86F-type with Orenda engine, all to RCAF, 75 later passed to German Air Force.', 'Sabre Mk.6': '5 built, 390 to RCAF, 225 to Luftwaffe, six to Colombia and 34 to South Africa.'}</t>
  </si>
  <si>
    <t>37.54 ft (11.44 m)</t>
  </si>
  <si>
    <t>37.12 ft (11.31 m)</t>
  </si>
  <si>
    <t>14.74 ft (4.49 m)</t>
  </si>
  <si>
    <t>302.3 sq ft (28.08 m2)</t>
  </si>
  <si>
    <t>Root</t>
  </si>
  <si>
    <t>10,638 lb (4,825 kg)</t>
  </si>
  <si>
    <t>14,613 lb (6,628 kg) internal fuel</t>
  </si>
  <si>
    <t>58.154 lb/sq ft (283.93 kg/m2)</t>
  </si>
  <si>
    <t>1980, Pakistan</t>
  </si>
  <si>
    <t>Royal Canadian Air ForceAmerica Air Force Royal Air Force German Air Force</t>
  </si>
  <si>
    <t>https://en.wikipedia.org/Royal Canadian Air ForceAmerica Air Force Royal Air Force German Air Force</t>
  </si>
  <si>
    <t>1 × Avro Canada Orenda 14 turbojet, 7,275 lbf (32.36 kN) thrust</t>
  </si>
  <si>
    <t>697 mph (1,122 km/h, 606 kn) at sea level</t>
  </si>
  <si>
    <t>54,100 ft (16,500 m)</t>
  </si>
  <si>
    <t>North American F-86 Sabre</t>
  </si>
  <si>
    <t>https://en.wikipedia.org/North American F-86 Sabre</t>
  </si>
  <si>
    <t>110 mph (178 km/h, 96 kn) at sea level</t>
  </si>
  <si>
    <t>12,050 ft/min (61.2 m/s)</t>
  </si>
  <si>
    <t>1,481 mi (2,384 km, 1,287 nmi) ferry range with 2 x 200 gal drop tanks</t>
  </si>
  <si>
    <t>1950–1958</t>
  </si>
  <si>
    <t>17,580 lb (7,974 kg)</t>
  </si>
  <si>
    <t>6 x 0.50 in (12.7 mm) M3 Browning machine guns (1,600 rounds total)</t>
  </si>
  <si>
    <t>5,300 lb (2,400 kg) of payload on four external hardpoints, bombs are usually mounted on outer two pylons as the inner pairs are wet-plumbed pylons for 2 200 US gal (760 l; 170 imp gal) drop tanks to give the Sabre a useful range. A wide variety of bombs can be carried (max standard loadout being 2 1,000 lb (450 kg) bombs plus 2 drop tanks), napalm bomb canisters and can include a tactical nuclear weapon.</t>
  </si>
  <si>
    <t>variety of rocket launchers; e.g</t>
  </si>
  <si>
    <t>2 x infrared AIM-9B Sidewinders (Mk.6 only)</t>
  </si>
  <si>
    <t>4 , with provisions to carry combinations of</t>
  </si>
  <si>
    <t>Caproni PS.1</t>
  </si>
  <si>
    <t>The Caproni PS.1, also known as the Pallavicino PS-1 and Caproni Ca.303, was an Italian four-seater sportsplane, designed and built specifically to compete in Challenge 1934, the European touring plane championships.[1] The PS.1 was designed by Cesare Pallavicino, the former designer of Breda, after he had moved in 1933 to Caproni. Only two prototypes of the PS.1 were built, given registrations I-FRAN and I-MELO. The Caproni PS.1 was a four-seat cabin aircraft of metal construction, with cantilever monoplane low wings. The steel-framed fuselage was covered with fabric as were the single-sparred trapezoidal planform foldable wings of steel construction which had rounded tips. The cabin had two side-by-side seats in front with dual controls, and two seats in the rear, under a common multi-part canopy. A retractable conventional landing gear with a rear skid was fitted with the mainwheels protruding from the wing's lower surface when retracted. The radial engine was fitted to the fuselage nose, enclosed by a cowling, driving a two-bladed propeller.[1] Fuel was housed in a 160-litre fuel tank. Both aircraft took part in the Challenge 1934 contest, flown by Armando François and Ugo Vincenzi. In a technical evaluation, the PS-1 took second place behind the Messerschmitt Bf 108 (the PS-1 and Bf 108 were the only Challenge aircraft with retractable landing gear). The aircraft were completed only shortly before the contest, so their pilots had little time for training. During a short landing trial, Vincenzi damaged his engine and propeller, and he had to withdraw. Armando François completed the contest in 18th place (for 34 starting and 19 finishing crews).[2] The second PS.1, I-MELO, was rebuilt in the late 1930s and redesignated Caproni Ca.166, given the registration I-ALGU. Data from [1]General characteristics Performance   Aircraft of comparable role, configuration, and era</t>
  </si>
  <si>
    <t>//upload.wikimedia.org/wikipedia/commons/thumb/b/b9/Caproni_PS.1_I-MELO.jpg/300px-Caproni_PS.1_I-MELO.jpg</t>
  </si>
  <si>
    <t>Sportsplane</t>
  </si>
  <si>
    <t>Caproni</t>
  </si>
  <si>
    <t>https://en.wikipedia.org/Caproni</t>
  </si>
  <si>
    <t>one or two</t>
  </si>
  <si>
    <t>7.19 m (23 ft 7 in)</t>
  </si>
  <si>
    <t>10.41083 m (34 ft 1.875 in)</t>
  </si>
  <si>
    <t>2.1 m (7 ft)</t>
  </si>
  <si>
    <t>17.54 m2 (188.8 sq ft)</t>
  </si>
  <si>
    <t>659 kg (1,452 lb)</t>
  </si>
  <si>
    <t>1,078 kg (2,376 lb)</t>
  </si>
  <si>
    <t>60 kg/m2 (12 lb/sq ft)</t>
  </si>
  <si>
    <t>two to three passengers</t>
  </si>
  <si>
    <t>160 l (35.20 imp gal; 42.27 US gal)</t>
  </si>
  <si>
    <t>1 × Fiat A.70 air-cooled 7-cylinder radial engine, 147 kW (197 hp)</t>
  </si>
  <si>
    <t>261 km/h (162 mph, 141 kn)</t>
  </si>
  <si>
    <t>6,500 m (21,320 ft)</t>
  </si>
  <si>
    <t>0.14 kW/kg (0.087 hp/lb)</t>
  </si>
  <si>
    <t>Italy</t>
  </si>
  <si>
    <t>26 minutes to 13,120 ft (4,000 m)</t>
  </si>
  <si>
    <t>Tupolev Tu-244</t>
  </si>
  <si>
    <t>The Tupolev Tu-244 was a proposed supersonic transport (SST) aircraft, developed from the Tu-144. It implemented novel features such as cryogenic fuel to enable flight distances of up to 10,000 km (6,200 mi) and would have carried up to 300 passengers. The project was cancelled in 1993. The draft work began in 1979, and when the project ended in 1993 substantial progress had already been made during the interpretation. Specifically, the air resistance in the range of Mach 2 was only 50% higher than a conventional passenger airliner traveling at a speed of Mach 0,9. The nearly-circular fuselage (3.9 m [12.8 ft] width, 4.1 m [13.5 ft] height) and the wing unit would have consisted to a large extent of titanium-composite materials. The engines were to be higher performance hydrogen-fuelled versions of the Kuznetsov NK-321 turbofan, used also with the Tu-160. Adjustable air intake ramps from the Tu-160 might have been included. Projected passenger capacity was 311. Fly-by-wire was intended for flight control. Rather than using a tilting nose, video cameras were to provide the crew with the necessary view for landings. Data from[citation needed]General characteristics Performance Related development Aircraft of comparable role, configuration, and era    This aviation-related article is a stub. You can help Wikipedia by expanding it.</t>
  </si>
  <si>
    <t>//upload.wikimedia.org/wikipedia/commons/thumb/8/87/Tupolew_Tu-244_Mockup_vul.jpg/300px-Tupolew_Tu-244_Mockup_vul.jpg</t>
  </si>
  <si>
    <t>Supersonic transport</t>
  </si>
  <si>
    <t>https://en.wikipedia.org/Supersonic transport</t>
  </si>
  <si>
    <t>three</t>
  </si>
  <si>
    <t>88.7 m (291 ft 0 in)</t>
  </si>
  <si>
    <t>54.77 m (179 ft 8 in)</t>
  </si>
  <si>
    <t>16.9 m (55 ft 5 in)</t>
  </si>
  <si>
    <t>1,200 m2 (13,000 sq ft)</t>
  </si>
  <si>
    <t>172,000 kg (379,195 lb)</t>
  </si>
  <si>
    <t>250/320 passengers</t>
  </si>
  <si>
    <t>178,000 kg (392,000 lb) maximum</t>
  </si>
  <si>
    <t>4 × Kuznetsov NK-321 afterburning turbofan engines, 323.73 kN (72,780 lbf) with afterburner</t>
  </si>
  <si>
    <t>2.340 km/h (1.454 mph, 1.263 kn) / M2,2</t>
  </si>
  <si>
    <t>19.000 m (62.336 ft)</t>
  </si>
  <si>
    <t>Tupolev Tu-144</t>
  </si>
  <si>
    <t>https://en.wikipedia.org/Tupolev Tu-144</t>
  </si>
  <si>
    <t>9.200 km (5.717 mi, 4.968 nmi)</t>
  </si>
  <si>
    <t>350,000 kg (771,618 lb)</t>
  </si>
  <si>
    <t>DFS Kranich</t>
  </si>
  <si>
    <t>The DFS Kranich is a type of German glider. It was developed by Hans Jacobs for the Deutsche Forschungsanstalt für Segelflug (DFS). Series production of the Kranich (Crane) took place in the aircraft division of Karl Schweyer AG in Mannheim. The two-seater was, in its version 2, the most widely built two-seat glider in Germany from 1935 to 1939. Several hundred examples were built; exact numbers are not known. On 11 October 1940 Erich Klöckner in a Kranich achieved the record height in a glider of 11,460 m (37598 ft). Because it occurred in wartime, the altitude record was not recognized by the Allied occupying powers, and Klöckner only received official recognition by the Fédération Aéronautique Internationale (FAI) in the late 1990s.[1] This record height was only exceeded ten years after the flight by the American Bill Ivans during a similar scientific program in the Sierra Nevada. In 1942 30 Kranichs were built by the Swedish manufacturer AB Flygplan in Norrköping, and delivered to the Swedish Air Force for training purposes. These machines were given the military designation Flygplan Se 103. Between 1950 and 1952 50 examples of a slightly modified copy of the Kranich II were built in Poland, known as the SZD-C Żuraw (żuraw is Kranich in Polish = "crane"). Between 1947-48 10 examples and until 1957, 17 more of a slightly modified copy of the Kranich II were built in Yugoslavia, they have also repaired two war trophy left by the Germans. They were known as the UTVA Ždral LIBIS Žerjav  (ždral-žerjav is Kranich in Serbian and Slovenian = "crane"). After the war, Jacobs designed the Kranich III, a new development very different from its predecessors. It was developed and produced at the Focke-Wulf aircraft factory in Bremen. The first flight was on 1 May 1952, piloted by Hanna Reitsch. Thirty-seven were built. Data from The World's Sailplanes:Die Segelflugzeuge der Welt:Les Planeurs du Monde[2]General characteristics Performance</t>
  </si>
  <si>
    <t>//upload.wikimedia.org/wikipedia/commons/thumb/1/1d/DFS_Kranich.jpg/300px-DFS_Kranich.jpg</t>
  </si>
  <si>
    <t>Two-seat sailplane</t>
  </si>
  <si>
    <t>Karl Schweyer AG (primary manufacturer)</t>
  </si>
  <si>
    <t>https://en.wikipedia.org/Karl Schweyer AG (primary manufacturer)</t>
  </si>
  <si>
    <t>Hans Jacobs for DFS</t>
  </si>
  <si>
    <t>https://en.wikipedia.org/Hans Jacobs for DFS</t>
  </si>
  <si>
    <t>{'Kranich': 'e initial prototype designed by Hans Jacobs for the DFS.', 'Kranich II': 'oduction aircraft built primarily by Karl Schweyer AG and by Mraz, Czechoslovakia, but also in Poland, Spain and Sweden', 'Liege-Kranich': 'nversion of Kranich II with an additional cockpit in the glazed nose for a prone pilot.  Several built.  First conversion in Trebbin in the middle of World War II for the purpose of testing prone flying.  Also used for training to fly new German types (BV 40, DFS 228 and DFS 346).', 'Flygplan Se 103': 'cense production of 30 aircraft in Sweden for the Swedish Air Force', 'SZD-C Żuraw': 'cense production of a modified Kranich in Poland', 'Focke-Wulf Kranich III': 'major re-design.', 'UTVA Żdral': 'cense production of 10 aircraft a modified Kranich in Yugoslavia', 'LIBIS Żerjav': 'cense production of 17 aircraft a modified Kranich in Yugoslavia by LIBIS Letalski inštitut Branko Ivanuš Slovenija'}</t>
  </si>
  <si>
    <t>https://en.wikipedia.org/SZD-C Żuraw</t>
  </si>
  <si>
    <t>7.7 m (25 ft 3 in)</t>
  </si>
  <si>
    <t>18 m (59 ft 1 in)</t>
  </si>
  <si>
    <t>22.7 m2 (244 sq ft)</t>
  </si>
  <si>
    <t>Göttingen 535</t>
  </si>
  <si>
    <t>185 kg (408 lb) (equipped)</t>
  </si>
  <si>
    <t>23.6 at 70 km/h (43.5 mph; 37.8 kn)</t>
  </si>
  <si>
    <t>0.7 m/s (140 ft/min) at 60 km/h (37.3 mph; 32.4 kn)</t>
  </si>
  <si>
    <t>19.4 kg/m2 (4.0 lb/sq ft)</t>
  </si>
  <si>
    <t>128 km/h (79.5 mph; 69.1 kn)</t>
  </si>
  <si>
    <t>100 km/h (62.1 mph; 54.0 kn)</t>
  </si>
  <si>
    <t>80 km/h (49.7 mph; 43.2 kn)</t>
  </si>
  <si>
    <t>Miles M.20</t>
  </si>
  <si>
    <t>The Miles M.20 was a Second World War British fighter developed by Miles Aircraft in 1940. It was designed as a simple and quick-to-build "emergency fighter" alternative to the Royal Air Force's Spitfires and Hurricanes should their production become disrupted by bombing expected in the anticipated German invasion of the United Kingdom. Due to the subsequent shifting of the German  bombing effort after the Battle of Britain towards British cities in  what became known as The Blitz, together with the dispersal of British fighter manufacturing, the Luftwaffe's bombing of the original Spitfire and Hurricane factories did not seriously affect production, and so the M.20 proved unnecessary and the design was not pursued. At the outbreak of the Second World War in September 1939, Miles Aircraft began work on a single-engined fighter to supplement the RAF's Spitfires and Hurricanes. A wooden mock-up of the design, the M20/1, was inspected by Sir Kingsley Wood, the Secretary of State for Air, but no orders followed.[1] Following the outbreak of the Battle of Britain in July 1940, the Royal Air Force was faced with a potential shortage of fighters. To meet the Luftwaffe threat, the Air Ministry commissioned Miles to design a simple easy-to-build fighter to specification F.19/40. This became the Miles M.20/2. Nine weeks and two days later the first prototype flew.[2][1] To reduce production time the M.20 employed all-wood construction and used many parts from the earlier Miles Master trainer, lacked hydraulics, and had spatted fixed landing gear. The fixed undercarriage freed space and payload sufficient for twelve .303 Browning machine guns and 5000 rounds, and 154 Imperial gallons (700 litres) of fuel (double the range and ammunition capacity of the Hawker Hurricane and Supermarine Spitfire).[3] The M.20 was fitted with a bubble canopy for improved 360-degree vision. In line with a design philosophy emphasising simplicity, speed and re-using available components, the engine was a Rolls-Royce Merlin XX "power egg"  identical to those used on Merlin-powered Avro Lancasters and Bristol Beaufighters. This conferred flight performance that fell between those of Britain's two frontline fighters. The first prototype first flew on 15 September 1940,[4] and was tested at the A &amp; AEE under the military serial number AX834 against Specification F.19/40. Armed with eight .303 Browning machine guns like the Hurricane, the M.20 prototype was faster than the Hurricane but slower than Spitfire types then in production, but carried more ammunition and had greater range than either. Once the Luftwaffe had been defeated over Britain, the need for the M.20 vanished and the design was abandoned without entering production. The first prototype was scrapped at Woodley. A second prototype, U-0228 (later DR616) was built to Specification N.1/41 for a Fleet Air Arm shipboard fighter, equipped with an arrestor hook and catapult launch points. It first flew on 8 April 1941.[5] This variant could be launched by catapult aircraft merchant ships which lacked flight decks so the aircraft were to be ditched after their mission, and to facilitate this the undercarriage could be jettisoned. However, obsolete Hurricanes were modified to fill this role, which rendered a shipboard variant of the M.20 unnecessary. Consequently, this prototype was also scrapped. Test pilot Eric Brown flew this aircraft in January 1942.  He reported that "although surprisingly nippy in performance, could not match the Martlet, Hurricane, or Spitfire in manoeuvrability".[6]  It lacked also the excellent deck landing characteristics of the Martlet. Accounts compare the M.20's performance with that of Battle of Britain aircraft.  The M.20 (345 mph (555 km/h) at 20,400 ft (6,200 m)) was powered by a Rolls-Royce Merlin XX with a two‑speed supercharger.  A Hurricane IIB with the same engine did 342 mph (550 km/h) at 22,000 ft (6,700 m).  A Spitfire Mk.VC, powered by a similar Merlin 45 did 374 mph (602 km/h) at 13,000 ft (4,000 m).  The Spitfire was armed with two 20 mm (0.79 in) cannons and four .303 in (7.7 mm) machine guns.  The other two aircraft were armed with eight  .303 in (7.7 mm) machine guns.[7] Data from The British Fighter since 1912,[8] Miles Aircraft since 1925[9]General characteristics Performance Armament  Related development Aircraft of comparable role, configuration, and era  Related lists</t>
  </si>
  <si>
    <t>//upload.wikimedia.org/wikipedia/commons/thumb/4/49/Miles_M.20.jpg/300px-Miles_M.20.jpg</t>
  </si>
  <si>
    <t>Lightweight fighter</t>
  </si>
  <si>
    <t>Walter G. Capley</t>
  </si>
  <si>
    <t>2 prototypes</t>
  </si>
  <si>
    <t>30 ft 1 in (9.17 m)</t>
  </si>
  <si>
    <t>34 ft 7 in (10.54 m)</t>
  </si>
  <si>
    <t>12 ft 6 in (3.81 m)</t>
  </si>
  <si>
    <t>234 sq ft (21.7 m2)</t>
  </si>
  <si>
    <t>5,870 lb (2,663 kg)</t>
  </si>
  <si>
    <t>33.2 lb/sq ft (162 kg/m2)</t>
  </si>
  <si>
    <t>154 imp gal (185 US gal; 700 l) fuel ; 8.5 imp gal (10 US gal; 39 l)</t>
  </si>
  <si>
    <t>1 × Rolls-Royce Merlin XX V-12 liquid-cooled piston engine, 1,260 hp (940 kW)   at 3,000 rpm</t>
  </si>
  <si>
    <t>3-bladed Rotol constant-speed propeller</t>
  </si>
  <si>
    <t>333 mph (536 km/h, 289 kn) at 20,600 ft (6,300 m) combat load</t>
  </si>
  <si>
    <t>31,400 ft (9,600 m)</t>
  </si>
  <si>
    <t>Royal Air Force (trials only)</t>
  </si>
  <si>
    <t>https://en.wikipedia.org/Royal Air Force (trials only)</t>
  </si>
  <si>
    <t>80 mph (130 km/h, 70 kn) flaps down</t>
  </si>
  <si>
    <t>3,200 ft/min (16 m/s)</t>
  </si>
  <si>
    <t>550 mi (890 km, 480 nmi) / 2 hour duration - normal</t>
  </si>
  <si>
    <t>7,758 lb (3,519 kg)</t>
  </si>
  <si>
    <t>5 hours 12 minutes at 9,000 ft (2,743 m)</t>
  </si>
  <si>
    <t>20,000 ft (6,100 m) in 9 minutes 36 seconds</t>
  </si>
  <si>
    <t>8 × .303 in (7.7 mm) Browning machine guns</t>
  </si>
  <si>
    <t>810 ft (250 m) with 30° flap</t>
  </si>
  <si>
    <t>1,350 ft (410 m) with 30° flap</t>
  </si>
  <si>
    <t>35,500 ft (10,800 m)</t>
  </si>
  <si>
    <t>DFS Habicht</t>
  </si>
  <si>
    <t>The DFS Habicht (German: "Hawk") is an unlimited aerobatic sailplane that was designed in 1936 by Hans Jacobs with support provided by the Deutsche Forschungsanstalt für Segelflug. Four planes were made available for the Olympic Games of 1936, where the maneuvers of the Habicht over and literally inside the Olympic stadium enthralled spectators. The flight qualities of the Habicht were praised by pilots, including Hanna Reitsch. It participated in many airshows abroad before the war, including the 1938 National Air Races in Cleveland, Ohio.[1]: 137–138  Modified versions of the Habicht, dubbed the Stummel-Habicht ("Stumpy Hawk"), were used to train pilots to fly the Messerschmitt Me 163 Komet rocket-powered fighter. Trainees included students from the Hitler Youth Glider Schools. The Me 163 was designed to use its entire load of rocket fuel to reach combat altitude of approximately 10,000 metres (33,000 ft), before returning to land as a fast glider. Trainees therefore began on a Stummel-Habicht, in which the original 14 metres (46 ft) wingspan, was modified to one having an 8 metres (26 ft) wingspan, and another having an 6 metres (20 ft) wingspan.  The shorter wingspan closely mimicked the ME 163 handling characteristics.[2] Few Habichts survived World War II. There is one craft, flown by famous French aerobatic pilot Marcel Doret, in the Musée de l'Air et de l'Espace in Paris. Another, with the registration D-8002, flew in Southern Germany until it was destroyed by the collapse of the hangar wherein it was stored. Apart from these original examples, Türk Hava Kurumu manufactured six reverse-engineered copies of the Habicht as the THK-3 in 1945-1946. After lengthy and patient research to recover the design documentation, Josef Kurz and other members of the Oldtimer Segelflugclub Wasserkuppe built an all-new Habicht. After an extended exhibition career, this exemplar, registered also as D-8002, flies from the Wasserkuppe club's airfield. Another airworthy Habicht was built by the Zahn family and first flew in 2001. Since then, at the hands of pilot Christoph Zahn, it has provided aerobatics demonstrations at numerous air shows.  General characteristics Performance</t>
  </si>
  <si>
    <t>//upload.wikimedia.org/wikipedia/commons/thumb/4/42/DFS_Habicht_E.jpg/300px-DFS_Habicht_E.jpg</t>
  </si>
  <si>
    <t>DFS</t>
  </si>
  <si>
    <t>https://en.wikipedia.org/DFS</t>
  </si>
  <si>
    <t>Hans Jacobs</t>
  </si>
  <si>
    <t>https://en.wikipedia.org/Hans Jacobs</t>
  </si>
  <si>
    <t>6.58 m (21 ft 7 in)</t>
  </si>
  <si>
    <t>13.60 m (44 ft 7 in)</t>
  </si>
  <si>
    <t>15.8 m2 (170 sq ft)</t>
  </si>
  <si>
    <t>250 kg (550 lb)</t>
  </si>
  <si>
    <t>350 kg (770 lb)</t>
  </si>
  <si>
    <t>0.80 m/s (160 ft/min)</t>
  </si>
  <si>
    <t>250 km/h (160 mph, 140 kn)</t>
  </si>
  <si>
    <t>LVG C.II</t>
  </si>
  <si>
    <t>The LVG C.II was a 1910s German two-seat reconnaissance biplane designed at the Luft-Verkehrs-Gesellschaft for the Luftstreitkräfte. The C.II was developed from the LVG B.I, with the pilot and observer positions reversed, adding a ring-mounted machine gun to the rear. The increase in weight required a larger engine, the Benz Bz.III. Few C.I's were built before the C.II was introduced. It incorporated structural improvements and a more powerful engine.[1] The C.IV was the first fixed-wing aircraft to bomb London, when six bombs were dropped near Victoria station on 28 November 1916.[1]  (The first air raid on London was by the Zeppelin LZ 38, in the early hours of 1 June 1915.) Data from Donald, David, The Encyclopedia of World Aircraft (pg 553). (1997). Prospero Books.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1-85605-375-XGeneral characteristics Performance Armament     Related lists</t>
  </si>
  <si>
    <t>//upload.wikimedia.org/wikipedia/commons/thumb/c/cd/Bundesarchiv_Bild_104-0321%2C_Flugzeug_LVG_C.II.jpg/300px-Bundesarchiv_Bild_104-0321%2C_Flugzeug_LVG_C.II.jpg</t>
  </si>
  <si>
    <t>reconnaissance/light bomber</t>
  </si>
  <si>
    <t>Luft-Verkehrs-Gesellschaft</t>
  </si>
  <si>
    <t>https://en.wikipedia.org/Luft-Verkehrs-Gesellschaft</t>
  </si>
  <si>
    <t>c. 300</t>
  </si>
  <si>
    <t>{'LVG C.I': ' initial design, 120\xa0kW (160\xa0hp) ', 'LVG C.II': ' production version.', 'LVG C.III': ' single experimental aircraft, observer and machine gun moved to front.', 'LVG C.IV': ' slightly larger, 160\xa0kW (220\xa0hp) '}</t>
  </si>
  <si>
    <t>8.10 m (26 ft 7 in)</t>
  </si>
  <si>
    <t>12.85 m (42 ft 2 in)</t>
  </si>
  <si>
    <t>2.93 m (9 ft 7.25 in)</t>
  </si>
  <si>
    <t>37.60 m2 (404.74 sq ft)</t>
  </si>
  <si>
    <t>845 kg (1,863 lb)</t>
  </si>
  <si>
    <t>1,405 kg (3,097 lb)</t>
  </si>
  <si>
    <t>late 1915</t>
  </si>
  <si>
    <t>1 × Mercedes D.III , 119 kW (160 hp)</t>
  </si>
  <si>
    <t>130 km/h (81 mph, 70 kn)</t>
  </si>
  <si>
    <t>4,000 m (13,125 ft)</t>
  </si>
  <si>
    <t>LVG B.I</t>
  </si>
  <si>
    <t>https://en.wikipedia.org/LVG B.I</t>
  </si>
  <si>
    <t>385 km (240 mi, 210 nmi)</t>
  </si>
  <si>
    <t>Airspeed Viceroy</t>
  </si>
  <si>
    <t>The Airspeed AS.8 Viceroy was a British racing version of the Airspeed AS.6 Envoy built by Airspeed (1934) Limited at Portsmouth.  The Viceroy was built to order for Captain T. Neville Stack and Sydney Lewis Turner, to compete in the England-Australia MacRobertson Air Race. Only one aircraft, registered G-ACMU, was built. The Viceroy was a modified Airspeed Envoy.  Modifications included: The Airspeed Viceroy started the race from RAF Mildenhall, England, but after several reliability problems including with the mainwheel brakes, it was withdrawn from the race at Athens.  The pilots concluded that it would be unsafe to proceed and they would probably be unable to finish the race. An acrimonious set of legal actions followed, with the pilots complaining that the aircraft, beset by multiple problems, had been "not really ready". Airspeed contested the action, and eventually the aircraft was returned to them without refund. The aircraft returned to Portsmouth and was then stored until July 1936 when it was sold the following month by the French concern, SFTA and departed to France en route to the Spanish Civil War. Documentation regarding the Viceroy's service with the Spanish Republican Air Force is sketchy.  The intention was to convert the aircraft into a bomber and photographs suggest that it did receive new markings and was stationed at an airbase, but further information is not available as to its actual service.[1] Data from British Civil Aircraft since 1919 Volume 1[2]General characteristics Performance</t>
  </si>
  <si>
    <t>//upload.wikimedia.org/wikipedia/commons/thumb/4/41/Airspeed_Viceroy.jpg/300px-Airspeed_Viceroy.jpg</t>
  </si>
  <si>
    <t>Racing Monoplane</t>
  </si>
  <si>
    <t>Airspeed (1934) Ltd</t>
  </si>
  <si>
    <t>https://en.wikipedia.org/Airspeed (1934) Ltd</t>
  </si>
  <si>
    <t>N.S. Norway / Hessell Tiltman</t>
  </si>
  <si>
    <t>https://en.wikipedia.org/N.S. Norway / Hessell Tiltman</t>
  </si>
  <si>
    <t>2[3]</t>
  </si>
  <si>
    <t>34 ft 6 in (10.52 m)</t>
  </si>
  <si>
    <t>51 ft 0 in (15.54 m)</t>
  </si>
  <si>
    <t>299 sq ft (27.8 m2)</t>
  </si>
  <si>
    <t>6,300 lb (2,858 kg)</t>
  </si>
  <si>
    <t>2 × Armstrong Siddeley Cheetah VI supercharged radial piston engine, 290 hp (220 kW)  each</t>
  </si>
  <si>
    <t>210 mph (340 km/h, 180 kn)</t>
  </si>
  <si>
    <t>Airspeed Envoy</t>
  </si>
  <si>
    <t>https://en.wikipedia.org/Airspeed Envoy</t>
  </si>
  <si>
    <t>1,400 mi (2,300 km, 1,200 nmi)</t>
  </si>
  <si>
    <t>Unknown</t>
  </si>
  <si>
    <t>Fieseler Fi 333</t>
  </si>
  <si>
    <t>The Fieseler Fi 333 was a prototype transport aircraft developed by Fieseler in 1942, and backed by the Luftwaffe.[1] The aircraft was to use detachable pods of varying sizes to carry cargo, a system that would allow a rapid turnaround on the ground.[1] The tall, fixed undercarriage featured tandem independently sprung wheels.[1]  Power was provided by two 750 kW (1,000 hp) BMW Bramo 323D radial engines.[2] Three prototypes are believed to have been built.[1][2] Data from [2]General characteristics Performance   Aircraft of comparable role, configuration, and era</t>
  </si>
  <si>
    <t>//upload.wikimedia.org/wikipedia/commons/thumb/b/b7/Fieseler_Fi_333.jpg/300px-Fieseler_Fi_333.jpg</t>
  </si>
  <si>
    <t>Transport</t>
  </si>
  <si>
    <t>Nazi Germany</t>
  </si>
  <si>
    <t>22.00 m (72 ft 2 in)</t>
  </si>
  <si>
    <t>30 m (98 ft 5 in)</t>
  </si>
  <si>
    <t>5.8 m (19 ft)</t>
  </si>
  <si>
    <t>6,101 kg (13,450 lb) with pod</t>
  </si>
  <si>
    <t>9,201 kg (20,285 lb)</t>
  </si>
  <si>
    <t>2 × BMW Bramo 323D nine-cylinder radial engine, 750 kW (1,000 hp)  each</t>
  </si>
  <si>
    <t>299 km/h (186 mph, 162 kn)</t>
  </si>
  <si>
    <t>64 km/h (40 mph, 35 kn)</t>
  </si>
  <si>
    <t>1,500 km (930 mi, 810 nmi)</t>
  </si>
  <si>
    <t>11,502 kg (25,358 lb)</t>
  </si>
  <si>
    <t>Sukhoi T-60S</t>
  </si>
  <si>
    <t>The Sukhoi T-60S was a planned Soviet 1980s replacement for the Tu-22M3. The supersonic intermediate range bomber never got past the drawing board. Very little information is available about technical characteristics of this aircraft, which remains classified by the Sukhoi Design Bureau. It was believed that T-60S would have  featured a variable geometry wing, flat lifting fuselage and two engines, equipped with two-dimensional thrust vectoring nozzles. The armament was to include up to six Kh-101 cruise missiles, as well as AS-15 and AS-16 missiles, free-fall nuclear weapons and precision guided conventional munitions. The project was first initiated by  Sukhoi in 1984 but was cancelled in the early 1990s. The bomber was to have replaced the Tu-22M in the Soviet Air Force.[1][2] Instead, Sukhoi decided took a more conventional approach and developed the Su-34 as a replacement for the Tu-22M.  Source [3]    Aircraft of comparable role, configuration, and era  Related lists</t>
  </si>
  <si>
    <t>//upload.wikimedia.org/wikipedia/commons/thumb/c/cc/T-60.JPG/300px-T-60.JPG</t>
  </si>
  <si>
    <t>Intermediate bomber</t>
  </si>
  <si>
    <t>Sukhoi</t>
  </si>
  <si>
    <t>https://en.wikipedia.org/Sukhoi</t>
  </si>
  <si>
    <t>Cancelled project</t>
  </si>
  <si>
    <t>Häfeli DH-5</t>
  </si>
  <si>
    <t>The Häfeli DH-5 was a 1910s Swiss two-seat reconnaissance aircraft, built by the aircraft department of the Federal Construction Works (Eidgenoessische Konstruktionswerkstaette, K + W) at Thun, Switzerland. The Häfeli DH-5 was a two-seat reconnaissance aircraft designed by August Häfeli. It was a single-bay biplane of wood and fabric construction. The aircraft was powered by a 180 hp (134 kW) LFW I engine produced by the Swiss Locomotive and Machine Works. Test flying of the prototype commenced in March 1919 and 39 were ordered. Some aircraft were later modified with Handley Page slats. A second batch of 20 aircraft were powered by a 200 hp (149 kW) LFW II engine. A further batch of 20 aircraft designated the DH-5A used the LFW III engine. The DH-5 entered service in 1922 and was not withdrawn from service until 1940. Data from The Illustrated Encyclopedia of Aircraft (Part Work 1982–1985)[1]General characteristics Performance Armament</t>
  </si>
  <si>
    <t>//upload.wikimedia.org/wikipedia/commons/thumb/c/c8/H%C3%A4feli_DH-5_seen_from_above.jpg/300px-H%C3%A4feli_DH-5_seen_from_above.jpg</t>
  </si>
  <si>
    <t>Reconnaissance biplane</t>
  </si>
  <si>
    <t>K + W</t>
  </si>
  <si>
    <t>https://en.wikipedia.org/K + W</t>
  </si>
  <si>
    <t>August Häfeli</t>
  </si>
  <si>
    <t>{'DH-5': 'itial production version with either the LFW I or LFW II engine.', 'DH-5A': 'rsion with a 220 hp (164 kw) LFW III engines, survivors were modified at Thun in 1932 with Handley Page slats and changes to allow crew to wear parachutes.', 'DH-5X': 'ials aircraft powered by a Hispano-Suiza HS-42 (8Fb) engine imported from France. The aircraft was not ordered into production due lack of availability of the engines and the DH-5X crashed in 1933.'}</t>
  </si>
  <si>
    <t>7.6 m (24 ft 11 in)</t>
  </si>
  <si>
    <t>12 m (39 ft 4 in)</t>
  </si>
  <si>
    <t>31.4 m2 (338 sq ft)</t>
  </si>
  <si>
    <t>859 kg (1,894 lb)</t>
  </si>
  <si>
    <t>1,271 kg (2,802 lb)</t>
  </si>
  <si>
    <t>1 × LFW III V-8 water-cooled piston engine, 160 kW (220 hp)</t>
  </si>
  <si>
    <t>5,600 m (18,400 ft)</t>
  </si>
  <si>
    <t>480 km (300 mi, 260 nmi)</t>
  </si>
  <si>
    <t>Heinkel Lerche</t>
  </si>
  <si>
    <t>The Heinkel Lerche (English: Lark) was the name of a set of project studies made by German aircraft designer Heinkel in 1944 and 1945 for a revolutionary VTOL fighter and ground-attack aircraft. The Lerche was an early coleopter design. It would take off and land sitting on its tail, flying horizontally like a conventional aircraft. The pilot would lie prone in the nose. Most remarkably, it would be powered by two contra-rotating propellers which were contained in a donut-shaped, nine-sided annular wing. The remarkably futuristic design was developed starting 1944 and concluding in March 1945. The aerodynamic principles of an annular wing were basically sound, but the proposal was faced with a whole host of unsolved manufacture and control problems which would have made the project highly impractical, even without the material shortages of late-war Nazi Germany. Data from [1]General characteristics Performance Armament   Aircraft of comparable role, configuration, and era  Related lists</t>
  </si>
  <si>
    <t>//upload.wikimedia.org/wikipedia/commons/thumb/d/db/Hubschraubermuseum_B%C3%BCckeburg_2010_0978.JPG/300px-Hubschraubermuseum_B%C3%BCckeburg_2010_0978.JPG</t>
  </si>
  <si>
    <t>Tail-sitter Fighter</t>
  </si>
  <si>
    <t>https://en.wikipedia.org/Tail-sitter Fighter</t>
  </si>
  <si>
    <t>9.4 m (30 ft 10 in)</t>
  </si>
  <si>
    <t>4 m (13 ft 1 in)</t>
  </si>
  <si>
    <t>12 m2 (130 sq ft)</t>
  </si>
  <si>
    <t>4,500 kg (9,921 lb)</t>
  </si>
  <si>
    <t>5,600 kg (12,346 lb)</t>
  </si>
  <si>
    <t>1,282 km/h (797 mph, 692 kn)</t>
  </si>
  <si>
    <t>2 × Daimler-Benz DB 605D V-12 liquid-cooled direct fuel-injected piston engines 2,000 PS (1,500 kW)or 2 × Daimler-Benz DB 603E V-12 liquid-cooled direct fuel-injected piston engines 2,400 PS (1,800 kW)(1 PS (Pferdestärke) = 0.736 kW = 0.98632007272 hp)</t>
  </si>
  <si>
    <t>553 km/h (344 mph, 299 kn)</t>
  </si>
  <si>
    <t>14,300 m (46,900 ft)</t>
  </si>
  <si>
    <t>50 m/s (9,800 ft/min)</t>
  </si>
  <si>
    <t>Paper project only, never built</t>
  </si>
  <si>
    <t>2 × 30 mm (1.18 in) MK 108 cannon</t>
  </si>
  <si>
    <t>3 × Ruhrstahl X-4 Air to Air Missile (Optional)</t>
  </si>
  <si>
    <t>Nakajima A2N</t>
  </si>
  <si>
    <t>The Nakajima A2N or Navy Type 90 Carrier Fighter was a Japanese carrier-borne fighter of the 1930s.  It was a single-engined biplane of mixed construction, with a fixed tailwheel undercarriage. The A2N was originally developed as a private venture by Nakajima for the Imperial Japanese Navy. It was based loosely on the Boeing Model 69 and Boeing Model 100, examples of both having been imported in 1928 and 1929 respectively. Takao Yoshida led the design team and two prototypes, designated Navy Type 90 Carrier Fighter in anticipation of Navy acceptance, were ready by December 1929.[1] Powered by Bristol Jupiter VI engines, these were rejected, not being regarded as offering a significant improvement over the Nakajima A1N.[2] Jingo Kurihara carried out a major redesign and another prototype, the A2N1, powered by a 432 kW (579 hp) Nakajima Kotobuki 2, was completed in May 1931. The type was adopted by the Navy in April 1932.[2] A two-seat trainer, the A3N3-1 (Navy Type 90 Training Fighter), was later developed from the Navy Type 90 Carrier Fighter and 66 of these were built between 1936 and 1939.[2] In 1932, Minoru Genda formed a flight demonstration team known as "Genda's Flying Circus" to promote naval aviation and flew this type. The Navy Type 90 Carrier-based fighter flew from the Hōshō, Kaga and Ryūjō.[3] On what would become the first air battles of the Second Sino-Japanese War-Second World War for the air-combat units of these aircraft carriers,[4] A2N fighter pilot Akio Matsuba from Kaga, flying air-cover in support of Japanese troop-landings in the Battle of Shanghai on 16 August 1937, shot-down a Chinese Air Force Douglas O-2M on an attack mission against Japanese forces in Shanghai.[5] A2Ns were soon completely superseded by the A4Ns and A5Ms fighters. Data from Japanese Aircraft, 1910-1941,[2] The Complete Book of Fighters[6]General characteristics Performance Armament  Related development Aircraft of comparable role, configuration, and era  Related lists 2 Hyphenated trailing letter (-J, -K, -L, -N or -S) denotes design modified for secondary role</t>
  </si>
  <si>
    <t>//upload.wikimedia.org/wikipedia/commons/thumb/5/59/90siki-kansen.jpg/300px-90siki-kansen.jpg</t>
  </si>
  <si>
    <t>Carrier-borne fighter</t>
  </si>
  <si>
    <t>https://en.wikipedia.org/Carrier-borne fighter</t>
  </si>
  <si>
    <t>Takao Yoshida</t>
  </si>
  <si>
    <t>approx 100 (A2N) + 66 (A3N)</t>
  </si>
  <si>
    <t>{'A2N1': 'avy Type 90-I Carrier Fighter) - Guns located in both sides of the nose, but few produced.', 'Navy Type 90-I Carrier Fighter': '- Guns located in both sides of the nose, but few produced.', 'A2N2': 'avy Type 90-II Carrier Fighter) - Guns transferred to the upper surface of the nose, the fuel tanks mounted on the fuselage sides.', 'Navy Type 90-II Carrier Fighter': '- Guns transferred to the upper surface of the nose, the fuel tanks mounted on the fuselage sides.', 'A2N3': 'avy Type 90-III Carrier Fighter) - principal production variant. 5° of dihedral on upper mainplane.', 'Navy Type 90-III Carrier Fighter': '- principal production variant. 5° of ', 'A3N3-1': 'avy Type 90 Training Fighter) two-seat trainer', 'Navy Type 90 Training Fighter': 'two-seat trainer'}</t>
  </si>
  <si>
    <t>6.183 m (20 ft 3 in)</t>
  </si>
  <si>
    <t>9.37 m (30 ft 9 in)</t>
  </si>
  <si>
    <t>3.025 m (9 ft 11 in)</t>
  </si>
  <si>
    <t>19.74 m2 (212.5 sq ft)</t>
  </si>
  <si>
    <t>1,045 kg (2,304 lb)</t>
  </si>
  <si>
    <t>78.5 kg/m2 (16.1 lb/sq ft)</t>
  </si>
  <si>
    <t>1 × Nakajima Kotobuki 2 9-cylinder air-cooled radial piston engine 343–433 kW (460–580 hp)</t>
  </si>
  <si>
    <t>2-bladed Hamilton Standard fixed-pitch metal propeller</t>
  </si>
  <si>
    <t>293 km/h (182 mph, 158 kn)</t>
  </si>
  <si>
    <t>167 km/h (104 mph, 90 kn)</t>
  </si>
  <si>
    <t>0.222 kW/kg (0.135 hp/lb)</t>
  </si>
  <si>
    <t>Imperial Japanese Navy</t>
  </si>
  <si>
    <t>https://en.wikipedia.org/Imperial Japanese Navy</t>
  </si>
  <si>
    <t>500 km (310 mi, 270 nmi)</t>
  </si>
  <si>
    <t>1932-1936 (A2N)</t>
  </si>
  <si>
    <t>3 hours</t>
  </si>
  <si>
    <t>3,000 m (9,843 ft) in 5 minutes 45 seconds</t>
  </si>
  <si>
    <t>2× 7.7 mm (0.303 in) machine guns</t>
  </si>
  <si>
    <t>Armstrong Whitworth F.K.10</t>
  </si>
  <si>
    <t>The Armstrong Whitworth F.K.10 was a British two-seat quadruplane (i.e., four wing) fighter aircraft built by Armstrong Whitworth during the First World War. While it was ordered in small numbers for the Royal Flying Corps and Royal Naval Air Service, it was not used operationally. It is one of the few quadruplane aircraft to reach production. The F.K.10 was designed in 1916 by Frederick Koolhoven,[1] the chief designer of Armstrong Whitworth Aircraft as a single-engine two-seat fighter. Koolhoven chose the novel quadruplane layout, also used by Pemberton-Billing (later known as Supermarine) for the P.B.29E and Supermarine Nighthawk anti-Zeppelin aircraft, and the contemporary Wight Quadruplane scout. At roughly the same time, Sopwith were building the successful Sopwith Triplane fighter. The first prototype, the F.K.9 [2] was built and first flown in the summer of 1916, powered by a 110 hp (80 kW) Clerget 9Z rotary engine. It had a shallow fuselage, with the wings joined by plank-like interplane struts,[3] similar to those used by the Sopwith Triplane. After evaluation at the Central Flying School in late 1916, a production order for 50 was placed by the RFC for a modified version, the F.K.10.[2] The production F.K.10 had a new, deeper fuselage, and a new tail, but retained the wing planform of the F.K.9. The F.K.10 showed inferior performance to the Sopwith 1½ Strutter, which was already in service as a successful two-seat fighter, and only five were built of the RFC order, with a further three built for the RNAS.[2] They were not used operationally and the design was not developed further.[4] Data from Warplanes of the First World War, Fighters Volume One, Great Britain.[5]General characteristics Performance Armament   Aircraft of comparable role, configuration, and era</t>
  </si>
  <si>
    <t>//upload.wikimedia.org/wikipedia/commons/thumb/3/38/Armstrong_Whitworth_F.K.10_side_view.jpg/300px-Armstrong_Whitworth_F.K.10_side_view.jpg</t>
  </si>
  <si>
    <t>Armstrong Whitworth</t>
  </si>
  <si>
    <t>https://en.wikipedia.org/Armstrong Whitworth</t>
  </si>
  <si>
    <t>Frederick Koolhoven</t>
  </si>
  <si>
    <t>https://en.wikipedia.org/Frederick Koolhoven</t>
  </si>
  <si>
    <t>9 (1 F.K.9 + 8 F.K.10)</t>
  </si>
  <si>
    <t>{'F.K.9': 'ototype powered by 110\xa0hp (80\xa0kW) Clerget 9Z engine.', 'F.K.10': 'oduction version with revised fuselage and tail, powered by 130\xa0hp (100\xa0kW) Clerget 9B or Le Rhône 9J engine. 50 ordered, 8 built.'}</t>
  </si>
  <si>
    <t>22 ft 3 in (6.78 m)</t>
  </si>
  <si>
    <t>27 ft 10 in (8.48 m)</t>
  </si>
  <si>
    <t>390.4 sq ft (36.27 m2)</t>
  </si>
  <si>
    <t>1,236 lb (561 kg)</t>
  </si>
  <si>
    <t>2,019 lb (916 kg)</t>
  </si>
  <si>
    <t>1 × Clerget 9B nine-cylinder rotary engine, 130 hp (97 kW)</t>
  </si>
  <si>
    <t>84 mph (135 km/h, 73 kn) at 6,500 ft (2,000 m)</t>
  </si>
  <si>
    <t>2 hr 30 min</t>
  </si>
  <si>
    <t>37 min 10 sec to 10,000 ft (3,000 m)</t>
  </si>
  <si>
    <t>1 × fixed, forward-firing .303 in (7.7 mm) Vickers machine gun and 1 × .303 in (7.7 mm) Lewis Gun in observer's cockpit</t>
  </si>
  <si>
    <t>Göppingen Gö 9</t>
  </si>
  <si>
    <t>The Göppingen Gö 9 was a German research aircraft built to investigate the practicalities of powering a plane using a pusher propeller located far from the engine and turned by a long driveshaft. In 1937, Claudius Dornier observed that adding extra engines and propellers to an aircraft in an attempt to increase speed would also attract a penalty of greater drag, especially when placing two or more engines within nacelles mounted on the wings. He reasoned that this penalty could be minimized by mounting a second propeller at the rear of an aircraft. In order to prevent tail-heaviness, however, the engine would need to be mounted far ahead of it. Dornier patented this idea and commissioned a test plane to evaluate it. The aircraft was designed by Dr Ulrich Hütter as a 40% sized, scaled-down version of the Dornier Do 17's fuselage and wing panels without the twin-engine nacelles, and built by Schempp-Hirth. The airframe was entirely of wood and used a retractable tricycle landing gear – one of the earliest non-Heinkel-built German airframe designs to use such an arrangement. Power was supplied by a Hirth HM 60 inverted, air-cooled inline four-cylinder engine mounted within the fuselage near the wings. Other than the engine installation, the only other unusual feature of the aircraft was its all-new, full four-surface cruciform tail, which included a large ventral fin/rudder unit of equal area to the dorsal surface. This fin incorporated a small supplementary tailwheel protruding from the ventral fin's lower tip that assisted in keeping the rear-mounted, four-blade propeller away from tailstrike damage against the ground during take-off and landing. The Gö 9 carried the civil registration D-EBYW. Initially towed aloft, flight tests began in June 1941, but later flights operated under its own power. The design validated Dornier's ideas, and he went ahead with his original plan to build a high-performance aircraft with propellers at the front and rear, producing the Dornier Do 335. The eventual fate of the Gö 9 is not known. Data from Die Deutsche Luftruestung 1933-1945 Vol.1 - AEG-Dornier[1]General characteristics Performance   Aircraft of comparable role, configuration, and era  Related lists</t>
  </si>
  <si>
    <t>//upload.wikimedia.org/wikipedia/commons/thumb/4/46/G%C3%B6ppingen_G%C3%B6-9.png/300px-G%C3%B6ppingen_G%C3%B6-9.png</t>
  </si>
  <si>
    <t>Research aircraft</t>
  </si>
  <si>
    <t>https://en.wikipedia.org/Nazi Germany</t>
  </si>
  <si>
    <t>Ulrich Hütter</t>
  </si>
  <si>
    <t>6.80 m (22 ft 4 in)</t>
  </si>
  <si>
    <t>720 kg (1,587 lb)</t>
  </si>
  <si>
    <t>1 × Hirth HM 60 4-cyl. inverted air-cooled in-line piston engine, 60 kW (80 hp)</t>
  </si>
  <si>
    <t>4-bladed pusher propeller turned via an extension shaft</t>
  </si>
  <si>
    <t>Dornier Do 17</t>
  </si>
  <si>
    <t>https://en.wikipedia.org/Dornier Do 17</t>
  </si>
  <si>
    <t>Yokosuka B4Y</t>
  </si>
  <si>
    <t>The Yokosuka B4Y, (Navy Type 96 Carrier Attack Bomber), carrier torpedo bomber was used by the Imperial Japanese Navy Air Service from 1936 to 1943. The B4Y replaced the Mitsubishi B2M2 and was the last biplane bomber used operationally by the Imperial Japanese Navy. The Allied reporting name was "Jean". In 1932, the Imperial Japanese Navy issued a requirement for a new carrier-borne attack aircraft. Aichi, Mitsubishi and Nakajima responded to this requirement and each built a prototype. None of these aircraft were deemed satisfactory, and the service thus issued in 1934 a new requirement, 9-Shi, for a more capable aircraft to replace the obsolescent Yokosuka B3Y. The B4Y was designed by Sanae Kawasaki at the First Naval Air Technical Arsenal at Yokosuka. Regarded only as an interim type, the Navy wanted a torpedo bomber offering performance comparable to the Mitsubishi A5M monoplane fighter. The result was a biplane with fixed landing gear and an all-metal structure with metal or fabric skin. To speed development and production, the B4Y utilised the wings from the Kawanishi E7K. The B4Y1 was also the first Navy carrier attack aircraft to utilize an air-cooled engine, as the prototype that was equipped with the Nakajima Hikari 2 radial engine performed better than its opponents.[1] The crew of three occupied two cockpits. The pilot in the open front cockpit and the other two crewmen, (navigator and radio operator/gunner), in the enclosed rear cockpit. On 12 December 1937 3 B4Y1s were involved in the Panay incident during a Japanese attack on the America Navy gunboat Panay while she was anchored in the Yangtze River outside of Nanjing. Although primarily used as a carrier-based aircraft, the B4Y1 was also used as a land-based bomber on occasion. In 1940, the Nakajima B5N replaced the B4Y1 as the primary carrier attack aircraft, though the B4Y1 did remain in service as an advanced trainer, and flew from Hōshō and Unyō until 1943. Before its replacement, the B4Y1 had flown during the Second Sino-Japanese War and served at the Battle of Midway during June 1942, where eight of them were operated from Hōshō.[2] It was one of these planes from Hōshō which took photographs of the burning Hiryū on 5 June 1942.[3] The B4Y1 was operated from the aircraft carriers Akagi, Hōshō, Kaga, Ryūjō, Sōryū, and Unyō, as well as the 13th and 15th Kōkūtai (Air Groups).[4] Data from Japanese Aircraft of the Pacific War[4]General characteristics Performance Armament 2 Hyphenated trailing letter (-J, -K, -L, -N or -S) denotes design modified for secondary role</t>
  </si>
  <si>
    <t>//upload.wikimedia.org/wikipedia/commons/thumb/a/a3/96siki-kankou.jpg/300px-96siki-kankou.jpg</t>
  </si>
  <si>
    <t>Torpedo bomber</t>
  </si>
  <si>
    <t>https://en.wikipedia.org/Torpedo bomber</t>
  </si>
  <si>
    <t>Yokosuka</t>
  </si>
  <si>
    <t>https://en.wikipedia.org/Yokosuka</t>
  </si>
  <si>
    <t>3 (pilot, navigator, radio operator/gunner)</t>
  </si>
  <si>
    <t>10.15 m (33 ft 4 in)</t>
  </si>
  <si>
    <t>4.36 m (14 ft 4 in)</t>
  </si>
  <si>
    <t>50 m2 (540 sq ft)</t>
  </si>
  <si>
    <t>2,000 kg (4,409 lb)</t>
  </si>
  <si>
    <t>3,600 kg (7,937 lb)</t>
  </si>
  <si>
    <t>72 kg/m2 (15 lb/sq ft)</t>
  </si>
  <si>
    <t>https://en.wikipedia.org/1943</t>
  </si>
  <si>
    <t>1 × Nakajima Hikari 2 9-cylinder air-cooled radial piston engine, 630 kW (840 hp)   for take-off</t>
  </si>
  <si>
    <t>278 km/h (173 mph, 150 kn)</t>
  </si>
  <si>
    <t>0.1749 kW/kg (0.1064 hp/lb)</t>
  </si>
  <si>
    <t>1,573 km (977 mi, 849 nmi)</t>
  </si>
  <si>
    <t>3,000 m (9,843 ft)</t>
  </si>
  <si>
    <t>1× flexibly mounted, rearward-firing 7.7 mm (0.303 in) Type 92 machine gun</t>
  </si>
  <si>
    <t>1× 800 kg (1,764 lb) torpedo, or 500 kg (1,102 lb) of bombs</t>
  </si>
  <si>
    <t>Grob G 115</t>
  </si>
  <si>
    <t>The Grob G 115 is a general aviation fixed-wing aircraft, primarily used for flight training. It is built in Germany by Grob Aircraft (Grob Aerospace before January 2009). The E variant with a 3-blade variable pitch propeller is in service with the Finnish Air Force,[1] the Royal Navy and Army Air Corps for Flying Grading (a pre-EFT flying course) and in the Royal Air Force as part of No. 6 Flying Training School (6 FTS) which provides flying to both University Air Squadrons and Air Experience Flights to Cadets of the Royal Air Force Air Cadets.[2] As of 2020, the Tutor is still being used by the RAF for some Elementary Flying Training (3FTS) but is due to be phased out in favour of its replacement, the Prefect T1. The aircraft is constructed of carbon composite materials. The main fuselage and each wing spar is a single piece. It has a fixed (sprung steel) tricycle undercarriage with spatted wheels, a short nose bearing the 180 hp engine, and a 3-bladed variable-pitch propeller. The aircraft was re-certified in 2013 with a new MT Propeller following issues with the previous design. The inverted oil system was also redesigned to improve lubrication during aerobatics. The cockpit features a broad canopy arch and spine. Forward visibility is good. The side-by-side seats are fixed and pilot seating is adjusted with cushions as well as a rudder bar adjuster. The wings are tapered with square tips and the empennage consists of a large fin and rudder, with an oblong tailplane with square tips mid-set to the fuselage. The initial Grob G 115 and G 115A models had an upright fin and rudder, and were mainly sold to civilian aeroplane clubs in Germany, the United Kingdom and several other countries. The aircraft is capable of basic aerobatic manoeuvres (limited to  +6G and −3G). The Grob Heron was first bought by the Royal Navy. After its use five were bought by Tayside Aviation. There are only six recorded Herons in existence; two (to be sold) operated by Tayside Aviation, three privately owned and one in Germany. One was reported as written off after an accident.[citation needed] With the retirement of the Scottish Aviation Bulldog T.1 from Royal Air Force University Air Squadrons (UASs) and Air Experience Flights (AEFs), a new system was put in place for the provision of the UAS and AEF flying tasks. Aircraft were to be owned and operated by private industry, contracted to the Ministry of Defence (MoD). The aircraft chosen for this task was the Grob 115E, designated Tutor T1 by the MoD. The Tutor fleet is owned and maintained by a civilian company, Babcock, and carries British civilian registrations under a Private Finance Initiative (PFI) scheme, painted overall white with blue flashes and UK Military Aircraft roundels. Royal Navy, Army and RAF Elementary Flying Training (EFT), where students streamed according to ability: Fast Jet, Rotary Wing, Multi-Engine or non-pilot roles, was previously taught on the Grob Tutor at RAF Cranwell and RAF Barkston Heath by the joint 3 Flying Training School, with 703 Naval Air Squadron, 674 Squadron Army Air Corps and 57 RAF Reserve Squadron, before being replaced in 2018 by the turboprop trainer, the Grob G120TP Prefect. Some 3FTS EFT training for various pipelines still continues on the Tutor on 16Sqn at RAF Wittering. Until 2005 the Tutor was used by UASs to provide EFT to university students, many sponsored by the RAF. From 2006, UAS students are no longer taught EFT; they follow an unassessed flying syllabus similar to EFT, but with only a 36-hour course and the possibility of progression to more advanced training on merit. The Tutor is also used by AEFs to provide flying experience for cadets of the Air Training Corps (ATC) and Combined Cadet Force (CCF), replacing the Bulldog in these roles at the turn of the century. The final AEF to receive the Tutor was 10 AEF, based at RAF Woodvale in Merseyside, in 2001. 10 AEF was incidentally also the last AEF to receive the Bulldog in 1996, replacing the Chipmunk. Five Tutor T1s are also operated by 727 Naval Air Squadron of the Royal Navy's Fleet Air Arm for trainee pilot grading at RNAS Yeovilton.[3] In 2009 some Tutor squadrons began to receive new Enhanced Avionics (EA) Tutors, with an updated and enhanced instrument panel, featuring a Garmin GNS 430W GPS system, digital HSI and digital engine instruments.[citation needed] These aircraft are the same as the standard Tutors, with the exception of an extra VHF aerial for the new GPS system and the cockpit modifications. [9] Data from[citation needed]General characteristics Performance   Aircraft of comparable role, configuration, and era  Related lists</t>
  </si>
  <si>
    <t>//upload.wikimedia.org/wikipedia/commons/thumb/e/e0/G-BYWL_-operated_by_16_%28R%29_Squadron.jpg/300px-G-BYWL_-operated_by_16_%28R%29_Squadron.jpg</t>
  </si>
  <si>
    <t>Basic Trainer</t>
  </si>
  <si>
    <t>7.54 m (24 ft 9 in)</t>
  </si>
  <si>
    <t>12.2 m2 (131 sq ft)</t>
  </si>
  <si>
    <t>Eppler 696[10]</t>
  </si>
  <si>
    <t>685 kg (1,510 lb)</t>
  </si>
  <si>
    <t>343 km/h (213 mph, 185 kn)</t>
  </si>
  <si>
    <t>+6.0 -3.0</t>
  </si>
  <si>
    <t>81.1 kg/m2 (16.6 lb/sq ft)</t>
  </si>
  <si>
    <t>Royal Air ForceRoyal Navy  Egyptian Air Force  British Army Air Corps  Finnish Air Force</t>
  </si>
  <si>
    <t>https://en.wikipedia.org/Royal Air ForceRoyal Navy  Egyptian Air Force  British Army Air Corps  Finnish Air Force</t>
  </si>
  <si>
    <t>143 l (38 US gal; 31 imp gal)</t>
  </si>
  <si>
    <t>1 × Lycoming AEIO-360-B1F/B 4-cylinder air-cooled horizontally-opposed piston engine, 139 kW (186 hp)</t>
  </si>
  <si>
    <t>3,050 m (10,010 ft)</t>
  </si>
  <si>
    <t>0.141 kW/kg (0.086 hp/lb)</t>
  </si>
  <si>
    <t>96 km/h (60 mph, 52 kn)</t>
  </si>
  <si>
    <t>5.3 m/s (1,040 ft/min) solo</t>
  </si>
  <si>
    <t>1,150 km (710 mi, 620 nmi)</t>
  </si>
  <si>
    <t>1985–present</t>
  </si>
  <si>
    <t>990 kg (2,183 lb)</t>
  </si>
  <si>
    <t>Hunting H.126</t>
  </si>
  <si>
    <t>The Hunting H.126 was an experimental aircraft designed and built by British aviation company Hunting Aircraft. The aircraft was developed in order to test the performance of blown flaps, which were commonly known in Britain as "jet flaps", At the time, they were a relatively unknown quality, thus the Ministry of Aviation issued Specification ER.189D for an appropriate research aircraft to be developed. During 1959, Hunting Aircraft was selected, being awarded a contract to construct a pair of aircraft. The first aircraft, serial number XN714, was completed during mid-1962 and initial ground testing commenced during the latter part of the year. This aircraft performed its maiden flight on 26 March 1963. Only the single aircraft was ever completed, the second being cancelled mid-construction. Following the completion of preliminary flights, XN714 was used to conduct a series of one hundred test flights at the Royal Aircraft Establishment's Aerodynamics Flight at RAE Bedford, the last of which being performed in 1967. XN714 was transported to the America during 1969, where it underwent wind tunnel testing by NASA; following its return to the UK, the aircraft was officially withdrawn in 1972. Presently, the preserved aircraft is on static display at the Royal Air Force Museum Cosford. During the late 1940s, multiple British research institutions, including the National Gas Turbine Establishment (NGTE), the Royal Aircraft Establishment (RAE) and various aircraft manufacturers, became interested in the potential applications of the recent innovation of blown flaps, or as they were known in Britain, "jet flaps".[1] Out of this work, it became recognised that a major benefit of jet flaps would be substantially lower take-off and landing speeds for aircraft. In 1951, the principle of the jet flap was successfully patented by the NGTE.[1] In order to greater explore and validate the "jet flap principle", the Ministry of Aviation issued Specification ER.189D, which called for the development of a dedicated purpose-built aircraft with which to perform a full-scale investigation.[1] During 1959, Hunting Aircraft was awarded a contract to construct a pair of aircraft. According to aviation periodical Flight International, a contributing reason for Hunting Aircraft's decision to respond to the Specification was the firm's existing experience in the operation of hot-gas ducting systems, which had been acquired by its previous research activities into helicopters.[2] Manufacture of the H.126 was completed during summer 1962, being formally rolled out in August of that year. After completing limited taxying trials at Luton Airport, the aircraft was dismantled and transported by road to RAE Bedford, where it was reassembled and readied for flight.[2] The Hunting H.126 is highly unorthodox aircraft; according to Flight, development "posed numerous aerodynamic, thermodynamic and structural problems... the ducting of hot gases, large changes of trim which occur with such a large variation in lift coefficient, and the inter-relation between control jets... and the conventional elevator and rudder controls".[1] Despite this, several aspects of the aircraft, such as its fixed nosewheel undercarriage, were relatively conventional. There was a deliberate effort to avoid unnecessary complexity, partially as it was felt that testing of the jet flap concept should be carried out in several manageable stages.[1] The cockpit is situated directly above the engine compartment. While furnished with oxygen apparatus and a Martin-Baker-built ejection seat, the cockpit was unpressurized.[1] Due to its use as a test plane, it was outfitted with extensive test instrumentation, much of the rear fuselage space was occupied by the instrumentation, sensors, and recording equipment; in particular, due to heat concerns, extensive temperature monitoring was carried out at various locations across the airframe.[3] The flight controls, mainly the control column and rudder pedals, operated both the conventional control surfaces and the jet nozzles present in the aircraft's tail, the latter controlling both pitch and yaw. The wingtip nozzles, which controlled roll, were operated by an auto-stabilizer system. The variable-incidence tailplane is hydraulically actuated and was directly linked to the elevators to vary the tail unit's effective camber. The ailerons were able to droop, providing a full-span jet flap.[1] The H.126 was powered by a single Bristol Orpheus turbojet engine.[1] All engine thrust was ducted through to a vertical distribution manifold, the top of which featured three ducts on each side leading into the wing to reach a total of eight fishtails, from which exhaust would be directed over the full span of both the flaps and ailerons; one of the wing ducts also supplies the roll-jet nozzle at the wing tip. The base of the manifold had an additional bifurcated duct that ran aft through either side of the fuselage, providing additional thrust to supplement the fishtails in the wing; these two jet nozzles could be furnished with pilot-controlled spoilers.[1] A further duct from the manifold supplies the pitch and yaw control nozzles present in the tail unit, as well as another duct for a pitch-trim nozzle. The extensive ducting necessitated careful insulation and heat-shielding to safely contain the hot gasses; despite this, traditional lightweight alloys were used extensively across the main structure, save for a few critical points.[1] The fuselage is of conventional stressed-skin construction, the structuring being a mix of longitudinal members and vertical frames, reinforced at key areas such as the wings, undercarriage and engine mounting.[1] The aircraft's shoulder-level wing featured a set of struts, not for support but in order to provide piping for the compressed air used in the blown flaps. The mainplanes used a two-spar construction approach, supported by a single strut and attached via pin-joints to the fuselage; both the wing and strut attachments were designed to facilitate two alternative dihedral angles (4° or 8°). Each aileron features five hinges, while cooling air was also circulated via slots in the leading and trailing edges; the flaps are of a similar construction. The two-spar tailplane was pivoted at its rear spar, while four elevator hinges were attached to the rear spar.[1] The rear control surfaces consisted of a fairly small triangular T-tail, similar to the one on the Gloster Javelin. The jet flap system consisted of a series of sixteen nozzles arranged along the trailing edge of the wing, which were fed about half of the engine's hot exhaust gases. A smaller amount, about 10%, was also fed into small nozzles on the wing tips to provide control thrust at low speeds. A similar system was later used on the Hawker Siddeley Harrier for similar reasons. This left little power for forward thrust, and the aircraft was limited to low speeds, but the takeoff speed was a mere 32 mph (51 km/h), a speed most light aircraft would have trouble matching.[citation needed] On 26 March 1963, the maiden flight of the first Hunting H.126, serial number XN714, occurred.[4] Flown from RAE Bedford (presently Bedford Aerodrome, it was piloted by S. B. Oliver, Hunting Aircraft's chief test pilot. Speaking shortly after this flight, Oliver stated that it was "A perfect, no-snags flight... Taking this plane off is an entirely new sensation; it just floats off the ground, and then you go up like a lift."[2] Prior to the XN714 being formally delivered to its owners, the Ministry of Aviation, Hunting operated the aircraft themselves for several months to conduct preliminary flying.[2] It was painted overall yellow with a matt black anti-glare area on the nose in front of the cockpit. The second aircraft XN719 was never completed and was ultimately scrapped. The RAE's test flight programme were carried out between 1963 and 1967, during which valuable data on the concept was gathered across 100 separate sorties. During 1969, the aircraft was shipped to the America, where it underwent further testing by NASA; it was subsequently returned to Britain in May 1970. For several years, it stayed in storage in case the aircraft would be needed for further research; during September 1972, it was formally "struck off charge" from the RAF records.[citation needed] In 1974, the aircraft was transferred to the RAF Museum; it has since gone on static display.[5] When an Orpheus engine from a Folland Gnat was loaned to Donald Campbell, for his water-speed record hydroplane Bluebird, the Rotax air starter, pressure bottles and ground APU intended for the second H.126 were 'borrowed' by the Bluebird team.[5] Data from Jane's Pocket Book of Research and Experimental Aircraft[6]General characteristics Performance     Related lists</t>
  </si>
  <si>
    <t>//upload.wikimedia.org/wikipedia/commons/thumb/b/be/Hunting_H.126.jpg/300px-Hunting_H.126.jpg</t>
  </si>
  <si>
    <t>research aircraft</t>
  </si>
  <si>
    <t>https://en.wikipedia.org/research aircraft</t>
  </si>
  <si>
    <t>Hunting Aircraft</t>
  </si>
  <si>
    <t>https://en.wikipedia.org/Hunting Aircraft</t>
  </si>
  <si>
    <t>50 ft 2 in (15.29 m)</t>
  </si>
  <si>
    <t>45 ft 4 in (13.82 m)</t>
  </si>
  <si>
    <t>15 ft 6 in (4.72 m)</t>
  </si>
  <si>
    <t>221 sq ft (20.5 m2)</t>
  </si>
  <si>
    <t>NACA 4424</t>
  </si>
  <si>
    <t>8,240 lb (3,738 kg)</t>
  </si>
  <si>
    <t>1 × Bristol Siddeley BOr.3 Orpheus Mk.805 turbojet engine, 4,000 lbf (18 kN) thrust</t>
  </si>
  <si>
    <t>28 kn (32 mph, 52 km/h)</t>
  </si>
  <si>
    <t>10,740 lb (4,872 kg)</t>
  </si>
  <si>
    <t>Pietenpol Air Camper</t>
  </si>
  <si>
    <t>The Pietenpol Air Camper is a simple parasol wing homebuilt aircraft designed by Bernard H. Pietenpol.  The first prototype that became the Air Camper was built and flown by Pietenpol in 1928.[2][3][4][5][6] The Air Camper was designed to be built of spruce and plywood. One of Pietenpol's goals was to create a plane that was affordable and easy to construct for home builders. Building an Air Camper requires basic woodworking skills and tools. Builders also need to fabricate some metal fittings to attach the wooden parts together. Some welding is required. The plans for the Pietenpol Aircamper were originally published in a four-part serial in the "Flying and Glider" Manual of 1932-33.[4][5] The original model was flown using an Ace four cylinder water-cooled engine.[4] The Model A Ford engine later became the standard powerplant used; the design was first flown with one in May 1929.[1] In the 1960s Bernard Pietenpol began to favor converted engines from Chevrolet Corvair automobiles. The Corvair flat six was higher horsepower, smoother, and significantly lighter, compared to the Model A, and was similar to those already available for general aviation use. The length of a Pietenpol varies with the engine choices, as lighter engines needed to be mounted further forward for weight and balance reasons.[7] Over the years over 30 different engines have flown in the Pietenpol Air Camper. Many modern Pietenpol builders prefer Continental A65, C85 or C90 air-cooled flat fours.[4] Several examples of the Aircamper have been built in Europe and in 2012 were still flying. In the 1920s and 1930s, kits were available for the design, but there were none available again until 2015 when the Pietenpol Aircraft Company introduced a kit version of the Air Camper, with components supplied by Aircraft Spruce &amp; Specialty. The kit includes all parts except the engine, dope, fabric covering, and hardware.[8]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.mw-selflink{font-weight:inherit}B.H. Pietenpol And Sons Air Camper Aircraft (2013). "How to Build a Pietenpol Air Camper or Sky Scout Airplane". Retrieved May 14, 2013.General characteristics Performance   Aircraft of comparable role, configuration, and era  Related lists</t>
  </si>
  <si>
    <t>//upload.wikimedia.org/wikipedia/commons/thumb/3/3b/Pietenpol.air.camper.g-buco.arp.jpg/300px-Pietenpol.air.camper.g-buco.arp.jpg</t>
  </si>
  <si>
    <t>Amateur-built airplane</t>
  </si>
  <si>
    <t>https://en.wikipedia.org/Amateur-built airplane</t>
  </si>
  <si>
    <t>Pietenpol</t>
  </si>
  <si>
    <t>Bernie Pietenpol</t>
  </si>
  <si>
    <t>1928with Model A engine, May 1929[1]</t>
  </si>
  <si>
    <t>https://en.wikipedia.org/Grega GN-1 AircamperPietenpol Sky ScoutSt Croix Pietenpol AerialSt Croix Pietenpol Aircamper</t>
  </si>
  <si>
    <t>17 ft 8 in (5.39 m)</t>
  </si>
  <si>
    <t>6 ft 6 in (1.98 m)</t>
  </si>
  <si>
    <t>135 sq ft (12.5 m2)</t>
  </si>
  <si>
    <t>610 lb (277 kg)</t>
  </si>
  <si>
    <t>995 lb (452 kg)</t>
  </si>
  <si>
    <t>7.0 lb/sq ft (36 kg/m2)</t>
  </si>
  <si>
    <t>https://en.wikipedia.org/1928with Model A engine, May 1929[1]</t>
  </si>
  <si>
    <t>One passenger</t>
  </si>
  <si>
    <t>1 × Ford Model A automotive conversion engine , 40 hp (30 kW)</t>
  </si>
  <si>
    <t>86 kn (100 mph, 160 km/h)</t>
  </si>
  <si>
    <t>30 kn (35 mph, 56 km/h)</t>
  </si>
  <si>
    <t>Plans available (2015)</t>
  </si>
  <si>
    <t>1,080 lb (490 kg)</t>
  </si>
  <si>
    <t>Payen Pa 49</t>
  </si>
  <si>
    <t>The Payen Pa 49 Katy was a small experimental French turbojet powered tailless aircraft, designed by Nicolas Roland Payen, and first flown in 1954. It was the first French aircraft of this kind and the smallest jet aircraft of its day.[1] Roland Payen was a pioneer of tailless and delta winged aircraft, building two designs, a light aircraft and a fighter, before the second world war. The Pa 49 Katy was his first post-war design.[2] The all wood[2] Katy was a tailless aircraft, having no separate horizontal stabiliser. The wing leading edge was swept at about 55° but, unlike the classic delta with its straight trailing edge, the Katy's was swept at about 30° with each trailing edge carrying full span control surfaces, elevators inboard and ailerons outboard.[3] At its root, the wing merged gently into the fuselage with small air intakes for the 1.47 kN (330 lbf) Turbomeca Palas engine built into the leading edge.  The cockpit was placed just aft of the intakes and the long straight-edged fin, swept at about 75° and initially as wide as the cockpit, began immediately behind it, narrowing to a slightly swept trailing edge carrying a full depth rudder.[2] Images recorded before the first flight show the Katy with a low bicycle undercarriage with wing tip skids but, by the time of the flight itself, this was replaced by a fixed, un-faired tricycle undercarriage.[4] The first flight of what was now the Pa 49A took place on 22 January 1954 at Melun-Villaroche flown by Tony Ochsenbein, a comparatively inexperienced pilot, who had previously logged only 30 minutes on jets.[1] Ten hours of manufacturer's testing was followed, in April 1954, by assessment at the Centre d'Essais en Vol (CEV), Brétigny-sur-Orge.[5] The aerobatic ability of the Pa 49 was established.[1]  At the CEV it was fitted with a split rudder airbrake; the two surfaces of the rudder separated from just below the tip, driven via faired external links near the bottom, into a V at the hinge for braking, rotating together for yaw control. This airbrake was designed by Fléchair SA,[2] a company founded by Payen.[1]  At the time of its appearance at the 12th Salon International d'Aeronautique at Paris, in 1957, the undercarriage legs were faired and the main wheels enclosed in spats[6] and the aircraft renamed the Pa 49B.  For a time the nosewheel was also spatted.[4] There were plans for a version with a retractable undercarriage, but this did not come about.[2] When the flight testing programme ended in 1958 Payen gave the aircraft to the Musée de l'Air et de l'Espace at Paris - Le Bourget Airport.  He continued to design delta winged aircraft and the Payen Pa 71 and Pa 149 projects of the 1970s were direct developments of the Katy.[1] Data from Jane's All the World's Aircraft 1956–57[2]General characteristics Performance  Related development</t>
  </si>
  <si>
    <t>//upload.wikimedia.org/wikipedia/commons/thumb/c/cb/Payen_PA49_Katy_F-WGVA_Le_Bourget_29.05.57_edited-2.jpg/300px-Payen_PA49_Katy_F-WGVA_Le_Bourget_29.05.57_edited-2.jpg</t>
  </si>
  <si>
    <t>5.10 m (16 ft 9 in)</t>
  </si>
  <si>
    <t>5.16 m (16 ft 11 in)</t>
  </si>
  <si>
    <t>2.50 m (8 ft 2 in)</t>
  </si>
  <si>
    <t>457 kg (1,008 lb)</t>
  </si>
  <si>
    <t>650 kg (1,433 lb)</t>
  </si>
  <si>
    <t>1 × Turbomeca Palas centrifugal-flow turbojet, 1.5 kN (330 lbf) thrust</t>
  </si>
  <si>
    <t>500 km/h (310 mph, 270 kn)</t>
  </si>
  <si>
    <t>5.8 m/s (1,140 ft/min) initial</t>
  </si>
  <si>
    <t>Abaris Golden Arrow</t>
  </si>
  <si>
    <t>The Abaris Golden Arrow was a planned homebuilt civil utility aircraft, intended to be manufactured in kit form. It was an unusually large aircraft for its type, able to seat six people (including the pilot) and, also unusually in a homebuilt plane, powered by a turboprop engine.[1] The Golden Arrow was intended to be of conventional monoplane configuration, with retractable tricycle undercarriage and a T-tail. It was largely of composite construction. The craft derived its name from a legendary arrow, carried by the ancient Greek sage Abaris the Hyperborean.  The arrow, given to Abaris by the sun-god Apollo, conferred upon its bearer the power of flight.[2] In 2003, the first aircraft was not yet complete when the company closed down. Data from[citation needed]General characteristics Performance</t>
  </si>
  <si>
    <t>Homebuilt civil utility aircraft</t>
  </si>
  <si>
    <t>Abaris Aircraft</t>
  </si>
  <si>
    <t>31 ft 3 in (9.53 m)</t>
  </si>
  <si>
    <t>42 ft 0 in (12.80 m)</t>
  </si>
  <si>
    <t>NACA 65-215[3]</t>
  </si>
  <si>
    <t>3,000 lb (1,361 kg)</t>
  </si>
  <si>
    <t>5,800 lb (2,631 kg)</t>
  </si>
  <si>
    <t>5 pax</t>
  </si>
  <si>
    <t>1 × Walter M601 turboprop, 750 hp (560 kW)</t>
  </si>
  <si>
    <t>274 kn (315 mph, 507 km/h)</t>
  </si>
  <si>
    <t>26,000 ft (7,900 m)</t>
  </si>
  <si>
    <t>0.13 hp/lb (0.21 kW/kg)</t>
  </si>
  <si>
    <t>3,425 ft/min (17.40 m/s)</t>
  </si>
  <si>
    <t>1,450 nmi (1,670 mi, 2,690 km)</t>
  </si>
  <si>
    <t>Pilatus P-4</t>
  </si>
  <si>
    <t>The Pilatus P-4 was a Swiss five-seat cabin monoplane designed and built by Pilatus, but had little sales success. The P-4 was not designed specifically as a passenger aircraft, but rather as a versatile working aircraft. The aim was to build a robust aircraft with good slow-flying handling, requiring only short takeoff and landing runs and little maintenance. The P-4 HB-AET took off for its maiden flight on 22 March 1948. Series production never went ahead due to capacity bottlenecks. The P-4 was unveiled to a wide international public at the 18th Paris Air Show in 1949, and attracted much interest. There were plans to fit the P-4 with floats, or a combination wheel-ski landing gear. The P-4 was also destined for agricultural work. On 13 October 1957, the P-4 crashed in the Susten Pass region while on an exercise with the Swiss Air Rescue Service, and was completely written off. Pilatus Aircraft Ltd had always owned the P-4 until that time. Comparing the P-4 to the PC-6, which was built eleven years later, the P-4 was clearly an intermediate stage on the way to the mature endproduct, the Pilatus Porter PC-6. Data from Jane's All The World's Aircraft 1951–52[1]General characteristics Performance Notes Sources</t>
  </si>
  <si>
    <t>//upload.wikimedia.org/wikipedia/commons/thumb/0/0f/PilatusP4frontseite.JPG/300px-PilatusP4frontseite.JPG</t>
  </si>
  <si>
    <t>Five-seat cabin monoplane</t>
  </si>
  <si>
    <t>8.6 m (28 ft 3 in)</t>
  </si>
  <si>
    <t>11.85 m (38 ft 11 in)</t>
  </si>
  <si>
    <t>20.9 m2 (225 sq ft)</t>
  </si>
  <si>
    <t>910 kg (2,006 lb)</t>
  </si>
  <si>
    <t>https://en.wikipedia.org/1948</t>
  </si>
  <si>
    <t>four passengers</t>
  </si>
  <si>
    <t>230 L (61 US gal; 51 imp gal)</t>
  </si>
  <si>
    <t>1 × Lycoming O-435 , 140 kW (190 hp)</t>
  </si>
  <si>
    <t>245 km/h (152 mph, 132 kn)</t>
  </si>
  <si>
    <t>152 km/h (94 mph, 82 kn)</t>
  </si>
  <si>
    <t>4.5 m/s (890 ft/min)</t>
  </si>
  <si>
    <t>Sikorsky S-20</t>
  </si>
  <si>
    <t>The Sikorsky S-20 (named after its designer) or RBVZ S-XX (named after its manufacturer) was a Russian single-bay unequal span two-seat biplane designed by Igor Sikorsky in 1916. Displaying some Nieuport influence, it saw very little service during World War I. Five S-XX aircraft were built in September 1916, with the first two powered by the 100 hp Gnome rotary engine which had powered its predecessor, the RBVZ S-XVI. However, the other three were powered with the 120 hp Le Rhone engine, with which they were allegedly faster than the French Nieuport 17. The S-XX saw little service because it was viewed as inferior to newer enemy aircraft, and no series production was undertaken. As such, only five aircraft were ever produced. General characteristics Performance Armament</t>
  </si>
  <si>
    <t>//upload.wikimedia.org/wikipedia/commons/thumb/c/ca/06072007-sikorskiy20-1.jpg/300px-06072007-sikorskiy20-1.jpg</t>
  </si>
  <si>
    <t>RBVZ (Russo-Baltic Wagon Works)</t>
  </si>
  <si>
    <t>https://en.wikipedia.org/RBVZ (Russo-Baltic Wagon Works)</t>
  </si>
  <si>
    <t>Igor Sikorsky</t>
  </si>
  <si>
    <t>https://en.wikipedia.org/Igor Sikorsky</t>
  </si>
  <si>
    <t>2.6 m (8 ft 6 in)</t>
  </si>
  <si>
    <t>395 kg (871 lb)</t>
  </si>
  <si>
    <t>570 kg (1,257 lb)</t>
  </si>
  <si>
    <t>33.0 kg/m2 (6.8 lb/sq ft)</t>
  </si>
  <si>
    <t>1 × Le Rhône Type 9Jb 9-cylinder air-cooled rotary piston engine, 89 kW (120 hp)</t>
  </si>
  <si>
    <t>0.21 hp/kg</t>
  </si>
  <si>
    <t>Imperial Russian Air Service</t>
  </si>
  <si>
    <t>https://en.wikipedia.org/Imperial Russian Air Service</t>
  </si>
  <si>
    <t>390 km (240 mi, 210 nmi)</t>
  </si>
  <si>
    <t>2,000 m (6,562 ft) in 6 minutes 20 seconds</t>
  </si>
  <si>
    <t>1 x 7.7 mm Lavrov machine gun</t>
  </si>
  <si>
    <t>Caudron C.600 Aiglon</t>
  </si>
  <si>
    <t>The Caudron C.600 Aiglon is a 1930s French two-seat monoplane sport/touring aircraft built by Caudron–Renault. The Aiglon (en: Eaglet) was designed by Marcel Riffard after he took over the design department when Caudron merged with Renault.  The Aiglon was a two-seat low-wing cantilever monoplane with tandem open cockpits.  The first of two prototypes first flew in March 1935 from Issy-les-Moulineaux, France.  Two special long-distance versions (C.610 Aiglons) were built with increased fuel capacity.  In December 1935 a C.610 was flown from Paris to Saigon at an average speed of 80 mph (129 km/h). The type was popular with French private owners and flying clubs, and a number were sold abroad.  With the outbreak of the Second World War many of the aircraft were requisitioned by the French Government for use as liaison aircraft by the Armée de l'Air.  Total production of the Aiglon was 203 aircraft, including 178 of the basic Renault 4Pgi Bengali Junior powered model. The aircraft was operated by flying clubs, private individuals and a few air forces: Data from Aviafrance : Caudron C.600 'Aiglon'[2]General characteristics Performance     Related lists 2 Hyphenated trailing letter (-J, -K, -L, -N or -S) denotes design modified for secondary role</t>
  </si>
  <si>
    <t>//upload.wikimedia.org/wikipedia/commons/thumb/9/9f/Caudron_C.601_-_Angers-Marc%C3%A9.jpg/300px-Caudron_C.601_-_Angers-Marc%C3%A9.jpg</t>
  </si>
  <si>
    <t>Light Tourer</t>
  </si>
  <si>
    <t>Caudron–Renault</t>
  </si>
  <si>
    <t>https://en.wikipedia.org/Caudron–Renault</t>
  </si>
  <si>
    <t>Marcel Riffard</t>
  </si>
  <si>
    <t>https://en.wikipedia.org/Marcel Riffard</t>
  </si>
  <si>
    <t>7.64 m (25 ft 1 in)</t>
  </si>
  <si>
    <t>11.38 m (37 ft 4 in)</t>
  </si>
  <si>
    <t>560 kg (1,235 lb)</t>
  </si>
  <si>
    <t>880 kg (1,940 lb)</t>
  </si>
  <si>
    <t>100 l (26 US gal; 22 imp gal) in two centre-section tanks</t>
  </si>
  <si>
    <t>1 × Renault 4Pgi Bengali Junior 4-cylinder inverted air-cooled in-line piston engtine, 75 kW (101 hp)</t>
  </si>
  <si>
    <t>700 km (430 mi, 380 nmi)</t>
  </si>
  <si>
    <t>Dobi-III</t>
  </si>
  <si>
    <t>Dobi-III is the third and the last aircraft designed by Lithuanian aviator Jurgis Dobkevičius. Fighter Dobi-III was designed and tested in 1924. On June 8, 1926, it crashed at Kaunas Aerodrome killing its designer. General characteristics Performance</t>
  </si>
  <si>
    <t>//upload.wikimedia.org/wikipedia/commons/e/e1/Dobi3.jpg</t>
  </si>
  <si>
    <t>Dobi</t>
  </si>
  <si>
    <t>https://en.wikipedia.org/Dobi</t>
  </si>
  <si>
    <t>Jurgis Dobkevičius</t>
  </si>
  <si>
    <t>https://en.wikipedia.org/Jurgis Dobkevičius</t>
  </si>
  <si>
    <t>12.5 m (41 ft 0 in)</t>
  </si>
  <si>
    <t>1 × BMW IIIa 6-cyl. water-cooled in-line piston engine, 136 kW (182 hp)</t>
  </si>
  <si>
    <t>250 km/h (160 mph, 130 kn)</t>
  </si>
  <si>
    <t>Piper PA-32 Cherokee Six</t>
  </si>
  <si>
    <t>The Piper PA-32 Cherokee Six is a series of single-engine, fixed landing gear, light aircraft manufactured in the America by Piper Aircraft between 1965 and 2007.[1][2] The PA-32 is used around the world for private transportation, air taxi services, bush support, and medevac flights. The PA-32 series was developed to meet a requirement for a larger aircraft than the four-seat Piper PA-28 Cherokee.[3] The first prototype PA-32 made its initial flight on December 6 1963, with the type being publicly announced in October 1964, with Federal Aviation Administration (FAA) type certification following on March 4, 1965.[4] The first production aircraft was the 260 horsepower (190 kW) PA32-260 Cherokee Six, a significantly modified six-seat (or seven-seat) development of the PA-28 Cherokee.[1][2] The Cherokee Six and its successors feature a baggage compartment in the nose between the cockpit and the engine compartment and a large double door in the back for easy loading of passengers and cargo.[1][2] On 27 May 1966, Piper obtained FAA type certification for a 300 hp (220 kW) version, designated as the PA-32-300.[5] It was offered by the company as a 1967 model.[citation needed] The 1975 addition of retractable landing gear resulted in the first of the PA-32R series, the Piper Lance. This was the earliest aircraft in the Piper Saratoga family, Piper's luxury, high-performance single line.[1][2] Piper's transition to tapered wings for the Cherokee series resulted in a new wing for the PA-32 series, as well. The tapered-wing version of the Cherokee Six was named the Saratoga and debuted in 1980. After the General Aviation Revitalization Act of 1994, production of the retractable-gear Saratoga resumed in 1995. A fixed-gear PA32 was reintroduced in 2003 as the Piper 6X and the turbocharged 6XT. Sales of the 6X and 6XT models did not meet expectations and production ceased in late 2007. Piper built a prototype PA32-260 with IO-360 engines mounted on the wings. The trimotor aircraft was the proof-of-concept aircraft for the twin-engined, retractable-gear version of the Cherokee Six, the PA-34 Seneca.[6] Data from 1972 Piper Cherokee Six 300 "E" Owner's HandbookGeneral characteristics Performance</t>
  </si>
  <si>
    <t>//upload.wikimedia.org/wikipedia/commons/thumb/f/f2/Piper.pa32.cherokee.six.g-bxwp.arp.jpg/300px-Piper.pa32.cherokee.six.g-bxwp.arp.jpg</t>
  </si>
  <si>
    <t>personal use and air taxi aircraft</t>
  </si>
  <si>
    <t>7842+</t>
  </si>
  <si>
    <t>{'Piper Six 300': 'fter 1979'}</t>
  </si>
  <si>
    <t>https://en.wikipedia.org/Piper PA-32R</t>
  </si>
  <si>
    <t>27 ft 8 in (8.4 m)</t>
  </si>
  <si>
    <t>32 ft 10 in (10.0 m)</t>
  </si>
  <si>
    <t>7 ft 11 in (2.4 m)</t>
  </si>
  <si>
    <t>174.5 sq ft (16.5 m2)</t>
  </si>
  <si>
    <t>NACA 65-415</t>
  </si>
  <si>
    <t>1,788 lb (811 kg)</t>
  </si>
  <si>
    <t>3,400 lb (1,542 kg)</t>
  </si>
  <si>
    <t>five passengers (or six with optional seat)</t>
  </si>
  <si>
    <t>1 × Lycoming IO-540-K1A5 piston, flat six, 300 hp (225 kW)</t>
  </si>
  <si>
    <t>174 mph (280 km/h, 151 kn)</t>
  </si>
  <si>
    <t>168 mph (272 km/h, 146 kn)</t>
  </si>
  <si>
    <t>16,250 ft (4,950 m)</t>
  </si>
  <si>
    <t>1,050 ft/min (5.3 m/s)</t>
  </si>
  <si>
    <t>840 mi (1,361 km, 730 nmi)</t>
  </si>
  <si>
    <t>Production complete; in service</t>
  </si>
  <si>
    <t>1965-2007[citation needed]</t>
  </si>
  <si>
    <t>https://en.wikipedia.org/1965-2007[citation needed]</t>
  </si>
  <si>
    <t>Pilatus P-5</t>
  </si>
  <si>
    <t>The Pilatus P-5 was a single-engined artillery observation aircraft project from Pilatus Aircraft in Switzerland.[1] The first drawings for the Pilatus P-5 were made in 1951. The client was the Federal Military Department (EMD). The main purpose for the P-5 was for artillery observation. It was a single-engine, two-seat high-wing monoplane with fixed wheels. The aircraft frame was intended to be built out of tubular steel and skinned with metal. The main wings and tail were intended to be made from an alloy, not steel. This aircraft had fixed wing with slats and flaps fitted on to them. The pilot and observer were seated in a generously glazed cabin that had exceptionally good visibility in all directions. This view was due mainly to the curved sides which allowed the aircrew to look almost straight down. This P-5 design was abandoned in 1951 and no prototype aircraft were ever built.[2] Data from Pilatus Flugzeuge: 1939–1989[2]General characteristics Performance   Aircraft of comparable role, configuration, and era</t>
  </si>
  <si>
    <t>two-seat artillery observation aircraft</t>
  </si>
  <si>
    <t>https://en.wikipedia.org/Switzerland</t>
  </si>
  <si>
    <t>Pilatus Aircraft</t>
  </si>
  <si>
    <t>https://en.wikipedia.org/Pilatus Aircraft</t>
  </si>
  <si>
    <t>9.2 m (30 ft 2 in)</t>
  </si>
  <si>
    <t>1 × Walter Minor 6-III I-6 inverted air-cooled piston engine, 120 kW (160 hp)</t>
  </si>
  <si>
    <t>4,800 m (15,700 ft)</t>
  </si>
  <si>
    <t>6 m/s (1,200 ft/min)</t>
  </si>
  <si>
    <t>53 km/h (33 mph; 29 kn)</t>
  </si>
  <si>
    <t>65 m (213 ft)</t>
  </si>
  <si>
    <t>50 m (164 ft)</t>
  </si>
  <si>
    <t>Pilatus PC-24</t>
  </si>
  <si>
    <t>The Pilatus PC-24 is a light business jet produced by Pilatus Aircraft of Switzerland. Following the success of the PC-12 single engine turboprop, work on the twin engine jet began in 2007 for greater range and speed, keeping the rugged airfield capability. The aircraft was introduced on 21 May 2013 and rolled out on 1 August 2014, with the maiden flight on 11 May 2015. The PC-24 received EASA and FAA type certification on 7 December 2017 and the first customer delivery was on 7 February 2018. Powered by two Williams FJ44 turbofans, it competes with the Embraer Phenom 300 and the Cessna Citation CJ4. During the 1990s, Pilatus Aircraft had brought to market the Pilatus PC-12, a single-engine turboprop-powered business aircraft. As the PC-12 quickly proved to be a commercial success, Pilatus sought to follow up with a complementary aircraft and began gathering feedback from customers of the type. In response to this request, several customers reportedly expressed a desire for an aircraft that would possess both a greater range and top speed than the existing PC-12, while retaining the type's overall ruggedness and ability to make use of very short runways.[4] Based on this feedback, Pilatus elected to pursue development of such an aircraft. In 2007, Pilatus initiated work on the program.[5] Development of the aircraft was conducted using existing company funds.[4] The design program was first mentioned by Pilatus in its May 2011 annual report.[6] On 21 May 2013, the PC-24 was introduced to the public at the European Business Aviation Convention &amp; Exhibition (EBACE) in Geneva. At the time, Pilatus chairman Oscar Schwenk claimed the PC-24 did not fit into any existing business jet categories, and stated that the aircraft was the only one that combined "...the versatility of a turboprop with the cabin size of a medium light jet, and the performance of a light jet".[7] On 1 August 2014, which is also Switzerland's national day, P01, the first of the three PC-24 prototypes, was rolled out.[8] Each of these three prototypes serve different functions in the development program; P01 is intended for exploring the flight envelope of the type, P02 is mainly for trialling the avionics and autopilot integration, and will spend much of its testing life in the US, while P03 is to be representative of production aircraft and will incorporate improvements made based upon the development work performed with the other two aircraft.[5] The first flight of the prototype had been originally anticipated to take place in late 2014, but this was delayed.[9] On 11 May 2015, P01 conducted its first flight from Buochs Airport, Switzerland, for a total of 55 minutes. The occasion marked the start of test flights for the aircraft's two-year certification campaign.[10][11] At the time, type certification  and initial deliveries were anticipated for 2017.[12][13] On 16 November 2015, P02, the second prototype, performed its maiden flight, lasting for 82 minutes; by this date, P01 had accumulated a total of 150 flying hours and had performed over 100 flights.[14][15] In May 2016, P01 took an brief intermission in the test program to appear on static display at EBACE; by this point, P01 and P02 had accumulated more than 500 flight hours between them.[16] During EBACE 2016, it was commented that the program was on track and test flights had been free of surprises; during a transatlantic crossing to the US, P02 had achieved a cruise speed in excess of 800 km/h (432 kt.), which was better than expected.[13] The PC-24 flight-test fleet was completed with the addition of the third prototype of P03 in March 2017; by May they had logged 950 flights and 1,525 hours.[17] In August 2017, Williams International received type and production certification from the EASA and FAA for its FJ44-4A-QPM while the three test aircraft accumulated over 1,700h of flight tests, on schedule for certification and introduction in the fourth quarter.[18] By October 2017, more than 2,000 hours had been flown, with the P01 prototype flying 626 times and 900 hours. The P03 prototype will complete a functional and reliability program, including 150 hours over six weeks before certification is completed and initial deliveries commence.[19] The three prototypes flew 2205 hours including icing conditions and very hot temperatures, outside its flight envelope, bird strikes, structural stress tests and noise tests before it received EASA and FAA type certification on 7 December 2017. Its performance goals were met or exceeded, like its maximum speed raised from 425 to 440 knots (787 to 815 km/h).[20] In the fourth quarter of 2018,the aircraft was certified to land on dry sand and gravel.[21] Australian RFDS will start medevac in 2019.[22] Transport Canada certification was awarded on 27 June 2019.[23] In February 2020, the design was approved for rough field operation, certifying the aircraft to operate from grass, wet earth and snow-covered surfaces, following a multiyear certification campaign.[21] As of February 2020, the aircraft can operate from grass, wet earth, dry sand, gravel and snow.[24] In late 2014, an agreement between Pilatus and FlightSafety International will see the latter conduct US-based PC-24 pilot and technician training in Dallas, Texas.[25] In May 2017, series production was under way for a fourth quarter first delivery to PlaneSense, following certification.[17] In December 2017, eight PC-24s were on the assembly line and 23 deliveries were planned for 2018.[20] The first customer delivery was completed on 7 February 2018 to PlaneSense.[26][27] In 2018, 23 to 24 are planned for delivery, with 40 planned for 2019 and then 50 per year.[28] On 11 October 2018, its MTOW was raised from 8,005 to 8,300 kg (17,650 to 18,300 lb), from the 31st serial aircraft produced, while its zero-fuel weight (empty weight plus payload) grew by 350 kg (770 lb).[29] At the May 2014 EBACE, Pilatus sold the initial production run of 84 units 36 hours after orders opened. This first batch of orders is to be delivered until early 2020. Orders were to reopen after publishing the aircraft's final performance data and assessing operators' feedback. Throughout its 40-year lifecycle, Pilatus plan to produce 4,000 units.[30] A PC-24 was ordered to transport the Swiss Federal Council.[31] When it was certified in December 2017, it was priced at US$8.9M.[6] On 26 November 2018, the first of five was delivered to the Royal Flying Doctor Service of Australia, supplementing its 35 PC-12s single turboprops. Unpaved and short 856 m (2,810 ft) runways should be allowed next, and it should enter service in early 2019 as an air ambulance with three beds and an electric stretcher loader.[32] They feature individual oxygen, vacuum and power systems for patient monitoring and support installed under a supplemental type certificate by aircraft medical interiors specialist Aerolite AG, for $13 million complete each.[33] It will replace a midsize Hawker 800XP operated in Western Australia since 2009, a gravel kit will be available by the end of the year, and Pilatus is working on operating on narrow runways, from 23 to 18 m (75 to 59 ft).[34] By May 2019, Pilatus had sold 30 units and reopened the PC-24 orderbook at the EBACE show, with about 80 delivery positions made available at a price of $10.7 million each, for late 2020 and 2021 deliveries. Of these new positions half were sold within days.[35] The PC-24 had been granted European and US steep approach certification, including for London City airport's 5.5° approach and short runway, plus dirt and gravel runway operations.[36] Rough-field certification was approved for grass, wet earth and snow operations in late January 2020.[37] The 50th was delivered by October 2019,[38] and the 100th by January 2021.[3] In 2021, its equipped price was $11.25M.[39] The PC-24 is the company's first jet-powered aircraft.[7] Several competing business aircraft were identified early on, including Embraer's Phenom 300 and Cessna's Citation CJ4.[4] It is a low-wing cantilever cabin monoplane powered by two Williams FJ44-4A turbofans, each mounted in a nacelle on the side of the rear fuselage.  It has a T-tail and a retractable tricycle landing gear.[40] The aircraft is designed to operate from short and rough airstrips and incorporates an advanced wing design, with a large double-slotted flap system to achieve the necessary performance, having a stall speed of only 81 knots at the maximum landing weight.[41] The long-stroke trailing link landing gear smooths out uneven surfaces, the dual-wheel main wheels have 70 psi (4.8 bar) of pressure to prevent sinking in soft surfaces, and the wing flaps have a replaceable, abradable surface and shields the high mounted engines from loose debris.[42] The cabin has room for eight passengers and two pilots.[40] The cabin has three exits, a passenger door on the left-hand side near the front, two overwing emergency exits and a cargo door on the left-hand side at the rear.[40] Pilatus claims the PC-24 is the first business jet to be fitted with this standard pallet-sized cargo door.[43] The interior color schemes of the PC-24 have been designed by BMW Designworks; interiors for the Americas are to be completed at a facility in Broomfield, Colorado, which will be expanded by 50% to cope with the extra demand.[14] Pilatus and Honeywell cooperatively designed the Advanced Cockpit Environment for the type. This is intended to reduce pilot workload and allows the PC-24 to be single-pilot certified. The avionics system is based on Honeywell Primus Epic 2.[44] At 45,000 ft (14,000 m) and 7,260 kg (16,010 lb), total fuel flow is 850 lb (390 kg) per hour at M0.65 long range cruise or 372 kn (689 km/h), raising to 970 lb (440 kg)/h at  its M0.74 high-speed cruise.[45] In July 2021, the design was updated with a number of refinements for new-build aircraft that can also be retro-fitted to earlier production aircraft. These updates included newly designed, lighter and more comfortable, quick release cabin seats; an optional galley to replace the forward coat closet; touchscreen-controlled avionics; tactile feedback in pitch and roll, plus limit protection; pilot-defined visual approaches and automated audible callouts. Also approved were True Blue Power lithium ion battery sets which are 84 lb (38 kg) lighter and less expensive to maintain.[46] The aircraft is popular with air charter companies and is also operated by private companies. By January 2021, the fleet of 100 jets has logged 33,500 flight hours, including 2,375 hours by the fleet leader.[3]  Qatar   Switzerland Data from Pilatus[49]General characteristics Performance   Aircraft of comparable role, configuration, and era</t>
  </si>
  <si>
    <t>//upload.wikimedia.org/wikipedia/commons/thumb/c/cb/Pilatus_PC-24%2C_P01%2C_HB-VXA_%2818743050229%29_%28cropped%29.jpg/300px-Pilatus_PC-24%2C_P01%2C_HB-VXA_%2818743050229%29_%28cropped%29.jpg</t>
  </si>
  <si>
    <t>Light business jet</t>
  </si>
  <si>
    <t>https://en.wikipedia.org/Light business jet</t>
  </si>
  <si>
    <t>11 May 2015[1]</t>
  </si>
  <si>
    <t>100 (January 2021)[3]</t>
  </si>
  <si>
    <t>16.85 m (55 ft 2 in)</t>
  </si>
  <si>
    <t>17.0 m (55 ft 9 in)</t>
  </si>
  <si>
    <t>5.4 m (17 ft 4 in)</t>
  </si>
  <si>
    <t>30.91 m2 (332.6 sq ft)</t>
  </si>
  <si>
    <t>4,965 kg (10,950 lb)</t>
  </si>
  <si>
    <t>259 kg/m2 (53 lb/sq ft)</t>
  </si>
  <si>
    <t>1 April 2018[2]</t>
  </si>
  <si>
    <t>Swiss Air ForcePlaneSense  Royal Flying Doctor Service of Australia</t>
  </si>
  <si>
    <t>https://en.wikipedia.org/Swiss Air ForcePlaneSense  Royal Flying Doctor Service of Australia</t>
  </si>
  <si>
    <t>8 passengers[40]</t>
  </si>
  <si>
    <t>2,705 kg / 5,965 lb, 888.5 US gal (3,363 L)</t>
  </si>
  <si>
    <t>2 × Williams FJ44-4A turbofans, 15 kN (3,400 lbf) thrust  each</t>
  </si>
  <si>
    <t>815 km/h (506 mph, 440 kn) [20]</t>
  </si>
  <si>
    <t>13,716 m (45,000 ft) , single engine ceiling 7,925 m (26,000 ft)</t>
  </si>
  <si>
    <t>20.67 m/s (4,070 ft/min) at Sea level, 1,850 fpm / 9.4 m/s at FL 300</t>
  </si>
  <si>
    <t>3,334 km (2,072 mi, 1,800 nmi) , 6 passengers (1,200 lb payload)[lower-alpha 1]</t>
  </si>
  <si>
    <t>in production</t>
  </si>
  <si>
    <t>2015–present</t>
  </si>
  <si>
    <t>8,300 kg (18,300 lb) [29]</t>
  </si>
  <si>
    <t>FL 450 in 30 minutes</t>
  </si>
  <si>
    <t>3,704 km (2,302 mi, 2,000 nmi) , 4 passengers (800 lb payload)[lower-alpha 1]</t>
  </si>
  <si>
    <t>1,485 kg (3,274 lb)[29]</t>
  </si>
  <si>
    <t>7.01 m × 1.69 m × 1.55 m long × wide × high ( 23 ft 0 in × 5 ft 7 in × 5 ft 1 in)</t>
  </si>
  <si>
    <t>2,438 m at 13,716 m (8,000 ft at 45,000 ft), 8.78 psi (0.605 bar)</t>
  </si>
  <si>
    <t>0.58 kg/km (2.1 lb/mi) Mach 0.72/416 kn (770 km/h) cruise, 15,375 lb (6,974 kg) weight, FL 450, ISA+3C[50]</t>
  </si>
  <si>
    <t>820 m / 2,690 ft (MTOW, ISA, sea level, dry paved runway)</t>
  </si>
  <si>
    <t>770 m / 2,525 ft (Over 50 ft obstacle, MLW, ISA, sea level, dry paved runway)</t>
  </si>
  <si>
    <t>Piper PA-12 Super Cruiser</t>
  </si>
  <si>
    <t>The Piper PA-12 Super Cruiser is an American three-seat, high wing, single-engine conventional landing gear-equipped light aircraft that was produced by Piper Aircraft between 1946-48. The PA-12 was an upgraded and redesignated Piper J-5.[2] When Piper dropped the J- designation system in exchange for the PA- system, the J-5C became the PA-12 "Super Cruiser". The earlier J-5s had been powered by either a 100 hp (75 kW) Lycoming O-235 or a 75 hp (56 kW) Lycoming O-145. The newer PA-12 model was initially powered by a 108 hp (81 kW) Lycoming O-235-C engine, was fully cowled, and had a metal spar wing with two 19 gallon fuel tanks. A Lycoming O-235-C1 engine rated at 115 hp (86 kW) for takeoff was optional.[2][3] The prototype NX41561 was converted from a J-5C and first flew from Lock Haven, Pennsylvania, on 29 October 1945. The first production model followed on 22 February 1946 and quantity production continued until the last example of 3760 built was completed on 18 March 1948.[4] The PA-12 is approved for wheels, skis, floats and also for crop spraying.[3] Cockpit accommodation is provided for the pilot in the front seat and two passengers in the rear seat, side-by-side. Unlike the J-3 Cub the PA-12 is flown solo from the front seat.[2][3] Many PA-12s have been modified with larger engines. Wing flaps and a metal-skin fuselage can be added as modifications.[3] In 1947, two PA-12s, named City of Washington and City of the Angels, flew around the world. The worst mechanical failure they suffered was a cracked tailwheel. The City of Washington currently resides at the Boeing Aviation Hangar, part of the  Steven F. Udvar-Hazy Center in Chantilly, Virginia.  The City of the Angels is on display at the Piper Aviation Museum in Lock Haven, Pennsylvania.[5] PA-12s have been exported to a number of countries including Belgium, Canada, France, Ireland, Netherlands, Switzerland and the United Kingdom. Many PA-12s are still flown by private pilot owners and the type is commonly seen in North America. In November 2009 there were still 1688 registered in the US and 229 in Canada.[2][6][7] Data from Jane#s All the World's Aircraft 1948[10]General characteristics Performance  Related development</t>
  </si>
  <si>
    <t>//upload.wikimedia.org/wikipedia/commons/thumb/7/73/Piper_PA-12_C-FSCU_01.JPG/300px-Piper_PA-12_C-FSCU_01.JPG</t>
  </si>
  <si>
    <t>Personal use aircraft</t>
  </si>
  <si>
    <t>3760[1]</t>
  </si>
  <si>
    <t>https://en.wikipedia.org/Piper PA-14Backcountry Super Cubs Supercruiser</t>
  </si>
  <si>
    <t>22 ft 10 in (6.96 m)</t>
  </si>
  <si>
    <t>35 ft 5+1⁄2 in (10.81 m)</t>
  </si>
  <si>
    <t>6 ft 10 in (2.08 m)</t>
  </si>
  <si>
    <t>179.3 sq ft (16.66 m2)</t>
  </si>
  <si>
    <t>1,750 lb (794 kg)</t>
  </si>
  <si>
    <t>9.76 lb/sq ft (47.7 kg/m2)</t>
  </si>
  <si>
    <t>38 US gal (32 imp gal; 140 L)</t>
  </si>
  <si>
    <t>1 × Lycoming O-235-C 4-cylinder air-cooled horizontally-opposed piston engine, 104 hp (78 kW)</t>
  </si>
  <si>
    <t>2-bladed Sensenich fixed-pitch wooden propeller, 6 ft 2 in (1.88 m) diameter</t>
  </si>
  <si>
    <t>91 kn (105 mph, 169 km/h) at sea level</t>
  </si>
  <si>
    <t>18,000 ft (5,500 m) (absolute) at 1,550 lb (700 kg)</t>
  </si>
  <si>
    <t>private owners</t>
  </si>
  <si>
    <t>Piper J-5</t>
  </si>
  <si>
    <t>https://en.wikipedia.org/Piper J-5</t>
  </si>
  <si>
    <t>43 kn (49 mph, 79 km/h) (landing speed)</t>
  </si>
  <si>
    <t>510 ft/min (2.6 m/s)</t>
  </si>
  <si>
    <t>520 nmi (600 mi, 970 km)</t>
  </si>
  <si>
    <t>many still active in 2014</t>
  </si>
  <si>
    <t>1946-1948</t>
  </si>
  <si>
    <t>1,753 lb (795 kg)</t>
  </si>
  <si>
    <t>480 ft (150 m) at 1,550 lb (700 kg)</t>
  </si>
  <si>
    <t>360 ft (110 m) at 1,550 lb (700 kg)</t>
  </si>
  <si>
    <t>Radioplane Q-1</t>
  </si>
  <si>
    <t>The Radioplane Q-1 was an American target drone, developed in the early 1950s for the America Air Force by the Radioplane Company. Originally powered by a pulsejet engine, then later developed as an improved turbojet-powered aircraft, the Q-1 failed to win the favor of the USAF. However, the aircraft provided the basis of the GAM-67 Crossbow anti-radar missile. Shortly after its formation in 1948, the America Air Force issued a specification calling for a new type of high-speed target drone. Required to be jet-powered to provide the most realistic training, the contract for the development of the drone was given to the Radioplane Company, later a division of Northrop.[1] Powered by a single Giannini PJ39 pulsejet engine, the drone, given the designation RP-26 by the company and XQ-1 by the USAF, was a high-wing, rocket sled launched aircraft. Originally fitted with a large single vertical stabiliser, the design was modified to a twin tail configuration to provide additional clearance of its carrier aircraft.[1] Recovery, following the conclusion of the drone's flight, was by parachute.[1] The first flight of the XQ-1 prototype took place in 1950; 28 aircraft of the type were built.[1] Although the aircraft proved to be mostly satisfactory, the thirsty nature of the pulsejet engine limited the drone's endurance to a mere 60 minutes.[2] In an attempt to increase the potential flight time of the aircraft, one XQ-1 was re-engined with a Continental YJ69 turbojet replacing the pulsejet, becoming the XQ-1A;[1] however it was determined that further improvements were needed, and so a major redesign of the type was undertaken.[1] Known by the company as RP-50 and designated by the USAF as YQ-1B, the revised drone flew for the first time during 1953, being evaluated by the Air Force later that year. Using the YJ69 engine, the air intake for the jet was relocated to the nose of the aircraft, while the airframe overall was modified to increase the streamlining of the craft.[1] The rocket-sled launch was abandoned in favor of air launching, with the Douglas DB-26 being the most common carrier aircraft.[1] Six YQ-1Bs were built for evaluation; they proved trouble-free, no production order for the type was undertaken, the competing Ryan Q-2 drone having been selected for operational service instead; as a result, the Q-1 program was terminated.[1] However, the YQ-1B airframe was used by Radioplane as the start of development of a new anti-radar missile, which would be tested by the U.S. Air Force as the GAM-67 Crossbow.[3] Data from [1]General characteristics Performance Related development Aircraft of comparable role, configuration, and era  Related lists</t>
  </si>
  <si>
    <t>//upload.wikimedia.org/wikipedia/en/thumb/b/b6/Radioplane_YQ-1B.jpg/300px-Radioplane_YQ-1B.jpg</t>
  </si>
  <si>
    <t>High-speed target drone</t>
  </si>
  <si>
    <t>Radioplane Company</t>
  </si>
  <si>
    <t>https://en.wikipedia.org/Radioplane Company</t>
  </si>
  <si>
    <t>None (UAV)</t>
  </si>
  <si>
    <t>18 ft 4 in (5.59 m)</t>
  </si>
  <si>
    <t>14 ft 4.5 in (4.382 m)</t>
  </si>
  <si>
    <t>4 ft 5 in (1.35 m)</t>
  </si>
  <si>
    <t>1 × Continental YJ69-T-3 turbojet, 880 lbf (3.9 kN) thrust</t>
  </si>
  <si>
    <t>345 mph (555 km/h, 300 kn)</t>
  </si>
  <si>
    <t>U.S. Air Force</t>
  </si>
  <si>
    <t>https://en.wikipedia.org/U.S. Air Force</t>
  </si>
  <si>
    <t>1,800 lb (816 kg)</t>
  </si>
  <si>
    <t>GAM-67 Crossbow</t>
  </si>
  <si>
    <t>https://en.wikipedia.org/GAM-67 Crossbow</t>
  </si>
  <si>
    <t>Harlow PC-5</t>
  </si>
  <si>
    <t>The Harlow PC-5 was a 1930s American military trainer version of the PJC-2 designed and built by the Harlow Aircraft Company. The Harlow Aircraft Company in Alhambra, California, designed a version of the PJC-2 as a tandem two-seat training aircraft.[1] The PC-5 had a revised fuselage with dual controls.[1] The aircraft first flew in July 1939 but it failed to interest the America Army Air Corps. Howard Hughes' business partner, J.B. Alexander, backed the project and had flown in early examples of the aircraft.[2] Harlow licensed the manufacturing rights to the PC-5 to Cub Aircraft of Canada during the wartime buildup.[3] Only five aircraft had been built when the company was taken over by the Intercontinent Corporation. Components for 50 aircraft were supplied to the Indian company Hindustan Aeronautics, who were to assemble the aircraft for use by the Indian Air Force as the PC-5A.[3] The first PC-5A flew in August 1941,[4] but it is not known how many were assembled and flown. Using an engineering team brought in by Intercontinental, a cheaper version of the PC-5 was developed and built as the PC-6. The PC-6 wing failed, causing a fatal accident during an early test flight.[citation needed] Data from Jane's All the World's Aircraft 1941,[5] The Illustrated Encyclopedia of Aircraft[6]General characteristics Performance   Aircraft of comparable role, configuration, and era  Related lists</t>
  </si>
  <si>
    <t>//upload.wikimedia.org/wikipedia/commons/thumb/4/4e/Harlow_PC-5A.jpg/300px-Harlow_PC-5A.jpg</t>
  </si>
  <si>
    <t>Harlow Aircraft CompanyHindustan Aeronautics</t>
  </si>
  <si>
    <t>https://en.wikipedia.org/Harlow Aircraft CompanyHindustan Aeronautics</t>
  </si>
  <si>
    <t>Max B. Harlow</t>
  </si>
  <si>
    <t>https://en.wikipedia.org/Max B. Harlow</t>
  </si>
  <si>
    <t>5(PC-5)28+(PC-5A)1 (PC-6)</t>
  </si>
  <si>
    <t>23 ft 7 in (7.19 m)</t>
  </si>
  <si>
    <t>35 ft 7.5 in (10.859 m)</t>
  </si>
  <si>
    <t>7 ft 8 in (2.34 m)</t>
  </si>
  <si>
    <t>185 sq ft (17.2 m2)</t>
  </si>
  <si>
    <t>NACA 23012[7]</t>
  </si>
  <si>
    <t>2,015 lb (914 kg)</t>
  </si>
  <si>
    <t>2,600 lb (1,179 kg)</t>
  </si>
  <si>
    <t>1 × Warner Super Scarab 165-D 7-cylinder air-cooled radial piston engine, 165 hp (123 kW)</t>
  </si>
  <si>
    <t>2-bladed Hamilton Standard constant-speed propeller</t>
  </si>
  <si>
    <t>163 mph (262 km/h, 142 kn)</t>
  </si>
  <si>
    <t>145 mph (233 km/h, 126 kn)</t>
  </si>
  <si>
    <t>Royal Indian Air Force</t>
  </si>
  <si>
    <t>https://en.wikipedia.org/Royal Indian Air Force</t>
  </si>
  <si>
    <t>700 ft/min (3.6 m/s)</t>
  </si>
  <si>
    <t>425 mi (684 km, 369 nmi)</t>
  </si>
  <si>
    <t>56 mph (49 kn; 90 km/h)</t>
  </si>
  <si>
    <t>CANT 26</t>
  </si>
  <si>
    <t>The CANT 26 was an Italian two-seat biplane trainer built by CANT. The CANT 26 was an unusual product of CANT as it was a landplane. It was a two-seat biplane with tailwheel landing gear and powered by a 60 kW (80 hp) engine. Only seven examples were built, one of which competed in the Challenge 1929 trials, and another of which was temporarily converted into a seaplane. One plane was registered in Argentina as R-183 and it was later sold to an Italian citizen resident in Paraguay, Nicola Bo in 1932. He sold it to the Paraguayan Military Air Arm. It received the serial T-6 and it was used as a liaison aircraft during the Chaco War. It was destroyed in a fatal accident during the war on May 5, 1933, killing Capt. José D. Jara (pilot) and Lt. Niemann (passenger). Data from Jane's all the World's Aircraft 1928[1]General characteristics Performance</t>
  </si>
  <si>
    <t>//upload.wikimedia.org/wikipedia/commons/thumb/d/d9/CANT_26_Aero_Digest_June%2C1930.jpg/300px-CANT_26_Aero_Digest_June%2C1930.jpg</t>
  </si>
  <si>
    <t>Biplane trainer</t>
  </si>
  <si>
    <t>CANT</t>
  </si>
  <si>
    <t>https://en.wikipedia.org/CANT</t>
  </si>
  <si>
    <t>7 m (23 ft 0 in)</t>
  </si>
  <si>
    <t>2.67 m (8 ft 9 in)</t>
  </si>
  <si>
    <t>26.2 m2 (282 sq ft)</t>
  </si>
  <si>
    <t>370 kg (816 lb)</t>
  </si>
  <si>
    <t>25 kg/m2 (5.1 lb/sq ft)</t>
  </si>
  <si>
    <t>1 × Isotta Fraschini Asso 80 6-cyl air-cooled in-line piston engine, 60 kW (80 hp)</t>
  </si>
  <si>
    <t>2-bladed fixed pitch propeller</t>
  </si>
  <si>
    <t>3,800 m (12,500 ft)</t>
  </si>
  <si>
    <t>0.238 kW/kg (0.145 hp/lb)</t>
  </si>
  <si>
    <t>810 km (500 mi, 440 nmi)</t>
  </si>
  <si>
    <t>English Electric Wren</t>
  </si>
  <si>
    <t>The English Electric Wren was a 1920s British ultralight monoplane built by the English Electric Company Limited at Lytham St Annes, Lancashire. The Wren, designed by W. O. Manning, was a lightweight motor-glider.  Manning was a designer of flying boats and decided to try a simpler project. The Wren was a single-engined high-wing monoplane with an empty weight of only 232 lb (105 kg). The first aircraft (Serial Number J6973) was built in 1921 for the Air Ministry. Interest in building very light aircraft was encouraged at the time by a £500 prize offered by the Duke of Sutherland (who was the Under-Secretary of State for Air). The entrants had to build the most economical light single-seat aircraft. Another incentive was a £1,000 prize offered by the Daily Mail for the longest flight by a motor-glider with an engine of not more than 750 cc. Two aircraft were built for the 1923 Lympne light aircraft trials in October 1923. The Wren shared the first prize with the ANEC I when it covered 87.5 miles (140.8 km) on one Imperial gallon (4.5 litres) of fuel. In 1957 the third aircraft was rebuilt using parts of the second aircraft.  It is still airworthy and is on public display at the Shuttleworth Collection at Old Warden Aerodrome in Bedfordshire. Data from Jackson[1]General characteristics Performance</t>
  </si>
  <si>
    <t>//upload.wikimedia.org/wikipedia/commons/thumb/e/e5/Ee_wren_Shuttleworth_1.jpg/300px-Ee_wren_Shuttleworth_1.jpg</t>
  </si>
  <si>
    <t>Ultralight monoplane</t>
  </si>
  <si>
    <t>English Electric Company Limited</t>
  </si>
  <si>
    <t>https://en.wikipedia.org/English Electric Company Limited</t>
  </si>
  <si>
    <t>W. O. Manning</t>
  </si>
  <si>
    <t>https://en.wikipedia.org/W. O. Manning</t>
  </si>
  <si>
    <t>24 ft 3 in (7.39 m)</t>
  </si>
  <si>
    <t>4 ft 9 in (1.45 m)</t>
  </si>
  <si>
    <t>145 sq ft (13.5 m2)</t>
  </si>
  <si>
    <t>232 lb (105 kg)</t>
  </si>
  <si>
    <t>1 × ABC 8 hp 2-cylinder air-cooled horizontally-opposed piston engine, 8 hp (6.0 kW)</t>
  </si>
  <si>
    <t>50 mph (80 km/h, 43 kn)</t>
  </si>
  <si>
    <t>180 ft/min (0.91 m/s)</t>
  </si>
  <si>
    <t>420 lb (191 kg)</t>
  </si>
  <si>
    <t>1 hour 30 minutes</t>
  </si>
  <si>
    <t>The LVG C.V was a reconnaissance aircraft produced in large numbers in Germany during World War I.[1] The C.V was a conventional two-bay biplane design of its day, with unstaggered wings of equal span and tandem, open cockpits for the pilot and observer.[2] The ailerons, fitted only to the upper wing, featured aerodynamic balances that extended past the wingtips.[2] The fuselage was a semi-monocoque construction skinned in wood.[3] Following the war, some C.Vs were used as civil transports,[1] while some 150 machines captured by Polish forces were put to use by the Polish army.[4] Other post-war users included Russia, Latvia, Lithuania, and Estonia; together operating about 30 aircraft.[4] Luftstreitkrafte Latvian Air Force - Postwar Lithuanian Air Force - Postwar Polish Air Force - Postwar Imperial Russian Air Service - Postwar[citation needed] Ottoman Air Force Data from Grosz 1998, 35General characteristics Performance Armament</t>
  </si>
  <si>
    <t>//upload.wikimedia.org/wikipedia/commons/thumb/9/96/LVG_C.V_aircraft_with_pilot_c1918.jpg/300px-LVG_C.V_aircraft_with_pilot_c1918.jpg</t>
  </si>
  <si>
    <t>LVG (aircraft manufacturer)</t>
  </si>
  <si>
    <t>https://en.wikipedia.org/LVG (aircraft manufacturer)</t>
  </si>
  <si>
    <t>8.07 m (26 ft 6 in)</t>
  </si>
  <si>
    <t>3.36 m (10 ft 0 in)</t>
  </si>
  <si>
    <t>40.5 m2 (436 sq ft)</t>
  </si>
  <si>
    <t>1,009 kg (2,220 lb)</t>
  </si>
  <si>
    <t>1,505 kg (3,311 lb)</t>
  </si>
  <si>
    <t>1 × Benz Bz.IV , 150 kW (200 hp)</t>
  </si>
  <si>
    <t>170 km/h (106 mph, 92 kn)</t>
  </si>
  <si>
    <t>5.6 m/s (1,100 ft/min)</t>
  </si>
  <si>
    <t>Lockheed Martin FB-22</t>
  </si>
  <si>
    <t>The Lockheed Martin FB-22 was a proposed stealth bomber aircraft marketed to the America Air Force. Its design was derived from the F-22 Raptor. Lockheed Martin proposed its unsolicited design as a "regional bomber" to complement the aging U.S. strategic bomber fleet. Lockheed Martin appeared to suspend work on the concept following the 2006 Quadrennial Defense Review, which called for a new strategic bomber by 2018. In 2001, Lockheed Martin began studies on the feasibility of the FB-22 as the company sought to leverage the design and capabilities of the F-22 Raptor. Experience gleaned from Operation Enduring Freedom in Afghanistan demonstrated the value of a bomber that could remain in theatre in the absence of surface-to-air missiles. The F-22, while designed as an air superiority fighter, embodied some degree of air-to-ground attack ability.[1] One primary objective of the internal studies was to exploit the F-22's air-to-ground capability while keeping costs to a minimum. To this end, the company devised several concepts that saw significant structural redesigns with respect to the fuselage and wings, while retaining much of the F-22's avionics. With an early design, Lockheed Martin lengthened and widened the fuselage to increase the internal weapons load; it was later found that doing so would have incurred a cost penalty of 25–30% in weight, materials and development. Instead, the company left the fuselage intact as it enlarged the wing to a more delta shape.[2][3] The wing, which was around three times that of the F-22, enabled the storage of a much larger amount of weapons and fuel. Various figures give the payload of the FB-22 to be 30 to 35 Small Diameter Bombs; this is compared to the F-22's payload of eight of such 250-pound (110 kg) weapons. Unlike the F-22, the FB-22 was designed to be able to carry bombs up to 5,000 pounds (2,300 kg) in size. With stealth, the aircraft's maximum combat load was to have been 15,000 pounds (6,800 kg); without stealth, 30,000 pounds (13,600 kg).[1][2] Range was almost tripled from 600 miles (970 km) to more than 1,600 miles (2,600 km), which could have been extended by external fuel tanks. This placed the aircraft in the category of a regional bomber, comparable to that of the F-111, as it was intended to replace the F-15E Strike Eagle and take over some of the missions of the B-1 and B-2.[1][4] According to Air Force Magazine, the combination of range and payload of the FB-22 would have given the concept a comparable effectiveness to that of the B-2 armed with 2,000-pound (910 kg) bombs.[5] The design could also have been adapted to use a more powerful engine, such as the F-35 Lightning II's Pratt &amp; Whitney F135, or the General Electric/Rolls-Royce F136.[6] While an early FB-22 concept featured no tailplanes, the design incorporated twin tailplanes and likely would have fixed engine nozzles as opposed to the thrust vectoring nozzles on the F-22.[7] The FB-22 was to have a maximum speed of Mach 1.92.[3] Because the aircraft was to emphasize air-to-ground capability while maintaining stealth characteristics, the FB-22 would have lacked dogfighting capability.[5] One aspect that arose during the early stages of the design process was the consideration that Boeing would be responsible for the final assembly of the aircraft. At the time, Lockheed Martin was making the mid-fuselage at its plant in Fort Worth, Texas, while assembling the F-22 in Marietta, Georgia. However, since Boeing was responsible for the manufacturing of parts of the fuselage and more crucially, the wings—as well as integrating the avionics—it was considered prudent to give final assembly to Boeing.[4] Other than the wings, the aircraft would have retained much of the design of the F-22. This included 80% of the avionics, software, and flight controls. This commonality would have also significantly reduced the costs of software integration.[1] In February 2003, during a session with the House Committee on Armed Services, Air Force Secretary James Roche said that he envisioned a force of 150 FB-22s would equip the service.[8] In 2004, Lockheed Martin officially presented the FB-22 to the Air Force to meet its requirement for a potential strategic bomber as an interim solution to become operational by 2018.[9][10] Because of the work already done on the F-22, the cost of developing the FB-22 was estimated to be as low as 25% of developing a new bomber,[2] with development expected to be US$5–7 billion (2002 dollars), including the airframe cost of US$1 billion (2003 dollars).[4][11] It was later revealed that six different versions of the bomber were submitted, as targets, payload and range had yet to be defined.[2] In addition, as a stealth bomber, the FB-22 was designed to carry weapons externally while maintaining stealth with the assistance of detachable and faceted pods dubbed "wing weapons bay"; previously, an aircraft could only remain stealthy if it carried its weapons internally.[2] However, the FB-22 in its planned form appears to have been canceled in the wake of the 2006 Quadrennial Defense Review and subsequent developments as the Department of Defense favored a bomber with much greater range.[12][13][14] Data from Miller,[7] Tirpak[2]Performance Armament Related development Aircraft of comparable role, configuration, and era  Related lists</t>
  </si>
  <si>
    <t>Stealth bomber</t>
  </si>
  <si>
    <t>https://en.wikipedia.org/Stealth bomber</t>
  </si>
  <si>
    <t>Lockheed Martin</t>
  </si>
  <si>
    <t>https://en.wikipedia.org/Lockheed Martin</t>
  </si>
  <si>
    <t>2 (pilot, co-pilot)</t>
  </si>
  <si>
    <t>6 g</t>
  </si>
  <si>
    <t>Mach 1.92</t>
  </si>
  <si>
    <t>Lockheed Martin F-22 Raptor</t>
  </si>
  <si>
    <t>https://en.wikipedia.org/Lockheed Martin F-22 Raptor</t>
  </si>
  <si>
    <t>2,100 mi (3,300 km, 1,800 nmi) (combat radius)[2]</t>
  </si>
  <si>
    <t>Design proposal, canceled</t>
  </si>
  <si>
    <t>120,000 lb (54,431 kg)</t>
  </si>
  <si>
    <t>30 × GBU-39 Small Diameter Bombs</t>
  </si>
  <si>
    <t>2 × AIM-120 AMRAAM</t>
  </si>
  <si>
    <t>Honda MH02</t>
  </si>
  <si>
    <t>The Honda MH02 was an experimental business jet built by Honda, in cooperation with Mississippi State University, to research engine placement and composite construction. The prototype was completed in 1992, making its first flight on 5 March 1993. The MH02 was never intended for production, but was nonetheless the first all-composite light business jet to fly; by 1996 over 170 test flight hours were accumulated on the airframe. Aside from the already unusual above-the-wing engine mounts, the design features a T-tail and a forward-swept wing.[1] The aircraft was deregistered and exported to Japan in 1998.[2][3] General characteristics Performance This article on an aircraft of the 1990s is a stub. You can help Wikipedia by expanding it.</t>
  </si>
  <si>
    <t>//upload.wikimedia.org/wikipedia/commons/thumb/7/78/Honda_MH02_Honda_Fan_Fun_Lab.jpg/300px-Honda_MH02_Honda_Fan_Fun_Lab.jpg</t>
  </si>
  <si>
    <t>HondaMississippi State University</t>
  </si>
  <si>
    <t>https://en.wikipedia.org/HondaMississippi State University</t>
  </si>
  <si>
    <t>one or two pilots</t>
  </si>
  <si>
    <t>11.25 m (36 ft 11 in)</t>
  </si>
  <si>
    <t>11.24 m (36 ft 11 in)</t>
  </si>
  <si>
    <t>4.18 m (13 ft 9 in)</t>
  </si>
  <si>
    <t>six passengers</t>
  </si>
  <si>
    <t>2 × Pratt &amp; Whitney Canada JT15D1 turbofan engines, 5.3 kN (1,200 lbf) thrust  each</t>
  </si>
  <si>
    <t>654 km/h (406 mph, 353 kn)</t>
  </si>
  <si>
    <t>Burgess Model H</t>
  </si>
  <si>
    <t>The Burgess Model H was an early America airplane and one of the first air machines specifically designed and built for military use. Classified as the "Model H military tractor", it was developed and built in 1912 by Burgess Company and Curtis, which in 1914 became the Burgess Company. Powered by a 70 hp Renault engine with the propeller in the tractor configuration, the biplane trainer had tandem open cockpits after a redesign in 1914 by Grover Loening, then a civilian engineer with the U.S. Army. Loening was the first person to receive an advanced engineering degree in aeronautics, from Columbia University in 1910, and later was a founding member of both Sturtevant Aircraft Company and Loening Aircraft Engineering. The Aeronautical Division, U.S. Signal Corps purchased its initial Burgess Model H as Signal Corps No. 9 in August 1912, then five more of the Loening design for the 1st Aero Squadron at North Field, California between November 1913 and July 1914. They were the 24th through 28th aircraft acquired by the Army. A seventh Model H went to the U.S. Navy, where it was known first as the D-2 and later as the AB-7 (Heavier-than-air/flying boat, model 7).  General characteristics</t>
  </si>
  <si>
    <t>//upload.wikimedia.org/wikipedia/commons/thumb/3/3f/1st_Aero_Squadron_-_North_Island_California_2.jpg/300px-1st_Aero_Squadron_-_North_Island_California_2.jpg</t>
  </si>
  <si>
    <t>Burgess</t>
  </si>
  <si>
    <t>https://en.wikipedia.org/Burgess</t>
  </si>
  <si>
    <t>https://en.wikipedia.org/1912</t>
  </si>
  <si>
    <t>1 × Renault , 70 hp (52 kW)</t>
  </si>
  <si>
    <t>F+W C-3605</t>
  </si>
  <si>
    <t>The F+W C-3605, nicknamed Schlepp ("Tug") or "Alpine Anteater", was a target towing aircraft operated by the Swiss Air Force from 1971–1987. The aircraft was developed during the latter half of the 1960s by the Swiss Federal Construction Works (Eidgenoessische Konstruktionswerkstaette) (EKW), renamed Farner Werke (F+W) in 1972, as a conversion of the existing C-3603 ground attack/target towing aircraft. Following a successful prototype conversion in 1968, 23 aircraft were converted between 1971–1973 with 2 still flying in private hands. In 1967 the Swiss Air Force determined that their C-3603-1 target-towing aircraft still had approximately 10 years of structural life remaining, but that the plane's Hispano-Suiza piston type engines were on the verge of wearing out, with replacements becoming scarce.[1] The C-3603-1 was based on a World War II era ground attack design which had been inspired by the design of the Messerschmitt Bf 109.[2] Evaluations of various types of foreign aircraft were conducted to find a replacement; however, it was determined in 1965 that the most economical solution would be to re-engineer the existing aircraft with a modern turboprop engine.[3] Accordingly, work began under the direction of Jean-Pierre Weibel to convert the 102nd C-3603 into the prototype C-3605.[1] The selected replacement engine was a Lycoming T53 turboprop. This was much lighter than the piston engine of the C-3603 and so the conversion included an extension of the nose of the aircraft by 1.82 metres (6.0 ft) to maintain the center of gravity.[4] The remainder of the aircraft was left essentially unmodified. Early flight testing of the prototype began on 19 August 1968.[1] During testing it was found that a third vertical stabiliser was also required.[1] Flight testing showed that the prototype C-3605 possessed satisfactory flight characteristics, and the conversion of 23 C-3603 aircraft to C-3605 standard began.[1] The aircraft were delivered by F+W between 1971 and January 1973.[4] Whilst in the service of the Swiss Air Force the C-3605s were usually painted in conspicuous yellow-and-black striped, high-visibility colour schemes.[4] The plane operated faithfully in the target towing role, exceeding its expected 10 year structural life.[5] However, by the mid 1980s, the aging aircraft had begun to show signs of airframe fatigue.[5] This led to the decision to retire the type from service in 1987 with the surviving aircraft being sold off and replaced by converted Pilatus PC-9s in the target-towing role.[2][5] In 2021 it was found that the engines are slightly radioactive, due to thorium being used.[6] C-3605s are displayed in several museums, including the Flieger Flab Museum (Aviation Museum) in Dübendorf, Switzerland and the Planes of Fame Museum in Chino, California.[5] The C-3605 is also popular as a "warbird" with civilian owners.[2] Data from [1]General characteristics Performance Armament Avionics  Related development</t>
  </si>
  <si>
    <t>//upload.wikimedia.org/wikipedia/commons/thumb/f/fc/AirExpo_2015_-_Schlepp_%281%29.jpg/300px-AirExpo_2015_-_Schlepp_%281%29.jpg</t>
  </si>
  <si>
    <t>https://en.wikipedia.org/Target tug</t>
  </si>
  <si>
    <t>Farner Werke</t>
  </si>
  <si>
    <t>https://en.wikipedia.org/Farner Werke</t>
  </si>
  <si>
    <t>Two (pilot and winch operator)</t>
  </si>
  <si>
    <t>12.03 m (39 ft 6 in)</t>
  </si>
  <si>
    <t>13.74 m (45 ft 1 in)</t>
  </si>
  <si>
    <t>4.05 m (13 ft 3 in)</t>
  </si>
  <si>
    <t>28.70 m2 (308.9 sq ft)</t>
  </si>
  <si>
    <t>2,634 kg (5,807 lb)</t>
  </si>
  <si>
    <t>129 kg/m2 (26 lb/sq ft) at max takeoff weight</t>
  </si>
  <si>
    <t>510 litres (110 imp gal; 130 US gal)</t>
  </si>
  <si>
    <t>1 × Lycoming T53-L-7 turboprop, 820 kW (1,100 shp)</t>
  </si>
  <si>
    <t>3-bladed Hamilton Standard 53C51, 3.05 m (10 ft 0 in) diameter</t>
  </si>
  <si>
    <t>432 km/h (268 mph, 233 kn) at 3,050 metres (10,010 ft)</t>
  </si>
  <si>
    <t>420 km/h (260 mph, 230 kn)</t>
  </si>
  <si>
    <t>3.38 kg/shp (7.45 lb/shp) at max takeoff weight</t>
  </si>
  <si>
    <t>EKW C-3603</t>
  </si>
  <si>
    <t>https://en.wikipedia.org/EKW C-3603</t>
  </si>
  <si>
    <t>98 km/h (61 mph, 53 kn) flaps down</t>
  </si>
  <si>
    <t>12.5 m/s (2,470 ft/min)</t>
  </si>
  <si>
    <t>980 km (610 mi, 530 nmi) with 10% reserve</t>
  </si>
  <si>
    <t>1971–1973</t>
  </si>
  <si>
    <t>3,716 kg (8,192 lb)</t>
  </si>
  <si>
    <t>AeroLites Bearcat</t>
  </si>
  <si>
    <t>The AeroLites Bearcat is an American amateur-built aircraft, designed and produced by AeroLites, of Welsh, Louisiana and introduced in 1984. The aircraft is supplied as a kit for amateur construction.[1][2][3][4] The Bearcat features a strut-braced parasol-wing, a single-seat open cockpit, fixed conventional landing gear and a single engine in tractor configuration.[1][2][3] The aircraft fuselage is made from welded 4130 steel tubing with the wing constructed with an aluminum structure, with its flying surfaces covered in Dacron sailcloth. The ribs slide into pockets in the fabric. Its 30 ft (9.1 m) span wing employs a Clark Y airfoil and has an area of 150 sq ft (14 m2). Standard engines available are the 40 hp (30 kW) Rotax 447, the 50 hp (37 kW) Rotax 503 and the 64 hp (48 kW) Rotax 582 two-stroke powerplants. Equipment to convert the aircraft for aerial application is also available.[1][2][3][5] The manufacturer claims that the supplied kit takes 60–90 hours to assemble.[6] By 1998 the company had reported that nine Bearcats and two Ag Bearcats were flying.[3] Data from Bayerl and AeroLites[1][6]General characteristics Performance</t>
  </si>
  <si>
    <t>Amateur-built aircraft</t>
  </si>
  <si>
    <t>https://en.wikipedia.org/Amateur-built aircraft</t>
  </si>
  <si>
    <t>AeroLites</t>
  </si>
  <si>
    <t>https://en.wikipedia.org/AeroLites</t>
  </si>
  <si>
    <t>17 ft 6 in (5.33 m)</t>
  </si>
  <si>
    <t>30 ft 0 in (9.14 m)</t>
  </si>
  <si>
    <t>6 ft 5 in (1.96 m)</t>
  </si>
  <si>
    <t>275 lb (125 kg)</t>
  </si>
  <si>
    <t>700 lb (318 kg)</t>
  </si>
  <si>
    <t>110 mph (180 km/h, 96 kn)</t>
  </si>
  <si>
    <t>+6/-4</t>
  </si>
  <si>
    <t>4.66 lb/sq ft (22.8 kg/m2)</t>
  </si>
  <si>
    <t>1 × Rotax 447 twin cylinder, air-cooled, two stroke aircraft engine, 40 hp (30 kW)</t>
  </si>
  <si>
    <t>2-bladed composite, 5 ft 8 in (1.73 m) diameter</t>
  </si>
  <si>
    <t>70 mph (110 km/h, 61 kn)</t>
  </si>
  <si>
    <t>60 mph (96 km/h, 52 kn)</t>
  </si>
  <si>
    <t>27 mph (43 km/h, 23 kn)</t>
  </si>
  <si>
    <t>In production (2012)</t>
  </si>
  <si>
    <t>Gloster F.5/34</t>
  </si>
  <si>
    <t>The Gloster F.5/34 was a British fighter of the 1930s. It was a single-seat, single-engine monoplane of all-metal cantilever construction; the undercarriage was of the tailwheel type with retractable main wheels. The aircraft was developed for Air Ministry Specification F.5/34, a fighter armed with eight machine guns and an air-cooled engine that was well-suited to operations in the tropics.[1] The Gloster design was overtaken by more capable competitors and the specification was later abandoned, with none of the aircraft designs produced for it selected for entry into service. The F.5/34 was the first monoplane fighter built by Gloster and the last design by H.P. Folland for the company.[2] It was also Gloster's first land monoplane. The first design was based on a low-wing monoplane version of the Gladiator, probably retaining the fabric covering and with the fin and full-height rudder behind the tailplane, as for the Gladiator. The engine was to be the new Bristol Perseus sleeve-valve radial. The cockpit was semi-enclosed, with open sides and a spine behind it. The undercarriage retracted backwards and left the wheels half-exposed, which would reduce damage in the event of a wheels-up landing.[3] By 1935, the design had changed and had acquired a number of more modern features such as a metal stressed-skin fuselage throughout. The cockpit canopy was now a glazed and framed canopy like that of the production Gladiator which slid backwards to open, giving much better vision above and behind. Although the main dimensions remained unchanged, the tailplane moved backwards behind the fin, requiring an extension of the fuselage beyond it, increasing the length by 3 feet. This was an innovation developed for the F.35/35 high-speed fighter specification. The intention was to improve spin recovery, by having the fin and rudder in 'clean' air, ahead of the tailplane.[3] The engine also changed, at least for the prototype aircraft, to the older 840 hp Bristol Mercury IX nine-cylinder poppet-valve radial engine. [3] The Perseus had been developed with identical cylinder dimensions to the Mercury and was only a little larger, making the change an easy one. The Perseus was still under development and although it was expected - accurately - that the sleeve valve powerplant proffered much greater potential horsepower, the more conventional Mercury was deemed acceptable for the purposes of developing the prototype airframe, with a view to restoring the Perseus in the production version.[4] The new aircraft, now informally referred to as the Unnamed Fighter, featured many of the trademark Gloster design elements including the tail and close-fitting cowling that resembled the earlier Gauntlet and Gladiator biplane fighters.[2] The low wing cantilever mainplane was built in one piece with light-alloy spars running through from tip to tip and ribs made from channelling with steel and light-alloy tube struts. NACA 2218 profiles were used at the root and NACA 2209 at the tip. The single piece wing was later criticised as it would have prevented battle damage being repaired by replacing a single wing.[3] Duralumin stressed-skin was used on the mainplane and tail unit with fabric-covered Frise ailerons. The fuselage was a monocoque structure built up from light, fabricated oval-section rings with duralumin skinning.[5] Whereas the usual British practice was to order a single prototype for purposes of evaluation, as with the Spitfire and Hurricane, in the case of the F.5/34 two machines were requested.  Development was delayed by the demands of the Gladiator production programme, so that flight trials of the first prototype K5604 did not commence until December 1936. The second prototype K8089 did not fly until March 1938.[3] In competition with the Gloster for the requirement were the Bristol Type 146, Martin-Baker M.B.2 and the Vickers Venom, which would be tested by the Aeroplane and Armament Experimental Establishment. Flight magazine (1 July 1937) shows the F.5/34 taking off from Hucclecote Aerodrome and mentions its appearance at the RAF Display of that year.[6] By the time the F.5/34 began its flight tests, the eight-gun Hawker Hurricane was in service and the Supermarine Spitfire in production so that further development of the Gloster fighter was abandoned. Compared to its contemporaries, test pilots found the F.5/34 prototypes had a shorter take off run, offered better initial climb and were more responsive and manoeuvrable due to ailerons that did not become excessively heavy at high speed. Handling was considered very good and the all-round cockpit visibility was far better than the other designs. The Gloster F.5/34 debuted at the 1937 Hendon Air Show but soon after, prototypes K5604 and K8089 were relegated to experimental flying and finally as instructional airframes until May 1941.[7] Data from The Complete Book of Fighters[8]General characteristics Performance Armament   Aircraft of comparable role, configuration, and era</t>
  </si>
  <si>
    <t>//upload.wikimedia.org/wikipedia/commons/thumb/e/e2/15_Gloster_F.5-34_Fighter_Bristol_Mercury_IX_%2815812158196%29.jpg/300px-15_Gloster_F.5-34_Fighter_Bristol_Mercury_IX_%2815812158196%29.jpg</t>
  </si>
  <si>
    <t>fighter</t>
  </si>
  <si>
    <t>https://en.wikipedia.org/fighter</t>
  </si>
  <si>
    <t>Gloster Aircraft</t>
  </si>
  <si>
    <t>https://en.wikipedia.org/Gloster Aircraft</t>
  </si>
  <si>
    <t>Henry Folland and H. E. Preston</t>
  </si>
  <si>
    <t>https://en.wikipedia.org/Henry Folland and H. E. Preston</t>
  </si>
  <si>
    <t>Abandoned project</t>
  </si>
  <si>
    <t>Piper PA-44 Seminole</t>
  </si>
  <si>
    <t>The Piper PA-44 Seminole is an American twin-engined light aircraft manufactured by Piper Aircraft.[2] The PA-44 is a development of the Piper Cherokee single-engined aircraft and is primarily used for multi-engined flight training.[2][3] The Seminole was built in 1979–1982, in 1989–1990, and has been in production since 1995. The first production Seminoles are equipped with two 180 hp (135 kW) Lycoming O-360-E1A6D engines. The right-hand engine is a Lycoming LO-360-E1A6D variant, which turns in the opposite direction to the left-hand engine. This feature eliminates the critical engine and makes the aircraft more controllable in the event that an engine needs to be shut down or fails.[4][5] The first prototype Seminole made its maiden flight in May 1976 and the type was publicly announced on February 21, 1978.[6] The Seminole was first certified on March 10, 1978, and introduced as a 1979 model year in late 1978. Gross weight is 3800 lbs (1723 kg).[5] Later production Seminoles were built with Lycoming O-360-A1H6 engines.[5] The PA-44-180T Turbo Seminole version was certified on November 29, 1979. It features two turbocharged 180 hp (135 kW) Lycoming TO-360-E1A6D engines, which offer a significant improvement in performance at high density altitude. The Turbo Seminole had its takeoff gross weight raised to 3925 lb (1780 kg), while the landing weight remained at 3800 lbs (1723 kg).[5] The PA-44 features a high T-tail similar to the T-tailed Arrow IV. The Seminole is visually similar to the Beechcraft Duchess.[3] Production of both versions of the Seminole was stopped in 1982, after 361 Seminoles and 87 Turbo Seminoles had been built. Production of the normally aspirated PA-44-180 restarted in 1988.[7] Changes were limited to modifications to the aircraft's electrical systems and instrumentation.[8] Production was stopped again in 1990 after 29 more aircraft had been delivered owing to Piper's financial problems.[9] Production restarted again in 1995.[10] The PA-44 is popular with air charter companies and flight schools, and is operated by private individuals and companies. Data from Jane's All the World's Aircraft 1982–83[6]General characteristics Performance  Related development Aircraft of comparable role, configuration, and era</t>
  </si>
  <si>
    <t>//upload.wikimedia.org/wikipedia/commons/thumb/b/b4/Piper-pa-44.jpg/300px-Piper-pa-44.jpg</t>
  </si>
  <si>
    <t>Training and personal aircraft</t>
  </si>
  <si>
    <t>https://en.wikipedia.org/Training and personal aircraft</t>
  </si>
  <si>
    <t>926 (until 2019)[1]</t>
  </si>
  <si>
    <t>27 ft 7+1⁄4 in (8.41 m)</t>
  </si>
  <si>
    <t>38 ft 7+1⁄4 in (11.77 m)</t>
  </si>
  <si>
    <t>8 ft 6 in (2.59 m)</t>
  </si>
  <si>
    <t>183.8 sq ft (17.08 m2)</t>
  </si>
  <si>
    <t>NACA 652-415[10]</t>
  </si>
  <si>
    <t>2,354 lb (1,068 kg)</t>
  </si>
  <si>
    <t>110 US gal (92 imp gal; 420 L), of which 2 US gal (1.7 imp gal; 7.6 L) are unusable</t>
  </si>
  <si>
    <t>2 × Lycoming O-360-E1A6 air-cooled flat four (counter rotating), 180 hp (130 kW)  each</t>
  </si>
  <si>
    <t>2-bladed Hartzell fully-feathering metal constant-speed propellers, 6 ft 2 in (1.88 m) diameter</t>
  </si>
  <si>
    <t>193 mph (311 km/h, 168 kn)</t>
  </si>
  <si>
    <t>187 mph (301 km/h, 162 kn) (75% power)</t>
  </si>
  <si>
    <t>17,100 ft (5,200 m)</t>
  </si>
  <si>
    <t>Piper Cherokee</t>
  </si>
  <si>
    <t>https://en.wikipedia.org/Piper Cherokee</t>
  </si>
  <si>
    <t>68 mph (109 km/h, 59 kn) (flaps down) CAS</t>
  </si>
  <si>
    <t>1,340 ft/min (6.8 m/s)</t>
  </si>
  <si>
    <t>1,053 mi (1,695 km, 915 nmi) (55% power)</t>
  </si>
  <si>
    <t>1979–present</t>
  </si>
  <si>
    <t>3,800 lb (1,724 kg)</t>
  </si>
  <si>
    <t>4,100 ft (1,200 m)</t>
  </si>
  <si>
    <t>1,400 ft (430 m)</t>
  </si>
  <si>
    <t>1,190 ft (360 m)</t>
  </si>
  <si>
    <t>PZL MD-12</t>
  </si>
  <si>
    <t>The MD-12 is a Polish four-engined short-range passenger and civil utility aircraft of the 1960s, which remained in a prototype stage. The PZL brand is conventional, since it did not enter production, and was referred to under its project designation only. The aircraft was development as a successor to the Lisunov Li-2 on short domestic routes for LOT Polish Airlines. The plane was designed by a design bureau led by Franciszek Misztal in the Aviation Institute (Instytut Lotnictwa). The first design work started in 1954 (under the designation FM-12, for 16 passengers).[1] The final design MD-12 appeared in 1956, after Leszek Dulęba had joined the team[1]  (the designations apparently came from Franciszek Misztal, then Misztal-Dulęba). Initially it was to be powered with two Soviet 615 hp Shvetsov ASh-21 engines, but because their production ceased, a four-engine configuration was chosen, with Polish 315 hp WN-3 engines.[2] In the end of 1957 the bureau was moved to the OKL centre (Ośrodek Konstrukcji Lotniczych – Aviation Designs' Centre), created in the WSK-Okęcie factory.[2] The first prototype flew first on 21 July 1959 (registration SP-PAL), the second prototype,  designated MD-12P (SP-PBD), and fitted with complete passenger cab, on 7 January 1961.[1] There was another airframe built for static trials in 1959.[2] The plane underwent state trials in 1961, and the second prototype was evaluated by LOT Airlines in August–September 1961. The passenger variant was evaluated as quite successful, being  easier to fly, than the Ilyushin Il-14 and more economical, but it was not produced because LOT found it unprofitable to order special planes for domestic routes. The small production that would result would increase costs. Instead, less modern airliners were switched from international to domestic routes.[3] It was next decided to build an aerial photography variant MD-12F. It was fitted with several cameras and other equipment, including a darkroom.[1] The fuselage nose was glazed, with a navigator post. Span increased to 23.6 m by adding longer wingtips. Also fuel tanks were increased to 1160 litres in order to enhance endurance to 10 hours.[2] The MD-12F flew first on 21 July 1962 (apparently dates of MD-12 prototypes' flights were adjusted to add splendour to communist Poland's national day, 22 July). It carried the registration SP-PBL. The aerial photography variant was successful and countries, like the USSR, Hungary, Romania and Pakistan were interested in it, but its development was abandoned after a crash of the first MD-12 prototype on 17 September 1963 near Grójec.[1] The plane crashed due to flutter of tail control surfaces and a crew of 5 were killed.[1] The prototype MD-12P (SP-PBD) was evaluated by the LOT Polish Airlines in August–September 1961, on Warsaw-Rzeszów route, carrying over 1700 passengers.[3] It was also used in 1961 and 1962 on Warsaw-Poznań route, taking trips to Poznań International Fair.[1] The MD-12 was a four-engined low-wing cantilever monoplane of all-metal construction, duralumin-covered. The fuselage was a semi-monocoque. The crew cockpit in front with a crew of two pilots. Passenger cab with 20 seats, three in a row.[2] In the rear there was a toilet. Fuselage had doors in front part. In a fuselage nose there was a baggage space for 200 kg.[2] Trapezoid three-part wing.[2] Single tailfin. Engine nacelles in wings. Two-blade wooden propellers WR-1A of a variable pitch, 2.2 m diameter (powerplants were adapted from the TS-8 Bies trainer).[2] Retractable tricycle landing gear – main gear with single wheels retractable to inner engine nacelles.[2] Fuel tanks 1160 L in wings (cruise fuel consumption 240 L/h).[2] The MD-12F is preserved in the Polish Aviation Museum in Kraków, from 1967. Data from Jane's All The World's Aircraft 1965–66[4]General characteristics Performance  Aircraft of comparable role, configuration, and era</t>
  </si>
  <si>
    <t>//upload.wikimedia.org/wikipedia/commons/thumb/c/c0/MD12P.jpg/300px-MD12P.jpg</t>
  </si>
  <si>
    <t>Passenger aircraft</t>
  </si>
  <si>
    <t>https://en.wikipedia.org/Passenger aircraft</t>
  </si>
  <si>
    <t>WSK-Okęcie</t>
  </si>
  <si>
    <t>https://en.wikipedia.org/WSK-Okęcie</t>
  </si>
  <si>
    <t>15.8 m (51 ft 10 in)</t>
  </si>
  <si>
    <t>23.60 m (77 ft 5 in) [2]</t>
  </si>
  <si>
    <t>5.95 m (19 ft 6 in)</t>
  </si>
  <si>
    <t>57.0 m2 (614 sq ft)</t>
  </si>
  <si>
    <t>NACA 23015 at root, NACA 23009 at tip</t>
  </si>
  <si>
    <t>5,025 kg (11,078 lb)</t>
  </si>
  <si>
    <t>370 km/h (230 mph, 200 kn)</t>
  </si>
  <si>
    <t>https://en.wikipedia.org/1961</t>
  </si>
  <si>
    <t>1965 (MD-12P)1967 (MD-12F)</t>
  </si>
  <si>
    <t>https://en.wikipedia.org/1965 (MD-12P)1967 (MD-12F)</t>
  </si>
  <si>
    <t>20 passengers</t>
  </si>
  <si>
    <t>1,600 L (420 US gal; 350 imp gal)</t>
  </si>
  <si>
    <t>4 × WN-3 air-cooled 7-cylinder radial engines, 250 kW (330 hp)  each</t>
  </si>
  <si>
    <t>2-bladed WR-1A constant-speed propellers, 2.20 m (7 ft 3 in) diameter</t>
  </si>
  <si>
    <t>280 km/h (170 mph, 150 kn) (max cruise)</t>
  </si>
  <si>
    <t>5,200 m (17,100 ft)</t>
  </si>
  <si>
    <t>5.8 m/s (1,140 ft/min)</t>
  </si>
  <si>
    <t>2,100 km (1,300 mi, 1,100 nmi)</t>
  </si>
  <si>
    <t>7,000 kg (15,432 lb)</t>
  </si>
  <si>
    <t>650 m (2,133 ft)</t>
  </si>
  <si>
    <t>500 m (1,640 ft)</t>
  </si>
  <si>
    <t>Aero A.200</t>
  </si>
  <si>
    <t>The Aero A.200 was a sportsplane of Czechoslovakia, designed and built specifically to compete in Challenge 1934, the European touring plane championships. It was a four-seater low-wing  monoplane. Flown in competition by Ján Ambruš, the A.200 took fourth place, beaten by the RWD-9 (that took both first and second places for Poland) and the Fieseler Fi 97 (from Germany). The other A.200, flown by Vojtěch Žaček, took the 14th place for 34 competitors. They carried registrations OK-AMA and OK-AMB. In a technical evaluation, A.200s scored the 4th result from among aircraft types taking part in the Challenge. They had the best short take-off capabilities in the contest – A.200s needed 74.5-77.6 m to take off and fly over 8-m high gate, although they needed some 118 m to land from above the gate. Mixed construction low-wing monoplane, braced with wire. Fuselage of a steel frame, covered with wood and canvas, elliptical in cross-section. Rectangular wings of wooden construction, canvas covered, fitted with all-span slats and with flaps. Wings were folding rearwards. Cab had two seats side by side in front, with twin controls, and two seats in the rear, under a common multi-part canopy. Fixed landing gear with a rear skid. Radial engine in fuselage nose, with NACA cowling. Two-blade propeller. General characteristics Performance   Aircraft of comparable role, configuration, and era</t>
  </si>
  <si>
    <t>//upload.wikimedia.org/wikipedia/commons/thumb/5/57/Aero_A.200_photo_L%27Aerophile_October_1934.jpg/300px-Aero_A.200_photo_L%27Aerophile_October_1934.jpg</t>
  </si>
  <si>
    <t>Aero Vodochody</t>
  </si>
  <si>
    <t>https://en.wikipedia.org/Aero Vodochody</t>
  </si>
  <si>
    <t>7.80 m (25 ft 7 in)</t>
  </si>
  <si>
    <t>11.10 m (36 ft 5 in)</t>
  </si>
  <si>
    <t>2.55 m (8 ft 4 in)</t>
  </si>
  <si>
    <t>16.6 m2 (179 sq ft)</t>
  </si>
  <si>
    <t>950 kg (2,094 lb)</t>
  </si>
  <si>
    <t>57.2 kg/m2 (11.7 lb/sq ft)</t>
  </si>
  <si>
    <t>2 or 3 passengers</t>
  </si>
  <si>
    <t>1 × Walter Bora 9-cyl. air-cooled radial piston engine, 160 kW (220 hp)</t>
  </si>
  <si>
    <t>255 km/h (158 mph, 138 kn)</t>
  </si>
  <si>
    <t>6,300 m (20,700 ft)</t>
  </si>
  <si>
    <t>0.17 kW/kg (0.11 hp/lb)</t>
  </si>
  <si>
    <t>55 km/h (34 mph, 30 kn)</t>
  </si>
  <si>
    <t>Avro 500</t>
  </si>
  <si>
    <t>The Avro Type E, Type 500, and Type 502 made up a family of early British military aircraft, regarded by Alliott Verdon Roe as his firm's first truly successful design. It was a forerunner of the Avro 504, one of the outstanding aircraft of the First World War. The Type E biplane was designed in parallel with the slightly earlier Avro Duigan, differing principally in being slightly larger and having a more powerful (60 horsepower (45 kW)) water-cooled E.N.V. engine. Both were two-bay tractor biplanes with unstaggered parallel-chord wings with rounded tips, a deep rectangular section fuselage bearing rectangular steel-framed stabilisers, elevators and rudder with no fixed fin, and an undercarriage with a pair of wheels on a transverse leaf-spring and a long central skid projecting forward of the propeller. This aircraft layout dominated aircraft design for twenty years: the Avro 500 and the contemporary B.E.1 are among the first truly practical examples built. The Avro Duigan was single seat tractor biplane built by A.V. Roe for the pioneer Australian aviator John Robertson Duigan in 1911. Roe's first biplane design, the Avro Type D had first flown in April 1911.  The Avro Duigan was a major refinement of this fundamentally successful aircraft. It had a square rather than triangular cross section fuselage, simplifying construction and allowing the crew seats to be lower down, giving more protection. The wings were supported using an aerodynamically cleaner ordinary two-bay layout, replacing the two and a half bay arrangement of its predecessor, which had a third pair of interplane struts close to the fuselage. The undercarriage was simpler, a  V-strut below the wing leading edge bearing a leaf-spring axle whose wheels had the refinement of covered spokes, and under this a single long skid supported by a second V-strut below the trailing edge and a single strut from the extreme nose of the aircraft.  The tailplane  was  steel framed, with a rectangular fixed stabiliser and elevator and rudder. Other details were as previous aircraft.[1] The fuselage was constructed of wire-braced ash metal covered forward of the cockpits. The observer sat in front with the pilot sitting behind the cut away trailing edge, an arrangement which positioned the front cockpit close to the centre of gravity of the aircraft and allowed it to be flown without a passenger with no change its balance. The wire-braced high aspect ratio two-bay wings had ash spars and poplar ribs with the curved ends formed from cane. Lateral control was by wing warping.  A sprung tailskid was mounted below the rudder and small hoops were fitted below the outer interplane struts to protect the wingtips. The aircraft had dual controls and was fitted with small "Cellon" window to improve downward vision. The aircraft was initially powered by a 40 hp (30 kW)[2] two-cylinder horizontally opposed Alvaston but soon replaced by a 35 hp (26 kW) E.N.V. V-8 motor.[3] Both were water-cooled engines, with pairs of large coiled tube radiators positioned parallel to the fuselage on either side of the front cockpit. Trials with the Alvaston engine at Huntingdon race course were not successful, the aircraft barely lifting off. On his return to Brooklands, the E.N.V. motor was fitted and on 10 March 1912 Duigan, flying solo managed some long, straight flights in his too-evidently underpowered machine. Some intensive engine tuning, together with a new propeller resulted in more success that April, with solo circuits, figures of eight, and an hour-long series of circuits at about 500 ft (150 m). Nonetheless, Duigan won his Aviator's Certificate and returned to Australia. His aircraft, without its engine, was sold to the Lakes Aircraft Co. who rebuilt it as the Lakes Sea Bird floatplane in October 1912, powered by a 50 h (37 kW ) Gnome engine. In this form, it performed well. The slightly larger Avro 500, powered by a 60 hp (45 kW) E.N.V. was the first Avro aircraft type to be built in any quantity. Data from Avro Aircraft since 1908[4]General characteristics Performance The aircraft was first flown on 3 March 1912 by Wilfred Parke,[5] and while top speed and rate of climb did not meet expectations, the aircraft excelled in every other way.  However, its performance was not up to Roe's expectations, and a second example was built, modified to take the much lighter 50 hp (37 kW) Gnome air-cooled rotary engine.  This first flew on 8 May 1912, and a height of 2,000 ft (610 m) was reached in five minutes.[6] The next day the aircraft was flown from Brooklands to Laffan's Plain, covering the 17 miles (28 km) in 20 minutes. The same day it demonstrated its ability to meet the requirements laid down by the War Office in the requirements for a "Military Aircraft" that had been published in connection with the forthcoming Military Aeroplane Competition, and the authorities were impressed enough to buy the aircraft and placed an order for two more examples of the aircraft, which Roe now renamed the Avro 500. The type proved an immediate success in service, and orders for another four machines plus five single-seat derivatives (designated the  Type 502 by Avro) soon followed. Other examples produced included six for the British Admiralty's Air Department, one presented to the government of Portugal (paid for by public subscription), one kept by Avro as a company demonstrator, and one bought by a private individual, J. Laurence Hall, which was commandeered by the War Office at the outbreak of World War I). The first prototype was destroyed in a crash on 29 June 1913 that killed its student pilot. Avro 500s were flown by the British armed forces during the first years of the war, mostly as trainers. In service, most were fitted with ailerons and a revised rudder. Data from Avro Aircraft since 1909[7]General characteristics Performance</t>
  </si>
  <si>
    <t>//upload.wikimedia.org/wikipedia/commons/thumb/6/6d/Avro_Duigan.jpg/300px-Avro_Duigan.jpg</t>
  </si>
  <si>
    <t>2 seat biplane</t>
  </si>
  <si>
    <t>A.V Roe &amp; Co</t>
  </si>
  <si>
    <t>A.V. Roe</t>
  </si>
  <si>
    <t>https://en.wikipedia.org/A.V. Roe</t>
  </si>
  <si>
    <t>36 ft 0 in (10.97 m)</t>
  </si>
  <si>
    <t>9 ft 9 in (2.97 m)</t>
  </si>
  <si>
    <t>330 sq ft (30.7 m2)</t>
  </si>
  <si>
    <t>900 lb (409 kg)</t>
  </si>
  <si>
    <t>1,300 lb (590 kg)</t>
  </si>
  <si>
    <t>one seat for observer, instructor, or passenger</t>
  </si>
  <si>
    <t>1 × Gnome rotary , 50 hp (37 kW)</t>
  </si>
  <si>
    <t>2-bladed Avro fixed-pitch propeller</t>
  </si>
  <si>
    <t>61 mph (98 km/h, 53 kn)</t>
  </si>
  <si>
    <t>440 ft/min (2.2 m/s)</t>
  </si>
  <si>
    <t>6 hours</t>
  </si>
  <si>
    <t>Sack AS-6</t>
  </si>
  <si>
    <t>The Sack AS-6 was a German prototype circular-winged aircraft built privately during the Second World War.[1][2] In July 1938, local farmer Arthur Sack entered his AS-1 circular-winged model in the first Reich-Wide Contest for Motorized Flying Models, which was held at Leipzig.[3]  The model had poor flight characteristics and had to be hand launched.  However, Ernst Udet showed interest in Sack's design, and encouraged him to continue his research into circular wing aircraft for possible use as an observation or attack aircraft.[2][3] Sack went on to built four additional models based on the AS-1, with each increasing in size, before building the full-sized prototype as the AS-6 V1.[2]  The AS-6 V1 was built in January 1944 by Mitteldeutsche Motorwerke, with final assembly at the Flugplatz-Werkstatt workshop located at the air base in Brandis, Germany.[4]  The aircraft was built with the landing gear, cockpit, and pilot seat from a Messerschmitt Bf 109B, and was powered by an Argus As 10C-3 engine from a Messerschmitt Bf 108 Taifun.  The wing structure was made of plywood.[2] Testing of the AS-6 V1 began in February 1944, with test pilot Rolf Baltabol in the cockpit.  During taxi tests, it was found that the tail needed extensive modifications in order to handle the 240 hp of the As 10C-3 engine.[5]  Five flight attempts were conducted on the Brandis air base's 1,250 m (4,100 ft) runway, but the aircraft failed to achieve flight.  Defects were found in the aircraft's control surfaces.  On its fifth attempt, both brakes failed, resulting in structural damage to the aircraft.[5] The prototype was subsequently repaired and two more flight attempts were made, but once again it would not lift off.[5]  Sack blamed the problem of insufficient angle of attack, but Baltabol believed it to be lack of power, and suggested that the AS-6 be fitted with a 2,000 hp Daimler-Benz DB 605 engine from a Bf 109.  Sack, convinced it was the angle of attack that was the problem, relocated the landing gear eight inches aft.[5]  This, too, was insufficient, and some sources claim that the landing gear was relocated a further 16 inches aft, but this is unlikely.[5]  The aircraft was reported to have been fitted with better brakes from a Junkers Ju 88 and have had further modifications to the tail.  An additional 70 kg (154 lb) of metal ballast was added.[5] On April 16, 1944, the modified AS-6 V1 attempted another flight.  The aircraft made a brief hop, but yet again it was unable to achieve flight.[5]  Another attempt was made with similar results, but during the short hop it was found that the torque from the As 10C-3 caused stability problems.  One more attempt was made, but stability problems resulted in one of the landing gear legs collapsing.  After this, Baltabol lost interest in the project, telling Sack that his AS-6 was dangerous and to stop flight testing until after wind tunnel testing and necessary modifications could be made.[5]  Sack subsequently went back to the drawing board and made further modifications to the aircraft.[2] In the summer of 1944, Jagdgeschwader 400 relocated to Brandis, flying the new Messerschmitt Me 163B Komet.[4]  Confident that the new Me 163 pilots were more experienced than the pilots previously available to him, Sack asked for a new test pilot for his modified AS-6.  The aircraft, nicknamed Bussard (Buzzard) by the JG 400 pilots, made one final flight attempt, this time with Oberleutnant Franz Roszle at the controls.  Once again, the aircraft made only a short hop, resulting in a collapsed landing gear leg.[4]  Roszle suggested that Sack send his design to Messerschmitt for proper development, but Sack refused.  Nevertheless, Messerschmitt got word of Sack's aircraft and proposed to build an improved version, the AS-7, as the Me 600.[4] The AS-6 was damaged in a strafing run before Sack had a chance to make further improvements, and the aircraft was likely scrapped soon afterward.  By the time US troops arrived at Brandis in April 1945, no traces of the AS-6 were left.[4] The Sack AS-6 is commonly associated with the Nazi UFOs conspiracy theory.[3] Data from [4]General characteristics Performance  Aircraft of comparable role, configuration, and era</t>
  </si>
  <si>
    <t>//upload.wikimedia.org/wikipedia/commons/thumb/7/75/KN_Sack_AS6_1944.jpg/300px-KN_Sack_AS6_1944.jpg</t>
  </si>
  <si>
    <t>Mitteldeutsche Motorwerke/Flugplatz-Werkstatt</t>
  </si>
  <si>
    <t>https://en.wikipedia.org/Mitteldeutsche Motorwerke/Flugplatz-Werkstatt</t>
  </si>
  <si>
    <t>Arthur Sack</t>
  </si>
  <si>
    <t>{'AS-1 through AS-5': 'velopment models, each increasing in size.', 'AS-6 V1': 'll-sized prototype, one built.', 'AS-7': 'oposed enlarged version to be powered by a 2,000 hp DB 605 engine and armed with six MK 108 cannons mounted in the wings.  None built.', 'Me 600': 'oposed Messerschmitt production of the AS-7.  Not built.'}</t>
  </si>
  <si>
    <t>19.62 m2 (211.2 sq ft)</t>
  </si>
  <si>
    <t>45.87 kg/m2 (9.39 lb/sq ft)</t>
  </si>
  <si>
    <t>1 × Argus As 10C-3 inverted V8 engine, 180 kW (240 hp)</t>
  </si>
  <si>
    <t>2-bladed, 2.5 m (8 ft 2 in) diameter</t>
  </si>
  <si>
    <t>Abandoned</t>
  </si>
  <si>
    <t>900 kg (1,984 lb)</t>
  </si>
  <si>
    <t>HAL HPT-32 Deepak</t>
  </si>
  <si>
    <t>The HAL HPT-32 Deepak ("lamp" in Sanskrit) is an Indian prop-driven primary trainer manufactured by Hindustan Aeronautics Limited. It has two seats in side-by-side configuration. The Deepak is used for primary training, observation, liaison and target towing. When it flies upside-down fuel flows from a collector tank in the fuselage and the inverted flight is limited to 1 min. Deepak has a theoretical glide ratio of 8.5:1. The IAF and HAL are looking into new safety systems such as Ballistic Recovery Systems to enable it to descend safely in the event of an engine failure. On 16 May 2010 the IAF cleared the installation of a parachute recovery system.[2] The HPT-32 aircraft has been replaced by the Pilatus PC-7 Mk II in the IAF, as its workhorse as a Basic Trainer Aircraft (BTA) in 2013. In 17 Deepak crashes so far, 19 pilots have died.[3] The Comptroller and Auditor General (CAG) of India has been reported as saying the aircraft is "technologically outdated and beset by flight safety hazards" when discussing the grounding of the fleet in 2009[4] Data from Jane's Aircraft Recognition Guide  [6]General characteristics  Performance  Armament Four hardpoints; 255 kg warload; machine gun pods; bombs; rockets</t>
  </si>
  <si>
    <t>//upload.wikimedia.org/wikipedia/commons/thumb/1/17/HAL_Deepak.jpg/300px-HAL_Deepak.jpg</t>
  </si>
  <si>
    <t>Hindustan Aeronautics Limited</t>
  </si>
  <si>
    <t>https://en.wikipedia.org/Hindustan Aeronautics Limited</t>
  </si>
  <si>
    <t>6 January 1977[1]</t>
  </si>
  <si>
    <t>25 ft 4 in (7.7 m)</t>
  </si>
  <si>
    <t>31 ft 2 in (9.5 m)</t>
  </si>
  <si>
    <t>9 ft 7 in (2.9 m)</t>
  </si>
  <si>
    <t>15.0 m² (162 ft² [7])</t>
  </si>
  <si>
    <t>2,280 lb (1,034 kg)</t>
  </si>
  <si>
    <t>1× Lycoming AEO-540-D4B5 piston engine, 260 hp (194 kW)</t>
  </si>
  <si>
    <t>175 mph (281 km/h)</t>
  </si>
  <si>
    <t>Indian Air Force</t>
  </si>
  <si>
    <t>https://en.wikipedia.org/Indian Air Force</t>
  </si>
  <si>
    <t>755 nm (1,400 km)</t>
  </si>
  <si>
    <t>2,915 lb (1,322 kg)</t>
  </si>
  <si>
    <t>Phönix D.I</t>
  </si>
  <si>
    <t>The Phönix D.I, with the D.II and D.III variants, was an Austro-Hungarian First World War biplane fighter built by the Phönix Flugzeug-Werke and based on the Hansa-Brandenburg D.I. The Phönix D.I was the second design developed by the Phönix Flugzeug-Werke based on Hansa-Brandenburg D.I design which it has produced under licence.[1] The D.I was a single-seat biplane fighter with improvements over the original Hansa-Brandenburg design which included more efficient wings, a more powerful engine and structural improvements.[1] A prototype was first flown in 1917 and proved to be fast but difficult to handle but because of the urgent need for fighters the D.I entered production. To improve the problems a modified variant, the D.II was introduced with balanced elevators and balanced ailerons on the upper wings. A further development was the D.III which had balanced ailerons on both wings and a more powerful 230 hp (170 kW) Hiero 6 in-line engine. The last of 158 aircraft of all three types was delivered on 4 November 1918.[2] Army D.I's entered service in December 1917. It was used as an escort fighter by Fliks 4/D, 15/D, 17/D, 48/D, 54/D and 66/D. (D-Fliks were small general-purpose units, capable of short-range reconnaissance, bombing, defense and artillery-spotting duties, consisting of 4-5 aircraft, both single-seat fighters and twin-seat observation/light bomber types.) It was used as a fighter in Fliks 14/J, 30/J, 60/J, 61/J and 63/J. (J-Fliks - J for "Jagd", i.e. Hunting - were fighter units, having an official complement of 18 aircraft, something that very few had in practice.) It was favorably received by pilots, not least by those that were used to flying twin-seaters who found it stable, robust and easy to fly. One complaint however, was that the D.I was "almost too stable for quick combat maneuvers". Some were equipped with cameras and thus converted to dedicated reconnaissance machines.[2] Several Austro-Hungarian aces used this aircraft, among them Kurt Gruber, Roman Schmidt, Karl Teichmann, Godwin Brumowski, Benno Fiala Ritter von Fernbrugg, Franz Gräser, Karl Nikitsch, Frank Linke-Crawford and József Kiss - who was killed while flying a D.II on May 24, 1918.[3] Data from Austro-Hungarian Army Aircraft of World War One[2] Data from [4]General characteristics Performance Armament</t>
  </si>
  <si>
    <t>//upload.wikimedia.org/wikipedia/commons/thumb/4/40/Ph%C3%B6nix_D.I.jpg/300px-Ph%C3%B6nix_D.I.jpg</t>
  </si>
  <si>
    <t>Biplane fighter</t>
  </si>
  <si>
    <t>https://en.wikipedia.org/Biplane fighter</t>
  </si>
  <si>
    <t>Austria-Hungary</t>
  </si>
  <si>
    <t>Phönix Flugzeug-Werke [de]</t>
  </si>
  <si>
    <t>https://en.wikipedia.org/Phönix Flugzeug-Werke [de]</t>
  </si>
  <si>
    <t>{'20.15': 'ototype for D.I', '20.16': 'ototype for D.I', '20.18': 'ototype for D.II', 'D.I': 'eries 128, 228, 328) Initial production variant with a 200hp (149kW) Hiero inline engine.[1]', 'D.II': 'eries 122, 222, 322) Improved variant with balanced elevators and balanced ailerons on the upper wings.[1]', 'D.IIa': '', 'D.III': 'eries 222.100) Improved variant with balanced ailerons on both wings and powered by a 230\xa0hp (170\xa0kW) Hiero 6 in-line engine.[1]', 'J.1': 'edish Air Force designation for the D.III fighters purchased in 1920.'}</t>
  </si>
  <si>
    <t>6.65 m (21 ft 10 in)</t>
  </si>
  <si>
    <t>2.8 m (9 ft 2 in)</t>
  </si>
  <si>
    <t>805 kg (1,775 lb)</t>
  </si>
  <si>
    <t>1 × Hiero 6 six-cylinder water-cooled in-line piston engine, 150 kW (200 hp)</t>
  </si>
  <si>
    <t>2-bladed wooden fixed-pitch propeller</t>
  </si>
  <si>
    <t>KuKLFT</t>
  </si>
  <si>
    <t>https://en.wikipedia.org/KuKLFT</t>
  </si>
  <si>
    <t>2 x Synchronised fixed forward-firing 8 mm (0.315 in) Schwarzlose machine guns</t>
  </si>
  <si>
    <t>Aero Boero AB-150</t>
  </si>
  <si>
    <t>The Aero Boero AB-150 is an Argentine civil utility aircraft, developed in parallel with the AB-180 as a lower-cost, lower-powered version of that aircraft. Like the 180, it was produced by Aero Boero in long-range and agricultural variants.[1] Data from Jane's All The World's Aircraft 1982–83[2]General characteristics Performance Related development:   This article on an aircraft of the 1960s is a stub. You can help Wikipedia by expanding it.</t>
  </si>
  <si>
    <t>Utility</t>
  </si>
  <si>
    <t>Argentine</t>
  </si>
  <si>
    <t>https://en.wikipedia.org/Argentine</t>
  </si>
  <si>
    <t>Aero Boero</t>
  </si>
  <si>
    <t>https://en.wikipedia.org/Aero Boero</t>
  </si>
  <si>
    <t>5 (AB-150Ag only)</t>
  </si>
  <si>
    <t>{'AB-150 Ag': 'At least five built', 'AB-150 RV': 'Orders for the AB-150RV were transferred to the '}</t>
  </si>
  <si>
    <t>7.27 m (23 ft 10 in)</t>
  </si>
  <si>
    <t>10.72 m (35 ft 2 in)</t>
  </si>
  <si>
    <t>2.10 m (6 ft 11 in)</t>
  </si>
  <si>
    <t>16.47 m2 (177.3 sq ft)</t>
  </si>
  <si>
    <t>NACA 23012 (modified)</t>
  </si>
  <si>
    <t>590 kg (1,301 lb)</t>
  </si>
  <si>
    <t>228 km/h (142 mph, 123 kn)</t>
  </si>
  <si>
    <t>134 Litres</t>
  </si>
  <si>
    <t>1 × Lycoming O-320-A2B air-cooled flat-four engine, 112 kW (150 hp)</t>
  </si>
  <si>
    <t>152 km/h (94 mph, 82 kn) (econ cruise)</t>
  </si>
  <si>
    <t>1,001 kg (2,207 lb)</t>
  </si>
  <si>
    <t>Scheibe Falke</t>
  </si>
  <si>
    <t>The Scheibe SF-25 Falke (English: Falcon) is a German touring motor glider developed from the earlier Bergfalke glider by Scheibe Flugzeugbau. Since May 2006 the business has been run by Scheibe Aircraft GmbH. The company had produced the Motor Spatz but decided to produce a better light aircraft based on the Bergfalke glider. It had a new forward fuselage with an enclosed cockpit with two side-by-side seats and originally a Hirth F10A2a engine in the nose. It first flew in May 1963 as the SF-25A Motor Falke. After an initial batch of aircraft the wing was lowered and it was renamed as just the SF-25B Falke. A number of variants were built with various engines and the type was licence built by Sportavia-Putzer, Aeronautica Umbra (Italy), Loravia (France) and Slingsby (United Kingdom). The current model is the SF 25C. It is currently available with a choice of three engines: the Rotax 912 80 hp, the Rotax 912S (100 hp) and the Rotax 914F3 (115 hp). Data from [1] [2]General characteristics Performance      Byron Bay gliding club (Australia) have re-engined using a Jabiru 2200. "We get a sound 500 ft/min climb rate measured with a logger and this aircraft will take an honest 190kg pay load with 1 hour of fuel"[3]</t>
  </si>
  <si>
    <t>//upload.wikimedia.org/wikipedia/commons/thumb/e/e5/Scheibe_SF_25_B_D-KAGR_03.jpg/300px-Scheibe_SF_25_B_D-KAGR_03.jpg</t>
  </si>
  <si>
    <t>Motor Glider</t>
  </si>
  <si>
    <t>Scheibe Aircraft GmbH</t>
  </si>
  <si>
    <t>https://en.wikipedia.org/Scheibe Aircraft GmbH</t>
  </si>
  <si>
    <t>1,200+ by October 1998</t>
  </si>
  <si>
    <t>{'SF-25A Motor Falke': 'rst production batch with a Hirth F10A2a engine, 56 built.', 'SF-25B Falke': 'proved variant with lower wing position and a 45hp Stark Stamo engine, 372 built.', 'SF-25C Falke': 'me as a SF-25B but with an alternator and electric starter.  Sub-variants include:Falke 170049 kW (65 hp) Limbach 1700 EA 1 IA, driving propeller at 3,450 rpm;Falke 200060 kW (80 hp) Limbach 2000 EA, driving propeller at 3,450 rpm (about 512 Limbach powered Falkes built by 1998);Rotax Falke(a) 60 kW (80 hp) Rotax 912 A running at 5,800 rpm and geared down to 2,500 rpm propeller speed; tricycle gear an option (about 130 Rotax powered Falkes built by 1998), or(b) 75 kW (100 hp) Rotax 912S at 5,800 rpm and geared down to 2,500 rpm propeller speed, or(c) 85 kW (115 hp) Rotax 914F3 at 5,800 rpm and geared down to 2,500 rpm propeller speed with 5 minute time limit; 75 kW (100 hp) continuous.Falke 100PSGlider tug.SF-25CS FalkeA SF-25C with a feathering propeller; feathering was an option with the Falke 1700, 2000, and Rotax Falke.', 'Falke 1700': ' kW (65 hp) Limbach 1700 EA 1 IA, driving propeller at 3,450 rpm;', 'Falke 2000': ' kW (80 hp) Limbach 2000 EA, driving propeller at 3,450 rpm (about 512 Limbach powered Falkes built by 1998);', 'Rotax Falke': ') 60 kW (80 hp) Rotax 912 A running at 5,800 rpm and geared down to 2,500 rpm propeller speed; tricycle gear an option (about 130 Rotax powered Falkes built by 1998), or(b) 75 kW (100 hp) Rotax 912S at 5,800 rpm and geared down to 2,500 rpm propeller speed, or(c) 85 kW (115 hp) Rotax 914F3 at 5,800 rpm and geared down to 2,500 rpm propeller speed with 5 minute time limit; 75 kW (100 hp) continuous.', 'Falke 100PS': 'ider tug.', 'SF-25CS Falke': 'SF-25C with a feathering propeller; feathering was an option with the Falke 1700, 2000, and Rotax Falke.', 'SF-25D Falke': '-25B converted with a Limbach 1700A engine.', 'SF-25E Super Falke': 'SF-25CS with extended wing, a narrow-chord vertical tail. air brakes and a raised bubble canopy, first flown in 1974.', 'SF-25K K-Falke': 'SF-25C with folding wings and large canopy.', 'Slinsgby T61 Falke/Slingsby Venture': 'cence built variant of the SF-25B, 76 built'}</t>
  </si>
  <si>
    <t>7.60 m (24 ft 11 in)</t>
  </si>
  <si>
    <t>15.30 m (50 ft 2 in)</t>
  </si>
  <si>
    <t>1.68 m (5 ft 6 in) tailwheel undercarriage</t>
  </si>
  <si>
    <t>18.20 m2 (195.9 sq ft)</t>
  </si>
  <si>
    <t>435 kg (959 lb)</t>
  </si>
  <si>
    <t>23-24</t>
  </si>
  <si>
    <t>1.0 m/s (200 ft/min) minimum</t>
  </si>
  <si>
    <t>55 L (14.5 UG gal, 12.0 Imp gal) standard</t>
  </si>
  <si>
    <t>1 × Rotax 912 A flat-4, air-cooled with water-cooled cylinder heads, 48 kW (65 hp)</t>
  </si>
  <si>
    <t>180 km/h (110 mph, 97 kn) maximum</t>
  </si>
  <si>
    <t>4,580 m (15,030 ft) (more than)</t>
  </si>
  <si>
    <t>Scheibe Bergfalke</t>
  </si>
  <si>
    <t>65 km/h (40 mph, 35 kn)</t>
  </si>
  <si>
    <t>Aerion SBJ</t>
  </si>
  <si>
    <t>The Aerion SBJ was a supersonic business jet project designed by American firm Aerion Corporation. Unveiled in 2004, the designer sought a joint venture with a business aircraft manufacturer before a $1.2–1.4 billion development in 7–8 years. Aerion received 50 letters-of-intent before enlarging the design as the Aerion AS2 in 2014. Powered by two Pratt &amp; Whitney JT8D-219 engines, the $80 million aircraft was to transport 8–12 passengers up to Mach 1.6 and up to 4,000 nmi (7,400 km). Aerion abruptly announced on May 21, 2021 that it will be shutting down due to inability to raise capital.[1] In 2003, Aerion commenced a search for a large aerospace partner, including Bombardier Aerospace and Dassault Aviation.[2] The SBJ project was unveiled at the 2004 NBAA convention, backed by US billionaire Robert Bass, with introduction targeted at 2011 for a $1.2–1.4 billion development cost, anticipating a 250–300 aircraft civil market over 10 years. Aerion then planned wind tunnel testing in the second half of 2005, before partnerships and detailed design.[3] Global Express lead designer John Holding joined Aerion in 2008 to lead advanced design.[2] Each customer put a $250,000 deposit.[4] By 2010, the company claimed 50 letters-of-intent.[5] By then, Aerion sought a joint venture with a business aircraft manufacturer for deliveries five to six years later.[6] In March 2012, UK-based Indigo Lyon joined Swiss ExecuJet Aviation Group as sales agents outside North America.[7] By October 2013, the company expected flight testing to begin in 2019, to reach market in 2021.[8] Aerion believes that their design will find a market, despite the US ban on supersonic flight, whereas Gulfstream views the ban as prohibitive.[9]  In 2014, the design was updated as the Aerion AS2, with length and takeoff weight increased to accommodate customer requests.[10] The $80 million aircraft would transport 8–12 passengers up to Mach 1.6 and up to 4,000 nmi (7,400 km). It would have a conventional aluminium fuselage and a composite supersonic natural laminar flow wing, with existing Pratt &amp; Whitney JT8D-219 engine for a 40,800 kg (90,000 lb) gross-weight.[3] When necessary, it could also cruise efficiently just below the speed of sound at Mach .95-.99.[11] If produced, it would allow practical non-stop travel from Europe to North America and back within one business day. The Aerion SBJ's key enabling technology, supersonic natural Laminar flow, has been conclusively demonstrated in transonic wind tunnel tests and in supersonic flight tests conducted in conjunction with NASA. In the summer of 2010, an Aerion-designed calibration fixture was tested aboard a NASA F-15B.[12] The experiments were intended to influence future laminar flow airfoil manufacturing standards for surface quality and assembly tolerances.[13][14][15][16] A second test surface was flown during the first half of 2013, its design guided by the 2010 test.[17] The new test surface was designed to provide large extents of laminar flow and be shaped so boundary layer instabilities grow relatively slowly and smoothly. These characteristics should facilitate good boundary layer imaging of the roughness and step-height experiments performed in next phase. Data from Aerion[18]General characteristics Performance Related development Aircraft of comparable role, configuration, and era  Related lists</t>
  </si>
  <si>
    <t>//upload.wikimedia.org/wikipedia/en/thumb/0/0a/Aerion_SBJ.jpg/300px-Aerion_SBJ.jpg</t>
  </si>
  <si>
    <t>Aerion Corporation</t>
  </si>
  <si>
    <t>https://en.wikipedia.org/Aerion Corporation</t>
  </si>
  <si>
    <t>148.3 ft (45.2 m)</t>
  </si>
  <si>
    <t>64.2 ft (19.6 m)</t>
  </si>
  <si>
    <t>23.3 ft (7.1 m)</t>
  </si>
  <si>
    <t>1,200 sq ft (110 m2)</t>
  </si>
  <si>
    <t>45,100 lb (20,457 kg)</t>
  </si>
  <si>
    <t>75 lb/sq ft (370 kg/m2)</t>
  </si>
  <si>
    <t>up to 12 passengers</t>
  </si>
  <si>
    <t>2 × P&amp;W JT8D-200 series turbofan, 19,600 lbf (87 kN) thrust each</t>
  </si>
  <si>
    <t>Mach 1.6</t>
  </si>
  <si>
    <t>51,000 ft (16,000 m)</t>
  </si>
  <si>
    <t>4,800 mi (7,800 km, 4,200 nmi) at Mach 1.4</t>
  </si>
  <si>
    <t>cancelled</t>
  </si>
  <si>
    <t>90,000 lb (40,823 kg)</t>
  </si>
  <si>
    <t>Aerion AS2</t>
  </si>
  <si>
    <t>https://en.wikipedia.org/Aerion AS2</t>
  </si>
  <si>
    <t>140 mph (220 km/h, 120 kn) Approach speed</t>
  </si>
  <si>
    <t>30 ft × 6.2 ft × 6.5 ft (9.1 m × 1.9 m × 2.0 m)</t>
  </si>
  <si>
    <t>6,000 ft (1,800 m)</t>
  </si>
  <si>
    <t>3,460 ft (1,050 m)</t>
  </si>
  <si>
    <t>Aermacchi M-290 RediGO</t>
  </si>
  <si>
    <t>The Aermacchi M-290 TP RediGO is a turboprop-powered military basic trainer aircraft and liaison aircraft. It was originally manufactured by Valmet of Finland as the L-90 TP Redigo, a development of their earlier training aircraft for the Finnish Air Force. The L-90 was the last military aircraft designed and produced in Finland.[1] The prototype, a modified L-80 first flew on February 12, 1985. A second prototype, powered by a Turbomeca TP319 turboprop, was destroyed in an accident in August 1988.[2] A total of 29 production aircraft plus the 2 prototypes were produced. Aermacchi purchased the manufacturing rights in 1996 but never returned the aircraft to production.[2] The aircraft is of conventional configuration, with retractable tricycle gear and a low wing. The student and instructor sit side-by-side. As is typical with many military trainers, it can also carry light armament for weapons training, or potentially, for use in a close-support role. The Finnish Air Force only used the L-90 as a liaison aircraft.[1] Data from Brassey's World Aircraft and Systems Directory 1999/2000[4]General characteristics Performance Armament  Related development Aircraft of comparable role, configuration, and era  Related lists</t>
  </si>
  <si>
    <t>//upload.wikimedia.org/wikipedia/commons/thumb/9/95/Redigo_01.jpg/300px-Redigo_01.jpg</t>
  </si>
  <si>
    <t>Trainer / Liaison</t>
  </si>
  <si>
    <t>AermacchiValmet</t>
  </si>
  <si>
    <t>https://en.wikipedia.org/AermacchiValmet</t>
  </si>
  <si>
    <t>Valmet</t>
  </si>
  <si>
    <t>Valmet L-80 Turbo-Vinha</t>
  </si>
  <si>
    <t>https://en.wikipedia.org/Valmet L-80 Turbo-Vinha</t>
  </si>
  <si>
    <t>8.53 m (28 ft 0 in)</t>
  </si>
  <si>
    <t>3.20 m (10 ft 6 in)</t>
  </si>
  <si>
    <t>14.8 m2 (159 sq ft)</t>
  </si>
  <si>
    <t>970 kg (2,138 lb)</t>
  </si>
  <si>
    <t>415 km/h (258 mph, 224 kn) IAS</t>
  </si>
  <si>
    <t>+7.0 −3.5 @ 1,350 kg (2,980 lb) – Aerobatic Category Limit</t>
  </si>
  <si>
    <t>91.6 kg/m2 (18.8 lb/sq ft)</t>
  </si>
  <si>
    <t>Finnish Air ForceEritrean Air ForceMexican Navy</t>
  </si>
  <si>
    <t>https://en.wikipedia.org/Finnish Air ForceEritrean Air ForceMexican Navy</t>
  </si>
  <si>
    <t>Can accommodate additional two passengers or stretcher with patient</t>
  </si>
  <si>
    <t>1 × Allison 250-B17F turboprop, 340 kW (450 hp)</t>
  </si>
  <si>
    <t>354 km/h (220 mph, 191 kn) TAS @ 3,281 m (10,764 ft) &amp; 1,600 kg (3,500 lb), clean</t>
  </si>
  <si>
    <t>326 km/h (203 mph, 176 kn) TAS @ 3,281 m (10,764 ft) &amp; 1,600 kg (3,500 lb), clean</t>
  </si>
  <si>
    <t>6,340 m (20,800 ft) (engine limitation)</t>
  </si>
  <si>
    <t>0.25 kW/kg (0.15 hp/lb)</t>
  </si>
  <si>
    <t>Valmet L-70 Vinka</t>
  </si>
  <si>
    <t>https://en.wikipedia.org/Valmet L-70 Vinka</t>
  </si>
  <si>
    <t>93 km/h (58 mph, 50 kn)</t>
  </si>
  <si>
    <t>9.3 m/s (1,830 ft/min) @ 1,600 kg (3,500 lb) ISA</t>
  </si>
  <si>
    <t>1,000 km (620 mi, 540 nmi) #@ 1,600 kg (3,500 lb) normal cruise speed, clean</t>
  </si>
  <si>
    <t>Operational</t>
  </si>
  <si>
    <t>1985–1995</t>
  </si>
  <si>
    <t>1,350 kg (2,976 lb) clean – Acrobatic category</t>
  </si>
  <si>
    <t>Six hardpoints for a maximum of 800 kg (1,800 lb) of weapons</t>
  </si>
  <si>
    <t>2037 bomber</t>
  </si>
  <si>
    <t>The 2037 bomber refers to a short-lived 1999 America Air Force proposal to modernize and extend the service life of the U.S. bomber fleet and defer the introduction of a replacement "capability" (a strategic bomber or some future equivalent platform) until 2037. The plan was criticized by lawmakers and Pentagon officials, some of whom believed the existing fleet was in danger of becoming outmoded and overstretched.[1] Amidst this controversy, Air Force officials revised this plan in 2001 to put forward an accelerated timeline for a new bomber. Accordingly a Next-Generation Bomber program was started with the goal of introducing a bomber in 2018, but this was canceled in 2009. This program was restarted as the Long Range Strike Bomber which resulted in the Northrop Grumman B-21 Raider, currently expected to enter service in 2026–2027. In 1998, a Congressional panel studied the merits of re-starting B-2 Spirit production, which had ended prematurely at 21 aircraft, far short of the originally planned 132 stealth bombers. The panel nonetheless endorsed ending production in favor of re-allocating resources towards B-2 upgrades or developing technology for a future new-build aircraft.[2] A few weeks later Congress ordered the Department of the Air Force to update its bomber roadmap, last reviewed in 1992. The resulting Long Range Bombers white paper released in March 1999 projected that a new "capability" would be needed to be fielded in the 2037 time frame to replace B-52 Stratofortresses, B-1 Lancers, and B-2s expected to be lost due to attrition.[2][3] The Air Force's near-term strategic bombing needs could be met through service extensions and technology enhancements offering "a tenfold increase in bomber lethality" compared to 1992, according to the paper.[2] According to that roadmap, a Mission Area Assessment would have to be completed by 2013 with production beginning in 2019.[4] The white paper did not identify the replacement "capability" as a bomber or any specific type of aircraft because, according to the report, "technological advances may lead us to a configuration or platform that in no way resembles today’s bomber aircraft."[5] The Department of the Air Force's contentment with the size of and age the bomber fleet disappointed some members of Congress who believed a new aircraft would be needed before 2035.[2] The case for a hastened timeline was bolstered, some observers believed, by the DoD's 2001 Quadrennial Defense Review, which warned of increasing threats to U.S. power projection.[6] The report said developments in adversary air defenses would threaten U.S. air power in future conflicts, and that access to enemy denied areas would be limited to stealth aircraft.[7] The Air Force conceded that a new bomber would be needed earlier when it updated its service life projections in November 2001. The new paper anticipated a capability gap due to a strategic shift from nuclear deterrence to conventional bombing, and the loss of B-52's low-level flying mission capability. The paper said the Air Force would need to begin its acquisition program in 2012–2015.[8] The paper's recommendations were adopted as Air Force policy by Under Secretary of Defense for Acquisition and Sustainment Edward C. Aldridge Jr.[9] The Department of Defense continued to advocate for a later bomber introduction date. In its Nuclear Posture Review delivered in December 2001, the DOD claimed the Air Force was aiming to introduce its next bomber in the 2040s.[10] Not until the 2006 Quadrennial Defense Review did the DoD formalize its intent to bring the project forward almost two decades.[11][12]  The Air Force next began the Next-Generation Bomber program, but this was suspended in 2009. Work resumed under the Long Range Strike Bomber program (LRSB), which resulted in the B-21 Raider.[13][10] Debates persist within the Air Force ranks about the 2037 bomber and the future of long-range strike. The Air Force's interest, or lack thereof, in a follow-on bomber to the LRSB has not been publicly divulged. In 2007, defense industry analyst Rebecca Grant called the bomber a "mythical beast" and lamented the Air Force's continued fixation on it.[14][15]</t>
  </si>
  <si>
    <t>Next-Generation Bomber  Long Range Strike Bomber</t>
  </si>
  <si>
    <t>https://en.wikipedia.org/Next-Generation Bomber  Long Range Strike Bomber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</si>
</sst>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m yyyy"/>
    <numFmt numFmtId="165" formatCode="mmmm yyyy"/>
    <numFmt numFmtId="166" formatCode="mmmm d, yyyy"/>
    <numFmt numFmtId="167" formatCode="m-d"/>
  </numFmts>
  <fonts count="4">
    <font>
      <sz val="10.0"/>
      <color rgb="FF000000"/>
      <name val="Arial"/>
      <scheme val="minor"/>
    </font>
    <font>
      <color theme="1"/>
      <name val="Arial"/>
      <scheme val="minor"/>
    </font>
    <font>
      <sz val="11.0"/>
      <color rgb="FF000000"/>
      <name val="Inconsolata"/>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Avia" TargetMode="External"/><Relationship Id="rId42" Type="http://schemas.openxmlformats.org/officeDocument/2006/relationships/hyperlink" Target="https://en.wikipedia.org/Mitsubishi" TargetMode="External"/><Relationship Id="rId41" Type="http://schemas.openxmlformats.org/officeDocument/2006/relationships/hyperlink" Target="https://en.wikipedia.org/Japan" TargetMode="External"/><Relationship Id="rId44" Type="http://schemas.openxmlformats.org/officeDocument/2006/relationships/hyperlink" Target="https://en.wikipedia.org/Reconnaissance/bomber" TargetMode="External"/><Relationship Id="rId43" Type="http://schemas.openxmlformats.org/officeDocument/2006/relationships/hyperlink" Target="https://en.wikipedia.org/Tupolev" TargetMode="External"/><Relationship Id="rId46" Type="http://schemas.openxmlformats.org/officeDocument/2006/relationships/hyperlink" Target="https://en.wikipedia.org/1934" TargetMode="External"/><Relationship Id="rId45" Type="http://schemas.openxmlformats.org/officeDocument/2006/relationships/hyperlink" Target="https://en.wikipedia.org/Potez" TargetMode="External"/><Relationship Id="rId107" Type="http://schemas.openxmlformats.org/officeDocument/2006/relationships/hyperlink" Target="https://en.wikipedia.org/1995" TargetMode="External"/><Relationship Id="rId106" Type="http://schemas.openxmlformats.org/officeDocument/2006/relationships/hyperlink" Target="https://en.wikipedia.org/NASA" TargetMode="External"/><Relationship Id="rId105" Type="http://schemas.openxmlformats.org/officeDocument/2006/relationships/hyperlink" Target="https://en.wikipedia.org/Saunders-Roe" TargetMode="External"/><Relationship Id="rId104" Type="http://schemas.openxmlformats.org/officeDocument/2006/relationships/hyperlink" Target="https://en.wikipedia.org/Vickers" TargetMode="External"/><Relationship Id="rId109" Type="http://schemas.openxmlformats.org/officeDocument/2006/relationships/hyperlink" Target="https://en.wikipedia.org/Canadair" TargetMode="External"/><Relationship Id="rId108" Type="http://schemas.openxmlformats.org/officeDocument/2006/relationships/hyperlink" Target="https://en.wikipedia.org/Canada" TargetMode="External"/><Relationship Id="rId48" Type="http://schemas.openxmlformats.org/officeDocument/2006/relationships/hyperlink" Target="https://en.wikipedia.org/Yugoslavia" TargetMode="External"/><Relationship Id="rId47" Type="http://schemas.openxmlformats.org/officeDocument/2006/relationships/hyperlink" Target="https://en.wikipedia.org/Airliner" TargetMode="External"/><Relationship Id="rId49" Type="http://schemas.openxmlformats.org/officeDocument/2006/relationships/hyperlink" Target="https://en.wikipedia.org/Fighter" TargetMode="External"/><Relationship Id="rId103" Type="http://schemas.openxmlformats.org/officeDocument/2006/relationships/hyperlink" Target="https://en.wikipedia.org/NASA" TargetMode="External"/><Relationship Id="rId102" Type="http://schemas.openxmlformats.org/officeDocument/2006/relationships/hyperlink" Target="https://en.wikipedia.org/1942-1943" TargetMode="External"/><Relationship Id="rId101" Type="http://schemas.openxmlformats.org/officeDocument/2006/relationships/hyperlink" Target="https://en.wikipedia.org/Luftwaffe" TargetMode="External"/><Relationship Id="rId100" Type="http://schemas.openxmlformats.org/officeDocument/2006/relationships/hyperlink" Target="https://en.wikipedia.org/1945" TargetMode="External"/><Relationship Id="rId31" Type="http://schemas.openxmlformats.org/officeDocument/2006/relationships/hyperlink" Target="https://en.wikipedia.org/Germany" TargetMode="External"/><Relationship Id="rId30" Type="http://schemas.openxmlformats.org/officeDocument/2006/relationships/hyperlink" Target="https://en.wikipedia.org/Mikoyan" TargetMode="External"/><Relationship Id="rId33" Type="http://schemas.openxmlformats.org/officeDocument/2006/relationships/hyperlink" Target="https://en.wikipedia.org/FMA/IAME" TargetMode="External"/><Relationship Id="rId32" Type="http://schemas.openxmlformats.org/officeDocument/2006/relationships/hyperlink" Target="https://en.wikipedia.org/Canada" TargetMode="External"/><Relationship Id="rId35" Type="http://schemas.openxmlformats.org/officeDocument/2006/relationships/hyperlink" Target="https://en.wikipedia.org/Henschel" TargetMode="External"/><Relationship Id="rId34" Type="http://schemas.openxmlformats.org/officeDocument/2006/relationships/hyperlink" Target="https://en.wikipedia.org/Mitsubishi" TargetMode="External"/><Relationship Id="rId37" Type="http://schemas.openxmlformats.org/officeDocument/2006/relationships/hyperlink" Target="https://en.wikipedia.org/1937" TargetMode="External"/><Relationship Id="rId36" Type="http://schemas.openxmlformats.org/officeDocument/2006/relationships/hyperlink" Target="https://en.wikipedia.org/Mitsubishi" TargetMode="External"/><Relationship Id="rId39" Type="http://schemas.openxmlformats.org/officeDocument/2006/relationships/hyperlink" Target="https://en.wikipedia.org/1934" TargetMode="External"/><Relationship Id="rId38" Type="http://schemas.openxmlformats.org/officeDocument/2006/relationships/hyperlink" Target="https://en.wikipedia.org/DARPA" TargetMode="External"/><Relationship Id="rId20" Type="http://schemas.openxmlformats.org/officeDocument/2006/relationships/hyperlink" Target="https://en.wikipedia.org/Fighter" TargetMode="External"/><Relationship Id="rId22" Type="http://schemas.openxmlformats.org/officeDocument/2006/relationships/hyperlink" Target="https://en.wikipedia.org/1978" TargetMode="External"/><Relationship Id="rId21" Type="http://schemas.openxmlformats.org/officeDocument/2006/relationships/hyperlink" Target="https://en.wikipedia.org/1957" TargetMode="External"/><Relationship Id="rId24" Type="http://schemas.openxmlformats.org/officeDocument/2006/relationships/hyperlink" Target="https://en.wikipedia.org/1938" TargetMode="External"/><Relationship Id="rId23" Type="http://schemas.openxmlformats.org/officeDocument/2006/relationships/hyperlink" Target="https://en.wikipedia.org/1935" TargetMode="External"/><Relationship Id="rId129" Type="http://schemas.openxmlformats.org/officeDocument/2006/relationships/hyperlink" Target="https://en.wikipedia.org/1935" TargetMode="External"/><Relationship Id="rId128" Type="http://schemas.openxmlformats.org/officeDocument/2006/relationships/hyperlink" Target="https://en.wikipedia.org/1957" TargetMode="External"/><Relationship Id="rId127" Type="http://schemas.openxmlformats.org/officeDocument/2006/relationships/hyperlink" Target="https://en.wikipedia.org/1948" TargetMode="External"/><Relationship Id="rId126" Type="http://schemas.openxmlformats.org/officeDocument/2006/relationships/hyperlink" Target="https://en.wikipedia.org/Pilatus" TargetMode="External"/><Relationship Id="rId26" Type="http://schemas.openxmlformats.org/officeDocument/2006/relationships/hyperlink" Target="https://en.wikipedia.org/Boeing" TargetMode="External"/><Relationship Id="rId121" Type="http://schemas.openxmlformats.org/officeDocument/2006/relationships/hyperlink" Target="https://en.wikipedia.org/Schempp-Hirth" TargetMode="External"/><Relationship Id="rId25" Type="http://schemas.openxmlformats.org/officeDocument/2006/relationships/hyperlink" Target="https://en.wikipedia.org/America" TargetMode="External"/><Relationship Id="rId120" Type="http://schemas.openxmlformats.org/officeDocument/2006/relationships/hyperlink" Target="https://en.wikipedia.org/Fighter" TargetMode="External"/><Relationship Id="rId28" Type="http://schemas.openxmlformats.org/officeDocument/2006/relationships/hyperlink" Target="https://en.wikipedia.org/Switzerland/Italy" TargetMode="External"/><Relationship Id="rId27" Type="http://schemas.openxmlformats.org/officeDocument/2006/relationships/hyperlink" Target="https://en.wikipedia.org/AFRLNASA" TargetMode="External"/><Relationship Id="rId125" Type="http://schemas.openxmlformats.org/officeDocument/2006/relationships/hyperlink" Target="https://en.wikipedia.org/1943" TargetMode="External"/><Relationship Id="rId29" Type="http://schemas.openxmlformats.org/officeDocument/2006/relationships/hyperlink" Target="https://en.wikipedia.org/FFA/SIAI-Marchetti" TargetMode="External"/><Relationship Id="rId124" Type="http://schemas.openxmlformats.org/officeDocument/2006/relationships/hyperlink" Target="https://en.wikipedia.org/1936" TargetMode="External"/><Relationship Id="rId123" Type="http://schemas.openxmlformats.org/officeDocument/2006/relationships/hyperlink" Target="https://en.wikipedia.org/1935" TargetMode="External"/><Relationship Id="rId122" Type="http://schemas.openxmlformats.org/officeDocument/2006/relationships/hyperlink" Target="https://en.wikipedia.org/Yokosuka" TargetMode="External"/><Relationship Id="rId95" Type="http://schemas.openxmlformats.org/officeDocument/2006/relationships/hyperlink" Target="https://en.wikipedia.org/Poland" TargetMode="External"/><Relationship Id="rId94" Type="http://schemas.openxmlformats.org/officeDocument/2006/relationships/hyperlink" Target="https://en.wikipedia.org/Fieseler" TargetMode="External"/><Relationship Id="rId97" Type="http://schemas.openxmlformats.org/officeDocument/2006/relationships/hyperlink" Target="https://en.wikipedia.org/Samolot" TargetMode="External"/><Relationship Id="rId96" Type="http://schemas.openxmlformats.org/officeDocument/2006/relationships/hyperlink" Target="https://en.wikipedia.org/1917" TargetMode="External"/><Relationship Id="rId11" Type="http://schemas.openxmlformats.org/officeDocument/2006/relationships/hyperlink" Target="https://en.wikipedia.org/America" TargetMode="External"/><Relationship Id="rId99" Type="http://schemas.openxmlformats.org/officeDocument/2006/relationships/hyperlink" Target="https://en.wikipedia.org/LWD" TargetMode="External"/><Relationship Id="rId10" Type="http://schemas.openxmlformats.org/officeDocument/2006/relationships/hyperlink" Target="https://en.wikipedia.org/France" TargetMode="External"/><Relationship Id="rId98" Type="http://schemas.openxmlformats.org/officeDocument/2006/relationships/hyperlink" Target="https://en.wikipedia.org/Germany" TargetMode="External"/><Relationship Id="rId13" Type="http://schemas.openxmlformats.org/officeDocument/2006/relationships/hyperlink" Target="https://en.wikipedia.org/Supermarine" TargetMode="External"/><Relationship Id="rId12" Type="http://schemas.openxmlformats.org/officeDocument/2006/relationships/hyperlink" Target="https://en.wikipedia.org/Cessna" TargetMode="External"/><Relationship Id="rId91" Type="http://schemas.openxmlformats.org/officeDocument/2006/relationships/hyperlink" Target="https://en.wikipedia.org/1962" TargetMode="External"/><Relationship Id="rId90" Type="http://schemas.openxmlformats.org/officeDocument/2006/relationships/hyperlink" Target="https://en.wikipedia.org/1960" TargetMode="External"/><Relationship Id="rId93" Type="http://schemas.openxmlformats.org/officeDocument/2006/relationships/hyperlink" Target="https://en.wikipedia.org/Germany" TargetMode="External"/><Relationship Id="rId92" Type="http://schemas.openxmlformats.org/officeDocument/2006/relationships/hyperlink" Target="https://en.wikipedia.org/Avia" TargetMode="External"/><Relationship Id="rId118" Type="http://schemas.openxmlformats.org/officeDocument/2006/relationships/hyperlink" Target="https://en.wikipedia.org/Heinkel" TargetMode="External"/><Relationship Id="rId117" Type="http://schemas.openxmlformats.org/officeDocument/2006/relationships/hyperlink" Target="https://en.wikipedia.org/Sukhoi" TargetMode="External"/><Relationship Id="rId116" Type="http://schemas.openxmlformats.org/officeDocument/2006/relationships/hyperlink" Target="https://en.wikipedia.org/Luftwaffe" TargetMode="External"/><Relationship Id="rId115" Type="http://schemas.openxmlformats.org/officeDocument/2006/relationships/hyperlink" Target="https://en.wikipedia.org/Fieseler" TargetMode="External"/><Relationship Id="rId119" Type="http://schemas.openxmlformats.org/officeDocument/2006/relationships/hyperlink" Target="https://en.wikipedia.org/Heinkel" TargetMode="External"/><Relationship Id="rId15" Type="http://schemas.openxmlformats.org/officeDocument/2006/relationships/hyperlink" Target="https://en.wikipedia.org/Luftwaffe" TargetMode="External"/><Relationship Id="rId110" Type="http://schemas.openxmlformats.org/officeDocument/2006/relationships/hyperlink" Target="https://en.wikipedia.org/Caproni" TargetMode="External"/><Relationship Id="rId14" Type="http://schemas.openxmlformats.org/officeDocument/2006/relationships/hyperlink" Target="https://en.wikipedia.org/Heinkel" TargetMode="External"/><Relationship Id="rId17" Type="http://schemas.openxmlformats.org/officeDocument/2006/relationships/hyperlink" Target="https://en.wikipedia.org/Hawker" TargetMode="External"/><Relationship Id="rId16" Type="http://schemas.openxmlformats.org/officeDocument/2006/relationships/hyperlink" Target="https://en.wikipedia.org/Kokusai" TargetMode="External"/><Relationship Id="rId19" Type="http://schemas.openxmlformats.org/officeDocument/2006/relationships/hyperlink" Target="https://en.wikipedia.org/Dewoitine" TargetMode="External"/><Relationship Id="rId114" Type="http://schemas.openxmlformats.org/officeDocument/2006/relationships/hyperlink" Target="https://en.wikipedia.org/Luft-Verkehrs-Gesellschaft" TargetMode="External"/><Relationship Id="rId18" Type="http://schemas.openxmlformats.org/officeDocument/2006/relationships/hyperlink" Target="https://en.wikipedia.org/Lithuania" TargetMode="External"/><Relationship Id="rId113" Type="http://schemas.openxmlformats.org/officeDocument/2006/relationships/hyperlink" Target="https://en.wikipedia.org/DFS" TargetMode="External"/><Relationship Id="rId112" Type="http://schemas.openxmlformats.org/officeDocument/2006/relationships/hyperlink" Target="https://en.wikipedia.org/Tupolev" TargetMode="External"/><Relationship Id="rId111" Type="http://schemas.openxmlformats.org/officeDocument/2006/relationships/hyperlink" Target="https://en.wikipedia.org/Tupolev" TargetMode="External"/><Relationship Id="rId84" Type="http://schemas.openxmlformats.org/officeDocument/2006/relationships/hyperlink" Target="https://en.wikipedia.org/Fighter" TargetMode="External"/><Relationship Id="rId83" Type="http://schemas.openxmlformats.org/officeDocument/2006/relationships/hyperlink" Target="https://en.wikipedia.org/Canada" TargetMode="External"/><Relationship Id="rId86" Type="http://schemas.openxmlformats.org/officeDocument/2006/relationships/hyperlink" Target="https://en.wikipedia.org/Avia" TargetMode="External"/><Relationship Id="rId85" Type="http://schemas.openxmlformats.org/officeDocument/2006/relationships/hyperlink" Target="https://en.wikipedia.org/NASA" TargetMode="External"/><Relationship Id="rId88" Type="http://schemas.openxmlformats.org/officeDocument/2006/relationships/hyperlink" Target="https://en.wikipedia.org/SAGEM" TargetMode="External"/><Relationship Id="rId87" Type="http://schemas.openxmlformats.org/officeDocument/2006/relationships/hyperlink" Target="https://en.wikipedia.org/France" TargetMode="External"/><Relationship Id="rId89" Type="http://schemas.openxmlformats.org/officeDocument/2006/relationships/hyperlink" Target="https://en.wikipedia.org/Supermarine" TargetMode="External"/><Relationship Id="rId80" Type="http://schemas.openxmlformats.org/officeDocument/2006/relationships/hyperlink" Target="https://en.wikipedia.org/Vickers" TargetMode="External"/><Relationship Id="rId82" Type="http://schemas.openxmlformats.org/officeDocument/2006/relationships/hyperlink" Target="https://en.wikipedia.org/Ansaldo" TargetMode="External"/><Relationship Id="rId81" Type="http://schemas.openxmlformats.org/officeDocument/2006/relationships/hyperlink" Target="https://en.wikipedia.org/Chile" TargetMode="External"/><Relationship Id="rId1" Type="http://schemas.openxmlformats.org/officeDocument/2006/relationships/hyperlink" Target="https://en.wikipedia.org/Sailplane" TargetMode="External"/><Relationship Id="rId2" Type="http://schemas.openxmlformats.org/officeDocument/2006/relationships/hyperlink" Target="https://en.wikipedia.org/Germany" TargetMode="External"/><Relationship Id="rId3" Type="http://schemas.openxmlformats.org/officeDocument/2006/relationships/hyperlink" Target="https://en.wikipedia.org/Airliner" TargetMode="External"/><Relationship Id="rId4" Type="http://schemas.openxmlformats.org/officeDocument/2006/relationships/hyperlink" Target="https://en.wikipedia.org/1936" TargetMode="External"/><Relationship Id="rId148" Type="http://schemas.openxmlformats.org/officeDocument/2006/relationships/drawing" Target="../drawings/drawing1.xml"/><Relationship Id="rId9" Type="http://schemas.openxmlformats.org/officeDocument/2006/relationships/hyperlink" Target="https://en.wikipedia.org/Focke-Wulf" TargetMode="External"/><Relationship Id="rId143" Type="http://schemas.openxmlformats.org/officeDocument/2006/relationships/hyperlink" Target="https://en.wikipedia.org/Avro" TargetMode="External"/><Relationship Id="rId142" Type="http://schemas.openxmlformats.org/officeDocument/2006/relationships/hyperlink" Target="https://en.wikipedia.org/1961" TargetMode="External"/><Relationship Id="rId141" Type="http://schemas.openxmlformats.org/officeDocument/2006/relationships/hyperlink" Target="https://en.wikipedia.org/fighter" TargetMode="External"/><Relationship Id="rId140" Type="http://schemas.openxmlformats.org/officeDocument/2006/relationships/hyperlink" Target="https://en.wikipedia.org/AeroLites" TargetMode="External"/><Relationship Id="rId5" Type="http://schemas.openxmlformats.org/officeDocument/2006/relationships/hyperlink" Target="https://en.wikipedia.org/1938" TargetMode="External"/><Relationship Id="rId147" Type="http://schemas.openxmlformats.org/officeDocument/2006/relationships/hyperlink" Target="https://en.wikipedia.org/AermacchiValmet" TargetMode="External"/><Relationship Id="rId6" Type="http://schemas.openxmlformats.org/officeDocument/2006/relationships/hyperlink" Target="https://en.wikipedia.org/1950" TargetMode="External"/><Relationship Id="rId146" Type="http://schemas.openxmlformats.org/officeDocument/2006/relationships/hyperlink" Target="https://en.wikipedia.org/Argentine" TargetMode="External"/><Relationship Id="rId7" Type="http://schemas.openxmlformats.org/officeDocument/2006/relationships/hyperlink" Target="https://en.wikipedia.org/IMAM" TargetMode="External"/><Relationship Id="rId145" Type="http://schemas.openxmlformats.org/officeDocument/2006/relationships/hyperlink" Target="https://en.wikipedia.org/KuKLFT" TargetMode="External"/><Relationship Id="rId8" Type="http://schemas.openxmlformats.org/officeDocument/2006/relationships/hyperlink" Target="https://en.wikipedia.org/1935" TargetMode="External"/><Relationship Id="rId144" Type="http://schemas.openxmlformats.org/officeDocument/2006/relationships/hyperlink" Target="https://en.wikipedia.org/Germany" TargetMode="External"/><Relationship Id="rId73" Type="http://schemas.openxmlformats.org/officeDocument/2006/relationships/hyperlink" Target="https://en.wikipedia.org/Supermarine" TargetMode="External"/><Relationship Id="rId72" Type="http://schemas.openxmlformats.org/officeDocument/2006/relationships/hyperlink" Target="https://en.wikipedia.org/Caudron" TargetMode="External"/><Relationship Id="rId75" Type="http://schemas.openxmlformats.org/officeDocument/2006/relationships/hyperlink" Target="https://en.wikipedia.org/Germany" TargetMode="External"/><Relationship Id="rId74" Type="http://schemas.openxmlformats.org/officeDocument/2006/relationships/hyperlink" Target="https://en.wikipedia.org/1945" TargetMode="External"/><Relationship Id="rId77" Type="http://schemas.openxmlformats.org/officeDocument/2006/relationships/hyperlink" Target="https://en.wikipedia.org/Mikoyan-Gurevich" TargetMode="External"/><Relationship Id="rId76" Type="http://schemas.openxmlformats.org/officeDocument/2006/relationships/hyperlink" Target="https://en.wikipedia.org/Hawker" TargetMode="External"/><Relationship Id="rId79" Type="http://schemas.openxmlformats.org/officeDocument/2006/relationships/hyperlink" Target="https://en.wikipedia.org/1906" TargetMode="External"/><Relationship Id="rId78" Type="http://schemas.openxmlformats.org/officeDocument/2006/relationships/hyperlink" Target="https://en.wikipedia.org/Fighter" TargetMode="External"/><Relationship Id="rId71" Type="http://schemas.openxmlformats.org/officeDocument/2006/relationships/hyperlink" Target="https://en.wikipedia.org/Kawasaki" TargetMode="External"/><Relationship Id="rId70" Type="http://schemas.openxmlformats.org/officeDocument/2006/relationships/hyperlink" Target="https://en.wikipedia.org/Schempp-Hirth" TargetMode="External"/><Relationship Id="rId139" Type="http://schemas.openxmlformats.org/officeDocument/2006/relationships/hyperlink" Target="https://en.wikipedia.org/America" TargetMode="External"/><Relationship Id="rId138" Type="http://schemas.openxmlformats.org/officeDocument/2006/relationships/hyperlink" Target="https://en.wikipedia.org/1912" TargetMode="External"/><Relationship Id="rId137" Type="http://schemas.openxmlformats.org/officeDocument/2006/relationships/hyperlink" Target="https://en.wikipedia.org/Burgess" TargetMode="External"/><Relationship Id="rId132" Type="http://schemas.openxmlformats.org/officeDocument/2006/relationships/hyperlink" Target="https://en.wikipedia.org/Dobi" TargetMode="External"/><Relationship Id="rId131" Type="http://schemas.openxmlformats.org/officeDocument/2006/relationships/hyperlink" Target="https://en.wikipedia.org/Lithuania" TargetMode="External"/><Relationship Id="rId130" Type="http://schemas.openxmlformats.org/officeDocument/2006/relationships/hyperlink" Target="https://en.wikipedia.org/1935" TargetMode="External"/><Relationship Id="rId136" Type="http://schemas.openxmlformats.org/officeDocument/2006/relationships/hyperlink" Target="https://en.wikipedia.org/1928" TargetMode="External"/><Relationship Id="rId135" Type="http://schemas.openxmlformats.org/officeDocument/2006/relationships/hyperlink" Target="https://en.wikipedia.org/CANT" TargetMode="External"/><Relationship Id="rId134" Type="http://schemas.openxmlformats.org/officeDocument/2006/relationships/hyperlink" Target="https://en.wikipedia.org/Switzerland" TargetMode="External"/><Relationship Id="rId133" Type="http://schemas.openxmlformats.org/officeDocument/2006/relationships/hyperlink" Target="https://en.wikipedia.org/Switzerland" TargetMode="External"/><Relationship Id="rId62" Type="http://schemas.openxmlformats.org/officeDocument/2006/relationships/hyperlink" Target="https://en.wikipedia.org/Focke-Wulf" TargetMode="External"/><Relationship Id="rId61" Type="http://schemas.openxmlformats.org/officeDocument/2006/relationships/hyperlink" Target="https://en.wikipedia.org/Pilatus" TargetMode="External"/><Relationship Id="rId64" Type="http://schemas.openxmlformats.org/officeDocument/2006/relationships/hyperlink" Target="https://en.wikipedia.org/Fighter" TargetMode="External"/><Relationship Id="rId63" Type="http://schemas.openxmlformats.org/officeDocument/2006/relationships/hyperlink" Target="https://en.wikipedia.org/America" TargetMode="External"/><Relationship Id="rId66" Type="http://schemas.openxmlformats.org/officeDocument/2006/relationships/hyperlink" Target="https://en.wikipedia.org/Luftwaffe" TargetMode="External"/><Relationship Id="rId65" Type="http://schemas.openxmlformats.org/officeDocument/2006/relationships/hyperlink" Target="https://en.wikipedia.org/Focke-Wulf" TargetMode="External"/><Relationship Id="rId68" Type="http://schemas.openxmlformats.org/officeDocument/2006/relationships/hyperlink" Target="https://en.wikipedia.org/Fighter" TargetMode="External"/><Relationship Id="rId67" Type="http://schemas.openxmlformats.org/officeDocument/2006/relationships/hyperlink" Target="https://en.wikipedia.org/Pomilio" TargetMode="External"/><Relationship Id="rId60" Type="http://schemas.openxmlformats.org/officeDocument/2006/relationships/hyperlink" Target="https://en.wikipedia.org/SZD" TargetMode="External"/><Relationship Id="rId69" Type="http://schemas.openxmlformats.org/officeDocument/2006/relationships/hyperlink" Target="https://en.wikipedia.org/PZL" TargetMode="External"/><Relationship Id="rId51" Type="http://schemas.openxmlformats.org/officeDocument/2006/relationships/hyperlink" Target="https://en.wikipedia.org/1928" TargetMode="External"/><Relationship Id="rId50" Type="http://schemas.openxmlformats.org/officeDocument/2006/relationships/hyperlink" Target="https://en.wikipedia.org/Caspar-Werke" TargetMode="External"/><Relationship Id="rId53" Type="http://schemas.openxmlformats.org/officeDocument/2006/relationships/hyperlink" Target="https://en.wikipedia.org/Argentina" TargetMode="External"/><Relationship Id="rId52" Type="http://schemas.openxmlformats.org/officeDocument/2006/relationships/hyperlink" Target="https://en.wikipedia.org/Tupolev" TargetMode="External"/><Relationship Id="rId55" Type="http://schemas.openxmlformats.org/officeDocument/2006/relationships/hyperlink" Target="https://en.wikipedia.org/Yugoslav" TargetMode="External"/><Relationship Id="rId54" Type="http://schemas.openxmlformats.org/officeDocument/2006/relationships/hyperlink" Target="https://en.wikipedia.org/Fleetwings" TargetMode="External"/><Relationship Id="rId57" Type="http://schemas.openxmlformats.org/officeDocument/2006/relationships/hyperlink" Target="https://en.wikipedia.org/1959" TargetMode="External"/><Relationship Id="rId56" Type="http://schemas.openxmlformats.org/officeDocument/2006/relationships/hyperlink" Target="https://en.wikipedia.org/Avro" TargetMode="External"/><Relationship Id="rId59" Type="http://schemas.openxmlformats.org/officeDocument/2006/relationships/hyperlink" Target="https://en.wikipedia.org/Poland" TargetMode="External"/><Relationship Id="rId58" Type="http://schemas.openxmlformats.org/officeDocument/2006/relationships/hyperlink" Target="https://en.wikipedia.org/Fra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
        <v>3</v>
      </c>
      <c r="G1" s="1" t="str">
        <f>IFERROR(__xludf.DUMMYFUNCTION("GOOGLETRANSLATE(F:F, ""en"", ""te"")"),"పాత్ర")</f>
        <v>పాత్ర</v>
      </c>
      <c r="H1" s="1" t="s">
        <v>4</v>
      </c>
      <c r="I1" s="1" t="s">
        <v>5</v>
      </c>
      <c r="J1" s="1" t="str">
        <f>IFERROR(__xludf.DUMMYFUNCTION("GOOGLETRANSLATE(I:I, ""en"", ""te"")"),"జాతీయ మూలం")</f>
        <v>జాతీయ మూలం</v>
      </c>
      <c r="K1" s="1" t="s">
        <v>6</v>
      </c>
      <c r="L1" s="1" t="s">
        <v>7</v>
      </c>
      <c r="M1" s="1" t="str">
        <f>IFERROR(__xludf.DUMMYFUNCTION("GOOGLETRANSLATE(L:L, ""en"", ""te"")"),"తయారీదారు")</f>
        <v>తయారీదారు</v>
      </c>
      <c r="N1" s="1" t="s">
        <v>8</v>
      </c>
      <c r="O1" s="1" t="s">
        <v>9</v>
      </c>
      <c r="P1" s="1" t="str">
        <f>IFERROR(__xludf.DUMMYFUNCTION("GOOGLETRANSLATE(O:O, ""en"", ""te"")"),"డిజైనర్")</f>
        <v>డిజైనర్</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c r="AU1" s="1" t="s">
        <v>39</v>
      </c>
      <c r="AV1" s="1" t="s">
        <v>40</v>
      </c>
      <c r="AW1" s="1" t="s">
        <v>41</v>
      </c>
      <c r="AX1" s="1" t="s">
        <v>42</v>
      </c>
      <c r="AY1" s="1" t="str">
        <f>IFERROR(__xludf.DUMMYFUNCTION("GOOGLETRANSLATE(AX:AX, ""en"", ""te"")"),"పవర్ ప్లాంట్")</f>
        <v>పవర్ ప్లాంట్</v>
      </c>
      <c r="AZ1" s="1" t="s">
        <v>43</v>
      </c>
      <c r="BA1" s="1" t="str">
        <f>IFERROR(__xludf.DUMMYFUNCTION("GOOGLETRANSLATE(AZ:AZ, ""en"", ""te"")"),"ప్రొపెల్లర్లు")</f>
        <v>ప్రొపెల్లర్లు</v>
      </c>
      <c r="BB1" s="1" t="s">
        <v>44</v>
      </c>
      <c r="BC1" s="1" t="s">
        <v>45</v>
      </c>
      <c r="BD1" s="1" t="s">
        <v>46</v>
      </c>
      <c r="BE1" s="1" t="s">
        <v>47</v>
      </c>
      <c r="BF1" s="1" t="s">
        <v>48</v>
      </c>
      <c r="BG1" s="2" t="str">
        <f>IFERROR(__xludf.DUMMYFUNCTION("GOOGLETRANSLATE(BF:BF, ""en"", ""te"")"),"ప్రాథమిక వినియోగదారు")</f>
        <v>ప్రాథమిక వినియోగదారు</v>
      </c>
      <c r="BH1" s="1" t="s">
        <v>49</v>
      </c>
      <c r="BI1" s="1" t="s">
        <v>50</v>
      </c>
      <c r="BJ1" s="1" t="s">
        <v>51</v>
      </c>
      <c r="BK1" s="1" t="s">
        <v>52</v>
      </c>
      <c r="BL1" s="1" t="s">
        <v>53</v>
      </c>
      <c r="BM1" s="1" t="s">
        <v>54</v>
      </c>
      <c r="BN1" s="1" t="s">
        <v>55</v>
      </c>
      <c r="BO1" s="1" t="s">
        <v>56</v>
      </c>
      <c r="BP1" s="1" t="s">
        <v>57</v>
      </c>
      <c r="BQ1" s="1" t="s">
        <v>58</v>
      </c>
      <c r="BR1" s="1" t="s">
        <v>59</v>
      </c>
      <c r="BS1" s="1" t="s">
        <v>60</v>
      </c>
      <c r="BT1" s="1" t="s">
        <v>61</v>
      </c>
      <c r="BU1" s="1" t="s">
        <v>62</v>
      </c>
      <c r="BV1" s="1" t="str">
        <f>IFERROR(__xludf.DUMMYFUNCTION("GOOGLETRANSLATE(BU:BU, ""en"", ""te"")"),"స్థితి")</f>
        <v>స్థితి</v>
      </c>
      <c r="BW1" s="1" t="s">
        <v>63</v>
      </c>
      <c r="BX1" s="1"/>
      <c r="BY1" s="1" t="s">
        <v>64</v>
      </c>
      <c r="BZ1" s="1" t="s">
        <v>65</v>
      </c>
      <c r="CA1" s="1" t="s">
        <v>66</v>
      </c>
      <c r="CB1" s="1" t="s">
        <v>67</v>
      </c>
      <c r="CC1" s="1" t="s">
        <v>68</v>
      </c>
      <c r="CD1" s="1" t="str">
        <f>IFERROR(__xludf.DUMMYFUNCTION("GOOGLETRANSLATE(CC:CC, ""en"", ""te"")"),"తుపాకులు")</f>
        <v>తుపాకులు</v>
      </c>
      <c r="CE1" s="1" t="s">
        <v>69</v>
      </c>
      <c r="CF1" s="1" t="str">
        <f>IFERROR(__xludf.DUMMYFUNCTION("GOOGLETRANSLATE(CE:CE, ""en"", ""te"")"),"బాంబులు")</f>
        <v>బాంబులు</v>
      </c>
      <c r="CG1" s="1" t="s">
        <v>70</v>
      </c>
      <c r="CH1" s="1"/>
      <c r="CI1" s="1" t="s">
        <v>71</v>
      </c>
      <c r="CJ1" s="1" t="s">
        <v>72</v>
      </c>
      <c r="CK1" s="1" t="s">
        <v>73</v>
      </c>
      <c r="CL1" s="1" t="s">
        <v>74</v>
      </c>
      <c r="CM1" s="1"/>
      <c r="CN1" s="1" t="s">
        <v>75</v>
      </c>
      <c r="CO1" s="1" t="s">
        <v>76</v>
      </c>
      <c r="CP1" s="1"/>
      <c r="CQ1" s="1" t="s">
        <v>77</v>
      </c>
      <c r="CR1" s="1" t="s">
        <v>78</v>
      </c>
      <c r="CS1" s="1" t="s">
        <v>79</v>
      </c>
      <c r="CT1" s="1" t="s">
        <v>80</v>
      </c>
      <c r="CU1" s="1" t="s">
        <v>81</v>
      </c>
      <c r="CV1" s="1" t="s">
        <v>82</v>
      </c>
      <c r="CW1" s="1" t="s">
        <v>83</v>
      </c>
      <c r="CX1" s="1" t="s">
        <v>84</v>
      </c>
      <c r="CY1" s="1" t="s">
        <v>85</v>
      </c>
      <c r="CZ1" s="1" t="s">
        <v>86</v>
      </c>
      <c r="DA1" s="1" t="s">
        <v>87</v>
      </c>
      <c r="DB1" s="1" t="s">
        <v>88</v>
      </c>
      <c r="DC1" s="1" t="s">
        <v>89</v>
      </c>
      <c r="DD1" s="1" t="s">
        <v>90</v>
      </c>
      <c r="DE1" s="1" t="s">
        <v>91</v>
      </c>
      <c r="DF1" s="1" t="s">
        <v>92</v>
      </c>
      <c r="DG1" s="1" t="s">
        <v>93</v>
      </c>
      <c r="DH1" s="1" t="s">
        <v>94</v>
      </c>
      <c r="DI1" s="1" t="s">
        <v>95</v>
      </c>
      <c r="DJ1" s="1" t="s">
        <v>96</v>
      </c>
      <c r="DK1" s="1" t="s">
        <v>97</v>
      </c>
      <c r="DL1" s="1" t="s">
        <v>98</v>
      </c>
      <c r="DM1" s="1" t="s">
        <v>99</v>
      </c>
      <c r="DN1" s="1" t="s">
        <v>100</v>
      </c>
      <c r="DO1" s="1" t="s">
        <v>101</v>
      </c>
      <c r="DP1" s="1" t="s">
        <v>102</v>
      </c>
      <c r="DQ1" s="1" t="s">
        <v>103</v>
      </c>
      <c r="DR1" s="1" t="s">
        <v>104</v>
      </c>
      <c r="DS1" s="1" t="s">
        <v>105</v>
      </c>
      <c r="DT1" s="1" t="s">
        <v>106</v>
      </c>
      <c r="DU1" s="1" t="s">
        <v>107</v>
      </c>
      <c r="DV1" s="1" t="s">
        <v>108</v>
      </c>
      <c r="DW1" s="1" t="s">
        <v>109</v>
      </c>
      <c r="DX1" s="1" t="s">
        <v>110</v>
      </c>
      <c r="DY1" s="1" t="s">
        <v>111</v>
      </c>
      <c r="DZ1" s="1" t="s">
        <v>112</v>
      </c>
      <c r="EA1" s="1" t="s">
        <v>113</v>
      </c>
      <c r="EB1" s="1" t="s">
        <v>114</v>
      </c>
      <c r="EC1" s="1" t="s">
        <v>115</v>
      </c>
      <c r="ED1" s="1" t="s">
        <v>116</v>
      </c>
      <c r="EE1" s="1" t="s">
        <v>117</v>
      </c>
      <c r="EF1" s="1" t="s">
        <v>118</v>
      </c>
      <c r="EG1" s="1" t="s">
        <v>119</v>
      </c>
      <c r="EH1" s="1" t="s">
        <v>120</v>
      </c>
      <c r="EI1" s="1" t="s">
        <v>121</v>
      </c>
      <c r="EJ1" s="1" t="s">
        <v>122</v>
      </c>
      <c r="EK1" s="1" t="s">
        <v>123</v>
      </c>
      <c r="EL1" s="1" t="s">
        <v>124</v>
      </c>
      <c r="EM1" s="1" t="s">
        <v>125</v>
      </c>
      <c r="EN1" s="1" t="s">
        <v>126</v>
      </c>
      <c r="EO1" s="1" t="s">
        <v>127</v>
      </c>
      <c r="EP1" s="1" t="s">
        <v>128</v>
      </c>
      <c r="EQ1" s="1" t="s">
        <v>129</v>
      </c>
      <c r="ER1" s="1" t="s">
        <v>130</v>
      </c>
      <c r="ES1" s="1" t="s">
        <v>131</v>
      </c>
      <c r="ET1" s="1" t="s">
        <v>132</v>
      </c>
      <c r="EU1" s="1" t="s">
        <v>133</v>
      </c>
      <c r="EV1" s="1" t="s">
        <v>134</v>
      </c>
      <c r="EW1" s="1" t="s">
        <v>135</v>
      </c>
      <c r="EX1" s="1" t="s">
        <v>136</v>
      </c>
      <c r="EY1" s="1" t="s">
        <v>137</v>
      </c>
      <c r="EZ1" s="1" t="s">
        <v>138</v>
      </c>
      <c r="FA1" s="1" t="s">
        <v>139</v>
      </c>
      <c r="FB1" s="1" t="s">
        <v>140</v>
      </c>
      <c r="FC1" s="1" t="s">
        <v>141</v>
      </c>
      <c r="FD1" s="1" t="s">
        <v>142</v>
      </c>
      <c r="FE1" s="1" t="s">
        <v>143</v>
      </c>
      <c r="FF1" s="1" t="s">
        <v>144</v>
      </c>
      <c r="FG1" s="1" t="s">
        <v>145</v>
      </c>
      <c r="FH1" s="1" t="s">
        <v>146</v>
      </c>
      <c r="FI1" s="1" t="s">
        <v>147</v>
      </c>
      <c r="FJ1" s="1" t="s">
        <v>148</v>
      </c>
      <c r="FK1" s="1" t="s">
        <v>149</v>
      </c>
      <c r="FL1" s="1" t="s">
        <v>150</v>
      </c>
      <c r="FM1" s="1" t="s">
        <v>151</v>
      </c>
      <c r="FN1" s="1" t="s">
        <v>152</v>
      </c>
      <c r="FO1" s="1" t="s">
        <v>153</v>
      </c>
      <c r="FP1" s="1" t="s">
        <v>154</v>
      </c>
      <c r="FQ1" s="1" t="s">
        <v>155</v>
      </c>
      <c r="FR1" s="1" t="s">
        <v>156</v>
      </c>
      <c r="FS1" s="1" t="s">
        <v>157</v>
      </c>
      <c r="FT1" s="1" t="s">
        <v>158</v>
      </c>
      <c r="FU1" s="1" t="s">
        <v>159</v>
      </c>
      <c r="FV1" s="1" t="s">
        <v>160</v>
      </c>
      <c r="FW1" s="1" t="s">
        <v>161</v>
      </c>
      <c r="FX1" s="1" t="s">
        <v>162</v>
      </c>
      <c r="FY1" s="1" t="s">
        <v>163</v>
      </c>
      <c r="FZ1" s="1" t="s">
        <v>164</v>
      </c>
      <c r="GA1" s="1" t="s">
        <v>165</v>
      </c>
      <c r="GB1" s="1" t="s">
        <v>166</v>
      </c>
      <c r="GC1" s="1" t="s">
        <v>167</v>
      </c>
      <c r="GD1" s="1" t="s">
        <v>168</v>
      </c>
      <c r="GE1" s="1" t="s">
        <v>169</v>
      </c>
      <c r="GF1" s="1" t="s">
        <v>170</v>
      </c>
      <c r="GG1" s="1" t="s">
        <v>171</v>
      </c>
      <c r="GH1" s="1" t="s">
        <v>172</v>
      </c>
      <c r="GI1" s="1" t="s">
        <v>173</v>
      </c>
      <c r="GJ1" s="1" t="s">
        <v>174</v>
      </c>
      <c r="GK1" s="1" t="s">
        <v>175</v>
      </c>
      <c r="GL1" s="1" t="s">
        <v>176</v>
      </c>
      <c r="GM1" s="1" t="s">
        <v>177</v>
      </c>
      <c r="GN1" s="1" t="s">
        <v>178</v>
      </c>
      <c r="GO1" s="1" t="s">
        <v>179</v>
      </c>
    </row>
    <row r="2">
      <c r="A2" s="1" t="s">
        <v>180</v>
      </c>
      <c r="B2" s="1" t="str">
        <f>IFERROR(__xludf.DUMMYFUNCTION("GOOGLETRANSLATE(A:A, ""en"", ""te"")"),"అకాఫ్లీగ్ ముంచెన్ Mü13")</f>
        <v>అకాఫ్లీగ్ ముంచెన్ Mü13</v>
      </c>
      <c r="C2" s="1" t="s">
        <v>181</v>
      </c>
      <c r="D2" s="1" t="str">
        <f>IFERROR(__xludf.DUMMYFUNCTION("GOOGLETRANSLATE(C:C, ""en"", ""te"")"),"అకాఫ్లీగ్ ముంచెన్ Mü13 మెర్లిన్ మరియు అకాఫ్లీగ్ మున్చెన్ Mü13 అటాలంటే 1935 నుండి జర్మనీలో రూపొందించిన మరియు నిర్మించిన గ్లిడర్లు. మెర్లిన్ యొక్క మోటారు-గ్లైడర్ వెర్షన్ ముక్కులో ఒక చిన్న ఇంజిన్‌ను చేర్చడం ద్వారా మార్చబడింది, Mü13m మోటర్‌మెర్లిన్. యుద్ధానంత"&amp;"ర అభివృద్ధి Mü13e గా షీబ్ బెర్గ్‌ఫాల్కేగా ఉత్పత్తిలోకి ప్రవేశించింది. [1] మొదటి ప్రపంచ యుద్ధం తరువాత జర్మనీ అనేక విశ్వవిద్యాలయాలలో అకాడెమిస్చే ఫ్లిజర్‌ష్యూల్‌ను స్థాపించింది. మొదటి మరియు ప్రధాన సమూహం బెర్లిన్‌లో స్థాపించబడింది, కాని రెండవ ప్రపంచ యుద్ధం వర"&amp;"కు అత్యంత ఫలవంతమైనది, అకాఫ్లీగ్ ముంచెన్. అకాఫ్లీగ్ ముంచెన్ Mü13 రెండు-సీట్ల అకాఫ్లీగ్ ముంచెన్ Mü10 మిలన్ యొక్క ఒకే-సీటు అభివృద్ధి, ఇది టోనీ ట్రోగర్ మరియు కర్ట్ ష్మిత్ చేత రూపొందించబడింది మరియు నిర్మించబడింది, ఎగాన్ స్కీబ్ దర్శకత్వంలో, రెండు వెర్షన్లలో, ఒక"&amp;" మోటారుగ్లైడర్ మరియు ఒక ప్యూర్ సెయిల్‌ప్లేన్. రెండు ప్రోటోటైప్‌లు నిర్మించబడ్డాయి: టోనీ ట్రోగర్ యొక్క మోటారు గ్లైడర్‌కు 'మెర్లిన్' అని పేరు పెట్టారు మరియు కర్ట్ ష్మిత్ యొక్క సెయిల్ ప్లేన్‌కు 'అటాలంటే' అని పేరు పెట్టారు. ఒకటి గ్లైడింగ్ హెరిటేజ్ సెంటర్‌లో ప"&amp;"్రదర్శనలో ఉంది. Mü13 లను వెల్డెడ్ స్టీల్ ట్యూబ్ ఫ్యూజ్‌లేజ్‌లతో నిర్మించారు మరియు చెక్క లాంగన్‌లను ఫాబ్రిక్ మరియు సాంప్రదాయ చెక్క రెక్కలతో ఉపయోగించి ప్లైవుడ్ స్కిన్నింగ్‌తో ప్రధాన స్పార్ మరియు ఫాబ్రిక్ వెనుకకు తిరిగి వచ్చింది. ప్రోటోటైప్‌లలో రెక్కల వెనుకం"&amp;"జలో ఉన్న అంచు స్టీల్-ఫ్రేమ్డ్ ఫాబ్రిక్ కవర్ ఫ్లాప్స్ మరియు ఐలెరాన్‌ల ద్వారా తీసుకోబడింది, ఇవన్నీ థర్మలింగ్ మరియు అప్రోచ్ కంట్రోల్‌ను మెరుగుపరచడానికి విక్షేపం చెందుతాయి, కాని తరువాత ఉత్పత్తి విమానాలు ఫ్లాప్‌లను తొలగించాయి, అప్రోచ్ కంట్రోల్ కోసం ఎగువ ఉపరితల"&amp;" స్పాయిలర్లు అమర్చబడి ఉన్నాయి, Mü13d-3 పెరిగిన స్పాన్ రెక్కలు, పొడవైన ఫ్యూజ్‌లేజ్ మరియు విస్తరించిన ఫిన్ మరియు చుక్కాని. ఎగాన్ స్కీబ్ నుండి వచ్చిన ఈ అమరిక షోల్ ముంచెన్ - మ్యూనిచ్ స్కూల్ అని పిలువబడింది. పైలట్ ప్రధాన-స్పేర్ కోసం ముందుకు కూర్చున్నాడు, రెక్క"&amp;" ప్రముఖ-అంచులతో చుట్టుముట్టబడి, పక్కకి దృష్టిని తీవ్రంగా పరిమితం చేస్తాడు. [2] Mü13 యొక్క పనితీరు 28 యొక్క L/D నిష్పత్తిలో ముఖ్యంగా మంచిదిగా పరిగణించబడింది మరియు సన్నని Mü స్కీబ్ ఏరోఫాయిల్ విభాగం కారణంగా సాపేక్షంగా అధిక వేగంతో ప్రయాణించే సామర్థ్యం. హన్స్ "&amp;"వైసెహెఫర్ చేత ఎగిరిన 'మెర్లిన్', దక్షిణ జర్మనీ మరియు ఆల్ప్స్ చుట్టూ పాయింట్ విమానాలకు వెళ్లారు, కాని 'అటాలంటే' కీర్తిని కర్ట్ ష్మిత్ పర్వతం గా సాధించింది, 16 సంవత్సరాల వయస్సులో ఎక్కువ భాగం నిర్మించాల్సిన బాధ్యత ఉంది 'వాస్సెర్కుప్పే వద్ద 1935 రోన్ పోటీలో అ"&amp;"టాలంటే మరియు గ్లైడర్‌ను పైలట్ చేయడం, వాస్సెర్కుప్పే నుండి ట్రైయర్‌కు 252 కిలోమీటర్ల (156.6 మైల్స్) వద్ద పొడవైన విమానంలో సాధించింది. కర్ట్ ష్మిత్ యొక్క విజయం Mü13 మరియు ఉత్పత్తి వెర్షన్ కోసం డిమాండ్ దృష్టిని తెచ్చిపెట్టింది. కర్ట్ ష్మిత్ చేత పైలట్ చేయబడిన "&amp;"ఇతర ప్రశంసలలో 'అటాలంటే', మే 1939 లో జర్మన్ గోల్ ఫ్లైట్ (పేర్కొన్న గోల్ కు ఫ్లై) రికార్డును 482 కిమీ (260 ఎన్ఎమ్) సెట్ చేసింది. [1] మెరుగుదలలతో Mü13 Mü13d గా ఉత్పత్తిలోకి వెళ్ళింది, ఇది స్క్వార్జ్వాల్డ్-ఫ్లూగ్జూగ్‌బావు విల్హెల్మ్ జెహెల్ (విల్హెల్మ్ జెహెల్ "&amp;"బ్లాక్ ఫారెస్ట్ ఎయిర్‌క్రాఫ్ట్ వర్క్స్) డొనోస్చింగెన్‌లో నిర్మించబడింది, 1936 నుండి రెండవ ప్రపంచ యుద్ధం వరకు Mü13D చాలా గ్లైడింగ్ పోటీలలో పాల్గొంటుంది. ] టెన్డం టూ సీట్ Mü13e, యుద్ధానంతర పోస్ట్-స్కీబ్ బెర్గ్‌ఫాల్కే సిరీస్ ఆఫ్ ట్రైనర్స్, సారాంశంలో, సారాంశం"&amp;"లో కొత్త డిజైన్. [2] టోనీ ట్రోగెర్ యొక్క 'మెర్లిన్'లో 18 హెచ్‌పి (13 కిలోవాట్ల) క్రోబెర్ ఎం 4 కల్లర్ రెండు సిలిండర్లను ముక్కులో అమర్చిన రెండు సిలిండర్‌గా వ్యతిరేకించిన ఇంజిన్, Mü13m మోటర్‌మెర్లిన్‌ను తిరిగి నియమించారు, ఇది 125 కిమీ/గం (78 mph) వేగంతో చేరు"&amp;"కుంది మరియు 45 కి.మీ. . 1937 రాంగ్స్‌డోర్ఫ్ పోటీలో పాల్గొంటే Mü13m మోటర్‌మెర్లిన్ ఉత్తమ పనితీరును ప్రదర్శిస్తుంది. [1] జేన్ యొక్క వరల్డ్ సెయిల్‌ప్లేన్స్ &amp; మోటార్ గ్లైడర్స్ నుండి డేటా, [3] ఫ్లూగ్జిగ్-టైపెన్‌బుచ్. హ్యాండ్‌బచ్ డెర్ డ్యూట్చెన్ లుఫ్ట్‌ఫహార్ట్-"&amp;" ఉండ్ జుబెహర్-ఇండస్ట్రీ 1944.")</f>
        <v>అకాఫ్లీగ్ ముంచెన్ Mü13 మెర్లిన్ మరియు అకాఫ్లీగ్ మున్చెన్ Mü13 అటాలంటే 1935 నుండి జర్మనీలో రూపొందించిన మరియు నిర్మించిన గ్లిడర్లు. మెర్లిన్ యొక్క మోటారు-గ్లైడర్ వెర్షన్ ముక్కులో ఒక చిన్న ఇంజిన్‌ను చేర్చడం ద్వారా మార్చబడింది, Mü13m మోటర్‌మెర్లిన్. యుద్ధానంతర అభివృద్ధి Mü13e గా షీబ్ బెర్గ్‌ఫాల్కేగా ఉత్పత్తిలోకి ప్రవేశించింది. [1] మొదటి ప్రపంచ యుద్ధం తరువాత జర్మనీ అనేక విశ్వవిద్యాలయాలలో అకాడెమిస్చే ఫ్లిజర్‌ష్యూల్‌ను స్థాపించింది. మొదటి మరియు ప్రధాన సమూహం బెర్లిన్‌లో స్థాపించబడింది, కాని రెండవ ప్రపంచ యుద్ధం వరకు అత్యంత ఫలవంతమైనది, అకాఫ్లీగ్ ముంచెన్. అకాఫ్లీగ్ ముంచెన్ Mü13 రెండు-సీట్ల అకాఫ్లీగ్ ముంచెన్ Mü10 మిలన్ యొక్క ఒకే-సీటు అభివృద్ధి, ఇది టోనీ ట్రోగర్ మరియు కర్ట్ ష్మిత్ చేత రూపొందించబడింది మరియు నిర్మించబడింది, ఎగాన్ స్కీబ్ దర్శకత్వంలో, రెండు వెర్షన్లలో, ఒక మోటారుగ్లైడర్ మరియు ఒక ప్యూర్ సెయిల్‌ప్లేన్. రెండు ప్రోటోటైప్‌లు నిర్మించబడ్డాయి: టోనీ ట్రోగర్ యొక్క మోటారు గ్లైడర్‌కు 'మెర్లిన్' అని పేరు పెట్టారు మరియు కర్ట్ ష్మిత్ యొక్క సెయిల్ ప్లేన్‌కు 'అటాలంటే' అని పేరు పెట్టారు. ఒకటి గ్లైడింగ్ హెరిటేజ్ సెంటర్‌లో ప్రదర్శనలో ఉంది. Mü13 లను వెల్డెడ్ స్టీల్ ట్యూబ్ ఫ్యూజ్‌లేజ్‌లతో నిర్మించారు మరియు చెక్క లాంగన్‌లను ఫాబ్రిక్ మరియు సాంప్రదాయ చెక్క రెక్కలతో ఉపయోగించి ప్లైవుడ్ స్కిన్నింగ్‌తో ప్రధాన స్పార్ మరియు ఫాబ్రిక్ వెనుకకు తిరిగి వచ్చింది. ప్రోటోటైప్‌లలో రెక్కల వెనుకంజలో ఉన్న అంచు స్టీల్-ఫ్రేమ్డ్ ఫాబ్రిక్ కవర్ ఫ్లాప్స్ మరియు ఐలెరాన్‌ల ద్వారా తీసుకోబడింది, ఇవన్నీ థర్మలింగ్ మరియు అప్రోచ్ కంట్రోల్‌ను మెరుగుపరచడానికి విక్షేపం చెందుతాయి, కాని తరువాత ఉత్పత్తి విమానాలు ఫ్లాప్‌లను తొలగించాయి, అప్రోచ్ కంట్రోల్ కోసం ఎగువ ఉపరితల స్పాయిలర్లు అమర్చబడి ఉన్నాయి, Mü13d-3 పెరిగిన స్పాన్ రెక్కలు, పొడవైన ఫ్యూజ్‌లేజ్ మరియు విస్తరించిన ఫిన్ మరియు చుక్కాని. ఎగాన్ స్కీబ్ నుండి వచ్చిన ఈ అమరిక షోల్ ముంచెన్ - మ్యూనిచ్ స్కూల్ అని పిలువబడింది. పైలట్ ప్రధాన-స్పేర్ కోసం ముందుకు కూర్చున్నాడు, రెక్క ప్రముఖ-అంచులతో చుట్టుముట్టబడి, పక్కకి దృష్టిని తీవ్రంగా పరిమితం చేస్తాడు. [2] Mü13 యొక్క పనితీరు 28 యొక్క L/D నిష్పత్తిలో ముఖ్యంగా మంచిదిగా పరిగణించబడింది మరియు సన్నని Mü స్కీబ్ ఏరోఫాయిల్ విభాగం కారణంగా సాపేక్షంగా అధిక వేగంతో ప్రయాణించే సామర్థ్యం. హన్స్ వైసెహెఫర్ చేత ఎగిరిన 'మెర్లిన్', దక్షిణ జర్మనీ మరియు ఆల్ప్స్ చుట్టూ పాయింట్ విమానాలకు వెళ్లారు, కాని 'అటాలంటే' కీర్తిని కర్ట్ ష్మిత్ పర్వతం గా సాధించింది, 16 సంవత్సరాల వయస్సులో ఎక్కువ భాగం నిర్మించాల్సిన బాధ్యత ఉంది 'వాస్సెర్కుప్పే వద్ద 1935 రోన్ పోటీలో అటాలంటే మరియు గ్లైడర్‌ను పైలట్ చేయడం, వాస్సెర్కుప్పే నుండి ట్రైయర్‌కు 252 కిలోమీటర్ల (156.6 మైల్స్) వద్ద పొడవైన విమానంలో సాధించింది. కర్ట్ ష్మిత్ యొక్క విజయం Mü13 మరియు ఉత్పత్తి వెర్షన్ కోసం డిమాండ్ దృష్టిని తెచ్చిపెట్టింది. కర్ట్ ష్మిత్ చేత పైలట్ చేయబడిన ఇతర ప్రశంసలలో 'అటాలంటే', మే 1939 లో జర్మన్ గోల్ ఫ్లైట్ (పేర్కొన్న గోల్ కు ఫ్లై) రికార్డును 482 కిమీ (260 ఎన్ఎమ్) సెట్ చేసింది. [1] మెరుగుదలలతో Mü13 Mü13d గా ఉత్పత్తిలోకి వెళ్ళింది, ఇది స్క్వార్జ్వాల్డ్-ఫ్లూగ్జూగ్‌బావు విల్హెల్మ్ జెహెల్ (విల్హెల్మ్ జెహెల్ బ్లాక్ ఫారెస్ట్ ఎయిర్‌క్రాఫ్ట్ వర్క్స్) డొనోస్చింగెన్‌లో నిర్మించబడింది, 1936 నుండి రెండవ ప్రపంచ యుద్ధం వరకు Mü13D చాలా గ్లైడింగ్ పోటీలలో పాల్గొంటుంది. ] టెన్డం టూ సీట్ Mü13e, యుద్ధానంతర పోస్ట్-స్కీబ్ బెర్గ్‌ఫాల్కే సిరీస్ ఆఫ్ ట్రైనర్స్, సారాంశంలో, సారాంశంలో కొత్త డిజైన్. [2] టోనీ ట్రోగెర్ యొక్క 'మెర్లిన్'లో 18 హెచ్‌పి (13 కిలోవాట్ల) క్రోబెర్ ఎం 4 కల్లర్ రెండు సిలిండర్లను ముక్కులో అమర్చిన రెండు సిలిండర్‌గా వ్యతిరేకించిన ఇంజిన్, Mü13m మోటర్‌మెర్లిన్‌ను తిరిగి నియమించారు, ఇది 125 కిమీ/గం (78 mph) వేగంతో చేరుకుంది మరియు 45 కి.మీ. . 1937 రాంగ్స్‌డోర్ఫ్ పోటీలో పాల్గొంటే Mü13m మోటర్‌మెర్లిన్ ఉత్తమ పనితీరును ప్రదర్శిస్తుంది. [1] జేన్ యొక్క వరల్డ్ సెయిల్‌ప్లేన్స్ &amp; మోటార్ గ్లైడర్స్ నుండి డేటా, [3] ఫ్లూగ్జిగ్-టైపెన్‌బుచ్. హ్యాండ్‌బచ్ డెర్ డ్యూట్చెన్ లుఫ్ట్‌ఫహార్ట్- ఉండ్ జుబెహర్-ఇండస్ట్రీ 1944.</v>
      </c>
      <c r="E2" s="1" t="s">
        <v>182</v>
      </c>
      <c r="F2" s="1" t="s">
        <v>183</v>
      </c>
      <c r="G2" s="1" t="str">
        <f>IFERROR(__xludf.DUMMYFUNCTION("GOOGLETRANSLATE(F:F, ""en"", ""te"")"),"సెయిల్ ప్లేన్")</f>
        <v>సెయిల్ ప్లేన్</v>
      </c>
      <c r="H2" s="3" t="s">
        <v>184</v>
      </c>
      <c r="I2" s="1" t="s">
        <v>185</v>
      </c>
      <c r="J2" s="1" t="str">
        <f>IFERROR(__xludf.DUMMYFUNCTION("GOOGLETRANSLATE(I:I, ""en"", ""te"")"),"జర్మనీ")</f>
        <v>జర్మనీ</v>
      </c>
      <c r="K2" s="3" t="s">
        <v>186</v>
      </c>
      <c r="L2" s="1" t="s">
        <v>187</v>
      </c>
      <c r="M2" s="1" t="str">
        <f>IFERROR(__xludf.DUMMYFUNCTION("GOOGLETRANSLATE(L:L, ""en"", ""te"")"),"అకాఫ్లీగ్ ముంచెన్")</f>
        <v>అకాఫ్లీగ్ ముంచెన్</v>
      </c>
      <c r="N2" s="1" t="s">
        <v>188</v>
      </c>
      <c r="O2" s="1" t="s">
        <v>189</v>
      </c>
      <c r="P2" s="1" t="str">
        <f>IFERROR(__xludf.DUMMYFUNCTION("GOOGLETRANSLATE(O:O, ""en"", ""te"")"),"ఎగాన్ స్కీబ్, కర్ట్ ష్మిత్ మరియు టోనీ ట్రోగర్ [1]")</f>
        <v>ఎగాన్ స్కీబ్, కర్ట్ ష్మిత్ మరియు టోనీ ట్రోగర్ [1]</v>
      </c>
      <c r="Q2" s="1" t="s">
        <v>190</v>
      </c>
      <c r="R2" s="1">
        <v>1935.0</v>
      </c>
      <c r="S2" s="1" t="s">
        <v>191</v>
      </c>
      <c r="T2" s="1" t="s">
        <v>192</v>
      </c>
      <c r="U2" s="1" t="s">
        <v>193</v>
      </c>
      <c r="V2" s="1">
        <v>1.0</v>
      </c>
      <c r="W2" s="1" t="s">
        <v>194</v>
      </c>
      <c r="X2" s="1" t="s">
        <v>195</v>
      </c>
      <c r="Y2" s="1" t="s">
        <v>196</v>
      </c>
      <c r="Z2" s="1" t="s">
        <v>197</v>
      </c>
      <c r="AA2" s="1" t="s">
        <v>198</v>
      </c>
      <c r="AB2" s="1" t="s">
        <v>199</v>
      </c>
      <c r="AC2" s="1" t="s">
        <v>200</v>
      </c>
      <c r="AD2" s="1" t="s">
        <v>201</v>
      </c>
      <c r="AE2" s="1">
        <v>15.05</v>
      </c>
      <c r="AF2" s="1" t="s">
        <v>202</v>
      </c>
      <c r="AG2" s="1" t="s">
        <v>203</v>
      </c>
      <c r="AH2" s="1" t="s">
        <v>204</v>
      </c>
      <c r="AI2" s="1" t="s">
        <v>205</v>
      </c>
      <c r="AJ2" s="1" t="s">
        <v>206</v>
      </c>
      <c r="AK2" s="1">
        <v>28.0</v>
      </c>
      <c r="AL2" s="1" t="s">
        <v>207</v>
      </c>
      <c r="AM2" s="1" t="s">
        <v>208</v>
      </c>
      <c r="BG2" s="2"/>
    </row>
    <row r="3">
      <c r="A3" s="1" t="s">
        <v>209</v>
      </c>
      <c r="B3" s="1" t="str">
        <f>IFERROR(__xludf.DUMMYFUNCTION("GOOGLETRANSLATE(A:A, ""en"", ""te"")"),"బ్లోచ్ MB.220")</f>
        <v>బ్లోచ్ MB.220</v>
      </c>
      <c r="C3" s="1" t="s">
        <v>210</v>
      </c>
      <c r="D3" s="1" t="str">
        <f>IFERROR(__xludf.DUMMYFUNCTION("GOOGLETRANSLATE(C:C, ""en"", ""te"")"),"బ్లోచ్ Mb.220 అనేది ఫ్రెంచ్ ట్విన్-ఇంజిన్ ప్యాసింజర్ ట్రాన్స్‌పోర్ట్ విమానం, ఇది 1930 లలో సోషియాట్ డెస్ ఏవియన్లు మార్సెల్ బ్లోచ్ చేత నిర్మించబడింది. MB.220 ఆల్-మెటల్ లో-వింగ్ కాంటిలివర్ మోనోప్లేన్. ఇది రెండు గ్నోమ్-రోన్ 14 ఎన్ రేడియల్ ఇంజిన్లచే శక్తిని పొ"&amp;"ందింది మరియు ముడుచుకునే ల్యాండింగ్ గేర్ కలిగి ఉంది. సాధారణ సిబ్బంది నాలుగు, 16 మంది ప్రయాణికులకు గది, సెంట్రల్ నడవకు ఎనిమిది సీట్లు ఉన్నాయి. ప్రోటోటైప్ మొదట 11 జూన్ 1936 న విల్లాకౌబ్లే వద్ద ఆండ్రే కర్వేల్‌తో కంట్రోల్స్, [1] తో ప్రయాణించింది మరియు తరువాత 1"&amp;"6 ఉత్పత్తి విమానాలు జరిగాయి. ఆరు ఉదాహరణలు యుద్ధం నుండి బయటపడ్డాయి మరియు రైట్ R-1820-97 తుఫాను ఇంజిన్లతో MB.221 గా సవరించబడ్డాయి. [2] 1938 మధ్య నాటికి, ఈ రకాన్ని యూరోపియన్ మార్గాల్లో ఎయిర్ ఫ్రాన్స్ ఉపయోగించుకుంది. ఈ రకం యొక్క మొదటి సేవ (లే బౌర్గెట్ మరియు క"&amp;"్రోయిడాన్ (లండన్‌కు దక్షిణాన) మధ్య 27 మార్చి 1938 న 1 గంట 15 నిమిషాల షెడ్యూల్ సమయంతో ప్రయాణించారు. రెండవ ప్రపంచ యుద్ధంలో, చాలా MB.220 లను సైనిక రవాణాగా స్వాధీనం చేసుకున్నారు, జర్మన్, ఉచిత ఫ్రెంచ్ మరియు విచి ఫ్రెంచ్ వైమానిక దళాలతో సహా. ఎయిర్ ఫ్రాన్స్ స్వల్"&amp;"ప-శ్రేణి యూరోపియన్ మార్గాలపై యుద్ధం తరువాత విమానం (MB.221 లగా) ఎగురుతూనే ఉంది. ఇది 1949 లో నాలుగు విమానాలను విక్రయించింది, కాని ఒక సంవత్సరంలోనే అన్నీ ఉపసంహరించబడ్డాయి సేవ నుండి. జేన్ యొక్క అన్ని ప్రపంచ విమానాల నుండి డేటా 1938 [5] సాధారణ లక్షణాలు పనితీరు స"&amp;"ంబంధిత అభివృద్ధి విమానాలు పోల్చదగిన పాత్ర, కాన్ఫిగరేషన్ మరియు ERA")</f>
        <v>బ్లోచ్ Mb.220 అనేది ఫ్రెంచ్ ట్విన్-ఇంజిన్ ప్యాసింజర్ ట్రాన్స్‌పోర్ట్ విమానం, ఇది 1930 లలో సోషియాట్ డెస్ ఏవియన్లు మార్సెల్ బ్లోచ్ చేత నిర్మించబడింది. MB.220 ఆల్-మెటల్ లో-వింగ్ కాంటిలివర్ మోనోప్లేన్. ఇది రెండు గ్నోమ్-రోన్ 14 ఎన్ రేడియల్ ఇంజిన్లచే శక్తిని పొందింది మరియు ముడుచుకునే ల్యాండింగ్ గేర్ కలిగి ఉంది. సాధారణ సిబ్బంది నాలుగు, 16 మంది ప్రయాణికులకు గది, సెంట్రల్ నడవకు ఎనిమిది సీట్లు ఉన్నాయి. ప్రోటోటైప్ మొదట 11 జూన్ 1936 న విల్లాకౌబ్లే వద్ద ఆండ్రే కర్వేల్‌తో కంట్రోల్స్, [1] తో ప్రయాణించింది మరియు తరువాత 16 ఉత్పత్తి విమానాలు జరిగాయి. ఆరు ఉదాహరణలు యుద్ధం నుండి బయటపడ్డాయి మరియు రైట్ R-1820-97 తుఫాను ఇంజిన్లతో MB.221 గా సవరించబడ్డాయి. [2] 1938 మధ్య నాటికి, ఈ రకాన్ని యూరోపియన్ మార్గాల్లో ఎయిర్ ఫ్రాన్స్ ఉపయోగించుకుంది. ఈ రకం యొక్క మొదటి సేవ (లే బౌర్గెట్ మరియు క్రోయిడాన్ (లండన్‌కు దక్షిణాన) మధ్య 27 మార్చి 1938 న 1 గంట 15 నిమిషాల షెడ్యూల్ సమయంతో ప్రయాణించారు. రెండవ ప్రపంచ యుద్ధంలో, చాలా MB.220 లను సైనిక రవాణాగా స్వాధీనం చేసుకున్నారు, జర్మన్, ఉచిత ఫ్రెంచ్ మరియు విచి ఫ్రెంచ్ వైమానిక దళాలతో సహా. ఎయిర్ ఫ్రాన్స్ స్వల్ప-శ్రేణి యూరోపియన్ మార్గాలపై యుద్ధం తరువాత విమానం (MB.221 లగా) ఎగురుతూనే ఉంది. ఇది 1949 లో నాలుగు విమానాలను విక్రయించింది, కాని ఒక సంవత్సరంలోనే అన్నీ ఉపసంహరించబడ్డాయి సేవ నుండి. జేన్ యొక్క అన్ని ప్రపంచ విమానాల నుండి డేటా 1938 [5] సాధారణ లక్షణాలు పనితీరు సంబంధిత అభివృద్ధి విమానాలు పోల్చదగిన పాత్ర, కాన్ఫిగరేషన్ మరియు ERA</v>
      </c>
      <c r="E3" s="1" t="s">
        <v>211</v>
      </c>
      <c r="F3" s="1" t="s">
        <v>212</v>
      </c>
      <c r="G3" s="1" t="str">
        <f>IFERROR(__xludf.DUMMYFUNCTION("GOOGLETRANSLATE(F:F, ""en"", ""te"")"),"విమానాల")</f>
        <v>విమానాల</v>
      </c>
      <c r="H3" s="3" t="s">
        <v>213</v>
      </c>
      <c r="L3" s="1" t="s">
        <v>214</v>
      </c>
      <c r="M3" s="1" t="str">
        <f>IFERROR(__xludf.DUMMYFUNCTION("GOOGLETRANSLATE(L:L, ""en"", ""te"")"),"Société డెస్ ఏవియన్లు మార్సెల్ బ్లోచ్")</f>
        <v>Société డెస్ ఏవియన్లు మార్సెల్ బ్లోచ్</v>
      </c>
      <c r="N3" s="1" t="s">
        <v>215</v>
      </c>
      <c r="R3" s="1">
        <v>1936.0</v>
      </c>
      <c r="S3" s="1">
        <v>17.0</v>
      </c>
      <c r="T3" s="1" t="s">
        <v>216</v>
      </c>
      <c r="V3" s="1">
        <v>3.0</v>
      </c>
      <c r="W3" s="1" t="s">
        <v>217</v>
      </c>
      <c r="X3" s="1" t="s">
        <v>218</v>
      </c>
      <c r="Y3" s="1" t="s">
        <v>219</v>
      </c>
      <c r="Z3" s="1" t="s">
        <v>220</v>
      </c>
      <c r="AG3" s="1" t="s">
        <v>221</v>
      </c>
      <c r="AH3" s="1" t="s">
        <v>222</v>
      </c>
      <c r="AM3" s="1" t="s">
        <v>223</v>
      </c>
      <c r="AN3" s="3" t="s">
        <v>224</v>
      </c>
      <c r="AO3" s="1">
        <v>1938.0</v>
      </c>
      <c r="AP3" s="3" t="s">
        <v>225</v>
      </c>
      <c r="AQ3" s="1">
        <v>1950.0</v>
      </c>
      <c r="AR3" s="3" t="s">
        <v>226</v>
      </c>
      <c r="AS3" s="1" t="s">
        <v>227</v>
      </c>
      <c r="AT3" s="1"/>
      <c r="AU3" s="1" t="s">
        <v>228</v>
      </c>
      <c r="AV3" s="1">
        <v>16.0</v>
      </c>
      <c r="AW3" s="1" t="s">
        <v>229</v>
      </c>
      <c r="AX3" s="1" t="s">
        <v>230</v>
      </c>
      <c r="AY3" s="1" t="str">
        <f>IFERROR(__xludf.DUMMYFUNCTION("GOOGLETRANSLATE(AX:AX, ""en"", ""te"")"),"1 × గ్నోమ్-రోన్ 14 ఎన్ -17 14-సిల్. రెండు-వరుస ఎయిర్-కూల్డ్ పిస్టన్ ఇంజన్లు, 682 kW (915 HP) 1,750 మీ (5,740 అడుగులు) (ఎడమ చేతి భ్రమణం)")</f>
        <v>1 × గ్నోమ్-రోన్ 14 ఎన్ -17 14-సిల్. రెండు-వరుస ఎయిర్-కూల్డ్ పిస్టన్ ఇంజన్లు, 682 kW (915 HP) 1,750 మీ (5,740 అడుగులు) (ఎడమ చేతి భ్రమణం)</v>
      </c>
      <c r="AZ3" s="1" t="s">
        <v>231</v>
      </c>
      <c r="BA3" s="1" t="str">
        <f>IFERROR(__xludf.DUMMYFUNCTION("GOOGLETRANSLATE(AZ:AZ, ""en"", ""te"")"),"3-బ్లేడెడ్ రేటియర్ వేరియబుల్-పిచ్ ప్రొపెల్లర్లు")</f>
        <v>3-బ్లేడెడ్ రేటియర్ వేరియబుల్-పిచ్ ప్రొపెల్లర్లు</v>
      </c>
      <c r="BB3" s="1" t="s">
        <v>232</v>
      </c>
      <c r="BC3" s="1" t="s">
        <v>233</v>
      </c>
      <c r="BD3" s="1" t="s">
        <v>234</v>
      </c>
      <c r="BE3" s="1" t="s">
        <v>235</v>
      </c>
      <c r="BG3" s="2"/>
    </row>
    <row r="4">
      <c r="A4" s="1" t="s">
        <v>236</v>
      </c>
      <c r="B4" s="1" t="str">
        <f>IFERROR(__xludf.DUMMYFUNCTION("GOOGLETRANSLATE(A:A, ""en"", ""te"")"),"డగ్లస్ D-558-2 ఆకాశహర్మ్యం")</f>
        <v>డగ్లస్ D-558-2 ఆకాశహర్మ్యం</v>
      </c>
      <c r="C4" s="1" t="s">
        <v>237</v>
      </c>
      <c r="D4" s="1" t="str">
        <f>IFERROR(__xludf.DUMMYFUNCTION("GOOGLETRANSLATE(C:C, ""en"", ""te"")"),"డగ్లస్ D-558-2 స్కైరాకెట్ (లేదా D-558-II) అనేది అమెరికా నేవీ కోసం డగ్లస్ ఎయిర్క్రాఫ్ట్ కంపెనీ నిర్మించిన రాకెట్ మరియు జెట్-శక్తితో పనిచేసే పరిశోధన సూపర్సోనిక్ విమానం. 20 నవంబర్ 1953 న, (17 డిసెంబర్) 50 వ వార్షికోత్సవానికి ముందు, స్కాట్ క్రాస్‌ఫీల్డ్ ఆకాశా"&amp;"న్ని ఆకాశాన్ని పైలట్ చేశాడు, లేదా 1,290 mph (2076 కిమీ/గం) కంటే ఎక్కువ, మొదటిసారి ఒక విమానం రెండు రెట్లు మించిపోయింది ధ్వని. విమానం యొక్క హోదాలోని ""-2"" స్కైరోకెట్ అనేది మూడు-దశల ప్రోగ్రామ్‌గా భావించబడిన దశ-రెండు వెర్షన్ అనే వాస్తవాన్ని సూచిస్తుంది. దశ-వ"&amp;"న్ విమానం, D-558-1, జెట్ శక్తితో ఉంది మరియు నేరుగా రెక్కలు కలిగి ఉంది. మూడవ దశ, ఎన్నడూ ఫలించలేదు, దశ ఒకటి మరియు రెండు విమానాల పరీక్ష నుండి ఫలితాలను కలిగి ఉన్న పోరాట రకం విమానం యొక్క మాక్-అప్ నిర్మించడం. చివరికి D-558-3 డిజైన్, ఇది ఎప్పుడూ నిర్మించబడలేదు, "&amp;"ఇది ఉత్తర అమెరికా X-15 మాదిరిగానే హైపర్సోనిక్ విమానం కోసం. [1] రాకెట్ మరియు జెట్ పవర్ రెండింటికీ అనుగుణంగా D558-1 ఫ్యూజ్‌లేజ్‌ను సవరించలేమని స్పష్టమైంది, D558-2 పూర్తిగా భిన్నమైన విమానంగా భావించబడింది. [2] చివరి మూడు D558-1 విమానాలను అధికారికంగా వదలానికి "&amp;"మరియు బదులుగా మూడు కొత్త D558-2 విమానాలను ప్రత్యామ్నాయం చేయడానికి కాంట్రాక్ట్ మార్పు ఆర్డర్ 27 జనవరి 1947 న జారీ చేయబడింది. [3] స్కైరోకెట్‌లో 35-డిగ్రీల స్వీప్ మరియు 40-డిగ్రీల స్వీప్‌తో క్షితిజ సమాంతర స్టెబిలైజర్‌లతో రెక్కలు ఉన్నాయి. రెక్కలు మరియు ఎంపెనే"&amp;"జ్ అల్యూమినియం నుండి కల్పించబడ్డాయి మరియు పెద్ద ఫ్యూజ్‌లేజ్ ప్రధానంగా మెగ్నీషియం నిర్మాణంలో ఉంది. ఫార్వర్డ్ ఫ్యూజ్‌లేజ్‌లో సైడ్ ఇంటెక్స్ ద్వారా తినిపించిన వెస్టింగ్‌హౌస్ J34-40 టర్బోజెట్ ఇంజిన్ ద్వారా ఆకాశాన్ని అంటుకుంటుంది. ఈ ఇంజిన్ టేకాఫ్, క్లైమ్ మరియు "&amp;"ల్యాండింగ్ కోసం ఉద్దేశించబడింది. హై స్పీడ్ ఫ్లైట్ కోసం, నాలుగు-ఛాంబర్ రియాక్షన్ మోటార్స్ LR8-RM-6 ఇంజిన్ (బెల్ X-1 లో ఉపయోగించిన వైమానిక దళం యొక్క XLR11 కోసం నేవీ హోదా) అమర్చారు. ఈ ఇంజిన్ సముద్ర మట్టంలో 6,000 ఎల్బిఎఫ్ (27 కెఎన్) స్టాటిక్ థ్రస్ట్ వద్ద రేట్"&amp;" చేయబడింది. మొత్తం 250 యుఎస్ గ్యాలన్లు (950 ఎల్) విమానయాన ఇంధనం, 195 యుఎస్ గ్యాలన్లు (740 ఎల్) ఆల్కహాల్, మరియు 180 యుఎస్ గ్యాలన్లు (680 ఎల్) ద్రవ ఆక్సిజన్ ఫ్యూజ్‌లేజ్ ట్యాంకుల్లో తీసుకువెళ్లారు. స్కైరోకెట్ ఫ్లష్ కాక్‌పిట్ పందిరితో కాన్ఫిగర్ చేయబడింది, కాన"&amp;"ి కాక్‌పిట్ నుండి దృశ్యమానత తక్కువగా ఉంది, కాబట్టి ఇది సాంప్రదాయిక కోణాల కిటికీలతో పెరిగిన కాక్‌పిట్‌తో తిరిగి కాన్ఫిగర్ చేయబడింది. ఇది విమానం ముందు భాగంలో ఎక్కువ ప్రొఫైల్ ప్రాంతానికి దారితీసింది, ఇది నిలువు స్టెబిలైజర్‌కు జోడించిన అదనంగా 14 అంగుళాల (36 స"&amp;"ెం.మీ) ఎత్తుతో సమతుల్యమైంది. దాని పూర్వీకుడు, D558-1 వలె, D558-2 రూపకల్పన చేయబడింది, తద్వారా కాక్‌పిట్‌తో సహా ఫార్వర్డ్ ఫ్యూజ్‌లేజ్‌ను మిగిలిన విమానాల నుండి అత్యవసర పరిస్థితుల్లో వేరు చేయవచ్చు. ఫార్వర్డ్ ఫ్యూజ్‌లేజ్ తగినంతగా క్షీణించిన తర్వాత, పైలట్ పారాచ"&amp;"ూట్ ద్వారా కాక్‌పిట్ నుండి తప్పించుకోగలడు. డగ్లస్ పైలట్ జాన్ ఎఫ్. మార్టిన్ కాలిఫోర్నియాలోని మురోక్ ఆర్మీ ఎయిర్ఫీల్డ్ (తరువాత ఎడ్వర్డ్స్ ఎయిర్ ఫోర్స్ బేస్ గా పేరు మార్చబడింది) వద్ద 4 ఫిబ్రవరి 1948 న జెట్ ఇంజిన్‌తో మాత్రమే అమర్చిన విమానంలో మొదటి విమానంలో చే"&amp;"శాడు. ఈ కార్యక్రమం యొక్క లక్ష్యాలు ట్రాన్సోనిక్ మరియు సూపర్సోనిక్ వేగంతో స్వీప్-వింగ్ విమానాల లక్షణాలను పిచ్-అప్ (విమానం యొక్క ముక్కు యొక్క కమాండెడ్ రొటేషన్) పై ప్రత్యేక శ్రద్ధతో పరిశోధించడం, హై-స్పీడ్ సర్వీస్ విమానంలో ప్రబలంగా ఉన్న సమస్య ఆ యుగంలో, ముఖ్యం"&amp;"గా టేకాఫ్ మరియు ల్యాండింగ్ సమయంలో తక్కువ వేగంతో మరియు గట్టి మలుపులు. ఈ మూడు విమానాలు పిచ్-అప్ మరియు పార్శ్వ (YAW) మరియు రేఖాంశ (పిచ్) కదలికల కలయిక గురించి చాలా డేటాను సేకరించింది; రెక్కలు మరియు తోక లోడ్లు, ట్రాన్సోనిక్ మరియు సూపర్సోనిక్ వేగంతో స్వీప్-వింగ"&amp;"్ విమానాల యొక్క లిఫ్ట్, డ్రాగ్ మరియు బఫేటింగ్ లక్షణాలు; మరియు స్పీడ్ పరిధిలో పార్శ్వ డైనమిక్ స్థిరత్వంపై రాకెట్ ఎగ్జాస్ట్ ప్లూమ్ యొక్క ప్రభావాలు. . . XF-92A వంటి ఇతర ప్రారంభ ట్రాన్సోనిక్ పరిశోధన విమానాల నుండి వచ్చిన డేటాతో పరస్పర సంబంధం కలిగి ఉన్న ఈ సమాచా"&amp;"రం స్వీప్ట్-వింగ్ విమానాలలో పిచ్-అప్ సమస్యకు పరిష్కారాలకు దోహదపడింది. దీని విమాన పరిశోధన కాలిఫోర్నియాలోని NACA యొక్క మురోక్ ఫ్లైట్ టెస్ట్ యూనిట్‌లో జరిగింది, 1949 లో హై-స్పీడ్ ఫ్లైట్ రీసెర్చ్ స్టేషన్ (HSFRS) పున es రూపకల్పన చేయబడింది. HSFRS 1954 లో హై-స్ప"&amp;"ీడ్ ఫ్లైట్ స్టేషన్‌గా మారింది మరియు తరువాత దీనిని నాసా డ్రైడెన్ ఫ్లైట్ రీసెర్చ్ సెంటర్ అని పిలుస్తారు. 2014 లో దీనికి నీల్ ఆర్మ్‌స్ట్రాంగ్ గౌరవార్థం ఆర్మ్‌స్ట్రాంగ్ ఫ్లైట్ రీసెర్చ్ సెంటర్ గా పేరు మార్చారు. మూడు విమానాలు మొత్తం 313 సార్లు - 123 న నంబర్ వన్"&amp;" విమానం (బ్యూరో నం. 37973 - నాకా 143), 103 రెండవ ఆకాశహర్మ్యం (బ్యూరో నం. 37975 - నాకా 145). విమానం యొక్క పనితీరును పరీక్షించడానికి డగ్లస్ కాంట్రాక్టర్ ప్రోగ్రామ్‌లో భాగంగా స్కైరాకెట్ 143 దాని మిషన్లలో ఒకటి మినహా అన్నింటినీ ఎగిరింది. నాకా ఎయిర్క్రాఫ్ట్ 143"&amp;" మొదట జెట్ ఇంజిన్ ద్వారా మాత్రమే శక్తిని పొందింది, కాని తరువాత రాకెట్ ఇంజిన్‌తో అమర్చారు. ఈ కాన్ఫిగరేషన్‌లో, దీనిని 1949 నుండి 1951 వరకు డగ్లస్ పరీక్షించారు. డగ్లస్ యొక్క పరీక్షా కార్యక్రమం తరువాత, ఇది 1954–55లో దీనిని నాకాకు పంపిణీ చేసింది. 1954–55లో కాం"&amp;"ట్రాక్టర్ దీనిని ఆల్-రాకెట్ ఎయిర్-లాంచ్ సామర్థ్యానికి సవరించాడు జెట్ ఇంజిన్ తొలగించబడింది. ఈ కాన్ఫిగరేషన్‌లో, NACA రీసెర్చ్ పైలట్ జాన్ మెక్కే 17 సెప్టెంబర్ 1956 న పరిచయం కోసం ఒక్కసారి మాత్రమే విమానాన్ని ప్రయాణించారు. NACA 143 యొక్క 123 విమానాలు విమానం యొక"&amp;"్క పనితీరు యొక్క విండ్-టన్నెల్ అంచనాలను ధృవీకరించడానికి ఉపయోగపడ్డాయి, విమానం తక్కువ లాగడం తప్ప విండ్ టన్నెల్స్ సూచించిన దానికంటే మాక్ 0.85. నాకా 144 కూడా టర్బోజెట్ పవర్‌ప్లాంట్‌తో తన విమాన కార్యక్రమాన్ని ప్రారంభించింది. నాకా పైలట్లు రాబర్ట్ ఎ. ఛాంపిన్ [4]"&amp;" మరియు జాన్ హెచ్. ఈ ప్రక్రియలో, ఆగష్టు 1949 లో వారు పిచ్-అప్ సమస్యలను ఎదుర్కొన్నారు, ఇది NACA ఇంజనీర్లు తీవ్రంగా గుర్తించారు, ఎందుకంటే వారు విమాన పనితీరుపై పరిమితి మరియు ప్రమాదకరమైన పరిమితిని కలిగించగలరు. అందువల్ల, వారు సమస్యపై పూర్తి దర్యాప్తు చేయాలని ని"&amp;"ర్ణయించుకున్నారు. 1950 లో, డగ్లస్ టర్బోజెట్‌ను ఎల్‌ఆర్ -8 రాకెట్ ఇంజిన్‌తో భర్తీ చేశాడు మరియు దాని పైలట్, బిల్ బ్రిడ్జ్‌మాన్, ఈ విమానాన్ని ఏడు రెట్లు మాక్ 1.88 (ధ్వని వేగం) మరియు 79,494 అడుగుల ఎత్తు (24,230 ఎత్తు వరకు ప్రయాణించాడు. m), రెండోది ఆ సమయంలో అన"&amp;"ధికారిక ప్రపంచ ఎత్తు రికార్డు, 15 ఆగస్టు 1951 న సాధించింది. [5] రాకెట్ కాన్ఫిగరేషన్‌లో, ఈ విమానం B-29 బాంబర్ యొక్క వేరియంట్ అయిన నేవీ P2B యొక్క బాంబ్ బే క్రింద జతచేయబడింది. పి 2 బి సుమారు 30,000 అడుగుల (9,100 మీ) వరకు ఎగురుతుంది, తరువాత రాకెట్ విమానాన్ని "&amp;"విడుదల చేస్తుంది. బ్రిడ్జ్‌మాన్ యొక్క సూపర్సోనిక్ విమానాల సమయంలో, అతను పార్శ్వ అస్థిరత అని పిలువబడే హింసాత్మక రోలింగ్ మోషన్‌ను ఎదుర్కొన్నాడు. జూన్లో మాక్ 1.85 ఫ్లైట్ కంటే 1951 ఆగస్టు 7 న మాక్ 1.88 విమానంలో ఈ మోషన్ తక్కువ ఉచ్ఛరించబడింది, అతను తక్కువ దాడి క"&amp;"ోణానికి నెట్టాడు. NACA ఇంజనీర్లు సెప్టెంబర్ 1951 లో విమానంలో తమ సొంత విమాన పరిశోధనలను ప్రారంభించే ముందు విమానం యొక్క ప్రవర్తనను అధ్యయనం చేశారు. తరువాతి రెండు సంవత్సరాల్లో, నాకా పైలట్ స్కాట్ క్రాస్‌ఫీల్డ్ రేఖాంశ మరియు పార్శ్వ స్థిరత్వం మరియు నియంత్రణ, రెక్"&amp;"కలపై డేటాను సేకరించడానికి 20 సార్లు విమానాన్ని ఎగురవేసింది. . ఆ సమయంలో, మెరైన్ లెఫ్టినెంట్ కల్నల్ మారియన్ కార్ల్ ఈ విమానాన్ని 21 ఆగస్టు 1953 న 83,235 అడుగుల (25,370 మీ) కొత్త (అనధికారిక) ఎత్తు రికార్డుకు మరియు గరిష్టంగా మాక్ 1.728 వేగంతో ఎగురవేసాడు. ఫెడరే"&amp;"షన్ ఆఫ్ ఏరోనాటిక్ ఇంటర్నేషనల్ చేత ఎత్తు రికార్డు గుర్తించబడలేదు, ఎందుకంటే ఆ సమయంలో విమానం రికార్డు ప్రయత్నాలు చేసేటప్పుడు వారి స్వంత శక్తిని తొలగించాల్సి వచ్చింది. [6] కార్ల్ నేవీ కోసం ఈ విమానాలను పూర్తి చేసిన తరువాత, కాలిఫోర్నియాలోని మొజావేకు సమీపంలో ఉన్"&amp;"న హై-స్పీడ్ ఫ్లైట్ రీసెర్చ్ స్టేషన్ (హెచ్‌ఎస్‌ఎఫ్‌ఆర్‌ఎస్) వద్ద NACA సాంకేతిక నిపుణులు, ఎల్‌ఆర్ -8 ఇంజిన్ యొక్క దహన గదులను నాజిల్ ఎక్స్‌టెన్షన్స్‌తో తయారు చేశారు వేగం. ఈ అదనంగా ఇంజిన్ యొక్క థ్రస్ట్‌ను మాక్ 1.7 మరియు 70,000 అడుగులు (21,300 మీ) వద్ద 6.5 శాత"&amp;"ం పెంచింది. మారియన్ కార్ల్ ఆకాశాన్ని ఎగురవేయడానికి ముందే, హెచ్‌ఎస్‌ఎఫ్‌ఆర్‌ఎస్ చీఫ్ వాల్టర్ సి. చివరగా, క్రాస్‌ఫీల్డ్ నేవీ యొక్క బ్యూరో ఆఫ్ ఏరోనాటిక్స్ యొక్క ఒప్పందాన్ని పొందిన తరువాత, NACA డైరెక్టర్ హ్యూ ఎల్. డ్రైడెన్ సంస్థ యొక్క రికార్డు సెట్టింగ్‌ను ఇత"&amp;"రులకు వదిలివేసే సాధారణ అభ్యాసాన్ని సడలించాడు మరియు మాక్ 2 కి ఫ్లైట్ చేయడానికి ప్రయత్నించడానికి అంగీకరించాడు. నాజిల్ పొడిగింపులను జోడించడంతో పాటు, హెచ్‌ఎస్‌ఎఫ్‌ఆర్‌ఎస్‌లోని నాకా ఫ్లైట్ టీం ఇంధనాన్ని (ఆల్కహాల్) ను చల్లబరిచింది, అందువల్ల ట్యాంక్‌లోకి ఎక్కువ "&amp;"పోయవచ్చు మరియు డ్రాగ్‌ను తగ్గించడానికి ఫ్యూజ్‌లేజ్‌ను మైనపు చేసి. ప్రాజెక్ట్ ఇంజనీర్ హర్మన్ ఓ. అంకెన్‌బ్రక్ సుమారు 72,000 అడుగుల (21,900 మీ) వరకు ప్రయాణించే ప్రణాళికను రూపొందించాడు మరియు కొంచెం డైవ్‌లోకి నెట్టాడు. క్రాస్ఫీల్డ్ 20 నవంబర్ 1953 న విమానయాన చర"&amp;"ిత్రను చేసింది, అతను మాక్ 2.005, గంటకు 1,291 మైళ్ళు (గంటకు 2,078 కిమీ) వెళ్ళాడు. ఇది ఇప్పటివరకు చేసిన ఆకాశహర్మ్యం మాత్రమే మాక్ 2 ఫ్లైట్. ఈ విమానంలో, క్రాస్‌ఫీల్డ్ మరియు నాకా పైలట్లు జోసెఫ్ ఎ. వాకర్ మరియు జాన్ బి. , మెక్కే డైనమిక్ స్టెబిలిటీ డేటా మరియు సౌం"&amp;"డ్-ప్రెజర్ స్థాయిలను ట్రాన్సోనిక్ వేగంతో మరియు అంతకంటే ఎక్కువ పొందినప్పుడు. ఇంతలో, NACA 145 నవంబర్ 1950 లో డగ్లస్ పైలట్లు యూజీన్ ఎఫ్. మే మరియు విలియం బ్రిడ్జ్‌మన్ చేత 21 కాంట్రాక్టర్ విమానాలను పూర్తి చేసింది. 1951 వేసవిలో 1953 లో. వారు వివిధ రకాల వింగ్-కం"&amp;"చె, వింగ్-స్లాట్ మరియు ప్రముఖ ఎడ్జ్ తీగ పొడిగింపు కాన్ఫిగరేషన్లతో ఆకాశాన్ని ఎగరారు, వివిధ విన్యాసాలు మరియు ట్రాన్సోనిక్ వేగంతో సూటిగా మరియు స్థాయి ఎగురుతూ ఉన్నారు. పిచ్-అప్ పరిస్థితుల నుండి కంచెలు గణనీయంగా రికవరీ చేయగా, ప్రముఖ ఎడ్జ్ తీగ పొడిగింపులు చేయలేద"&amp;"ు, దీనికి విరుద్ధంగా విండ్-టన్నెల్ పరీక్షలను ఖండించింది. పూర్తిగా ఓపెన్ పొజిషన్‌లో స్లాట్లు (పొడవైన, ఇరుకైన సహాయక ఎయిర్‌ఫాయిల్స్) మాక్ 0.8 నుండి 0.85 వరకు స్పీడ్ పరిధిలో మినహా పిచ్-అప్‌ను తొలగించాయి. జూన్ 1954 లో, క్రాస్ఫీల్డ్ విమానం యొక్క ట్రాన్సోనిక్ ప్"&amp;"రవర్తనపై బాహ్య దుకాణాల (బాంబు ఆకారాలు మరియు ఇంధన ట్యాంకులు) ప్రభావాలపై పరిశోధన ప్రారంభించింది. మెక్కే మరియు స్టాన్లీ బుట్చార్ట్ ఈ సమస్యపై నాకా దర్యాప్తును పూర్తి చేశారు, మెక్కే 28 ఆగస్టు 1956 న మెక్కే తుది మిషన్‌ను ఎగురవేయడంతో. అనేక రికార్డులను నెలకొల్పడం"&amp;"తో పాటు, ఆకాశహర్మ్యం పైలట్లు స్థిరమైన, నియంత్రిత విమాన విమానాన్ని అందించడానికి ఏమి పని చేయరు అనే దానిపై ముఖ్యమైన డేటాను మరియు అవగాహనను సేకరించారు. ట్రాన్సోనిక్ మరియు సూపర్సోనిక్ ఫ్లైట్ పాలనలలో ఒక తుడిచిపెట్టిన విమానాలు. వారు సేకరించిన డేటా వాస్తవ విమాన వి"&amp;"లువలతో విండ్-టన్నెల్ పరీక్ష ఫలితాల యొక్క మెరుగైన సహసంబంధాన్ని ప్రారంభించడానికి సహాయపడింది, సాయుధ సేవలకు, ముఖ్యంగా స్వీప్ రెక్కలు ఉన్నవారికి మరింత సమర్థవంతమైన విమానాలను ఉత్పత్తి చేయడానికి డిజైనర్ల సామర్థ్యాలను పెంచుతుంది. అంతేకాకుండా, ఈ మరియు ఇతర ప్రారంభ ప"&amp;"రిశోధనా విమానాల నుండి స్థిరత్వం మరియు నియంత్రణ వంటి విషయాలపై డేటా సెంచరీ సిరీస్ ఫైటర్ విమానాల రూపకల్పనలో సహాయపడింది, ఇవన్నీ X-1 మరియు D-558 సిరీస్‌లలో మొదట పనిచేసిన కదిలే క్షితిజ సమాంతర స్టెబిలైజర్‌లను కలిగి ఉన్నాయి. స్కైరోకెట్లలో మూడు 35-డిగ్రీల తుడిచిపె"&amp;"ట్టిన రెక్కలు ఉన్నాయి. ఎయిర్ లాంచ్ కోసం కాన్ఫిగర్ అయ్యే వరకు, NACA 143 లో వెస్టింగ్‌హౌస్ J-34-40 టర్బోజెట్ ఇంజన్ 3,000 LBF (13 kN) స్టాటిక్ థ్రస్ట్ వద్ద రేట్ చేయబడింది. ఇది 260 యుఎస్ గ్యాలన్ల (980 ఎల్) ఏవియేషన్ గ్యాసోలిన్ మరియు టేకాఫ్ వద్ద 10,572 ఎల్బి (4"&amp;",795 కిలోలు) బరువు కలిగి ఉంది. NACA 144 (మరియు 1955 లో సవరించబడిన తరువాత NACA 143) 6,000 పౌండ్ల-ఫోర్స్ (27 kN) స్టాటిక్ థ్రస్ట్ వద్ద రేట్ చేయబడిన LR-8-RM-6 రాకెట్ ఇంజిన్ ద్వారా శక్తినిచ్చింది. దీని ప్రొపెల్లెంట్లు 345 యుఎస్ గ్యాలన్లు (1,310 ఎల్) ద్రవ ఆక్స"&amp;"ిజన్ మరియు 378 యుఎస్ గ్యాలన్లు (1,430 ఎల్) పలుచన ఇథైల్ ఆల్కహాల్. దాని ప్రయోగ ఆకృతీకరణలో, దీని బరువు 15,787 lb (7,161 కిలోలు). NACA 145 లో LR-8-RM-5 రాకెట్ ఇంజిన్ రెండింటినీ 6,000 lbf (27 kn) స్టాటిక్ థ్రస్ట్ వద్ద రేట్ చేసింది మరియు వెస్టింగ్‌హౌస్ J-34-40 "&amp;"టర్బోజెట్ ఇంజిన్‌ను 3,000 LBF (13 kN) స్టాటిక్ థ్రస్ట్ వద్ద రేట్ చేసింది. ఇది 170 యుఎస్ గ్యాలన్లు (640 ఎల్) ద్రవ ఆక్సిజన్, 192 యుఎస్ గ్యాలన్లు (730 ఎల్) పలుచన ఇథైల్ ఆల్కహాల్, మరియు 260 యుఎస్ గ్యాలన్లు (980 ఎల్) విమానయాన గ్యాసోలిన్ 15,266 ఎల్బి (6,925 కిలో"&amp;"లు) బరువుకు తీసుకువెళ్ళాయి. కాలిఫోర్నియాలోని చినోలోని ఫేమ్ మ్యూజియం యొక్క విమానాలలో D-558-2 #1 స్కైరోకెట్ ప్రదర్శనలో ఉంది. రెండు ఆకాశాన్ని అంటుకునే, ఫ్లై మాక్ 2 యొక్క మొదటి విమానం వాషింగ్టన్ డి.సి.లోని నేషనల్ ఎయిర్ అండ్ స్పేస్ మ్యూజియంలో ప్రదర్శనలో ఉంది. "&amp;"మూడవ విమానం కాలిఫోర్నియాలోని లాంకాస్టర్, యాంటెలోప్ వ్యాలీ కాలేజీ మైదానంలో పైలాన్‌లో ప్రదర్శించబడుతుంది. .")</f>
        <v>డగ్లస్ D-558-2 స్కైరాకెట్ (లేదా D-558-II) అనేది అమెరికా నేవీ కోసం డగ్లస్ ఎయిర్క్రాఫ్ట్ కంపెనీ నిర్మించిన రాకెట్ మరియు జెట్-శక్తితో పనిచేసే పరిశోధన సూపర్సోనిక్ విమానం. 20 నవంబర్ 1953 న, (17 డిసెంబర్) 50 వ వార్షికోత్సవానికి ముందు, స్కాట్ క్రాస్‌ఫీల్డ్ ఆకాశాన్ని ఆకాశాన్ని పైలట్ చేశాడు, లేదా 1,290 mph (2076 కిమీ/గం) కంటే ఎక్కువ, మొదటిసారి ఒక విమానం రెండు రెట్లు మించిపోయింది ధ్వని. విమానం యొక్క హోదాలోని "-2" స్కైరోకెట్ అనేది మూడు-దశల ప్రోగ్రామ్‌గా భావించబడిన దశ-రెండు వెర్షన్ అనే వాస్తవాన్ని సూచిస్తుంది. దశ-వన్ విమానం, D-558-1, జెట్ శక్తితో ఉంది మరియు నేరుగా రెక్కలు కలిగి ఉంది. మూడవ దశ, ఎన్నడూ ఫలించలేదు, దశ ఒకటి మరియు రెండు విమానాల పరీక్ష నుండి ఫలితాలను కలిగి ఉన్న పోరాట రకం విమానం యొక్క మాక్-అప్ నిర్మించడం. చివరికి D-558-3 డిజైన్, ఇది ఎప్పుడూ నిర్మించబడలేదు, ఇది ఉత్తర అమెరికా X-15 మాదిరిగానే హైపర్సోనిక్ విమానం కోసం. [1] రాకెట్ మరియు జెట్ పవర్ రెండింటికీ అనుగుణంగా D558-1 ఫ్యూజ్‌లేజ్‌ను సవరించలేమని స్పష్టమైంది, D558-2 పూర్తిగా భిన్నమైన విమానంగా భావించబడింది. [2] చివరి మూడు D558-1 విమానాలను అధికారికంగా వదలానికి మరియు బదులుగా మూడు కొత్త D558-2 విమానాలను ప్రత్యామ్నాయం చేయడానికి కాంట్రాక్ట్ మార్పు ఆర్డర్ 27 జనవరి 1947 న జారీ చేయబడింది. [3] స్కైరోకెట్‌లో 35-డిగ్రీల స్వీప్ మరియు 40-డిగ్రీల స్వీప్‌తో క్షితిజ సమాంతర స్టెబిలైజర్‌లతో రెక్కలు ఉన్నాయి. రెక్కలు మరియు ఎంపెనేజ్ అల్యూమినియం నుండి కల్పించబడ్డాయి మరియు పెద్ద ఫ్యూజ్‌లేజ్ ప్రధానంగా మెగ్నీషియం నిర్మాణంలో ఉంది. ఫార్వర్డ్ ఫ్యూజ్‌లేజ్‌లో సైడ్ ఇంటెక్స్ ద్వారా తినిపించిన వెస్టింగ్‌హౌస్ J34-40 టర్బోజెట్ ఇంజిన్ ద్వారా ఆకాశాన్ని అంటుకుంటుంది. ఈ ఇంజిన్ టేకాఫ్, క్లైమ్ మరియు ల్యాండింగ్ కోసం ఉద్దేశించబడింది. హై స్పీడ్ ఫ్లైట్ కోసం, నాలుగు-ఛాంబర్ రియాక్షన్ మోటార్స్ LR8-RM-6 ఇంజిన్ (బెల్ X-1 లో ఉపయోగించిన వైమానిక దళం యొక్క XLR11 కోసం నేవీ హోదా) అమర్చారు. ఈ ఇంజిన్ సముద్ర మట్టంలో 6,000 ఎల్బిఎఫ్ (27 కెఎన్) స్టాటిక్ థ్రస్ట్ వద్ద రేట్ చేయబడింది. మొత్తం 250 యుఎస్ గ్యాలన్లు (950 ఎల్) విమానయాన ఇంధనం, 195 యుఎస్ గ్యాలన్లు (740 ఎల్) ఆల్కహాల్, మరియు 180 యుఎస్ గ్యాలన్లు (680 ఎల్) ద్రవ ఆక్సిజన్ ఫ్యూజ్‌లేజ్ ట్యాంకుల్లో తీసుకువెళ్లారు. స్కైరోకెట్ ఫ్లష్ కాక్‌పిట్ పందిరితో కాన్ఫిగర్ చేయబడింది, కాని కాక్‌పిట్ నుండి దృశ్యమానత తక్కువగా ఉంది, కాబట్టి ఇది సాంప్రదాయిక కోణాల కిటికీలతో పెరిగిన కాక్‌పిట్‌తో తిరిగి కాన్ఫిగర్ చేయబడింది. ఇది విమానం ముందు భాగంలో ఎక్కువ ప్రొఫైల్ ప్రాంతానికి దారితీసింది, ఇది నిలువు స్టెబిలైజర్‌కు జోడించిన అదనంగా 14 అంగుళాల (36 సెం.మీ) ఎత్తుతో సమతుల్యమైంది. దాని పూర్వీకుడు, D558-1 వలె, D558-2 రూపకల్పన చేయబడింది, తద్వారా కాక్‌పిట్‌తో సహా ఫార్వర్డ్ ఫ్యూజ్‌లేజ్‌ను మిగిలిన విమానాల నుండి అత్యవసర పరిస్థితుల్లో వేరు చేయవచ్చు. ఫార్వర్డ్ ఫ్యూజ్‌లేజ్ తగినంతగా క్షీణించిన తర్వాత, పైలట్ పారాచూట్ ద్వారా కాక్‌పిట్ నుండి తప్పించుకోగలడు. డగ్లస్ పైలట్ జాన్ ఎఫ్. మార్టిన్ కాలిఫోర్నియాలోని మురోక్ ఆర్మీ ఎయిర్ఫీల్డ్ (తరువాత ఎడ్వర్డ్స్ ఎయిర్ ఫోర్స్ బేస్ గా పేరు మార్చబడింది) వద్ద 4 ఫిబ్రవరి 1948 న జెట్ ఇంజిన్‌తో మాత్రమే అమర్చిన విమానంలో మొదటి విమానంలో చేశాడు. ఈ కార్యక్రమం యొక్క లక్ష్యాలు ట్రాన్సోనిక్ మరియు సూపర్సోనిక్ వేగంతో స్వీప్-వింగ్ విమానాల లక్షణాలను పిచ్-అప్ (విమానం యొక్క ముక్కు యొక్క కమాండెడ్ రొటేషన్) పై ప్రత్యేక శ్రద్ధతో పరిశోధించడం, హై-స్పీడ్ సర్వీస్ విమానంలో ప్రబలంగా ఉన్న సమస్య ఆ యుగంలో, ముఖ్యంగా టేకాఫ్ మరియు ల్యాండింగ్ సమయంలో తక్కువ వేగంతో మరియు గట్టి మలుపులు. ఈ మూడు విమానాలు పిచ్-అప్ మరియు పార్శ్వ (YAW) మరియు రేఖాంశ (పిచ్) కదలికల కలయిక గురించి చాలా డేటాను సేకరించింది; రెక్కలు మరియు తోక లోడ్లు, ట్రాన్సోనిక్ మరియు సూపర్సోనిక్ వేగంతో స్వీప్-వింగ్ విమానాల యొక్క లిఫ్ట్, డ్రాగ్ మరియు బఫేటింగ్ లక్షణాలు; మరియు స్పీడ్ పరిధిలో పార్శ్వ డైనమిక్ స్థిరత్వంపై రాకెట్ ఎగ్జాస్ట్ ప్లూమ్ యొక్క ప్రభావాలు. . . XF-92A వంటి ఇతర ప్రారంభ ట్రాన్సోనిక్ పరిశోధన విమానాల నుండి వచ్చిన డేటాతో పరస్పర సంబంధం కలిగి ఉన్న ఈ సమాచారం స్వీప్ట్-వింగ్ విమానాలలో పిచ్-అప్ సమస్యకు పరిష్కారాలకు దోహదపడింది. దీని విమాన పరిశోధన కాలిఫోర్నియాలోని NACA యొక్క మురోక్ ఫ్లైట్ టెస్ట్ యూనిట్‌లో జరిగింది, 1949 లో హై-స్పీడ్ ఫ్లైట్ రీసెర్చ్ స్టేషన్ (HSFRS) పున es రూపకల్పన చేయబడింది. HSFRS 1954 లో హై-స్పీడ్ ఫ్లైట్ స్టేషన్‌గా మారింది మరియు తరువాత దీనిని నాసా డ్రైడెన్ ఫ్లైట్ రీసెర్చ్ సెంటర్ అని పిలుస్తారు. 2014 లో దీనికి నీల్ ఆర్మ్‌స్ట్రాంగ్ గౌరవార్థం ఆర్మ్‌స్ట్రాంగ్ ఫ్లైట్ రీసెర్చ్ సెంటర్ గా పేరు మార్చారు. మూడు విమానాలు మొత్తం 313 సార్లు - 123 న నంబర్ వన్ విమానం (బ్యూరో నం. 37973 - నాకా 143), 103 రెండవ ఆకాశహర్మ్యం (బ్యూరో నం. 37975 - నాకా 145). విమానం యొక్క పనితీరును పరీక్షించడానికి డగ్లస్ కాంట్రాక్టర్ ప్రోగ్రామ్‌లో భాగంగా స్కైరాకెట్ 143 దాని మిషన్లలో ఒకటి మినహా అన్నింటినీ ఎగిరింది. నాకా ఎయిర్క్రాఫ్ట్ 143 మొదట జెట్ ఇంజిన్ ద్వారా మాత్రమే శక్తిని పొందింది, కాని తరువాత రాకెట్ ఇంజిన్‌తో అమర్చారు. ఈ కాన్ఫిగరేషన్‌లో, దీనిని 1949 నుండి 1951 వరకు డగ్లస్ పరీక్షించారు. డగ్లస్ యొక్క పరీక్షా కార్యక్రమం తరువాత, ఇది 1954–55లో దీనిని నాకాకు పంపిణీ చేసింది. 1954–55లో కాంట్రాక్టర్ దీనిని ఆల్-రాకెట్ ఎయిర్-లాంచ్ సామర్థ్యానికి సవరించాడు జెట్ ఇంజిన్ తొలగించబడింది. ఈ కాన్ఫిగరేషన్‌లో, NACA రీసెర్చ్ పైలట్ జాన్ మెక్కే 17 సెప్టెంబర్ 1956 న పరిచయం కోసం ఒక్కసారి మాత్రమే విమానాన్ని ప్రయాణించారు. NACA 143 యొక్క 123 విమానాలు విమానం యొక్క పనితీరు యొక్క విండ్-టన్నెల్ అంచనాలను ధృవీకరించడానికి ఉపయోగపడ్డాయి, విమానం తక్కువ లాగడం తప్ప విండ్ టన్నెల్స్ సూచించిన దానికంటే మాక్ 0.85. నాకా 144 కూడా టర్బోజెట్ పవర్‌ప్లాంట్‌తో తన విమాన కార్యక్రమాన్ని ప్రారంభించింది. నాకా పైలట్లు రాబర్ట్ ఎ. ఛాంపిన్ [4] మరియు జాన్ హెచ్. ఈ ప్రక్రియలో, ఆగష్టు 1949 లో వారు పిచ్-అప్ సమస్యలను ఎదుర్కొన్నారు, ఇది NACA ఇంజనీర్లు తీవ్రంగా గుర్తించారు, ఎందుకంటే వారు విమాన పనితీరుపై పరిమితి మరియు ప్రమాదకరమైన పరిమితిని కలిగించగలరు. అందువల్ల, వారు సమస్యపై పూర్తి దర్యాప్తు చేయాలని నిర్ణయించుకున్నారు. 1950 లో, డగ్లస్ టర్బోజెట్‌ను ఎల్‌ఆర్ -8 రాకెట్ ఇంజిన్‌తో భర్తీ చేశాడు మరియు దాని పైలట్, బిల్ బ్రిడ్జ్‌మాన్, ఈ విమానాన్ని ఏడు రెట్లు మాక్ 1.88 (ధ్వని వేగం) మరియు 79,494 అడుగుల ఎత్తు (24,230 ఎత్తు వరకు ప్రయాణించాడు. m), రెండోది ఆ సమయంలో అనధికారిక ప్రపంచ ఎత్తు రికార్డు, 15 ఆగస్టు 1951 న సాధించింది. [5] రాకెట్ కాన్ఫిగరేషన్‌లో, ఈ విమానం B-29 బాంబర్ యొక్క వేరియంట్ అయిన నేవీ P2B యొక్క బాంబ్ బే క్రింద జతచేయబడింది. పి 2 బి సుమారు 30,000 అడుగుల (9,100 మీ) వరకు ఎగురుతుంది, తరువాత రాకెట్ విమానాన్ని విడుదల చేస్తుంది. బ్రిడ్జ్‌మాన్ యొక్క సూపర్సోనిక్ విమానాల సమయంలో, అతను పార్శ్వ అస్థిరత అని పిలువబడే హింసాత్మక రోలింగ్ మోషన్‌ను ఎదుర్కొన్నాడు. జూన్లో మాక్ 1.85 ఫ్లైట్ కంటే 1951 ఆగస్టు 7 న మాక్ 1.88 విమానంలో ఈ మోషన్ తక్కువ ఉచ్ఛరించబడింది, అతను తక్కువ దాడి కోణానికి నెట్టాడు. NACA ఇంజనీర్లు సెప్టెంబర్ 1951 లో విమానంలో తమ సొంత విమాన పరిశోధనలను ప్రారంభించే ముందు విమానం యొక్క ప్రవర్తనను అధ్యయనం చేశారు. తరువాతి రెండు సంవత్సరాల్లో, నాకా పైలట్ స్కాట్ క్రాస్‌ఫీల్డ్ రేఖాంశ మరియు పార్శ్వ స్థిరత్వం మరియు నియంత్రణ, రెక్కలపై డేటాను సేకరించడానికి 20 సార్లు విమానాన్ని ఎగురవేసింది. . ఆ సమయంలో, మెరైన్ లెఫ్టినెంట్ కల్నల్ మారియన్ కార్ల్ ఈ విమానాన్ని 21 ఆగస్టు 1953 న 83,235 అడుగుల (25,370 మీ) కొత్త (అనధికారిక) ఎత్తు రికార్డుకు మరియు గరిష్టంగా మాక్ 1.728 వేగంతో ఎగురవేసాడు. ఫెడరేషన్ ఆఫ్ ఏరోనాటిక్ ఇంటర్నేషనల్ చేత ఎత్తు రికార్డు గుర్తించబడలేదు, ఎందుకంటే ఆ సమయంలో విమానం రికార్డు ప్రయత్నాలు చేసేటప్పుడు వారి స్వంత శక్తిని తొలగించాల్సి వచ్చింది. [6] కార్ల్ నేవీ కోసం ఈ విమానాలను పూర్తి చేసిన తరువాత, కాలిఫోర్నియాలోని మొజావేకు సమీపంలో ఉన్న హై-స్పీడ్ ఫ్లైట్ రీసెర్చ్ స్టేషన్ (హెచ్‌ఎస్‌ఎఫ్‌ఆర్‌ఎస్) వద్ద NACA సాంకేతిక నిపుణులు, ఎల్‌ఆర్ -8 ఇంజిన్ యొక్క దహన గదులను నాజిల్ ఎక్స్‌టెన్షన్స్‌తో తయారు చేశారు వేగం. ఈ అదనంగా ఇంజిన్ యొక్క థ్రస్ట్‌ను మాక్ 1.7 మరియు 70,000 అడుగులు (21,300 మీ) వద్ద 6.5 శాతం పెంచింది. మారియన్ కార్ల్ ఆకాశాన్ని ఎగురవేయడానికి ముందే, హెచ్‌ఎస్‌ఎఫ్‌ఆర్‌ఎస్ చీఫ్ వాల్టర్ సి. చివరగా, క్రాస్‌ఫీల్డ్ నేవీ యొక్క బ్యూరో ఆఫ్ ఏరోనాటిక్స్ యొక్క ఒప్పందాన్ని పొందిన తరువాత, NACA డైరెక్టర్ హ్యూ ఎల్. డ్రైడెన్ సంస్థ యొక్క రికార్డు సెట్టింగ్‌ను ఇతరులకు వదిలివేసే సాధారణ అభ్యాసాన్ని సడలించాడు మరియు మాక్ 2 కి ఫ్లైట్ చేయడానికి ప్రయత్నించడానికి అంగీకరించాడు. నాజిల్ పొడిగింపులను జోడించడంతో పాటు, హెచ్‌ఎస్‌ఎఫ్‌ఆర్‌ఎస్‌లోని నాకా ఫ్లైట్ టీం ఇంధనాన్ని (ఆల్కహాల్) ను చల్లబరిచింది, అందువల్ల ట్యాంక్‌లోకి ఎక్కువ పోయవచ్చు మరియు డ్రాగ్‌ను తగ్గించడానికి ఫ్యూజ్‌లేజ్‌ను మైనపు చేసి. ప్రాజెక్ట్ ఇంజనీర్ హర్మన్ ఓ. అంకెన్‌బ్రక్ సుమారు 72,000 అడుగుల (21,900 మీ) వరకు ప్రయాణించే ప్రణాళికను రూపొందించాడు మరియు కొంచెం డైవ్‌లోకి నెట్టాడు. క్రాస్ఫీల్డ్ 20 నవంబర్ 1953 న విమానయాన చరిత్రను చేసింది, అతను మాక్ 2.005, గంటకు 1,291 మైళ్ళు (గంటకు 2,078 కిమీ) వెళ్ళాడు. ఇది ఇప్పటివరకు చేసిన ఆకాశహర్మ్యం మాత్రమే మాక్ 2 ఫ్లైట్. ఈ విమానంలో, క్రాస్‌ఫీల్డ్ మరియు నాకా పైలట్లు జోసెఫ్ ఎ. వాకర్ మరియు జాన్ బి. , మెక్కే డైనమిక్ స్టెబిలిటీ డేటా మరియు సౌండ్-ప్రెజర్ స్థాయిలను ట్రాన్సోనిక్ వేగంతో మరియు అంతకంటే ఎక్కువ పొందినప్పుడు. ఇంతలో, NACA 145 నవంబర్ 1950 లో డగ్లస్ పైలట్లు యూజీన్ ఎఫ్. మే మరియు విలియం బ్రిడ్జ్‌మన్ చేత 21 కాంట్రాక్టర్ విమానాలను పూర్తి చేసింది. 1951 వేసవిలో 1953 లో. వారు వివిధ రకాల వింగ్-కంచె, వింగ్-స్లాట్ మరియు ప్రముఖ ఎడ్జ్ తీగ పొడిగింపు కాన్ఫిగరేషన్లతో ఆకాశాన్ని ఎగరారు, వివిధ విన్యాసాలు మరియు ట్రాన్సోనిక్ వేగంతో సూటిగా మరియు స్థాయి ఎగురుతూ ఉన్నారు. పిచ్-అప్ పరిస్థితుల నుండి కంచెలు గణనీయంగా రికవరీ చేయగా, ప్రముఖ ఎడ్జ్ తీగ పొడిగింపులు చేయలేదు, దీనికి విరుద్ధంగా విండ్-టన్నెల్ పరీక్షలను ఖండించింది. పూర్తిగా ఓపెన్ పొజిషన్‌లో స్లాట్లు (పొడవైన, ఇరుకైన సహాయక ఎయిర్‌ఫాయిల్స్) మాక్ 0.8 నుండి 0.85 వరకు స్పీడ్ పరిధిలో మినహా పిచ్-అప్‌ను తొలగించాయి. జూన్ 1954 లో, క్రాస్ఫీల్డ్ విమానం యొక్క ట్రాన్సోనిక్ ప్రవర్తనపై బాహ్య దుకాణాల (బాంబు ఆకారాలు మరియు ఇంధన ట్యాంకులు) ప్రభావాలపై పరిశోధన ప్రారంభించింది. మెక్కే మరియు స్టాన్లీ బుట్చార్ట్ ఈ సమస్యపై నాకా దర్యాప్తును పూర్తి చేశారు, మెక్కే 28 ఆగస్టు 1956 న మెక్కే తుది మిషన్‌ను ఎగురవేయడంతో. అనేక రికార్డులను నెలకొల్పడంతో పాటు, ఆకాశహర్మ్యం పైలట్లు స్థిరమైన, నియంత్రిత విమాన విమానాన్ని అందించడానికి ఏమి పని చేయరు అనే దానిపై ముఖ్యమైన డేటాను మరియు అవగాహనను సేకరించారు. ట్రాన్సోనిక్ మరియు సూపర్సోనిక్ ఫ్లైట్ పాలనలలో ఒక తుడిచిపెట్టిన విమానాలు. వారు సేకరించిన డేటా వాస్తవ విమాన విలువలతో విండ్-టన్నెల్ పరీక్ష ఫలితాల యొక్క మెరుగైన సహసంబంధాన్ని ప్రారంభించడానికి సహాయపడింది, సాయుధ సేవలకు, ముఖ్యంగా స్వీప్ రెక్కలు ఉన్నవారికి మరింత సమర్థవంతమైన విమానాలను ఉత్పత్తి చేయడానికి డిజైనర్ల సామర్థ్యాలను పెంచుతుంది. అంతేకాకుండా, ఈ మరియు ఇతర ప్రారంభ పరిశోధనా విమానాల నుండి స్థిరత్వం మరియు నియంత్రణ వంటి విషయాలపై డేటా సెంచరీ సిరీస్ ఫైటర్ విమానాల రూపకల్పనలో సహాయపడింది, ఇవన్నీ X-1 మరియు D-558 సిరీస్‌లలో మొదట పనిచేసిన కదిలే క్షితిజ సమాంతర స్టెబిలైజర్‌లను కలిగి ఉన్నాయి. స్కైరోకెట్లలో మూడు 35-డిగ్రీల తుడిచిపెట్టిన రెక్కలు ఉన్నాయి. ఎయిర్ లాంచ్ కోసం కాన్ఫిగర్ అయ్యే వరకు, NACA 143 లో వెస్టింగ్‌హౌస్ J-34-40 టర్బోజెట్ ఇంజన్ 3,000 LBF (13 kN) స్టాటిక్ థ్రస్ట్ వద్ద రేట్ చేయబడింది. ఇది 260 యుఎస్ గ్యాలన్ల (980 ఎల్) ఏవియేషన్ గ్యాసోలిన్ మరియు టేకాఫ్ వద్ద 10,572 ఎల్బి (4,795 కిలోలు) బరువు కలిగి ఉంది. NACA 144 (మరియు 1955 లో సవరించబడిన తరువాత NACA 143) 6,000 పౌండ్ల-ఫోర్స్ (27 kN) స్టాటిక్ థ్రస్ట్ వద్ద రేట్ చేయబడిన LR-8-RM-6 రాకెట్ ఇంజిన్ ద్వారా శక్తినిచ్చింది. దీని ప్రొపెల్లెంట్లు 345 యుఎస్ గ్యాలన్లు (1,310 ఎల్) ద్రవ ఆక్సిజన్ మరియు 378 యుఎస్ గ్యాలన్లు (1,430 ఎల్) పలుచన ఇథైల్ ఆల్కహాల్. దాని ప్రయోగ ఆకృతీకరణలో, దీని బరువు 15,787 lb (7,161 కిలోలు). NACA 145 లో LR-8-RM-5 రాకెట్ ఇంజిన్ రెండింటినీ 6,000 lbf (27 kn) స్టాటిక్ థ్రస్ట్ వద్ద రేట్ చేసింది మరియు వెస్టింగ్‌హౌస్ J-34-40 టర్బోజెట్ ఇంజిన్‌ను 3,000 LBF (13 kN) స్టాటిక్ థ్రస్ట్ వద్ద రేట్ చేసింది. ఇది 170 యుఎస్ గ్యాలన్లు (640 ఎల్) ద్రవ ఆక్సిజన్, 192 యుఎస్ గ్యాలన్లు (730 ఎల్) పలుచన ఇథైల్ ఆల్కహాల్, మరియు 260 యుఎస్ గ్యాలన్లు (980 ఎల్) విమానయాన గ్యాసోలిన్ 15,266 ఎల్బి (6,925 కిలోలు) బరువుకు తీసుకువెళ్ళాయి. కాలిఫోర్నియాలోని చినోలోని ఫేమ్ మ్యూజియం యొక్క విమానాలలో D-558-2 #1 స్కైరోకెట్ ప్రదర్శనలో ఉంది. రెండు ఆకాశాన్ని అంటుకునే, ఫ్లై మాక్ 2 యొక్క మొదటి విమానం వాషింగ్టన్ డి.సి.లోని నేషనల్ ఎయిర్ అండ్ స్పేస్ మ్యూజియంలో ప్రదర్శనలో ఉంది. మూడవ విమానం కాలిఫోర్నియాలోని లాంకాస్టర్, యాంటెలోప్ వ్యాలీ కాలేజీ మైదానంలో పైలాన్‌లో ప్రదర్శించబడుతుంది. .</v>
      </c>
      <c r="E4" s="1" t="s">
        <v>238</v>
      </c>
      <c r="F4" s="1" t="s">
        <v>239</v>
      </c>
      <c r="G4" s="1" t="str">
        <f>IFERROR(__xludf.DUMMYFUNCTION("GOOGLETRANSLATE(F:F, ""en"", ""te"")"),"ప్రయోగాత్మక హై-స్పీడ్ పరిశోధన విమానం")</f>
        <v>ప్రయోగాత్మక హై-స్పీడ్ పరిశోధన విమానం</v>
      </c>
      <c r="H4" s="1" t="s">
        <v>240</v>
      </c>
      <c r="L4" s="1" t="s">
        <v>241</v>
      </c>
      <c r="M4" s="1" t="str">
        <f>IFERROR(__xludf.DUMMYFUNCTION("GOOGLETRANSLATE(L:L, ""en"", ""te"")"),"డగ్లస్ ఎయిర్క్రాఫ్ట్ కంపెనీ")</f>
        <v>డగ్లస్ ఎయిర్క్రాఫ్ట్ కంపెనీ</v>
      </c>
      <c r="N4" s="1" t="s">
        <v>242</v>
      </c>
      <c r="R4" s="4">
        <v>17567.0</v>
      </c>
      <c r="S4" s="1">
        <v>3.0</v>
      </c>
      <c r="T4" s="1" t="s">
        <v>216</v>
      </c>
      <c r="V4" s="1">
        <v>1.0</v>
      </c>
      <c r="W4" s="1" t="s">
        <v>243</v>
      </c>
      <c r="X4" s="1" t="s">
        <v>244</v>
      </c>
      <c r="Y4" s="1" t="s">
        <v>245</v>
      </c>
      <c r="Z4" s="1" t="s">
        <v>246</v>
      </c>
      <c r="AF4" s="1" t="s">
        <v>247</v>
      </c>
      <c r="AM4" s="1" t="s">
        <v>248</v>
      </c>
      <c r="AX4" s="1" t="s">
        <v>249</v>
      </c>
      <c r="AY4" s="1" t="str">
        <f>IFERROR(__xludf.DUMMYFUNCTION("GOOGLETRANSLATE(AX:AX, ""en"", ""te"")"),"1 × రియాక్షన్ మోటార్స్ XLR8-RM-5 4-ఛాంబర్డ్ లిక్విడ్-ఫ్యూల్డ్ రాకెట్ ఇంజిన్, 6,000 ఎల్బిఎఫ్ (27 కెఎన్) థ్రస్ట్")</f>
        <v>1 × రియాక్షన్ మోటార్స్ XLR8-RM-5 4-ఛాంబర్డ్ లిక్విడ్-ఫ్యూల్డ్ రాకెట్ ఇంజిన్, 6,000 ఎల్బిఎఫ్ (27 కెఎన్) థ్రస్ట్</v>
      </c>
      <c r="BB4" s="1" t="s">
        <v>250</v>
      </c>
      <c r="BF4" s="1" t="s">
        <v>251</v>
      </c>
      <c r="BG4" s="2" t="str">
        <f>IFERROR(__xludf.DUMMYFUNCTION("GOOGLETRANSLATE(BF:BF, ""en"", ""te"")"),"అమెరికా నేవీ")</f>
        <v>అమెరికా నేవీ</v>
      </c>
      <c r="BH4" s="1" t="s">
        <v>252</v>
      </c>
      <c r="BI4" s="1" t="s">
        <v>253</v>
      </c>
      <c r="BJ4" s="1" t="s">
        <v>254</v>
      </c>
      <c r="BK4" s="1" t="s">
        <v>255</v>
      </c>
      <c r="BL4" s="1" t="s">
        <v>256</v>
      </c>
      <c r="BM4" s="1" t="s">
        <v>257</v>
      </c>
      <c r="BN4" s="1" t="s">
        <v>258</v>
      </c>
      <c r="BO4" s="1" t="s">
        <v>259</v>
      </c>
      <c r="BP4" s="1" t="s">
        <v>260</v>
      </c>
      <c r="BQ4" s="1" t="s">
        <v>261</v>
      </c>
      <c r="BR4" s="1" t="s">
        <v>262</v>
      </c>
      <c r="BS4" s="1" t="s">
        <v>263</v>
      </c>
    </row>
    <row r="5">
      <c r="A5" s="1" t="s">
        <v>264</v>
      </c>
      <c r="B5" s="1" t="str">
        <f>IFERROR(__xludf.DUMMYFUNCTION("GOOGLETRANSLATE(A:A, ""en"", ""te"")"),"ఉట్వా ట్రోజ్కా")</f>
        <v>ఉట్వా ట్రోజ్కా</v>
      </c>
      <c r="C5" s="1" t="s">
        <v>265</v>
      </c>
      <c r="D5" s="1" t="str">
        <f>IFERROR(__xludf.DUMMYFUNCTION("GOOGLETRANSLATE(C:C, ""en"", ""te"")"),"UTVA సి -3 ట్రోజ్కా (ట్రే) అనేది యుగోస్లేవియాలో రెండవ ప్రపంచ యుద్ధం తరువాత యుగోస్లేవియాలో నిర్మించిన ఒక తేలికపాటి విమానం, ఇది దేశంలోని ఎగిరే క్లబ్‌లను సన్నద్ధం చేయడానికి కొత్త, దేశీయంగా నిర్మించిన విమానాలను అభివృద్ధి చేయడానికి ప్రభుత్వ పోటీ ఫలితంగా. విజేత"&amp;" రూపకల్పనను బోరిస్ సిజన్ మరియు జార్డ్జే టి. పెట్కోవిక్ సమర్పించారు మరియు ఈ నమూనాను ఇకరస్ ఇకరస్ 251 గా నిర్మించారు. సిరీస్ ఉత్పత్తి యుటివిఎలో సి -3 గా జరిగింది. ఇది సాంప్రదాయిక, తక్కువ-వింగ్ కాంటిలివర్ మోనోప్లేన్, ఇది స్థిర టెయిల్‌వీల్ అండర్ క్యారేజీ. పైలట"&amp;"్ మరియు బోధకుడు విస్తారమైన పందిరి కింద పక్కపక్కనే కూర్చున్నారు. ఈ రకం 1950 ల మధ్య వరకు ఉత్పత్తిలో ఉంది, తరువాతి ఉదాహరణలతో మరింత శక్తివంతమైన వాల్టర్ మిక్రోన్ 4. సాధారణ లక్షణాల పనితీరు విమానం పోల్చదగిన పాత్ర, కాన్ఫిగరేషన్ మరియు ERA")</f>
        <v>UTVA సి -3 ట్రోజ్కా (ట్రే) అనేది యుగోస్లేవియాలో రెండవ ప్రపంచ యుద్ధం తరువాత యుగోస్లేవియాలో నిర్మించిన ఒక తేలికపాటి విమానం, ఇది దేశంలోని ఎగిరే క్లబ్‌లను సన్నద్ధం చేయడానికి కొత్త, దేశీయంగా నిర్మించిన విమానాలను అభివృద్ధి చేయడానికి ప్రభుత్వ పోటీ ఫలితంగా. విజేత రూపకల్పనను బోరిస్ సిజన్ మరియు జార్డ్జే టి. పెట్కోవిక్ సమర్పించారు మరియు ఈ నమూనాను ఇకరస్ ఇకరస్ 251 గా నిర్మించారు. సిరీస్ ఉత్పత్తి యుటివిఎలో సి -3 గా జరిగింది. ఇది సాంప్రదాయిక, తక్కువ-వింగ్ కాంటిలివర్ మోనోప్లేన్, ఇది స్థిర టెయిల్‌వీల్ అండర్ క్యారేజీ. పైలట్ మరియు బోధకుడు విస్తారమైన పందిరి కింద పక్కపక్కనే కూర్చున్నారు. ఈ రకం 1950 ల మధ్య వరకు ఉత్పత్తిలో ఉంది, తరువాతి ఉదాహరణలతో మరింత శక్తివంతమైన వాల్టర్ మిక్రోన్ 4. సాధారణ లక్షణాల పనితీరు విమానం పోల్చదగిన పాత్ర, కాన్ఫిగరేషన్ మరియు ERA</v>
      </c>
      <c r="E5" s="1" t="s">
        <v>266</v>
      </c>
      <c r="F5" s="1" t="s">
        <v>267</v>
      </c>
      <c r="G5" s="1" t="str">
        <f>IFERROR(__xludf.DUMMYFUNCTION("GOOGLETRANSLATE(F:F, ""en"", ""te"")"),"సివిల్ ట్రైనర్")</f>
        <v>సివిల్ ట్రైనర్</v>
      </c>
      <c r="I5" s="1" t="s">
        <v>268</v>
      </c>
      <c r="J5" s="1" t="str">
        <f>IFERROR(__xludf.DUMMYFUNCTION("GOOGLETRANSLATE(I:I, ""en"", ""te"")"),"యుగోస్లేవియా")</f>
        <v>యుగోస్లేవియా</v>
      </c>
      <c r="L5" s="1" t="s">
        <v>269</v>
      </c>
      <c r="M5" s="1" t="str">
        <f>IFERROR(__xludf.DUMMYFUNCTION("GOOGLETRANSLATE(L:L, ""en"", ""te"")"),"ఇకరస్, ఉట్వా")</f>
        <v>ఇకరస్, ఉట్వా</v>
      </c>
      <c r="N5" s="1" t="s">
        <v>270</v>
      </c>
      <c r="R5" s="1">
        <v>1946.0</v>
      </c>
      <c r="S5" s="1" t="s">
        <v>271</v>
      </c>
      <c r="V5" s="1" t="s">
        <v>272</v>
      </c>
      <c r="W5" s="1" t="s">
        <v>273</v>
      </c>
      <c r="X5" s="1" t="s">
        <v>274</v>
      </c>
      <c r="Y5" s="1" t="s">
        <v>275</v>
      </c>
      <c r="Z5" s="1" t="s">
        <v>276</v>
      </c>
      <c r="AG5" s="1" t="s">
        <v>277</v>
      </c>
      <c r="AH5" s="1" t="s">
        <v>278</v>
      </c>
      <c r="AX5" s="1" t="s">
        <v>279</v>
      </c>
      <c r="AY5" s="1" t="str">
        <f>IFERROR(__xludf.DUMMYFUNCTION("GOOGLETRANSLATE(AX:AX, ""en"", ""te"")"),"1 × వాల్టర్ మిక్రోన్ III, 49 kW (65 HP)")</f>
        <v>1 × వాల్టర్ మిక్రోన్ III, 49 kW (65 HP)</v>
      </c>
      <c r="BB5" s="1" t="s">
        <v>280</v>
      </c>
      <c r="BD5" s="1" t="s">
        <v>281</v>
      </c>
      <c r="BG5" s="2"/>
      <c r="BT5" s="1" t="s">
        <v>282</v>
      </c>
    </row>
    <row r="6">
      <c r="A6" s="1" t="s">
        <v>283</v>
      </c>
      <c r="B6" s="1" t="str">
        <f>IFERROR(__xludf.DUMMYFUNCTION("GOOGLETRANSLATE(A:A, ""en"", ""te"")"),"టాట్రా టి .101")</f>
        <v>టాట్రా టి .101</v>
      </c>
      <c r="C6" s="1" t="s">
        <v>284</v>
      </c>
      <c r="D6" s="1" t="str">
        <f>IFERROR(__xludf.DUMMYFUNCTION("GOOGLETRANSLATE(C:C, ""en"", ""te"")"),"టాట్రా టి .101 అనేది రెండు సీట్ల మోనోప్లేన్ జనరల్ ఏవియేషన్ విమానం, దీనిని 1937 లో టాట్రా నిర్మించింది. ఒక విమానం మాత్రమే నిర్మించబడింది, కానీ ఇది జాన్ అంబ్రూ చేతిలో అనేక రికార్డులను సృష్టించింది. 2008 లో ప్రతిరూప విమానాన్ని బ్రదర్స్ ఐవో మరియు జియా స్క్లెన"&amp;"ా నిర్మించారు. ఇది మొట్టమొదట అక్టోబర్ 2009 లో ప్రయాణించింది. టాట్రా 1935 లో విమానాలను తయారు చేయడం ప్రారంభించింది, అవ్రో 626 ఏవియన్ మరియు బోకర్ Bü 131 జంగ్మాన్లను లైసెన్స్ కింద నిర్మించారు. 1937 లో టాట్రా టి .001 టాట్రా రూపొందించిన మరియు నిర్మించిన మొదటి వ"&amp;"ిమానం. T.101 ఆ విమానం యొక్క అభివృద్ధి, పెరిగిన రెక్కలు మరియు T.001 కన్నా పెద్ద సామ్రాజ్యం. [1] [2] ఒక విమానం మాత్రమే టాట్రా, MSN 01 చేత నిర్మించబడింది. ఇది ఓకే-టావో నమోదు చేయబడింది. టాట్రా టి .101 అనేక రికార్డులను పొందింది. 1937 లో చెకోస్లోవేకియన్ మూలం యొ"&amp;"క్క విమానం ద్వారా పొడవైన విమానానికి బహుమతి ఇవ్వబడింది. 1938 లో, జాన్ అంబ్రూ మరియు వోజ్టాచ్ మాటానా రుజిన్స్ విమానాశ్రయం నుండి, ప్రేగ్, ఖార్టూమ్ విమానాశ్రయం, సుడాన్, [1] 2,340 నాటికల్ మైళ్ళు (4,330 కిమీ) దూరం. [3] ఈ విమానం రెండు-సీట్ల విమానాలకు 7,113 మీటర్ల"&amp;"ు (23,337 అడుగులు) ఎత్తు రికార్డును సాధించింది, ఇంజిన్ సామర్థ్యం 4 లీటర్ల (240 క్యూ ఇన్). తరువాత దీనిని 7,470 మీటర్లు (24,510 అడుగులు) కు పెంచారు. [2] 1989 నాటి వెల్వెట్ విప్లవం తరువాత, చెక్ రిపబ్లిక్ మరియు స్లోవేకియాలోని పౌరులు కొత్త స్వేచ్ఛను పొందారు. వ"&amp;"ారసత్వ వేడుకను కమ్యూనిజం కింద అణచివేసింది మరియు చారిత్రాత్మక విమానాల పునరుద్ధరణను కమ్యూనిస్ట్ అధికారులు నిషేధించారు. విప్లవం నుండి, వారసత్వంపై ఆసక్తి పెరిగింది మరియు విమానయాన వారసత్వంతో సహా పారిశ్రామిక వారసత్వాన్ని పునరుద్ధరించడానికి అనేక ప్రయత్నాలు విజయవ"&amp;"ంతమయ్యాయి. [1] ఈ ప్రాజెక్టులలో ఒకటి టాట్రా టి. 2000 ల ప్రారంభంలో వారు ఈ విమానాన్ని పరిశోధించడం ప్రారంభించారు మరియు బ్లూప్రింట్లు విధ్వంసం నుండి తప్పించుకున్నాయని కనుగొన్నారు. వారు ఒపావాలోని స్టేట్ ఆర్కైవ్‌లో కనుగొనబడ్డారు. టాట్రా HM-504 మరియు టాట్రా T100 "&amp;"ఇంజిన్ టాట్రా మరియు చెక్ ఏరోనాటికల్ రీసెర్చ్ అండ్ టెస్టింగ్ ఇన్స్టిట్యూట్ [CZ] సహాయంతో పొందబడ్డాయి. ఈ రెండు ఇంజన్లు పునర్నిర్మించబడ్డాయి మరియు టాట్రా మరియు చెక్ నేషనల్ టెక్నికల్ మ్యూజియం సహాయంతో గాలి విలువైన T100 ఇంజిన్‌గా తయారయ్యాయి. విడి భాగాలు, ముఖ్యంగ"&amp;"ా సిలిండర్ కవాటాల లభ్యత వల్ల ఈ ప్రక్రియ దెబ్బతింది. కొత్త రెండు-బ్లేడెడ్ చెక్క ప్రొపెల్లర్ విమానం కోసం తయారు చేసిన మొదటి వస్తువులలో ఒకటి. ప్రతిరూపం TIG వెల్డింగ్, కార్బన్ మిశ్రమాలు మరియు ఫైబర్‌గ్లాస్ వంటి కొన్ని ఆధునిక తయారీ పద్ధతులు మరియు పదార్థాలను ఉపయో"&amp;"గించింది. అసలు డిజైన్ నుండి విచలనాలు ఆధునిక ఏరోనాటికల్ నిబంధనల ద్వారా మాత్రమే అవసరమైనవి. ఈ విమానం ఆధునిక ఏవియానిక్స్ మరియు స్ట్రోబ్ లైట్ కలిగి ఉంది. [1] 13.00 మీటర్లు (42 అడుగుల 8 అంగుళాలు) స్పాన్ చెక్క రెక్కలు వన్-పీస్ యూనిట్. వీటిని అల్ట్రాలైట్ ఎయిర్క్ర"&amp;"ాఫ్ట్ మేకర్ జాన్ టోబెక్ నిర్మించారు. రెండవ ప్రపంచ యుద్ధం ముగిసినప్పటి నుండి చెక్ రిపబ్లిక్లో నిర్మించిన అతిపెద్ద చెక్క వింగ్ వింగ్. ఈ విమానం కునోవిస్ విమానాశ్రయంలో ఈవెక్టోర్-ఏరోటెక్నిక్ యాజమాన్యంలోని హ్యాంగర్‌లో సమావేశమైంది మరియు కునోవిస్‌ను అనుమతించండి. "&amp;"ఈ విమానం 29 సెప్టెంబర్ 2008 న పూర్తయింది. గ్రౌండ్ టెస్టింగ్ తరువాత, అక్టోబర్ 2009 లో విమాన పరీక్షల శ్రేణి ప్రారంభమైంది, దీని ఫలితంగా 1 డిసెంబర్ 2009 న వాయు యోగ్యత యొక్క ధృవీకరణ పత్రం. ప్రతిరూప విమానానికి MSN 02 ఇవ్వబడింది. [1] విమానం, ఏప్రిల్ 2012, [2] మర"&amp;"ియు/లేదా ఏవియేటర్స్ వెబ్‌సైట్ నుండి డేటా. [4] సాధారణ లక్షణాల పనితీరు")</f>
        <v>టాట్రా టి .101 అనేది రెండు సీట్ల మోనోప్లేన్ జనరల్ ఏవియేషన్ విమానం, దీనిని 1937 లో టాట్రా నిర్మించింది. ఒక విమానం మాత్రమే నిర్మించబడింది, కానీ ఇది జాన్ అంబ్రూ చేతిలో అనేక రికార్డులను సృష్టించింది. 2008 లో ప్రతిరూప విమానాన్ని బ్రదర్స్ ఐవో మరియు జియా స్క్లెనా నిర్మించారు. ఇది మొట్టమొదట అక్టోబర్ 2009 లో ప్రయాణించింది. టాట్రా 1935 లో విమానాలను తయారు చేయడం ప్రారంభించింది, అవ్రో 626 ఏవియన్ మరియు బోకర్ Bü 131 జంగ్మాన్లను లైసెన్స్ కింద నిర్మించారు. 1937 లో టాట్రా టి .001 టాట్రా రూపొందించిన మరియు నిర్మించిన మొదటి విమానం. T.101 ఆ విమానం యొక్క అభివృద్ధి, పెరిగిన రెక్కలు మరియు T.001 కన్నా పెద్ద సామ్రాజ్యం. [1] [2] ఒక విమానం మాత్రమే టాట్రా, MSN 01 చేత నిర్మించబడింది. ఇది ఓకే-టావో నమోదు చేయబడింది. టాట్రా టి .101 అనేక రికార్డులను పొందింది. 1937 లో చెకోస్లోవేకియన్ మూలం యొక్క విమానం ద్వారా పొడవైన విమానానికి బహుమతి ఇవ్వబడింది. 1938 లో, జాన్ అంబ్రూ మరియు వోజ్టాచ్ మాటానా రుజిన్స్ విమానాశ్రయం నుండి, ప్రేగ్, ఖార్టూమ్ విమానాశ్రయం, సుడాన్, [1] 2,340 నాటికల్ మైళ్ళు (4,330 కిమీ) దూరం. [3] ఈ విమానం రెండు-సీట్ల విమానాలకు 7,113 మీటర్లు (23,337 అడుగులు) ఎత్తు రికార్డును సాధించింది, ఇంజిన్ సామర్థ్యం 4 లీటర్ల (240 క్యూ ఇన్). తరువాత దీనిని 7,470 మీటర్లు (24,510 అడుగులు) కు పెంచారు. [2] 1989 నాటి వెల్వెట్ విప్లవం తరువాత, చెక్ రిపబ్లిక్ మరియు స్లోవేకియాలోని పౌరులు కొత్త స్వేచ్ఛను పొందారు. వారసత్వ వేడుకను కమ్యూనిజం కింద అణచివేసింది మరియు చారిత్రాత్మక విమానాల పునరుద్ధరణను కమ్యూనిస్ట్ అధికారులు నిషేధించారు. విప్లవం నుండి, వారసత్వంపై ఆసక్తి పెరిగింది మరియు విమానయాన వారసత్వంతో సహా పారిశ్రామిక వారసత్వాన్ని పునరుద్ధరించడానికి అనేక ప్రయత్నాలు విజయవంతమయ్యాయి. [1] ఈ ప్రాజెక్టులలో ఒకటి టాట్రా టి. 2000 ల ప్రారంభంలో వారు ఈ విమానాన్ని పరిశోధించడం ప్రారంభించారు మరియు బ్లూప్రింట్లు విధ్వంసం నుండి తప్పించుకున్నాయని కనుగొన్నారు. వారు ఒపావాలోని స్టేట్ ఆర్కైవ్‌లో కనుగొనబడ్డారు. టాట్రా HM-504 మరియు టాట్రా T100 ఇంజిన్ టాట్రా మరియు చెక్ ఏరోనాటికల్ రీసెర్చ్ అండ్ టెస్టింగ్ ఇన్స్టిట్యూట్ [CZ] సహాయంతో పొందబడ్డాయి. ఈ రెండు ఇంజన్లు పునర్నిర్మించబడ్డాయి మరియు టాట్రా మరియు చెక్ నేషనల్ టెక్నికల్ మ్యూజియం సహాయంతో గాలి విలువైన T100 ఇంజిన్‌గా తయారయ్యాయి. విడి భాగాలు, ముఖ్యంగా సిలిండర్ కవాటాల లభ్యత వల్ల ఈ ప్రక్రియ దెబ్బతింది. కొత్త రెండు-బ్లేడెడ్ చెక్క ప్రొపెల్లర్ విమానం కోసం తయారు చేసిన మొదటి వస్తువులలో ఒకటి. ప్రతిరూపం TIG వెల్డింగ్, కార్బన్ మిశ్రమాలు మరియు ఫైబర్‌గ్లాస్ వంటి కొన్ని ఆధునిక తయారీ పద్ధతులు మరియు పదార్థాలను ఉపయోగించింది. అసలు డిజైన్ నుండి విచలనాలు ఆధునిక ఏరోనాటికల్ నిబంధనల ద్వారా మాత్రమే అవసరమైనవి. ఈ విమానం ఆధునిక ఏవియానిక్స్ మరియు స్ట్రోబ్ లైట్ కలిగి ఉంది. [1] 13.00 మీటర్లు (42 అడుగుల 8 అంగుళాలు) స్పాన్ చెక్క రెక్కలు వన్-పీస్ యూనిట్. వీటిని అల్ట్రాలైట్ ఎయిర్క్రాఫ్ట్ మేకర్ జాన్ టోబెక్ నిర్మించారు. రెండవ ప్రపంచ యుద్ధం ముగిసినప్పటి నుండి చెక్ రిపబ్లిక్లో నిర్మించిన అతిపెద్ద చెక్క వింగ్ వింగ్. ఈ విమానం కునోవిస్ విమానాశ్రయంలో ఈవెక్టోర్-ఏరోటెక్నిక్ యాజమాన్యంలోని హ్యాంగర్‌లో సమావేశమైంది మరియు కునోవిస్‌ను అనుమతించండి. ఈ విమానం 29 సెప్టెంబర్ 2008 న పూర్తయింది. గ్రౌండ్ టెస్టింగ్ తరువాత, అక్టోబర్ 2009 లో విమాన పరీక్షల శ్రేణి ప్రారంభమైంది, దీని ఫలితంగా 1 డిసెంబర్ 2009 న వాయు యోగ్యత యొక్క ధృవీకరణ పత్రం. ప్రతిరూప విమానానికి MSN 02 ఇవ్వబడింది. [1] విమానం, ఏప్రిల్ 2012, [2] మరియు/లేదా ఏవియేటర్స్ వెబ్‌సైట్ నుండి డేటా. [4] సాధారణ లక్షణాల పనితీరు</v>
      </c>
      <c r="E6" s="1" t="s">
        <v>285</v>
      </c>
      <c r="F6" s="1" t="s">
        <v>286</v>
      </c>
      <c r="G6" s="1" t="str">
        <f>IFERROR(__xludf.DUMMYFUNCTION("GOOGLETRANSLATE(F:F, ""en"", ""te"")"),"సాధారణ ఏవియేషన్")</f>
        <v>సాధారణ ఏవియేషన్</v>
      </c>
      <c r="I6" s="1" t="s">
        <v>287</v>
      </c>
      <c r="J6" s="1" t="str">
        <f>IFERROR(__xludf.DUMMYFUNCTION("GOOGLETRANSLATE(I:I, ""en"", ""te"")"),"చెకోస్లోవేకియా (అసలైన) చెక్ రిపబ్లిక్ (ప్రతిరూపం)")</f>
        <v>చెకోస్లోవేకియా (అసలైన) చెక్ రిపబ్లిక్ (ప్రతిరూపం)</v>
      </c>
      <c r="K6" s="1" t="s">
        <v>288</v>
      </c>
      <c r="L6" s="1" t="s">
        <v>289</v>
      </c>
      <c r="M6" s="1" t="str">
        <f>IFERROR(__xludf.DUMMYFUNCTION("GOOGLETRANSLATE(L:L, ""en"", ""te"")"),"టాట్రా (ఒరిజినల్) ఐవో మరియు జియా స్క్లెనా (ప్రతిరూపం)")</f>
        <v>టాట్రా (ఒరిజినల్) ఐవో మరియు జియా స్క్లెనా (ప్రతిరూపం)</v>
      </c>
      <c r="N6" s="1" t="s">
        <v>290</v>
      </c>
      <c r="R6" s="1" t="s">
        <v>291</v>
      </c>
      <c r="S6" s="1">
        <v>2.0</v>
      </c>
      <c r="V6" s="1">
        <v>2.0</v>
      </c>
      <c r="W6" s="1" t="s">
        <v>292</v>
      </c>
      <c r="X6" s="1" t="s">
        <v>293</v>
      </c>
      <c r="Z6" s="1" t="s">
        <v>294</v>
      </c>
      <c r="AG6" s="1" t="s">
        <v>295</v>
      </c>
      <c r="AX6" s="1" t="s">
        <v>296</v>
      </c>
      <c r="AY6" s="1" t="str">
        <f>IFERROR(__xludf.DUMMYFUNCTION("GOOGLETRANSLATE(AX:AX, ""en"", ""te"")"),"1 × టాట్రా టి 100 4-సిలిండర్ ఎయిర్-కూల్డ్ విలోమ ఇన్-లైన్ పిస్టన్ ఇంజిన్, 71 కిలోవాట్ (95 హెచ్‌పి)")</f>
        <v>1 × టాట్రా టి 100 4-సిలిండర్ ఎయిర్-కూల్డ్ విలోమ ఇన్-లైన్ పిస్టన్ ఇంజిన్, 71 కిలోవాట్ (95 హెచ్‌పి)</v>
      </c>
      <c r="AZ6" s="1" t="s">
        <v>297</v>
      </c>
      <c r="BA6" s="1" t="str">
        <f>IFERROR(__xludf.DUMMYFUNCTION("GOOGLETRANSLATE(AZ:AZ, ""en"", ""te"")"),"2-బ్లేడెడ్ ఫిక్స్‌డ్-పిచ్ ప్రొపెల్లర్")</f>
        <v>2-బ్లేడెడ్ ఫిక్స్‌డ్-పిచ్ ప్రొపెల్లర్</v>
      </c>
      <c r="BB6" s="1" t="s">
        <v>298</v>
      </c>
      <c r="BC6" s="1" t="s">
        <v>205</v>
      </c>
      <c r="BD6" s="1" t="s">
        <v>299</v>
      </c>
      <c r="BF6" s="1" t="s">
        <v>300</v>
      </c>
      <c r="BG6" s="2" t="str">
        <f>IFERROR(__xludf.DUMMYFUNCTION("GOOGLETRANSLATE(BF:BF, ""en"", ""te"")"),"జాన్ అంబ్రూ (ఒరిజినల్) ఐవో మరియు జియా స్క్లెనా (ప్రతిరూపం)")</f>
        <v>జాన్ అంబ్రూ (ఒరిజినల్) ఐవో మరియు జియా స్క్లెనా (ప్రతిరూపం)</v>
      </c>
      <c r="BH6" s="1" t="s">
        <v>301</v>
      </c>
      <c r="BI6" s="1" t="s">
        <v>302</v>
      </c>
      <c r="BJ6" s="1" t="s">
        <v>303</v>
      </c>
      <c r="BT6" s="1" t="s">
        <v>304</v>
      </c>
      <c r="BU6" s="1" t="s">
        <v>305</v>
      </c>
      <c r="BV6" s="1" t="str">
        <f>IFERROR(__xludf.DUMMYFUNCTION("GOOGLETRANSLATE(BU:BU, ""en"", ""te"")"),"ప్రతిరూప క్రియాశీల.")</f>
        <v>ప్రతిరూప క్రియాశీల.</v>
      </c>
      <c r="BW6" s="1" t="s">
        <v>306</v>
      </c>
      <c r="BX6" s="1"/>
      <c r="BY6" s="1" t="s">
        <v>307</v>
      </c>
      <c r="BZ6" s="1" t="s">
        <v>308</v>
      </c>
    </row>
    <row r="7">
      <c r="A7" s="1" t="s">
        <v>309</v>
      </c>
      <c r="B7" s="1" t="str">
        <f>IFERROR(__xludf.DUMMYFUNCTION("GOOGLETRANSLATE(A:A, ""en"", ""te"")"),"మిత్సుబిషి జె 4 ఎమ్")</f>
        <v>మిత్సుబిషి జె 4 ఎమ్</v>
      </c>
      <c r="C7" s="1" t="s">
        <v>310</v>
      </c>
      <c r="D7" s="1" t="str">
        <f>IFERROR(__xludf.DUMMYFUNCTION("GOOGLETRANSLATE(C:C, ""en"", ""te"")"),"మిత్సుబిషి జె 4 ఎమ్ పంపిన (閃電 ""ఫ్లాషింగ్ మెరుపు"") లేదా నేవీ ప్రయోగాత్మక 17-షి ఓట్సు బి టైప్ ఇంటర్‌సెప్టర్ ఫైటర్ పంపినది, అలైడ్ రిపోర్టింగ్ నేమ్ లూకా, జపనీస్ రెండవ ప్రపంచ యుద్ధం ఫైటర్ విమానం, ఇది ఇంపీరియల్ జపనీస్ నావికాదళం ఉపయోగించడానికి మిత్సుబిషి ప్రతి"&amp;"పాదించింది. J4M ప్రాజెక్ట్ డిజైన్ దశకు మించి ముందుకు సాగలేదు. ఇంపీరియల్ జపనీస్ నావికాదళం భూమి-ఆధారిత అధిక-పనితీరు గల ఇంటర్‌కప్టర్ విమానాలను అందించడానికి, మిత్సుబిషి J4M ను రూపొందించారు. ఇది సింగిల్-సీట్, ట్విన్-బూమ్, తక్కువ-వింగ్ మోనోప్లేన్, సెంట్రల్ నాసె"&amp;"ల్లెతో కూడిన కాక్‌పిట్ మరియు 1,590 కిలోవాట్ (2,130-హెచ్‌పి) మిత్సుబిషి హ -43 [1] రేడియల్ ఇంజిన్ వెనుక ఉంది నాలుగు-బ్లేడెడ్ పషర్ ప్రొపెల్లర్ విజృంభణ మధ్య తిరిగేది. [2] బూమ్స్ రెక్క యొక్క ప్రముఖ అంచు నుండి వెనుకకు విస్తరించాలి మరియు సెంట్రల్ నాసెల్లె క్రింద"&amp;" అమర్చబడి ఉన్నాయి. [2] ఈ విమానం ట్రైసైకిల్ ల్యాండింగ్ గేర్ మరియు ఒక 30-మిమీ మరియు రెండు 20-మిమీ ఫిరంగిని కలిగి ఉంది. [2] ప్రారంభ J4M1 వెర్షన్ యొక్క రూపకల్పన నేవీ తన మద్దతును పోటీ కైషా J7W ఫైటర్ వెనుక ఉంచినప్పుడు ముగిసింది, మరియు మిత్సుబిషి ఒక నమూనాను నిర్"&amp;"మించలేదు. [2] అయినప్పటికీ మిత్రదేశాలు రెండవ ప్రపంచ యుద్ధంలో J4M ను ""లూకా"" అనే రిపోర్టింగ్ పేరును కేటాయించాయి. [3] జపనీస్ సీక్రెట్ ప్రాజెక్టుల నుండి డేటా: IJA మరియు IJN యొక్క ప్రయోగాత్మక విమానం 1939-1945 [4] సాధారణ లక్షణాలు పనితీరు ఆయుధాలు పోల్చదగిన పాత్"&amp;"ర, కాన్ఫిగరేషన్ మరియు ERA సంబంధిత జాబితాలు 2 హైఫనేటెడ్ వెనుకంజలో ఉన్న లేఖ (-J, -K, -L, లేదా -s) ద్వితీయ పాత్ర కోసం సవరించిన డిజైన్‌ను సూచిస్తుంది 1. గాలులు, 2. మెరుపు, 3. రాత్రిపూట లైట్లు, 4. పర్వతాలు, 5. నక్షత్రాలు/నక్షత్రరాశులు, 6. సముద్రాలు, 7. మేఘాలు,"&amp;" 8. మొక్కలు, 9. స్కైస్, 10 . ప్రకృతి దృశ్యాలు, మరియు 11. పువ్వులు")</f>
        <v>మిత్సుబిషి జె 4 ఎమ్ పంపిన (閃電 "ఫ్లాషింగ్ మెరుపు") లేదా నేవీ ప్రయోగాత్మక 17-షి ఓట్సు బి టైప్ ఇంటర్‌సెప్టర్ ఫైటర్ పంపినది, అలైడ్ రిపోర్టింగ్ నేమ్ లూకా, జపనీస్ రెండవ ప్రపంచ యుద్ధం ఫైటర్ విమానం, ఇది ఇంపీరియల్ జపనీస్ నావికాదళం ఉపయోగించడానికి మిత్సుబిషి ప్రతిపాదించింది. J4M ప్రాజెక్ట్ డిజైన్ దశకు మించి ముందుకు సాగలేదు. ఇంపీరియల్ జపనీస్ నావికాదళం భూమి-ఆధారిత అధిక-పనితీరు గల ఇంటర్‌కప్టర్ విమానాలను అందించడానికి, మిత్సుబిషి J4M ను రూపొందించారు. ఇది సింగిల్-సీట్, ట్విన్-బూమ్, తక్కువ-వింగ్ మోనోప్లేన్, సెంట్రల్ నాసెల్లెతో కూడిన కాక్‌పిట్ మరియు 1,590 కిలోవాట్ (2,130-హెచ్‌పి) మిత్సుబిషి హ -43 [1] రేడియల్ ఇంజిన్ వెనుక ఉంది నాలుగు-బ్లేడెడ్ పషర్ ప్రొపెల్లర్ విజృంభణ మధ్య తిరిగేది. [2] బూమ్స్ రెక్క యొక్క ప్రముఖ అంచు నుండి వెనుకకు విస్తరించాలి మరియు సెంట్రల్ నాసెల్లె క్రింద అమర్చబడి ఉన్నాయి. [2] ఈ విమానం ట్రైసైకిల్ ల్యాండింగ్ గేర్ మరియు ఒక 30-మిమీ మరియు రెండు 20-మిమీ ఫిరంగిని కలిగి ఉంది. [2] ప్రారంభ J4M1 వెర్షన్ యొక్క రూపకల్పన నేవీ తన మద్దతును పోటీ కైషా J7W ఫైటర్ వెనుక ఉంచినప్పుడు ముగిసింది, మరియు మిత్సుబిషి ఒక నమూనాను నిర్మించలేదు. [2] అయినప్పటికీ మిత్రదేశాలు రెండవ ప్రపంచ యుద్ధంలో J4M ను "లూకా" అనే రిపోర్టింగ్ పేరును కేటాయించాయి. [3] జపనీస్ సీక్రెట్ ప్రాజెక్టుల నుండి డేటా: IJA మరియు IJN యొక్క ప్రయోగాత్మక విమానం 1939-1945 [4] సాధారణ లక్షణాలు పనితీరు ఆయుధాలు పోల్చదగిన పాత్ర, కాన్ఫిగరేషన్ మరియు ERA సంబంధిత జాబితాలు 2 హైఫనేటెడ్ వెనుకంజలో ఉన్న లేఖ (-J, -K, -L, లేదా -s) ద్వితీయ పాత్ర కోసం సవరించిన డిజైన్‌ను సూచిస్తుంది 1. గాలులు, 2. మెరుపు, 3. రాత్రిపూట లైట్లు, 4. పర్వతాలు, 5. నక్షత్రాలు/నక్షత్రరాశులు, 6. సముద్రాలు, 7. మేఘాలు, 8. మొక్కలు, 9. స్కైస్, 10 . ప్రకృతి దృశ్యాలు, మరియు 11. పువ్వులు</v>
      </c>
      <c r="F7" s="1" t="s">
        <v>311</v>
      </c>
      <c r="G7" s="1" t="str">
        <f>IFERROR(__xludf.DUMMYFUNCTION("GOOGLETRANSLATE(F:F, ""en"", ""te"")"),"ఫైటర్ విమానం")</f>
        <v>ఫైటర్ విమానం</v>
      </c>
      <c r="H7" s="1" t="s">
        <v>312</v>
      </c>
      <c r="L7" s="1" t="s">
        <v>313</v>
      </c>
      <c r="M7" s="1" t="str">
        <f>IFERROR(__xludf.DUMMYFUNCTION("GOOGLETRANSLATE(L:L, ""en"", ""te"")"),"మిత్సుబిషి హెవీ ఇండస్ట్రీస్")</f>
        <v>మిత్సుబిషి హెవీ ఇండస్ట్రీస్</v>
      </c>
      <c r="N7" s="1" t="s">
        <v>314</v>
      </c>
      <c r="S7" s="1" t="s">
        <v>315</v>
      </c>
      <c r="V7" s="1">
        <v>1.0</v>
      </c>
      <c r="W7" s="1" t="s">
        <v>316</v>
      </c>
      <c r="X7" s="1" t="s">
        <v>317</v>
      </c>
      <c r="Y7" s="1" t="s">
        <v>318</v>
      </c>
      <c r="Z7" s="1" t="s">
        <v>319</v>
      </c>
      <c r="AG7" s="1" t="s">
        <v>320</v>
      </c>
      <c r="AH7" s="1" t="s">
        <v>321</v>
      </c>
      <c r="AM7" s="1" t="s">
        <v>322</v>
      </c>
      <c r="AX7" s="1" t="s">
        <v>323</v>
      </c>
      <c r="AY7" s="1" t="str">
        <f>IFERROR(__xludf.DUMMYFUNCTION("GOOGLETRANSLATE(AX:AX, ""en"", ""te"")"),"1 × మిత్సుబిషి Mk9d 18-Cyl. టేకాఫ్ వద్ద రెండు వరుసల అభిమాని ఎయిర్-కూల్డ్ రేడియల్ పిస్టన్ ఇంజిన్, 1,600 కిలోవాట్ (2,100 హెచ్‌పి)")</f>
        <v>1 × మిత్సుబిషి Mk9d 18-Cyl. టేకాఫ్ వద్ద రెండు వరుసల అభిమాని ఎయిర్-కూల్డ్ రేడియల్ పిస్టన్ ఇంజిన్, 1,600 కిలోవాట్ (2,100 హెచ్‌పి)</v>
      </c>
      <c r="AZ7" s="1" t="s">
        <v>324</v>
      </c>
      <c r="BA7" s="1" t="str">
        <f>IFERROR(__xludf.DUMMYFUNCTION("GOOGLETRANSLATE(AZ:AZ, ""en"", ""te"")"),"6-బ్లేడెడ్ మెటల్ స్థిరమైన స్పీడ్ ప్రొపెల్లర్, 3.2 మీ (10 అడుగుల 6 అంగుళాలు) వ్యాసం")</f>
        <v>6-బ్లేడెడ్ మెటల్ స్థిరమైన స్పీడ్ ప్రొపెల్లర్, 3.2 మీ (10 అడుగుల 6 అంగుళాలు) వ్యాసం</v>
      </c>
      <c r="BB7" s="1" t="s">
        <v>325</v>
      </c>
      <c r="BC7" s="1" t="s">
        <v>326</v>
      </c>
      <c r="BD7" s="1" t="s">
        <v>327</v>
      </c>
      <c r="BF7" s="1" t="s">
        <v>328</v>
      </c>
      <c r="BG7" s="2" t="str">
        <f>IFERROR(__xludf.DUMMYFUNCTION("GOOGLETRANSLATE(BF:BF, ""en"", ""te"")"),"ఇంపీరియల్ జపనీస్ నేవీ (ఉద్దేశించబడింది)")</f>
        <v>ఇంపీరియల్ జపనీస్ నేవీ (ఉద్దేశించబడింది)</v>
      </c>
      <c r="BH7" s="1" t="s">
        <v>329</v>
      </c>
      <c r="BS7" s="1" t="s">
        <v>330</v>
      </c>
      <c r="BX7" s="1"/>
      <c r="BY7" s="1" t="s">
        <v>331</v>
      </c>
      <c r="BZ7" s="1" t="s">
        <v>332</v>
      </c>
      <c r="CA7" s="1" t="s">
        <v>333</v>
      </c>
      <c r="CB7" s="1" t="s">
        <v>334</v>
      </c>
      <c r="CC7" s="1" t="s">
        <v>335</v>
      </c>
      <c r="CD7" s="1" t="str">
        <f>IFERROR(__xludf.DUMMYFUNCTION("GOOGLETRANSLATE(CC:CC, ""en"", ""te"")"),"1x 30 మిమీ టైప్ 5 ఫిరంగి 100 రౌండ్లు + 2x 20 మిమీ టైప్ 99 ఫిరంగికి తుపాకీకి 200 రౌండ్లు ఫ్యూజ్‌లేజ్ ముక్కులో")</f>
        <v>1x 30 మిమీ టైప్ 5 ఫిరంగి 100 రౌండ్లు + 2x 20 మిమీ టైప్ 99 ఫిరంగికి తుపాకీకి 200 రౌండ్లు ఫ్యూజ్‌లేజ్ ముక్కులో</v>
      </c>
      <c r="CE7" s="1" t="s">
        <v>336</v>
      </c>
      <c r="CF7" s="1" t="str">
        <f>IFERROR(__xludf.DUMMYFUNCTION("GOOGLETRANSLATE(CE:CE, ""en"", ""te"")"),"2x 30 కిలోల (66 ఎల్బి) లేదా 2x 60 కిలోల (132 ఎల్బి) బాంబుల కోసం సదుపాయం")</f>
        <v>2x 30 కిలోల (66 ఎల్బి) లేదా 2x 60 కిలోల (132 ఎల్బి) బాంబుల కోసం సదుపాయం</v>
      </c>
    </row>
    <row r="8">
      <c r="A8" s="1" t="s">
        <v>337</v>
      </c>
      <c r="B8" s="1" t="str">
        <f>IFERROR(__xludf.DUMMYFUNCTION("GOOGLETRANSLATE(A:A, ""en"", ""te"")"),"ఇమామ్ రో .41")</f>
        <v>ఇమామ్ రో .41</v>
      </c>
      <c r="C8" s="1" t="s">
        <v>338</v>
      </c>
      <c r="D8" s="1" t="str">
        <f>IFERROR(__xludf.DUMMYFUNCTION("GOOGLETRANSLATE(C:C, ""en"", ""te"")"),"ఇమామ్ రో .41 ఒక ఇటాలియన్ లైట్ బిప్‌లేన్ ఫైటర్ విమానం, ఇది 1930 -1940 లలో రెజియా ఏరోనాటికాలో పనిచేస్తోంది, ప్రధానంగా శిక్షకుడిగా. ఇది ఒక ఏకైక విమానం, ఇది 1934 లో మొదట కనిపించినప్పుడు పోరాట యోధుడిగా వాడుకలో లేదు, అయితే ఇది 1940 వరకు ఉపయోగించబడింది. జర్మన్ ఫ"&amp;"స్ట్ లైన్ యోధులు పూర్తిగా భిన్నంగా ఉన్నప్పటికీ, లుఫ్ట్‌వాఫ్ఫే ఒక శిక్షకుడిగా ఆసక్తి చూపించింది. RO.41 దాదాపుగా తెలియదు, అనేక ఇతర ఇటాలియన్ విమానాలతో పోలిస్తే, దాని 16 సంవత్సరాల కెరీర్‌లో చాలా ఎక్కువ ఉత్పత్తి చేయబడిన వాటిలో ఒకటి అయినప్పటికీ. IMAM RO.41 OFM "&amp;"(ఆఫీసిన్ ఫెర్రోవియారి మెరిడియోనాలి) యొక్క విమాన విభాగంలో దాని మూలాన్ని కలిగి ఉంది. 1929 లో చీఫ్ డిజైనర్ అలెశాండ్రో టోనిని తీవ్రమైన ఆరోగ్య సమస్యలను కలిగి ఉన్నాడు మరియు అతని స్థానంలో జియోవన్నీ గలాస్సో ఉన్నారు. నేపుల్స్ కేంద్రంగా ఉన్న ఈ సంస్థను 1935 లో బ్రెడ"&amp;"ా స్వాధీనం చేసుకుంది, కాబట్టి గలాస్సో యొక్క కొత్త విమాన నమూనాలు ఈ సంస్థ యొక్క ఇమామ్ హోదాను అందుకున్నాయి. మొదటిది RO.41, 16 జూన్ 1934 న కాపోడిచినో ఎయిర్ఫీల్డ్‌లో నికోలో లానా పరీక్షించిన ఫ్లైట్. మొదటి నమూనా పియాగియో పి.విఐఐ ఇంజిన్‌తో అమర్చబడి ఉంది మరియు అద్"&amp;"భుతమైన అధిరోహణ పనితీరుతో చాలా చురుకైనదిగా చూపించింది మరియు మరియు చాలా చురుకైనది, మరియు గుర్తించదగిన దుర్గుణాలు లేవు. రెండవ నమూనా, MM.281, 31 జనవరి 1935 న పరీక్షించబడింది మరియు రెజియా ఏరోనాటికాతో బలాన్ని తీసుకుంది. మూడవ నమూనాలో రెండు-దశల కంప్రెషర్‌తో పియాగ"&amp;"ియో P.VII C.45 ఉంది, ఇది 4,000 మీ. వద్ద 390 హెచ్‌పిని ఇస్తుంది. ఇది ఈ విమానం యొక్క ఖచ్చితమైన సంస్కరణ, మరియు యాభై విమానాలు, సంఖ్యలు MM.2907-2956 ఆదేశించబడ్డాయి. ఈ మొదటి సిరీస్ జూలై 1935 లో సేవలో ఉంచబడింది. ఒక బిప్‌లేన్, ఎగువ కంటే తక్కువ వింగ్ చిన్నది, RO.4"&amp;"1 మిశ్రమ నిర్మాణంలో ఉంది, క్రోమ్-మాలిబ్డినం స్టీల్ ఫ్రేమ్ యొక్క ఫ్యూజ్‌లేజ్, ఫాబ్రిక్‌తో కప్పబడి ఉంది. డ్యూరాలిమిన్ దిగువ మరియు ఎగువ ఫ్యూజ్‌లేజ్‌ను కప్పారు, మరియు ఇంజిన్ కౌలింగ్‌ను కూడా కప్పారు. రెక్కలు బట్టతో కప్పబడిన చెక్కతో తయారు చేయబడ్డాయి. స్థిర అండర"&amp;"్ క్యారేజ్ ఉంది. ఇంజిన్ గ్రౌండ్ లెవెల్ వద్ద సైద్ధాంతిక 425 హెచ్‌పి, 1,500 మీ వద్ద 450 హెచ్‌పి, మరియు 390 హెచ్‌పిని 4,500 మీ. విశ్వసనీయత చాలా బాగుంది. 176-లీటర్ ఇంధన ట్యాంక్ ఫ్యూజ్‌లేజ్ లోపల, ఇంజిన్ దగ్గర, 20-లీటర్ ఆయిల్ ట్యాంక్‌తో ఉంది. ప్రొపెల్లర్ రెండు-"&amp;"బ్లేడెడ్ మరియు కలపతో తయారు చేయబడింది, తరువాత దాని స్థానంలో మెటల్ రెండు-బ్లేడ్ మోడల్ ఉంది. ఆయుధాలు, అమర్చినప్పుడు, 850 గుళికలతో ఫ్యూజ్‌లేజ్ లోపల అమర్చిన రెండు 7.7 మిమీ బ్రెడా-సఫాట్ మెషిన్ గన్‌లను కలిగి ఉంటుంది. ఈ విమానం ఒక పోరాట యోధునిగా రూపొందించబడింది, క"&amp;"ానీ 1930 ల మధ్యలో కూడా బలహీనంగా ఉంది. ఇది చిన్న I-15 ను పోలి ఉంటుంది మరియు చాలా చురుకైనది. పరీక్షలలో ఇది 1 నిమిషాల 32 సెకన్లలో 1,000 మీటర్ల ఎత్తుకు, 3 నిమి 47 సెకన్లలో 3,000 మీ, మరియు 7 నిమిషాల 34 సెకన్లలో 5,000 మీ. Cr.32 (5 నిమిషంలో 3,000 మీ. 10 సెకన్లలో"&amp;"). ఇది CR.32 కన్నా ఎక్కువ మనోహరమైనది మరియు ఖర్చు చాలా తక్కువ. ఏదేమైనా, RO.41 ను విశ్వసనీయ పోరాట యోధునిగా మార్చడానికి 320 కిమీ/గం మాత్రమే చాలా నెమ్మదిగా ఉంది, మరియు CR.32 మంచి పరిధిని కలిగి ఉంది, మంచి డైవ్ పనితీరు, మరింత భారీగా ఆయుధాలు కలిగి ఉంది మరియు అప్"&amp;"పటికే సేవలో ఉంది . RO.41 ఒక ట్రైనర్ విమానంగా ఒక పాత్రను కనుగొంది, దీని కోసం ఇది బాగా సరిపోతుంది, మరియు 30 రెండు-సీట్ల విమానాల శ్రేణి 1937 లో మొదట ప్రయాణించింది. RO.41 బ్రెడా BA.25 ను భర్తీ చేసింది, మరియు త్వరలో మరో 264 సింగిల్ -సీట్ మరియు 66 రెండు-సీట్ల న"&amp;"మూనాలు ఆదేశించబడ్డాయి. RO.41 ను లైట్ ఫైటర్‌గా కూడా ప్రతిపాదించారు. ఇరవై ఎనిమిది ఎనిమిది మందిని స్పెయిన్‌కు పంపారు, అక్కడ వారి అధిక ఆరోహణ రేటుకు కృతజ్ఞతలు, వారు సెవిల్లె చుట్టూ పాయింట్-డిఫెన్స్ ఇంటర్‌సెప్టర్లుగా వ్యవహరించారు, అయినప్పటికీ వారు ఎటువంటి విజయా"&amp;"లు సాధించలేదని తెలుస్తుంది. ఇది 5 మరియు 50 వింగ్‌లో ఫైటర్ బాంబర్‌గా పనిచేసింది, బ్రెడా బా .65 రాకముందే. XVI గ్రుప్పో, 50 స్టార్మో, దాని మూడు స్క్వాడ్రన్లను RO.41 లతో కలిగి ఉంది. 163 SQN ను రోడీకి పంపారు మరియు 1940 వరకు RO.41 ను ఫైటర్‌గా ఉపయోగించారు. పన్నె"&amp;"ండు RO.41 లు 1939 లో 160 గ్రుప్పోతో పనిచేశాయి మరియు మొదటి లైన్ ఫైటర్స్‌గా ఉపయోగించబడ్డాయి, అయినప్పటికీ గ్రుప్పో Cr.32S మరియు Cr.42 లపై ఆధారపడింది. 10 ఆగస్టు 1940 నుండి 159 చదరపు నాటి నాలుగు RO.41 లు, 12 గ్రుప్పో, 50 అస్సాల్ట్ వింగ్ టోబ్రూక్ నుండి నైట్ ఫైట"&amp;"ర్స్ గా ఎగురవేయబడ్డాయి. ఫస్ట్ లైన్ ఫైటర్‌గా దాని పరిమిత కెరీర్‌లో RO.41 ఎటువంటి విజయాలు సాధించలేదు, మరియు అది ఏ ఎయిర్-పోరాటాలలోనూ పాల్గొనడానికి అవకాశం లేదు. ఈ సమయానికి CR.32 మరియు Cr.42 లు కూడా వాడుకలో లేవు, మరియు RO.41 లు స్టాప్-గ్యాప్ కొలత మాత్రమే. వారి"&amp;" నిజమైన పని అధునాతన శిక్షణ మరియు వాడుకలో లేని డిజైన్ ఉన్నప్పటికీ వారు జనాదరణ పొందిన, నమ్మదగిన మరియు చౌకైన యంత్రాలుగా ఉన్నారు. వాటిని అగస్టా మరియు అవిస్ కూడా నిర్మించారు. RO.41BIS, చిన్న రెక్క మరియు మెరుగైన పనితీరుతో పరీక్షించబడింది, కాని CR.32 ఇప్పటికే ఎగ"&amp;"ిరే పాఠశాలలకు అందుబాటులో ఉంది మరియు ఇది విజయవంతం కాలేదు. సెప్టెంబరులో 1938 లో mm.3786 రకాన్ని ప్రదర్శించడానికి ఉరుగ్వేకు పంపబడింది, కాని ఎటువంటి ఉత్తర్వులు ఉంచబడలేదు. RO.41 లు జనాదరణ పొందిన విమానం మరియు చాలా సంవత్సరాలు ఫస్ట్ లైన్ స్క్వాడ్రన్లు మరియు ఫ్లైట"&amp;"్ పాఠశాలలు దీనిని నిర్వహించాయి, ఇది మొదటి లైన్ ఉపయోగం కోసం వాడుకలో లేని వరకు. కొన్ని మార్పులలో ఒకటి పియాగ్గియో P.VII RC.35 ఇంజిన్ యొక్క అమరిక, ఇది ఒకే-దశ కంప్రెసర్ కలిగి ఉంది, ఇది తక్కువ స్థాయిలో 500 HP ని ఇచ్చింది. తుపాకులు చాలా అరుదుగా అమర్చబడి ఉన్నాయి,"&amp;" మరియు రెండు-సీట్ల సంస్కరణలకు ఆయుధాలు లేవు మరియు తక్కువ ఇంధనాన్ని కూడా కలిగి ఉన్నాయి. ఉత్పత్తి 1943 నాటికి 726 విమానాలను కలిగి ఉంది. ఆర్మిస్టిస్ తరువాత ఆర్‌ఎస్‌ఐ యొక్క ఏరోనాటికా నాజియోనెల్ రిపబ్లికానా కొన్ని విమానాలను నిర్వహించింది, మరియు లుఫ్ట్‌వాఫ్ వారి"&amp;"ని జర్మనీ మరియు ఫ్రాన్స్‌లలో శిక్షకులుగా ఉపయోగించుకున్నారు. వింతగా దక్షిణ ఇటలీలో ఎటువంటి ఉదాహరణలు లేవు, బహుశా కాస్టిగ్లియోన్ డెల్ లాగో ఎయిర్ఫీల్డ్ వంటి విమాన పాఠశాలలు మధ్య మరియు ఉత్తర ఇటలీలో ఉన్నాయి. ఐదు ANR విమానాలు యుద్ధం నుండి బయటపడ్డాయి. 15 కొత్త విమా"&amp;"నాలకు (5 సింగిల్ మరియు 10 రెండు సీటర్లు) మరియు తరువాత పది (7 సింగిల్ మరియు 3 రెండు సీటర్లు) అగస్టాకు ఒక ఆర్డర్ పంపినప్పుడు RO.41 యుద్ధానంతర యుద్ధానంతర విమానం ఉత్పత్తిలోకి ప్రవేశించింది. ఈ విమానాలలో చెక్క ప్రొపెల్లర్ ఉంది, బహుశా భాగాలు ఇప్పటికీ స్టోర్‌లో ఉ"&amp;"న్నాయి. మభ్యపెట్టే రంగులకు బదులుగా ఇటాలియన్ విమానాలకు కొత్త ప్రమాణం అయిన వెండిని పెయింట్ చేశారు. ఈ మూడు యంత్రాలు 1947 లో పాడువాలో ఏరోనాటికా మిలిటేర్ యొక్క మొదటి అక్రోబాటిక్ బృందాన్ని ఏర్పాటు చేశాయి. ఈ విమానాలు 1950 వరకు ఎగురవేయబడ్డాయి. మొత్తం ఉత్పత్తి 753"&amp;" విమానాలకు చేరుకుంది. సాధారణ లక్షణాలు పనితీరు ఆయుధ సంబంధిత జాబితాలు")</f>
        <v>ఇమామ్ రో .41 ఒక ఇటాలియన్ లైట్ బిప్‌లేన్ ఫైటర్ విమానం, ఇది 1930 -1940 లలో రెజియా ఏరోనాటికాలో పనిచేస్తోంది, ప్రధానంగా శిక్షకుడిగా. ఇది ఒక ఏకైక విమానం, ఇది 1934 లో మొదట కనిపించినప్పుడు పోరాట యోధుడిగా వాడుకలో లేదు, అయితే ఇది 1940 వరకు ఉపయోగించబడింది. జర్మన్ ఫస్ట్ లైన్ యోధులు పూర్తిగా భిన్నంగా ఉన్నప్పటికీ, లుఫ్ట్‌వాఫ్ఫే ఒక శిక్షకుడిగా ఆసక్తి చూపించింది. RO.41 దాదాపుగా తెలియదు, అనేక ఇతర ఇటాలియన్ విమానాలతో పోలిస్తే, దాని 16 సంవత్సరాల కెరీర్‌లో చాలా ఎక్కువ ఉత్పత్తి చేయబడిన వాటిలో ఒకటి అయినప్పటికీ. IMAM RO.41 OFM (ఆఫీసిన్ ఫెర్రోవియారి మెరిడియోనాలి) యొక్క విమాన విభాగంలో దాని మూలాన్ని కలిగి ఉంది. 1929 లో చీఫ్ డిజైనర్ అలెశాండ్రో టోనిని తీవ్రమైన ఆరోగ్య సమస్యలను కలిగి ఉన్నాడు మరియు అతని స్థానంలో జియోవన్నీ గలాస్సో ఉన్నారు. నేపుల్స్ కేంద్రంగా ఉన్న ఈ సంస్థను 1935 లో బ్రెడా స్వాధీనం చేసుకుంది, కాబట్టి గలాస్సో యొక్క కొత్త విమాన నమూనాలు ఈ సంస్థ యొక్క ఇమామ్ హోదాను అందుకున్నాయి. మొదటిది RO.41, 16 జూన్ 1934 న కాపోడిచినో ఎయిర్ఫీల్డ్‌లో నికోలో లానా పరీక్షించిన ఫ్లైట్. మొదటి నమూనా పియాగియో పి.విఐఐ ఇంజిన్‌తో అమర్చబడి ఉంది మరియు అద్భుతమైన అధిరోహణ పనితీరుతో చాలా చురుకైనదిగా చూపించింది మరియు మరియు చాలా చురుకైనది, మరియు గుర్తించదగిన దుర్గుణాలు లేవు. రెండవ నమూనా, MM.281, 31 జనవరి 1935 న పరీక్షించబడింది మరియు రెజియా ఏరోనాటికాతో బలాన్ని తీసుకుంది. మూడవ నమూనాలో రెండు-దశల కంప్రెషర్‌తో పియాగియో P.VII C.45 ఉంది, ఇది 4,000 మీ. వద్ద 390 హెచ్‌పిని ఇస్తుంది. ఇది ఈ విమానం యొక్క ఖచ్చితమైన సంస్కరణ, మరియు యాభై విమానాలు, సంఖ్యలు MM.2907-2956 ఆదేశించబడ్డాయి. ఈ మొదటి సిరీస్ జూలై 1935 లో సేవలో ఉంచబడింది. ఒక బిప్‌లేన్, ఎగువ కంటే తక్కువ వింగ్ చిన్నది, RO.41 మిశ్రమ నిర్మాణంలో ఉంది, క్రోమ్-మాలిబ్డినం స్టీల్ ఫ్రేమ్ యొక్క ఫ్యూజ్‌లేజ్, ఫాబ్రిక్‌తో కప్పబడి ఉంది. డ్యూరాలిమిన్ దిగువ మరియు ఎగువ ఫ్యూజ్‌లేజ్‌ను కప్పారు, మరియు ఇంజిన్ కౌలింగ్‌ను కూడా కప్పారు. రెక్కలు బట్టతో కప్పబడిన చెక్కతో తయారు చేయబడ్డాయి. స్థిర అండర్ క్యారేజ్ ఉంది. ఇంజిన్ గ్రౌండ్ లెవెల్ వద్ద సైద్ధాంతిక 425 హెచ్‌పి, 1,500 మీ వద్ద 450 హెచ్‌పి, మరియు 390 హెచ్‌పిని 4,500 మీ. విశ్వసనీయత చాలా బాగుంది. 176-లీటర్ ఇంధన ట్యాంక్ ఫ్యూజ్‌లేజ్ లోపల, ఇంజిన్ దగ్గర, 20-లీటర్ ఆయిల్ ట్యాంక్‌తో ఉంది. ప్రొపెల్లర్ రెండు-బ్లేడెడ్ మరియు కలపతో తయారు చేయబడింది, తరువాత దాని స్థానంలో మెటల్ రెండు-బ్లేడ్ మోడల్ ఉంది. ఆయుధాలు, అమర్చినప్పుడు, 850 గుళికలతో ఫ్యూజ్‌లేజ్ లోపల అమర్చిన రెండు 7.7 మిమీ బ్రెడా-సఫాట్ మెషిన్ గన్‌లను కలిగి ఉంటుంది. ఈ విమానం ఒక పోరాట యోధునిగా రూపొందించబడింది, కానీ 1930 ల మధ్యలో కూడా బలహీనంగా ఉంది. ఇది చిన్న I-15 ను పోలి ఉంటుంది మరియు చాలా చురుకైనది. పరీక్షలలో ఇది 1 నిమిషాల 32 సెకన్లలో 1,000 మీటర్ల ఎత్తుకు, 3 నిమి 47 సెకన్లలో 3,000 మీ, మరియు 7 నిమిషాల 34 సెకన్లలో 5,000 మీ. Cr.32 (5 నిమిషంలో 3,000 మీ. 10 సెకన్లలో). ఇది CR.32 కన్నా ఎక్కువ మనోహరమైనది మరియు ఖర్చు చాలా తక్కువ. ఏదేమైనా, RO.41 ను విశ్వసనీయ పోరాట యోధునిగా మార్చడానికి 320 కిమీ/గం మాత్రమే చాలా నెమ్మదిగా ఉంది, మరియు CR.32 మంచి పరిధిని కలిగి ఉంది, మంచి డైవ్ పనితీరు, మరింత భారీగా ఆయుధాలు కలిగి ఉంది మరియు అప్పటికే సేవలో ఉంది . RO.41 ఒక ట్రైనర్ విమానంగా ఒక పాత్రను కనుగొంది, దీని కోసం ఇది బాగా సరిపోతుంది, మరియు 30 రెండు-సీట్ల విమానాల శ్రేణి 1937 లో మొదట ప్రయాణించింది. RO.41 బ్రెడా BA.25 ను భర్తీ చేసింది, మరియు త్వరలో మరో 264 సింగిల్ -సీట్ మరియు 66 రెండు-సీట్ల నమూనాలు ఆదేశించబడ్డాయి. RO.41 ను లైట్ ఫైటర్‌గా కూడా ప్రతిపాదించారు. ఇరవై ఎనిమిది ఎనిమిది మందిని స్పెయిన్‌కు పంపారు, అక్కడ వారి అధిక ఆరోహణ రేటుకు కృతజ్ఞతలు, వారు సెవిల్లె చుట్టూ పాయింట్-డిఫెన్స్ ఇంటర్‌సెప్టర్లుగా వ్యవహరించారు, అయినప్పటికీ వారు ఎటువంటి విజయాలు సాధించలేదని తెలుస్తుంది. ఇది 5 మరియు 50 వింగ్‌లో ఫైటర్ బాంబర్‌గా పనిచేసింది, బ్రెడా బా .65 రాకముందే. XVI గ్రుప్పో, 50 స్టార్మో, దాని మూడు స్క్వాడ్రన్లను RO.41 లతో కలిగి ఉంది. 163 SQN ను రోడీకి పంపారు మరియు 1940 వరకు RO.41 ను ఫైటర్‌గా ఉపయోగించారు. పన్నెండు RO.41 లు 1939 లో 160 గ్రుప్పోతో పనిచేశాయి మరియు మొదటి లైన్ ఫైటర్స్‌గా ఉపయోగించబడ్డాయి, అయినప్పటికీ గ్రుప్పో Cr.32S మరియు Cr.42 లపై ఆధారపడింది. 10 ఆగస్టు 1940 నుండి 159 చదరపు నాటి నాలుగు RO.41 లు, 12 గ్రుప్పో, 50 అస్సాల్ట్ వింగ్ టోబ్రూక్ నుండి నైట్ ఫైటర్స్ గా ఎగురవేయబడ్డాయి. ఫస్ట్ లైన్ ఫైటర్‌గా దాని పరిమిత కెరీర్‌లో RO.41 ఎటువంటి విజయాలు సాధించలేదు, మరియు అది ఏ ఎయిర్-పోరాటాలలోనూ పాల్గొనడానికి అవకాశం లేదు. ఈ సమయానికి CR.32 మరియు Cr.42 లు కూడా వాడుకలో లేవు, మరియు RO.41 లు స్టాప్-గ్యాప్ కొలత మాత్రమే. వారి నిజమైన పని అధునాతన శిక్షణ మరియు వాడుకలో లేని డిజైన్ ఉన్నప్పటికీ వారు జనాదరణ పొందిన, నమ్మదగిన మరియు చౌకైన యంత్రాలుగా ఉన్నారు. వాటిని అగస్టా మరియు అవిస్ కూడా నిర్మించారు. RO.41BIS, చిన్న రెక్క మరియు మెరుగైన పనితీరుతో పరీక్షించబడింది, కాని CR.32 ఇప్పటికే ఎగిరే పాఠశాలలకు అందుబాటులో ఉంది మరియు ఇది విజయవంతం కాలేదు. సెప్టెంబరులో 1938 లో mm.3786 రకాన్ని ప్రదర్శించడానికి ఉరుగ్వేకు పంపబడింది, కాని ఎటువంటి ఉత్తర్వులు ఉంచబడలేదు. RO.41 లు జనాదరణ పొందిన విమానం మరియు చాలా సంవత్సరాలు ఫస్ట్ లైన్ స్క్వాడ్రన్లు మరియు ఫ్లైట్ పాఠశాలలు దీనిని నిర్వహించాయి, ఇది మొదటి లైన్ ఉపయోగం కోసం వాడుకలో లేని వరకు. కొన్ని మార్పులలో ఒకటి పియాగ్గియో P.VII RC.35 ఇంజిన్ యొక్క అమరిక, ఇది ఒకే-దశ కంప్రెసర్ కలిగి ఉంది, ఇది తక్కువ స్థాయిలో 500 HP ని ఇచ్చింది. తుపాకులు చాలా అరుదుగా అమర్చబడి ఉన్నాయి, మరియు రెండు-సీట్ల సంస్కరణలకు ఆయుధాలు లేవు మరియు తక్కువ ఇంధనాన్ని కూడా కలిగి ఉన్నాయి. ఉత్పత్తి 1943 నాటికి 726 విమానాలను కలిగి ఉంది. ఆర్మిస్టిస్ తరువాత ఆర్‌ఎస్‌ఐ యొక్క ఏరోనాటికా నాజియోనెల్ రిపబ్లికానా కొన్ని విమానాలను నిర్వహించింది, మరియు లుఫ్ట్‌వాఫ్ వారిని జర్మనీ మరియు ఫ్రాన్స్‌లలో శిక్షకులుగా ఉపయోగించుకున్నారు. వింతగా దక్షిణ ఇటలీలో ఎటువంటి ఉదాహరణలు లేవు, బహుశా కాస్టిగ్లియోన్ డెల్ లాగో ఎయిర్ఫీల్డ్ వంటి విమాన పాఠశాలలు మధ్య మరియు ఉత్తర ఇటలీలో ఉన్నాయి. ఐదు ANR విమానాలు యుద్ధం నుండి బయటపడ్డాయి. 15 కొత్త విమానాలకు (5 సింగిల్ మరియు 10 రెండు సీటర్లు) మరియు తరువాత పది (7 సింగిల్ మరియు 3 రెండు సీటర్లు) అగస్టాకు ఒక ఆర్డర్ పంపినప్పుడు RO.41 యుద్ధానంతర యుద్ధానంతర విమానం ఉత్పత్తిలోకి ప్రవేశించింది. ఈ విమానాలలో చెక్క ప్రొపెల్లర్ ఉంది, బహుశా భాగాలు ఇప్పటికీ స్టోర్‌లో ఉన్నాయి. మభ్యపెట్టే రంగులకు బదులుగా ఇటాలియన్ విమానాలకు కొత్త ప్రమాణం అయిన వెండిని పెయింట్ చేశారు. ఈ మూడు యంత్రాలు 1947 లో పాడువాలో ఏరోనాటికా మిలిటేర్ యొక్క మొదటి అక్రోబాటిక్ బృందాన్ని ఏర్పాటు చేశాయి. ఈ విమానాలు 1950 వరకు ఎగురవేయబడ్డాయి. మొత్తం ఉత్పత్తి 753 విమానాలకు చేరుకుంది. సాధారణ లక్షణాలు పనితీరు ఆయుధ సంబంధిత జాబితాలు</v>
      </c>
      <c r="E8" s="1" t="s">
        <v>339</v>
      </c>
      <c r="F8" s="1" t="s">
        <v>340</v>
      </c>
      <c r="G8" s="1" t="str">
        <f>IFERROR(__xludf.DUMMYFUNCTION("GOOGLETRANSLATE(F:F, ""en"", ""te"")"),"ఫైటర్/ట్రైనర్")</f>
        <v>ఫైటర్/ట్రైనర్</v>
      </c>
      <c r="L8" s="1" t="s">
        <v>341</v>
      </c>
      <c r="M8" s="1" t="str">
        <f>IFERROR(__xludf.DUMMYFUNCTION("GOOGLETRANSLATE(L:L, ""en"", ""te"")"),"ఇమామ్")</f>
        <v>ఇమామ్</v>
      </c>
      <c r="N8" s="3" t="s">
        <v>342</v>
      </c>
      <c r="O8" s="1" t="s">
        <v>343</v>
      </c>
      <c r="P8" s="1" t="str">
        <f>IFERROR(__xludf.DUMMYFUNCTION("GOOGLETRANSLATE(O:O, ""en"", ""te"")"),"జియోవన్నీ గలాస్సో")</f>
        <v>జియోవన్నీ గలాస్సో</v>
      </c>
      <c r="R8" s="4">
        <v>12586.0</v>
      </c>
      <c r="S8" s="1" t="s">
        <v>344</v>
      </c>
      <c r="V8" s="1">
        <v>1.0</v>
      </c>
      <c r="W8" s="1" t="s">
        <v>345</v>
      </c>
      <c r="X8" s="1" t="s">
        <v>346</v>
      </c>
      <c r="Y8" s="1" t="s">
        <v>347</v>
      </c>
      <c r="Z8" s="1" t="s">
        <v>348</v>
      </c>
      <c r="AG8" s="1" t="s">
        <v>349</v>
      </c>
      <c r="AH8" s="1" t="s">
        <v>350</v>
      </c>
      <c r="AO8" s="1">
        <v>1935.0</v>
      </c>
      <c r="AP8" s="3" t="s">
        <v>351</v>
      </c>
      <c r="AQ8" s="1">
        <v>1950.0</v>
      </c>
      <c r="AS8" s="1" t="s">
        <v>352</v>
      </c>
      <c r="AT8" s="1"/>
      <c r="AU8" s="1" t="s">
        <v>353</v>
      </c>
      <c r="AW8" s="1" t="s">
        <v>354</v>
      </c>
      <c r="AX8" s="1" t="s">
        <v>355</v>
      </c>
      <c r="AY8" s="1" t="str">
        <f>IFERROR(__xludf.DUMMYFUNCTION("GOOGLETRANSLATE(AX:AX, ""en"", ""te"")"),"1 × పియాగియో స్టెల్లా P.VII R.C.35 7-సిలిండర్ ఎయిర్-కూల్డ్ రేడియల్ పిస్టన్ ఇంజిన్, 335 kW (449 HP)")</f>
        <v>1 × పియాగియో స్టెల్లా P.VII R.C.35 7-సిలిండర్ ఎయిర్-కూల్డ్ రేడియల్ పిస్టన్ ఇంజిన్, 335 kW (449 HP)</v>
      </c>
      <c r="AZ8" s="1" t="s">
        <v>356</v>
      </c>
      <c r="BA8" s="1" t="str">
        <f>IFERROR(__xludf.DUMMYFUNCTION("GOOGLETRANSLATE(AZ:AZ, ""en"", ""te"")"),"2-బ్లేడెడ్ స్థిర-పిచ్ చెక్క ప్రొపెల్లర్")</f>
        <v>2-బ్లేడెడ్ స్థిర-పిచ్ చెక్క ప్రొపెల్లర్</v>
      </c>
      <c r="BB8" s="1" t="s">
        <v>357</v>
      </c>
      <c r="BG8" s="2"/>
      <c r="BT8" s="1" t="s">
        <v>358</v>
      </c>
      <c r="CC8" s="1" t="s">
        <v>359</v>
      </c>
      <c r="CD8" s="1" t="str">
        <f>IFERROR(__xludf.DUMMYFUNCTION("GOOGLETRANSLATE(CC:CC, ""en"", ""te"")"),"2 × 7.7 మిమీ బ్రెడా-సఫత్ మెషిన్ గన్స్")</f>
        <v>2 × 7.7 మిమీ బ్రెడా-సఫత్ మెషిన్ గన్స్</v>
      </c>
    </row>
    <row r="9">
      <c r="A9" s="1" t="s">
        <v>360</v>
      </c>
      <c r="B9" s="1" t="str">
        <f>IFERROR(__xludf.DUMMYFUNCTION("GOOGLETRANSLATE(A:A, ""en"", ""te"")"),"నకాజిమా కి -12")</f>
        <v>నకాజిమా కి -12</v>
      </c>
      <c r="C9" s="1" t="s">
        <v>361</v>
      </c>
      <c r="D9" s="1" t="str">
        <f>IFERROR(__xludf.DUMMYFUNCTION("GOOGLETRANSLATE(C:C, ""en"", ""te"")"),"కి -11 రూపకల్పనతో ఆధునిక సింగిల్-సీట్ల మోనోప్లేన్ ఫైటర్ కోసం జపాన్ ప్రభుత్వం జారీ చేసిన 1935 అవసరాన్ని తీర్చడంలో విఫలమైన తరువాత నకాజిమా కి -12 (中島 キ 12, కి-జ్యూని) ఒక ప్రైవేట్ అభివృద్ధి నకాజిమా విమాన సంస్థ. KI-12 పై డిజైన్ పని ఫ్రెంచ్ డ్యూయిటైన్ సంస్థ నుం"&amp;"డి ఇంజనీర్లు రోజర్ రాబర్ట్ మరియు జీన్ బెజియాడ్ మరియు నకాజిమా ఇంజనీర్ షిగెనోబు మోరి మధ్య సహకారం, మరియు డ్యూయిటిన్ D.510 రూపకల్పన ద్వారా ఎక్కువగా ప్రభావితమైంది. [1] [2] నకాజిమా కొత్త డిజైన్ జపాన్‌లో సాంకేతికంగా అభివృద్ధి చెందాలని కోరుకుంది. [2] KI-11 ఎయిర్ఫ"&amp;"్రేమ్ ఆధారంగా, ఇంజిన్ స్థానంలో ద్రవ-చల్లబడిన 454 kW (610 HP) హిస్పానో-సుయిజా 12xCRS V ఇంజిన్ ఉంది. ల్యాండింగ్ గేర్ పూర్తిగా ముడుచుకునేది (ఈ లక్షణాన్ని కలిగి ఉన్న మొదటి జపనీస్ డిజైన్), [2] మరియు డిజైన్ స్లాట్డ్ ఫ్లాప్‌ల వాడకాన్ని ప్రవేశపెట్టింది. ప్రతిపాది"&amp;"త ఆయుధాలు ఇంజిన్ సిలిండర్లు మరియు జంట 7.7 మిమీ (.303 అంగుళాలు) మెషిన్ గన్స్ మధ్య 20 మిమీ ఫిరంగి కాల్పులు జరిగాయి. కి -12 ను మిత్సుబిషి కి -18 కు వ్యతిరేకంగా పరీక్షించారు. సాంకేతికంగా అభివృద్ధి చెందినది మరియు ఇతర సమకాలీన జపనీస్ ఫైటర్ డిజైన్లపై వేగం, పరిధి "&amp;"మరియు మందుగుండు సామగ్రిని కలిగి ఉన్నప్పటికీ, KI-12 ను ఇంపీరియల్ జపనీస్ ఆర్మీ వైమానిక దళం చాలా భారీగా మరియు సంక్లిష్టంగా భావించింది. ఈ డిజైన్ యుక్తిలో లేదని IJAAF భావించింది మరియు హిస్పానో-సుయిజా ఇంజిన్ కోసం తయారీ లైసెన్స్‌పై ఆధారపడటానికి ఇష్టపడదు. [2] ఈ ప"&amp;"్రాజెక్టును కొనసాగించడానికి సైన్యం నిరాకరించినప్పటికీ, నకాజిమా ఈ డిజైన్‌ను మెరుగుపరుస్తూనే ఉంది, చాలా సంవత్సరాల తరువాత విజయవంతమైన KI-27 ""నేట్"" గా అభివృద్ధి చెందింది, ఇది చాలా సంవత్సరాల తరువాత నకాజిమా రకం P.E. ప్రసిద్ధ విమానాల నుండి డేటా, ఫస్ట్ సిరీస్, #"&amp;"76: ఆర్మీ ప్రయోగాత్మక యోధులు (1) [3] సాధారణ లక్షణాలు పనితీరు ఆయుధాలు పోల్చదగిన పాత్ర, కాన్ఫిగరేషన్ మరియు ERA సంబంధిత జాబితాల విమానం")</f>
        <v>కి -11 రూపకల్పనతో ఆధునిక సింగిల్-సీట్ల మోనోప్లేన్ ఫైటర్ కోసం జపాన్ ప్రభుత్వం జారీ చేసిన 1935 అవసరాన్ని తీర్చడంలో విఫలమైన తరువాత నకాజిమా కి -12 (中島 キ 12, కి-జ్యూని) ఒక ప్రైవేట్ అభివృద్ధి నకాజిమా విమాన సంస్థ. KI-12 పై డిజైన్ పని ఫ్రెంచ్ డ్యూయిటైన్ సంస్థ నుండి ఇంజనీర్లు రోజర్ రాబర్ట్ మరియు జీన్ బెజియాడ్ మరియు నకాజిమా ఇంజనీర్ షిగెనోబు మోరి మధ్య సహకారం, మరియు డ్యూయిటిన్ D.510 రూపకల్పన ద్వారా ఎక్కువగా ప్రభావితమైంది. [1] [2] నకాజిమా కొత్త డిజైన్ జపాన్‌లో సాంకేతికంగా అభివృద్ధి చెందాలని కోరుకుంది. [2] KI-11 ఎయిర్ఫ్రేమ్ ఆధారంగా, ఇంజిన్ స్థానంలో ద్రవ-చల్లబడిన 454 kW (610 HP) హిస్పానో-సుయిజా 12xCRS V ఇంజిన్ ఉంది. ల్యాండింగ్ గేర్ పూర్తిగా ముడుచుకునేది (ఈ లక్షణాన్ని కలిగి ఉన్న మొదటి జపనీస్ డిజైన్), [2] మరియు డిజైన్ స్లాట్డ్ ఫ్లాప్‌ల వాడకాన్ని ప్రవేశపెట్టింది. ప్రతిపాదిత ఆయుధాలు ఇంజిన్ సిలిండర్లు మరియు జంట 7.7 మిమీ (.303 అంగుళాలు) మెషిన్ గన్స్ మధ్య 20 మిమీ ఫిరంగి కాల్పులు జరిగాయి. కి -12 ను మిత్సుబిషి కి -18 కు వ్యతిరేకంగా పరీక్షించారు. సాంకేతికంగా అభివృద్ధి చెందినది మరియు ఇతర సమకాలీన జపనీస్ ఫైటర్ డిజైన్లపై వేగం, పరిధి మరియు మందుగుండు సామగ్రిని కలిగి ఉన్నప్పటికీ, KI-12 ను ఇంపీరియల్ జపనీస్ ఆర్మీ వైమానిక దళం చాలా భారీగా మరియు సంక్లిష్టంగా భావించింది. ఈ డిజైన్ యుక్తిలో లేదని IJAAF భావించింది మరియు హిస్పానో-సుయిజా ఇంజిన్ కోసం తయారీ లైసెన్స్‌పై ఆధారపడటానికి ఇష్టపడదు. [2] ఈ ప్రాజెక్టును కొనసాగించడానికి సైన్యం నిరాకరించినప్పటికీ, నకాజిమా ఈ డిజైన్‌ను మెరుగుపరుస్తూనే ఉంది, చాలా సంవత్సరాల తరువాత విజయవంతమైన KI-27 "నేట్" గా అభివృద్ధి చెందింది, ఇది చాలా సంవత్సరాల తరువాత నకాజిమా రకం P.E. ప్రసిద్ధ విమానాల నుండి డేటా, ఫస్ట్ సిరీస్, #76: ఆర్మీ ప్రయోగాత్మక యోధులు (1) [3] సాధారణ లక్షణాలు పనితీరు ఆయుధాలు పోల్చదగిన పాత్ర, కాన్ఫిగరేషన్ మరియు ERA సంబంధిత జాబితాల విమానం</v>
      </c>
      <c r="F9" s="1" t="s">
        <v>362</v>
      </c>
      <c r="G9" s="1" t="str">
        <f>IFERROR(__xludf.DUMMYFUNCTION("GOOGLETRANSLATE(F:F, ""en"", ""te"")"),"ప్రోటోటైప్ ఫైటర్ విమానం")</f>
        <v>ప్రోటోటైప్ ఫైటర్ విమానం</v>
      </c>
      <c r="H9" s="1" t="s">
        <v>363</v>
      </c>
      <c r="L9" s="1" t="s">
        <v>364</v>
      </c>
      <c r="M9" s="1" t="str">
        <f>IFERROR(__xludf.DUMMYFUNCTION("GOOGLETRANSLATE(L:L, ""en"", ""te"")"),"నకాజిమా ఎయిర్క్రాఫ్ట్ కంపెనీ")</f>
        <v>నకాజిమా ఎయిర్క్రాఫ్ట్ కంపెనీ</v>
      </c>
      <c r="N9" s="1" t="s">
        <v>365</v>
      </c>
      <c r="R9" s="1">
        <v>1936.0</v>
      </c>
      <c r="T9" s="1" t="s">
        <v>366</v>
      </c>
      <c r="V9" s="1">
        <v>1.0</v>
      </c>
      <c r="W9" s="1" t="s">
        <v>367</v>
      </c>
      <c r="X9" s="1" t="s">
        <v>368</v>
      </c>
      <c r="Y9" s="1" t="s">
        <v>369</v>
      </c>
      <c r="Z9" s="1" t="s">
        <v>370</v>
      </c>
      <c r="AG9" s="1" t="s">
        <v>371</v>
      </c>
      <c r="AH9" s="1" t="s">
        <v>372</v>
      </c>
      <c r="AX9" s="1" t="s">
        <v>373</v>
      </c>
      <c r="AY9" s="1" t="str">
        <f>IFERROR(__xludf.DUMMYFUNCTION("GOOGLETRANSLATE(AX:AX, ""en"", ""te"")"),"1 × హిస్పానో-సుయిజా 12xcrs వాటర్-కూల్డ్ ఇంజిన్, 450 kW (610 HP)")</f>
        <v>1 × హిస్పానో-సుయిజా 12xcrs వాటర్-కూల్డ్ ఇంజిన్, 450 kW (610 HP)</v>
      </c>
      <c r="BB9" s="1" t="s">
        <v>374</v>
      </c>
      <c r="BD9" s="1" t="s">
        <v>375</v>
      </c>
      <c r="BF9" s="1" t="s">
        <v>376</v>
      </c>
      <c r="BG9" s="2" t="str">
        <f>IFERROR(__xludf.DUMMYFUNCTION("GOOGLETRANSLATE(BF:BF, ""en"", ""te"")"),"ఇజా వైమానిక దళం")</f>
        <v>ఇజా వైమానిక దళం</v>
      </c>
      <c r="BH9" s="1" t="s">
        <v>377</v>
      </c>
      <c r="BT9" s="1" t="s">
        <v>378</v>
      </c>
    </row>
    <row r="10">
      <c r="A10" s="1" t="s">
        <v>379</v>
      </c>
      <c r="B10" s="1" t="str">
        <f>IFERROR(__xludf.DUMMYFUNCTION("GOOGLETRANSLATE(A:A, ""en"", ""te"")"),"లిటునికా")</f>
        <v>లిటునికా</v>
      </c>
      <c r="C10" s="1" t="s">
        <v>380</v>
      </c>
      <c r="D10" s="1" t="str">
        <f>IFERROR(__xludf.DUMMYFUNCTION("GOOGLETRANSLATE(C:C, ""en"", ""te"")"),"లిటునికా 1933 లో లిథువేనియన్ పైలట్లు స్టెపోనాస్ డారియస్ మరియు స్టాసిస్ గిరానాస్ చేత అట్లాంటిక్ మహాసముద్రం మీదుగా అమెరికా నుండి ఎగిరిన బెల్లాంకా సిహెచ్ -300 పేస్‌మేకర్ విమానం. విజయవంతంగా 6,411 కిలోమీటర్ల (4,043 మైళ్ళు) ఎగురుతున్న తరువాత, ఇది క్రాష్ అయ్యింద"&amp;"ి, 650 కిలోమీటర్ల (404 మైల్స్) దాని గమ్యం నుండి, కౌనాస్, లిథువేనియా. జూన్ 18, 1932 న, పైలట్లు పేస్‌మేకర్ విమానం, సీరియల్ నం. 137, పాల్-వాకీ కంపెనీ నుండి NC-688E గా నమోదు చేయబడింది .200 3,200. మొట్టమొదట 1929 లో ఉత్పత్తి చేసి, ఎగిరింది, CH-300 పేస్‌మేకర్ యొ"&amp;"క్క నలభై యూనిట్లు చివరికి నిర్మించబడ్డాయి. ఇది సింగిల్-ఇంజిన్, ఆరు సీట్ల, హై-వింగ్ మోనోప్లేన్. ఫ్యూజ్‌లేజ్ ఫాబ్రిక్‌తో కప్పబడిన క్రోమోలీ స్టీల్ గొట్టాలను వెల్డింగ్ చేసింది. క్యాబిన్ లోపలి భాగం ధ్వని-శోషక పదార్థంతో కప్పబడి ఉంది. ఫ్యూజ్‌లేజ్‌లో సైడ్ మరియు ట"&amp;"ాప్ విండోస్ ఉన్నాయి, రెండు వైపులా తలుపులు ఉన్నాయి. రెక్కలు చెక్క నిర్మాణంతో ఉన్నాయి, రెండు స్పార్‌లు, ఫాబ్రిక్ కప్పబడి ఉన్నాయి. స్ప్రస్ మరియు పక్కటెముకలు స్ప్రూస్ స్ట్రిప్స్ మరియు ప్లైవుడ్‌తో తయారు చేయబడ్డాయి. రెక్కలు రెండు గ్యాసోలిన్ ట్యాంకులను కలిగి ఉన్"&amp;"నాయి, మొత్తం 88 యుఎస్ గాల్ (330 ఎల్) సామర్థ్యం ఉంది. వింగ్ స్ట్రట్స్ 2/3 కలప, 1/3 స్టీల్ (రెక్కల వద్ద) ఏరో-డైనమిక్ స్టీల్ పక్కటెముకలతో, ఫాబ్రిక్-కప్పబడినవి, అదనంగా 47 అడుగుల (4.4 m²) లిఫ్టింగ్ ఉపరితలాన్ని ఇస్తాయి. తోక ఉపరితలాలు వెల్డెడ్ స్టీల్ గొట్టాలతో త"&amp;"యారు చేయబడ్డాయి. క్షితిజ సమాంతర స్టెబిలైజర్ స్ప్రూస్ స్ట్రిప్స్ మరియు ప్లైవుడ్, విమానంలో ట్రిమ్-యాంగిల్ సర్దుబాటు. ల్యాండింగ్ గేర్ రబ్బరు తాడు సస్పెన్షన్‌తో వంగిన స్టీల్ బార్. చక్రాలు 30 × 5 అంగుళాలు (762 బై 127 మిమీ). ఇంజిన్ రైట్ జె 6, రేడియల్, ఎయిర్ కూల"&amp;"్డ్, 9 సిలిండర్లు, 300 హెచ్‌పి (225 కిలోవాట్). విమానం కోసం నిధులు అనేక లిథువేనియన్ క్లబ్‌లు మరియు సంస్థల నుండి సేకరించబడ్డాయి, [1] ఎయిర్ షోలతో సహా. జనవరి 20, 1933 న, ఈ విమానం చికాగోలోని క్లియరింగ్ ఇండస్ట్రియల్ డిస్ట్రిక్ట్ లోని 5321 W. 65 వ సెయింట్ వద్ద E"&amp;". ​​M. లైర్డ్ వర్క్‌షాప్‌లకు తరలించబడింది, అక్కడ ఆమె పునర్నిర్మించబడింది మరియు అట్లాంటిక్ విమానానికి తయారు చేయబడింది. కొత్త పొడుగుచేసిన రెక్కలు నిర్మించబడ్డాయి, ఫ్యూజ్‌లేజ్‌లో రెండు అదనపు గ్యాసోలిన్ ట్యాంకులు ఏర్పాటు చేయబడ్డాయి, 220 యుఎస్ గాల్ (830 ఎల్) మ"&amp;"రియు 185 యుఎస్ గాల్ (700 ఎల్) సామర్థ్యం ఉన్నాయి, వీటిలో ప్రతి ఒక్కటి అత్యవసర డంప్ కవాటాలు ఉన్నాయి. పైలట్ సీటు క్రింద 25 యుఎస్ గల్ (95 ఎల్) ఆయిల్ ట్యాంక్ 12 శీతలీకరణ గొట్టాలతో తయారు చేయబడింది. పొడవైన క్షితిజ సమాంతర స్టెబిలైజర్ నిర్మించబడింది. ఏరో-డైనమిక్ వ"&amp;"ీల్ ఫెయిరింగ్‌లు వ్యవస్థాపించబడ్డాయి మరియు ఫ్యూజ్‌లేజ్ కొత్త ఫాబ్రిక్ కవరింగ్ అందుకుంది. కొత్త, అధిక కుదింపు ఇంజిన్, 365 హెచ్‌పి (272 కిలోవాట్) రైట్ వర్ల్‌విండ్ జె 6-9 ఇ, సెర్. నం 12733, ""స్పీడ్ రింగ్"" ఉంది. మార్చి 29, 1933 న, పునర్నిర్మాణం పూర్తయింది, "&amp;"మరియు రిజిస్ట్రేషన్ సంఖ్యను NR-688E గా మార్చారు, మరియు ఈ విమానం నారింజ రంగులో పెయింట్ చేయబడింది. స్పాన్సర్ల పేర్లతో ఫ్యూజ్‌లేజ్ స్క్రోల్‌ల యొక్క రెండు వైపులా పెయింట్ చేయబడ్డాయి. ఈ విమానం లిథువేనియా కోసం లాటిన్, లిటునికా అని పిలువబడింది. స్టెపోనాస్ డారియస్"&amp;" మరియు స్టాసిస్ గిరానాస్ లిథువేనియన్ పైలట్లు, అమెరికాకు వలస వచ్చినవారు, వారు ప్రపంచ విమానయాన చరిత్రలో ముఖ్యమైన విమానంలో ఉన్నారు. జూలై 15, 1933 న, వారు అట్లాంటిక్ మహాసముద్రం మీదుగా 3,984 మైళ్ళు (6,411 కిలోమీటర్లు) ల్యాండింగ్ లేకుండా, 37 గంటలు 11 నిమిషాల్లో"&amp;" (107.1 mph) ఉన్నారు. పోలిక పరంగా, నాన్-స్టాప్ విమానాల దూరానికి సంబంధించినంతవరకు, వారి ఫలితం రస్సెల్ బోర్డ్‌మన్ మరియు జాన్ పోలాండోలకు రెండవ స్థానంలో నిలిచింది మరియు ఆ సమయంలో విమాన వ్యవధి పరంగా నాల్గవ స్థానంలో ఉంది. డారియస్ మరియు గిరెనాస్ నావిగేషనల్ పరికరా"&amp;"లను కలిగి లేనప్పటికీ, అననుకూల వాతావరణ పరిస్థితులలో ఎగిరినప్పటికీ, విమానయాన చరిత్రలో ఈ విమానం అత్యంత ఖచ్చితమైనది. ఇది సమానం, మరియు కొన్ని అంశాలలో చార్లెస్ లిండ్‌బర్గ్ యొక్క క్లాసిక్ ఫ్లైట్. లిటునికా చరిత్రలో మొట్టమొదటి ట్రాన్స్ట్ అట్లాంటిక్ ఎయిర్ మెయిల్ సర"&amp;"ుకును కూడా కలిగి ఉంది. ఈ పరిమాణంలోని సాధారణ మార్పులేని విమానం పోల్చదగిన దూరాన్ని కవర్ చేయదు (ఉదాహరణకు, సెస్నా 152, 1200 కిలోమీటర్ల పరిధిని కలిగి ఉంటుంది), ఈ రోజు కూడా. శాస్త్రీయ మరియు సాంకేతిక దృక్పథం నుండి ఈ విమానం కూడా ముఖ్యమైనది, ఎందుకంటే ఇది గాలి ప్రవ"&amp;"ాహాలు మరియు ఈ రకమైన విమానాల సామర్థ్యాలను అన్వేషించింది. వారి చివరి లేఖలో, పైలట్లు విజయవంతమైన ఫ్లైట్ లేదా సాధ్యమయ్యే విపత్తు విలువైనది మరియు తగినంత ముఖ్యమైనదని మరియు అందువల్ల ఈ రెండు సందర్భాల్లోనూ ప్రయాణించడం విలువైనదని రాశారు. జూలై 15, 1933 న న్యూయార్క్‌ల"&amp;"ోని ఫ్లాయిడ్ బెన్నెట్ ఫీల్డ్ నుండి బయలుదేరిన తరువాత, 6:24 AM EDT, డారియస్ మరియు గిరానాస్ విజయవంతంగా అట్లాంటిక్ దాటారు, జూలై 17, 0:36 AM (CET) కుహ్దామ్ గ్రామం ద్వారా నశించిపోయారు, జర్మనీలోని సోల్డిన్ సమీపంలో (ఇప్పుడు పోలాండ్లోని మైలిబార్జ్ సమీపంలో pszczeln"&amp;"ik (52 ° 51'11.57 ""N 14 ° 50'17.78"" E)). ప్రణాళికాబద్ధమైన మార్గం: న్యూయార్క్ - న్యూఫౌండ్లాండ్ - అట్లాంటిక్ మహాసముద్రం - ఐర్లాండ్ - లండన్ - ఆమ్స్టర్డామ్ - స్వినెమాండే - కోనిగ్స్‌బర్గ్ - కౌనాస్ విమానాశ్రయం (మొత్తం 7,186 కిమీ). ఐర్లాండ్‌పై వాతావరణ పరిస్థిత"&amp;"ుల కారణంగా, వారు ఉత్తరాన తిరుగుతూ స్కాట్లాండ్ మరియు ఉత్తర సముద్రం ద్వారా జర్మనీకి చేరుకున్నారు. 37 గంటల 11 నిమిషాల్లో, క్రాష్ అయిన క్షణం వరకు, వారు 6411 కి.మీ (వాస్తవ విమాన మార్గంలో 7000 కిలోమీటర్ల కంటే ఎక్కువ) ఎగిరిపోయారు, వారి లక్ష్యం -కౌనాస్ కంటే 636 క"&amp;"ిలోమీటర్లు మాత్రమే. కారణాన్ని నిర్ణయించడానికి లిథువేనియన్ బోర్డ్ ఆఫ్ ఇన్వెస్టిగేషన్ నియమించబడింది. పైలట్లు సరిగ్గా అర్హత సాధించారని, మరియు విమానం సరిగ్గా తయారు చేయబడిందని ఇది తేల్చింది. విమానంలో చాలా కష్టమైన భాగం చాలా ఖచ్చితత్వంతో అమలు చేయబడిందని వారు తెల"&amp;"ిపారు. క్రాష్ సమయంలో విమాన ఇంజిన్ నడుస్తుందని కమిషన్ తేల్చింది (ప్రొపెల్లర్ తిరుగుతోంది), మరియు బోర్డులో తగినంత ఇంధనం ఉందని తేలింది. [2] కొన్ని మూలాలు పైలట్ లోపం గురించి ప్రస్తావించాయి, కాని పైలట్లు ఇద్దరూ చాలా అనుభవజ్ఞులయ్యారు. పైలట్‌గా తన కెరీర్‌లో, డార"&amp;"ియస్ మునుపటి ప్రమాదాలలో ఎప్పుడూ పాల్గొనలేదు. 1931 లో, గిరానాస్ చికాగోలో జరిగిన విమాన ఉత్సవంలో తన విమానం మెరుస్తూ, చనిపోయిన ఇంజిన్‌తో ల్యాండింగ్ చేసినందుకు మొదటి బహుమతిని గెలుచుకున్నాడు. బోర్డు ప్రకారం, ఇంజిన్ లోపాలతో కలిపి కష్టతరమైన వాతావరణ పరిస్థితుల కార"&amp;"ణంగా విపత్తు సంభవించింది. ఈ ప్రమాదం చాలావరకు విఫలమైన అత్యవసర ల్యాండింగ్ ఫలితంగా ఉంది. కొన్ని త్రైమాసికాలలో పుకార్లు మరియు అనుమానాలు ఉన్నాయి, విమానం కాల్చివేయబడిందని, గూ y చారి విమానం అని తప్పుగా భావించారు, ఎందుకంటే ఇది ఏకాగ్రత శిబిరం దగ్గర ఎగిరింది. పైలట్"&amp;"ల శవపరీక్షలు బుల్లెట్ల సంకేతాలను వెల్లడించలేదు. [1] అయితే, విమానంలోని అన్ని భాగాలను లిథువేనియన్ ప్రభుత్వానికి తిరిగి ఇవ్వలేదు. జూలై 19 న, ఒక జర్మన్ డెరులుఫ్ట్ విమానం పైలట్ల మృతదేహాలను తిరిగి లిథువేనియాకు తీసుకువెళ్ళింది. కౌనాస్ ప్రజలు హీరోలను చాలా దు .ఖంత"&amp;"ో కలుసుకున్నారు. అంత్యక్రియలు ఒక గంభీరమైన సందర్భం మరియు అధికారిక జాతీయ సంతాపానికి కారణం. లిటునికా విషాదం జరిగిన కొన్ని నెలల తరువాత, చికాగో లిథువేనియన్ సమాజంలోని కొంతమంది ప్రముఖ సభ్యులు మరొక అట్లాంటిక్ విమానానికి ఆర్థిక సహాయం చేసే అవకాశాన్ని చర్చించారు. ఈ "&amp;"ఆలోచన చాలా ఉత్సాహంతో స్వాగతం పలికారు మరియు మహా మాంద్యం సమయంలో తగినంత నిధులు సేకరించబడ్డాయి. లాక్‌హీడ్ ఎయిర్‌క్రాఫ్ట్ కార్పొరేషన్ నుండి వేగంగా మరియు మరింత ఆధునిక లాక్‌హీడ్ వేగాను కొనుగోలు చేశారు, అదే మోడల్ విలే పోస్ట్ తన రౌండ్-ది-ప్రపంచ విమానంలో మరియు అట్ల"&amp;"ాంటిక్ మీదుగా సోలో ఎగురుతున్న మొదటి మహిళ అమేలియా ఇయర్‌హార్ట్. ఈ విమానం ఏప్రిల్ 22, 1934 ఆదివారం లిటునికా II అని నామకరణం చేయబడింది. పైలట్ మొదట ఫ్లైట్ కోసం ఎంపిక చేసినప్పుడు, వసంతకాలంలో అనుకోకుండా రాజీనామా చేసినప్పుడు, లిథువేనియన్ నిర్వాహకులు ఫెలిక్స్ వెయిక"&amp;"స్ వైపు మొగ్గు చూపారు మరియు అతను సవాలును అంగీకరించాడు. అతను ఐర్లాండ్‌లో అడుగుపెట్టినప్పటికీ, కౌనాస్‌లో కాదు, అట్లాంటిక్ అంతటా సోలో ఎగురుతున్న ఆరవ పైలట్ అయినందుకు అతను విమానయాన చరిత్రలోకి ప్రవేశించాడు. 1934 లో డారియస్ మరియు గిరానాస్ మృతదేహాలను ప్రొఫెసర్ జు"&amp;"ర్గిస్ జిలిన్స్కాస్ ఎంబాల్ చేశారు. 1936 లో, లిథువేనియన్ ప్రభుత్వం కౌనాస్ యొక్క పాత స్మశానవాటికలో డారియస్ మరియు గిరానాస్ కోసం ఒక సమాధిని నిర్మించాలని నిర్ణయించింది, ఇది సోవియట్ తిరిగి ఆక్రమణ తరువాత నాశనం చేయబడింది. అప్పటి నుండి నేటి వరకు, కౌనాస్‌లోని వైటాట"&amp;"ాస్ ది గ్రేట్ వార్ మ్యూజియంలో లిటునికా యొక్క శిధిలాలు ప్రదర్శించబడ్డాయి. [3] పైలట్ల మృతదేహాలు కౌనాస్లోని మిలటరీ స్మశానవాటికలో ఉన్నాయి. చికాగో యొక్క లిథువేనియన్ సమాజం 1935 లో చికాగో యొక్క మార్క్వేట్ పార్కులో గిరానాస్ మరియు డారియస్ మరియు డారియస్ జ్ఞాపకార్థం"&amp;" ఒక ఆర్ట్ డెకో స్మారక చిహ్నాన్ని నిర్మించింది, ఇక్కడ ఈ రోజు వరకు ఇది ఇప్పటికీ ఉంది. ఫెలిక్సాస్ వైట్కస్ ఫ్లైట్ నుండి ప్రేరణ పొందింది మరియు దీనిని 1935 లో లిటునికా II విమానంతో స్మరించుకుంది. ఈ విమానంలో స్క్రైడిస్ పర్ అట్లాంటె (ఫ్లైట్ ఓవర్ ది అట్లాంటిక్) (19"&amp;"83) లో ఈ ఫ్లైట్ జ్ఞాపకం చేయబడింది. కౌనాస్ యొక్క స్పోర్ట్స్ స్టేడియం, ఎస్.డారియస్ మరియు ఎస్. స్టేడియం సమీపంలో ఒక పొడవైన రాతి స్మారక చిహ్నం, లిథువేనియన్ అకాడమీ ఆఫ్ స్పోర్ట్ మరియు పైలట్లకు అంకితమైన ąeuolynas పార్క్ ఉన్నాయి. శిల్పి బ్రోనియస్ పండ్జియస్ 1943 లో"&amp;" లిథువేనియా భూభాగంలో అతిపెద్ద బండరాయి అయిన పుంటుకాస్ పై పైలట్ల ముఖాలను ఉపశమనం చేసాడు. -రెలిఫ్. ఈ స్మారక చిహ్నం బ్రూక్లిన్ లోని విలియమ్స్బర్గ్ లోని లిథువేనియా స్క్వేర్లో ఉంది. [4] కౌనాస్‌లో, ఈ కార్యక్రమంలో 80 సంవత్సరాల జ్ఞాపకార్థం లిటునికా యొక్క నమూనాను 20"&amp;"13 లో ఉంచారు. లిటునికా ఏవ్, చికాగోలోని బ్రిడ్జ్‌పోర్ట్ పరిసరాలు, IL ఈ విమానానికి పేరు పెట్టారు. అవెన్యూ 31 వ మరియు 35 వ వీధుల నుండి హాల్‌స్టెడ్ మరియు మోర్గాన్ వీధుల మధ్య నడుస్తుంది, మరియు ఒక జాగ్ ఈస్ట్ తరువాత సంగమోన్ మరియు హాల్‌స్టెడ్ వీధుల మధ్య దక్షిణాన "&amp;"38 వ స్థానానికి చేరుకుంది. చిన్న పట్టణం బెవర్లీ షోర్స్, ఇండియానా (మిచిగాన్ సిటీ, ఇండియానాకు పశ్చిమాన), లిటునికా విమానానికి మరో స్మారక చిహ్నం ఉంది. అక్కడ, 1968 లో, అమెరికన్ లిథువేనియన్ క్లబ్ ఒక ఉద్యానవనాన్ని స్థాపించింది మరియు విమానంలో బెల్లాంకా CH-300 ఉపయ"&amp;"ోగించిన తరువాత దీనికి లిటునికా పార్క్ అని పేరు పెట్టింది. 1971 లో, పైలట్లను గౌరవించటానికి, జె. బార్కిస్ రాసిన పెద్ద ఆధునిక శిల్పం పార్క్ చెరువులో ఉంచబడింది. ఫ్లైట్ గిరానాస్ మరియు డారియస్ లిథువేనియన్ దేశానికి ఒక నిబంధనను విడిచిపెట్టడానికి ముందు: ""యంగ్ లిథ"&amp;"ువేనియా! మీ ఆత్మ నుండి ప్రేరణ పొందిన, మేము ఎంచుకున్న ఒక మిషన్‌ను మేము ప్రారంభిస్తాము. మా విజయం మీ స్వంత శక్తులు మరియు ప్రతిభపై మీ ఆత్మ మరియు విశ్వాసాన్ని బలోపేతం చేస్తుంది! కాని నెప్ట్యూన్ చేయాలి! మరియు తుఫానుల యొక్క శక్తివంతమైన పాలకుడు పెర్కానాస్ వారి కో"&amp;"పాన్ని మాపై విప్పండి, వారు యువ లిథువేనియాకు వెళ్ళే మార్గాన్ని ఆపి వారి రాజ్యానికి లిటునికాను పిలవాలి - అప్పుడు మీరు, యువ లిథువేనియా, కొత్తగా పరిష్కరించాలి, త్యాగం చేయాలి మరియు కొత్త అన్వేషణ కోసం సిద్ధం చేయాలి, కాబట్టి తుఫాను మహాసముద్రాల దేవతలు మీ ప్రయత్నం"&amp;", తీర్మానం పట్ల సంతోషిస్తారు మరియు గొప్ప తీర్పు కోసం మిమ్మల్ని పిలవకండి. లిటునికా యొక్క విజయం లిథువేనియా యొక్క యువ కొడుకుల స్ఫూర్తిని బలోపేతం చేస్తుంది, కొత్త అన్వేషణల కోసం వారిని ప్రేరేపిస్తుంది. లిటునికా ఓటమి మరియు లోతుల్లో మునిగిపోవచ్చు అట్లాంటిక్ పెంప"&amp;"కం యువ లిథువేనియన్లలో పట్టుదల మరియు నిశ్చయత మీ కోసం లైట్, యంగ్ లిథువేనియా! పార్సర్-అవుట్పుట్ .జియో-నొండేఫాల్ట్, .mw-parser-output .geo- multi-puncti ° 51′11.57 ″ N 14 ° 50′17.78 ″ E / 52.8532139 ° N 14.8382722 ° E / 52.8532139; 14.8382722")</f>
        <v>లిటునికా 1933 లో లిథువేనియన్ పైలట్లు స్టెపోనాస్ డారియస్ మరియు స్టాసిస్ గిరానాస్ చేత అట్లాంటిక్ మహాసముద్రం మీదుగా అమెరికా నుండి ఎగిరిన బెల్లాంకా సిహెచ్ -300 పేస్‌మేకర్ విమానం. విజయవంతంగా 6,411 కిలోమీటర్ల (4,043 మైళ్ళు) ఎగురుతున్న తరువాత, ఇది క్రాష్ అయ్యింది, 650 కిలోమీటర్ల (404 మైల్స్) దాని గమ్యం నుండి, కౌనాస్, లిథువేనియా. జూన్ 18, 1932 న, పైలట్లు పేస్‌మేకర్ విమానం, సీరియల్ నం. 137, పాల్-వాకీ కంపెనీ నుండి NC-688E గా నమోదు చేయబడింది .200 3,200. మొట్టమొదట 1929 లో ఉత్పత్తి చేసి, ఎగిరింది, CH-300 పేస్‌మేకర్ యొక్క నలభై యూనిట్లు చివరికి నిర్మించబడ్డాయి. ఇది సింగిల్-ఇంజిన్, ఆరు సీట్ల, హై-వింగ్ మోనోప్లేన్. ఫ్యూజ్‌లేజ్ ఫాబ్రిక్‌తో కప్పబడిన క్రోమోలీ స్టీల్ గొట్టాలను వెల్డింగ్ చేసింది. క్యాబిన్ లోపలి భాగం ధ్వని-శోషక పదార్థంతో కప్పబడి ఉంది. ఫ్యూజ్‌లేజ్‌లో సైడ్ మరియు టాప్ విండోస్ ఉన్నాయి, రెండు వైపులా తలుపులు ఉన్నాయి. రెక్కలు చెక్క నిర్మాణంతో ఉన్నాయి, రెండు స్పార్‌లు, ఫాబ్రిక్ కప్పబడి ఉన్నాయి. స్ప్రస్ మరియు పక్కటెముకలు స్ప్రూస్ స్ట్రిప్స్ మరియు ప్లైవుడ్‌తో తయారు చేయబడ్డాయి. రెక్కలు రెండు గ్యాసోలిన్ ట్యాంకులను కలిగి ఉన్నాయి, మొత్తం 88 యుఎస్ గాల్ (330 ఎల్) సామర్థ్యం ఉంది. వింగ్ స్ట్రట్స్ 2/3 కలప, 1/3 స్టీల్ (రెక్కల వద్ద) ఏరో-డైనమిక్ స్టీల్ పక్కటెముకలతో, ఫాబ్రిక్-కప్పబడినవి, అదనంగా 47 అడుగుల (4.4 m²) లిఫ్టింగ్ ఉపరితలాన్ని ఇస్తాయి. తోక ఉపరితలాలు వెల్డెడ్ స్టీల్ గొట్టాలతో తయారు చేయబడ్డాయి. క్షితిజ సమాంతర స్టెబిలైజర్ స్ప్రూస్ స్ట్రిప్స్ మరియు ప్లైవుడ్, విమానంలో ట్రిమ్-యాంగిల్ సర్దుబాటు. ల్యాండింగ్ గేర్ రబ్బరు తాడు సస్పెన్షన్‌తో వంగిన స్టీల్ బార్. చక్రాలు 30 × 5 అంగుళాలు (762 బై 127 మిమీ). ఇంజిన్ రైట్ జె 6, రేడియల్, ఎయిర్ కూల్డ్, 9 సిలిండర్లు, 300 హెచ్‌పి (225 కిలోవాట్). విమానం కోసం నిధులు అనేక లిథువేనియన్ క్లబ్‌లు మరియు సంస్థల నుండి సేకరించబడ్డాయి, [1] ఎయిర్ షోలతో సహా. జనవరి 20, 1933 న, ఈ విమానం చికాగోలోని క్లియరింగ్ ఇండస్ట్రియల్ డిస్ట్రిక్ట్ లోని 5321 W. 65 వ సెయింట్ వద్ద E. ​​M. లైర్డ్ వర్క్‌షాప్‌లకు తరలించబడింది, అక్కడ ఆమె పునర్నిర్మించబడింది మరియు అట్లాంటిక్ విమానానికి తయారు చేయబడింది. కొత్త పొడుగుచేసిన రెక్కలు నిర్మించబడ్డాయి, ఫ్యూజ్‌లేజ్‌లో రెండు అదనపు గ్యాసోలిన్ ట్యాంకులు ఏర్పాటు చేయబడ్డాయి, 220 యుఎస్ గాల్ (830 ఎల్) మరియు 185 యుఎస్ గాల్ (700 ఎల్) సామర్థ్యం ఉన్నాయి, వీటిలో ప్రతి ఒక్కటి అత్యవసర డంప్ కవాటాలు ఉన్నాయి. పైలట్ సీటు క్రింద 25 యుఎస్ గల్ (95 ఎల్) ఆయిల్ ట్యాంక్ 12 శీతలీకరణ గొట్టాలతో తయారు చేయబడింది. పొడవైన క్షితిజ సమాంతర స్టెబిలైజర్ నిర్మించబడింది. ఏరో-డైనమిక్ వీల్ ఫెయిరింగ్‌లు వ్యవస్థాపించబడ్డాయి మరియు ఫ్యూజ్‌లేజ్ కొత్త ఫాబ్రిక్ కవరింగ్ అందుకుంది. కొత్త, అధిక కుదింపు ఇంజిన్, 365 హెచ్‌పి (272 కిలోవాట్) రైట్ వర్ల్‌విండ్ జె 6-9 ఇ, సెర్. నం 12733, "స్పీడ్ రింగ్" ఉంది. మార్చి 29, 1933 న, పునర్నిర్మాణం పూర్తయింది, మరియు రిజిస్ట్రేషన్ సంఖ్యను NR-688E గా మార్చారు, మరియు ఈ విమానం నారింజ రంగులో పెయింట్ చేయబడింది. స్పాన్సర్ల పేర్లతో ఫ్యూజ్‌లేజ్ స్క్రోల్‌ల యొక్క రెండు వైపులా పెయింట్ చేయబడ్డాయి. ఈ విమానం లిథువేనియా కోసం లాటిన్, లిటునికా అని పిలువబడింది. స్టెపోనాస్ డారియస్ మరియు స్టాసిస్ గిరానాస్ లిథువేనియన్ పైలట్లు, అమెరికాకు వలస వచ్చినవారు, వారు ప్రపంచ విమానయాన చరిత్రలో ముఖ్యమైన విమానంలో ఉన్నారు. జూలై 15, 1933 న, వారు అట్లాంటిక్ మహాసముద్రం మీదుగా 3,984 మైళ్ళు (6,411 కిలోమీటర్లు) ల్యాండింగ్ లేకుండా, 37 గంటలు 11 నిమిషాల్లో (107.1 mph) ఉన్నారు. పోలిక పరంగా, నాన్-స్టాప్ విమానాల దూరానికి సంబంధించినంతవరకు, వారి ఫలితం రస్సెల్ బోర్డ్‌మన్ మరియు జాన్ పోలాండోలకు రెండవ స్థానంలో నిలిచింది మరియు ఆ సమయంలో విమాన వ్యవధి పరంగా నాల్గవ స్థానంలో ఉంది. డారియస్ మరియు గిరెనాస్ నావిగేషనల్ పరికరాలను కలిగి లేనప్పటికీ, అననుకూల వాతావరణ పరిస్థితులలో ఎగిరినప్పటికీ, విమానయాన చరిత్రలో ఈ విమానం అత్యంత ఖచ్చితమైనది. ఇది సమానం, మరియు కొన్ని అంశాలలో చార్లెస్ లిండ్‌బర్గ్ యొక్క క్లాసిక్ ఫ్లైట్. లిటునికా చరిత్రలో మొట్టమొదటి ట్రాన్స్ట్ అట్లాంటిక్ ఎయిర్ మెయిల్ సరుకును కూడా కలిగి ఉంది. ఈ పరిమాణంలోని సాధారణ మార్పులేని విమానం పోల్చదగిన దూరాన్ని కవర్ చేయదు (ఉదాహరణకు, సెస్నా 152, 1200 కిలోమీటర్ల పరిధిని కలిగి ఉంటుంది), ఈ రోజు కూడా. శాస్త్రీయ మరియు సాంకేతిక దృక్పథం నుండి ఈ విమానం కూడా ముఖ్యమైనది, ఎందుకంటే ఇది గాలి ప్రవాహాలు మరియు ఈ రకమైన విమానాల సామర్థ్యాలను అన్వేషించింది. వారి చివరి లేఖలో, పైలట్లు విజయవంతమైన ఫ్లైట్ లేదా సాధ్యమయ్యే విపత్తు విలువైనది మరియు తగినంత ముఖ్యమైనదని మరియు అందువల్ల ఈ రెండు సందర్భాల్లోనూ ప్రయాణించడం విలువైనదని రాశారు. జూలై 15, 1933 న న్యూయార్క్‌లోని ఫ్లాయిడ్ బెన్నెట్ ఫీల్డ్ నుండి బయలుదేరిన తరువాత, 6:24 AM EDT, డారియస్ మరియు గిరానాస్ విజయవంతంగా అట్లాంటిక్ దాటారు, జూలై 17, 0:36 AM (CET) కుహ్దామ్ గ్రామం ద్వారా నశించిపోయారు, జర్మనీలోని సోల్డిన్ సమీపంలో (ఇప్పుడు పోలాండ్లోని మైలిబార్జ్ సమీపంలో pszczelnik (52 ° 51'11.57 "N 14 ° 50'17.78" E)). ప్రణాళికాబద్ధమైన మార్గం: న్యూయార్క్ - న్యూఫౌండ్లాండ్ - అట్లాంటిక్ మహాసముద్రం - ఐర్లాండ్ - లండన్ - ఆమ్స్టర్డామ్ - స్వినెమాండే - కోనిగ్స్‌బర్గ్ - కౌనాస్ విమానాశ్రయం (మొత్తం 7,186 కిమీ). ఐర్లాండ్‌పై వాతావరణ పరిస్థితుల కారణంగా, వారు ఉత్తరాన తిరుగుతూ స్కాట్లాండ్ మరియు ఉత్తర సముద్రం ద్వారా జర్మనీకి చేరుకున్నారు. 37 గంటల 11 నిమిషాల్లో, క్రాష్ అయిన క్షణం వరకు, వారు 6411 కి.మీ (వాస్తవ విమాన మార్గంలో 7000 కిలోమీటర్ల కంటే ఎక్కువ) ఎగిరిపోయారు, వారి లక్ష్యం -కౌనాస్ కంటే 636 కిలోమీటర్లు మాత్రమే. కారణాన్ని నిర్ణయించడానికి లిథువేనియన్ బోర్డ్ ఆఫ్ ఇన్వెస్టిగేషన్ నియమించబడింది. పైలట్లు సరిగ్గా అర్హత సాధించారని, మరియు విమానం సరిగ్గా తయారు చేయబడిందని ఇది తేల్చింది. విమానంలో చాలా కష్టమైన భాగం చాలా ఖచ్చితత్వంతో అమలు చేయబడిందని వారు తెలిపారు. క్రాష్ సమయంలో విమాన ఇంజిన్ నడుస్తుందని కమిషన్ తేల్చింది (ప్రొపెల్లర్ తిరుగుతోంది), మరియు బోర్డులో తగినంత ఇంధనం ఉందని తేలింది. [2] కొన్ని మూలాలు పైలట్ లోపం గురించి ప్రస్తావించాయి, కాని పైలట్లు ఇద్దరూ చాలా అనుభవజ్ఞులయ్యారు. పైలట్‌గా తన కెరీర్‌లో, డారియస్ మునుపటి ప్రమాదాలలో ఎప్పుడూ పాల్గొనలేదు. 1931 లో, గిరానాస్ చికాగోలో జరిగిన విమాన ఉత్సవంలో తన విమానం మెరుస్తూ, చనిపోయిన ఇంజిన్‌తో ల్యాండింగ్ చేసినందుకు మొదటి బహుమతిని గెలుచుకున్నాడు. బోర్డు ప్రకారం, ఇంజిన్ లోపాలతో కలిపి కష్టతరమైన వాతావరణ పరిస్థితుల కారణంగా విపత్తు సంభవించింది. ఈ ప్రమాదం చాలావరకు విఫలమైన అత్యవసర ల్యాండింగ్ ఫలితంగా ఉంది. కొన్ని త్రైమాసికాలలో పుకార్లు మరియు అనుమానాలు ఉన్నాయి, విమానం కాల్చివేయబడిందని, గూ y చారి విమానం అని తప్పుగా భావించారు, ఎందుకంటే ఇది ఏకాగ్రత శిబిరం దగ్గర ఎగిరింది. పైలట్ల శవపరీక్షలు బుల్లెట్ల సంకేతాలను వెల్లడించలేదు. [1] అయితే, విమానంలోని అన్ని భాగాలను లిథువేనియన్ ప్రభుత్వానికి తిరిగి ఇవ్వలేదు. జూలై 19 న, ఒక జర్మన్ డెరులుఫ్ట్ విమానం పైలట్ల మృతదేహాలను తిరిగి లిథువేనియాకు తీసుకువెళ్ళింది. కౌనాస్ ప్రజలు హీరోలను చాలా దు .ఖంతో కలుసుకున్నారు. అంత్యక్రియలు ఒక గంభీరమైన సందర్భం మరియు అధికారిక జాతీయ సంతాపానికి కారణం. లిటునికా విషాదం జరిగిన కొన్ని నెలల తరువాత, చికాగో లిథువేనియన్ సమాజంలోని కొంతమంది ప్రముఖ సభ్యులు మరొక అట్లాంటిక్ విమానానికి ఆర్థిక సహాయం చేసే అవకాశాన్ని చర్చించారు. ఈ ఆలోచన చాలా ఉత్సాహంతో స్వాగతం పలికారు మరియు మహా మాంద్యం సమయంలో తగినంత నిధులు సేకరించబడ్డాయి. లాక్‌హీడ్ ఎయిర్‌క్రాఫ్ట్ కార్పొరేషన్ నుండి వేగంగా మరియు మరింత ఆధునిక లాక్‌హీడ్ వేగాను కొనుగోలు చేశారు, అదే మోడల్ విలే పోస్ట్ తన రౌండ్-ది-ప్రపంచ విమానంలో మరియు అట్లాంటిక్ మీదుగా సోలో ఎగురుతున్న మొదటి మహిళ అమేలియా ఇయర్‌హార్ట్. ఈ విమానం ఏప్రిల్ 22, 1934 ఆదివారం లిటునికా II అని నామకరణం చేయబడింది. పైలట్ మొదట ఫ్లైట్ కోసం ఎంపిక చేసినప్పుడు, వసంతకాలంలో అనుకోకుండా రాజీనామా చేసినప్పుడు, లిథువేనియన్ నిర్వాహకులు ఫెలిక్స్ వెయికస్ వైపు మొగ్గు చూపారు మరియు అతను సవాలును అంగీకరించాడు. అతను ఐర్లాండ్‌లో అడుగుపెట్టినప్పటికీ, కౌనాస్‌లో కాదు, అట్లాంటిక్ అంతటా సోలో ఎగురుతున్న ఆరవ పైలట్ అయినందుకు అతను విమానయాన చరిత్రలోకి ప్రవేశించాడు. 1934 లో డారియస్ మరియు గిరానాస్ మృతదేహాలను ప్రొఫెసర్ జుర్గిస్ జిలిన్స్కాస్ ఎంబాల్ చేశారు. 1936 లో, లిథువేనియన్ ప్రభుత్వం కౌనాస్ యొక్క పాత స్మశానవాటికలో డారియస్ మరియు గిరానాస్ కోసం ఒక సమాధిని నిర్మించాలని నిర్ణయించింది, ఇది సోవియట్ తిరిగి ఆక్రమణ తరువాత నాశనం చేయబడింది. అప్పటి నుండి నేటి వరకు, కౌనాస్‌లోని వైటాటాస్ ది గ్రేట్ వార్ మ్యూజియంలో లిటునికా యొక్క శిధిలాలు ప్రదర్శించబడ్డాయి. [3] పైలట్ల మృతదేహాలు కౌనాస్లోని మిలటరీ స్మశానవాటికలో ఉన్నాయి. చికాగో యొక్క లిథువేనియన్ సమాజం 1935 లో చికాగో యొక్క మార్క్వేట్ పార్కులో గిరానాస్ మరియు డారియస్ మరియు డారియస్ జ్ఞాపకార్థం ఒక ఆర్ట్ డెకో స్మారక చిహ్నాన్ని నిర్మించింది, ఇక్కడ ఈ రోజు వరకు ఇది ఇప్పటికీ ఉంది. ఫెలిక్సాస్ వైట్కస్ ఫ్లైట్ నుండి ప్రేరణ పొందింది మరియు దీనిని 1935 లో లిటునికా II విమానంతో స్మరించుకుంది. ఈ విమానంలో స్క్రైడిస్ పర్ అట్లాంటె (ఫ్లైట్ ఓవర్ ది అట్లాంటిక్) (1983) లో ఈ ఫ్లైట్ జ్ఞాపకం చేయబడింది. కౌనాస్ యొక్క స్పోర్ట్స్ స్టేడియం, ఎస్.డారియస్ మరియు ఎస్. స్టేడియం సమీపంలో ఒక పొడవైన రాతి స్మారక చిహ్నం, లిథువేనియన్ అకాడమీ ఆఫ్ స్పోర్ట్ మరియు పైలట్లకు అంకితమైన ąeuolynas పార్క్ ఉన్నాయి. శిల్పి బ్రోనియస్ పండ్జియస్ 1943 లో లిథువేనియా భూభాగంలో అతిపెద్ద బండరాయి అయిన పుంటుకాస్ పై పైలట్ల ముఖాలను ఉపశమనం చేసాడు. -రెలిఫ్. ఈ స్మారక చిహ్నం బ్రూక్లిన్ లోని విలియమ్స్బర్గ్ లోని లిథువేనియా స్క్వేర్లో ఉంది. [4] కౌనాస్‌లో, ఈ కార్యక్రమంలో 80 సంవత్సరాల జ్ఞాపకార్థం లిటునికా యొక్క నమూనాను 2013 లో ఉంచారు. లిటునికా ఏవ్, చికాగోలోని బ్రిడ్జ్‌పోర్ట్ పరిసరాలు, IL ఈ విమానానికి పేరు పెట్టారు. అవెన్యూ 31 వ మరియు 35 వ వీధుల నుండి హాల్‌స్టెడ్ మరియు మోర్గాన్ వీధుల మధ్య నడుస్తుంది, మరియు ఒక జాగ్ ఈస్ట్ తరువాత సంగమోన్ మరియు హాల్‌స్టెడ్ వీధుల మధ్య దక్షిణాన 38 వ స్థానానికి చేరుకుంది. చిన్న పట్టణం బెవర్లీ షోర్స్, ఇండియానా (మిచిగాన్ సిటీ, ఇండియానాకు పశ్చిమాన), లిటునికా విమానానికి మరో స్మారక చిహ్నం ఉంది. అక్కడ, 1968 లో, అమెరికన్ లిథువేనియన్ క్లబ్ ఒక ఉద్యానవనాన్ని స్థాపించింది మరియు విమానంలో బెల్లాంకా CH-300 ఉపయోగించిన తరువాత దీనికి లిటునికా పార్క్ అని పేరు పెట్టింది. 1971 లో, పైలట్లను గౌరవించటానికి, జె. బార్కిస్ రాసిన పెద్ద ఆధునిక శిల్పం పార్క్ చెరువులో ఉంచబడింది. ఫ్లైట్ గిరానాస్ మరియు డారియస్ లిథువేనియన్ దేశానికి ఒక నిబంధనను విడిచిపెట్టడానికి ముందు: "యంగ్ లిథువేనియా! మీ ఆత్మ నుండి ప్రేరణ పొందిన, మేము ఎంచుకున్న ఒక మిషన్‌ను మేము ప్రారంభిస్తాము. మా విజయం మీ స్వంత శక్తులు మరియు ప్రతిభపై మీ ఆత్మ మరియు విశ్వాసాన్ని బలోపేతం చేస్తుంది! కాని నెప్ట్యూన్ చేయాలి! మరియు తుఫానుల యొక్క శక్తివంతమైన పాలకుడు పెర్కానాస్ వారి కోపాన్ని మాపై విప్పండి, వారు యువ లిథువేనియాకు వెళ్ళే మార్గాన్ని ఆపి వారి రాజ్యానికి లిటునికాను పిలవాలి - అప్పుడు మీరు, యువ లిథువేనియా, కొత్తగా పరిష్కరించాలి, త్యాగం చేయాలి మరియు కొత్త అన్వేషణ కోసం సిద్ధం చేయాలి, కాబట్టి తుఫాను మహాసముద్రాల దేవతలు మీ ప్రయత్నం, తీర్మానం పట్ల సంతోషిస్తారు మరియు గొప్ప తీర్పు కోసం మిమ్మల్ని పిలవకండి. లిటునికా యొక్క విజయం లిథువేనియా యొక్క యువ కొడుకుల స్ఫూర్తిని బలోపేతం చేస్తుంది, కొత్త అన్వేషణల కోసం వారిని ప్రేరేపిస్తుంది. లిటునికా ఓటమి మరియు లోతుల్లో మునిగిపోవచ్చు అట్లాంటిక్ పెంపకం యువ లిథువేనియన్లలో పట్టుదల మరియు నిశ్చయత మీ కోసం లైట్, యంగ్ లిథువేనియా! పార్సర్-అవుట్పుట్ .జియో-నొండేఫాల్ట్, .mw-parser-output .geo- multi-puncti ° 51′11.57 ″ N 14 ° 50′17.78 ″ E / 52.8532139 ° N 14.8382722 ° E / 52.8532139; 14.8382722</v>
      </c>
      <c r="E10" s="1" t="s">
        <v>381</v>
      </c>
      <c r="L10" s="1" t="s">
        <v>382</v>
      </c>
      <c r="M10" s="1" t="str">
        <f>IFERROR(__xludf.DUMMYFUNCTION("GOOGLETRANSLATE(L:L, ""en"", ""te"")"),"బెల్లాంకా (E. M. లైర్డ్ వర్క్‌షాప్‌లలో అట్లాంటిక్ ఫ్లైట్ కోసం పునర్నిర్మాణం)")</f>
        <v>బెల్లాంకా (E. M. లైర్డ్ వర్క్‌షాప్‌లలో అట్లాంటిక్ ఫ్లైట్ కోసం పునర్నిర్మాణం)</v>
      </c>
      <c r="N10" s="1" t="s">
        <v>383</v>
      </c>
      <c r="R10" s="1">
        <v>1929.0</v>
      </c>
      <c r="BG10" s="2"/>
      <c r="CG10" s="1" t="s">
        <v>384</v>
      </c>
      <c r="CH10" s="1"/>
      <c r="CI10" s="1" t="s">
        <v>385</v>
      </c>
      <c r="CJ10" s="1">
        <v>137.0</v>
      </c>
      <c r="CK10" s="1" t="s">
        <v>386</v>
      </c>
      <c r="CL10" s="1" t="s">
        <v>387</v>
      </c>
      <c r="CM10" s="1"/>
      <c r="CN10" s="1" t="s">
        <v>388</v>
      </c>
      <c r="CO10" s="1" t="s">
        <v>389</v>
      </c>
      <c r="CP10" s="1"/>
      <c r="CQ10" s="1" t="s">
        <v>390</v>
      </c>
    </row>
    <row r="11">
      <c r="A11" s="1" t="s">
        <v>391</v>
      </c>
      <c r="B11" s="1" t="str">
        <f>IFERROR(__xludf.DUMMYFUNCTION("GOOGLETRANSLATE(A:A, ""en"", ""te"")"),"ఫోకే-వుల్ఫ్ FW 189 ఉహు")</f>
        <v>ఫోకే-వుల్ఫ్ FW 189 ఉహు</v>
      </c>
      <c r="C11" s="1" t="s">
        <v>392</v>
      </c>
      <c r="D11" s="1" t="str">
        <f>IFERROR(__xludf.DUMMYFUNCTION("GOOGLETRANSLATE(C:C, ""en"", ""te"")"),"ఫోకే-వుల్ఫ్ FW 189 ఉహు (""ఈగిల్ గుడ్లగూబ"") ఒక జర్మన్ జంట-ఇంజిన్, ట్విన్-బూమ్, మూడు-సీట్ల వ్యూహాత్మక నిఘా మరియు ఆర్మీ కోఆపరేషన్ విమానం. ఇది మొదట 1938 లో (FW 189 V1) ప్రయాణించింది, 1940 లో సేవలోకి ప్రవేశించింది మరియు 1944 మధ్యకాలం వరకు ఉత్పత్తి చేయబడింది. "&amp;"అదనంగా, ఫోల్కే-వుల్ఫ్ ఈ ఎయిర్‌ఫ్రేమ్‌ను అంకితమైన గ్రౌండ్-అటాక్ విమానం కోసం RLM చేసిన టెండర్ అభ్యర్థనకు ప్రతిస్పందనగా ఉపయోగించాడు మరియు తరువాత ట్రయల్స్ కోసం సాయుధ సంస్కరణను సమర్పించాడు. అయితే, బదులుగా హెన్షెల్ HS 129 ఎంపిక చేయబడింది. 1937 లో, జర్మన్ విమానయ"&amp;"ాన మంత్రిత్వ శాఖ ఈ రంగంలో జర్మన్ సైన్యానికి మద్దతు ఇవ్వడానికి మంచి ఆల్ రౌండ్ వీక్షణతో స్వల్ప-శ్రేణి, మూడు-సీట్ల నిఘా విమానాల కోసం ఒక స్పెసిఫికేషన్‌ను జారీ చేసింది, ఇది హెన్షెల్ హెచ్ఎస్ 126 ను భర్తీ చేసింది, ఇది ఇప్పుడే సేవలోకి ప్రవేశించింది. సుమారు 850–90"&amp;"0 హెచ్‌పి (630–670 కిలోవాట్) శక్తి పేర్కొనబడింది. అరాడో మరియు ఫోకే-వుల్ఫ్‌కు స్పెసిఫికేషన్ జారీ చేయబడింది. [1] అరాడో యొక్క రూపకల్పన, AR 198, ఇది మొదట్లో ఇష్టపడే ఎంపిక, సాపేక్షంగా సాంప్రదాయిక సింగిల్-ఇంజిన్ హై-వింగ్ మోనోప్లేన్, ఫ్యూజ్‌లేజ్ కింద మెరుస్తున్న"&amp;" గొండోలాతో. [2] ఫోల్కే-వుల్ఫ్ యొక్క చీఫ్ డిజైనర్ కర్ట్ ట్యాంక్ యొక్క డిజైన్, FW 189, ఒక జంట-బూమ్ డిజైన్, ఇది రెండు ఆర్గస్ చేత 410 ఇంజన్లుగా పనిచేస్తుంది, బదులుగా expected హించిన సింగిల్ ఇంజిన్. మునుపటి డచ్ ఫోకర్ జి.ఐ వంటి ""ట్విన్-బూమ్"" డిజైన్‌గా, ఎఫ్‌డబ"&amp;"్ల్యు 189 దాని సిబ్బంది వసతి కోసం కేంద్ర సిబ్బందిని ఉపయోగించింది, ఇది ఎఫ్‌డబ్ల్యు 189 కోసం భారీగా మెరుస్తున్న మరియు ఫ్రేమ్ చేసిన ""స్టెప్‌లెస్"" కాక్‌పిట్ ఫార్వర్డ్ విభాగంతో రూపొందించబడుతుంది, ఇది ఇది పైలట్ కోసం ప్రత్యేక విండ్‌స్క్రీన్ ప్యానెల్‌లను ఉపయోగి"&amp;"ంచలేదు (1938 నుండి అనేక జర్మన్ మీడియం బాంబర్‌ల మాదిరిగా). బ్లోమ్ &amp; వోస్ ఒక ప్రైవేట్ వెంచర్‌గా మరింత రాడికల్ గా ప్రతిపాదించారు: చీఫ్ డిజైనర్ డాక్టర్ రిచర్డ్ వోగ్ట్ యొక్క ప్రత్యేకమైన అసమాన BV 141. ఏప్రిల్ 1937 లో అరాడో మరియు ఫోకే-వాలఫ్ డిజైన్ల ప్రతి మూడు ప్"&amp;"రోటోటైప్‌ల కోసం ఆర్డర్లు ఉంచబడ్డాయి. [3] FW 189 దాని డిఫెన్సివ్ ఆయుధంలో భాగంగా, ఇకేరియా-వెర్కే రూపొందించిన ఒక వినూత్న వెనుక-గన్ ఎమ్ప్లేస్‌మెంట్: తిరిగే శంఖాకార వెనుక ""టరెంట్"", లోహ-ఫ్రేమ్డ్, మెరుస్తున్న శంఖాకార ఫెయిరింగ్ దాని ఆకారాన్ని ప్రసారం చేస్తుంది,"&amp;" మానవీయంగా తిప్పబడింది, యూనిట్ యొక్క వృత్తాకార-సెక్షన్ ఫార్వర్డ్ మౌంట్ వద్ద ఒకే లేదా ట్విన్-మౌంట్ మెషిన్ గన్ కోసం ఫైరింగ్ ఎపర్చరును అందించే ఓపెన్ విభాగం. [4] ఎఫ్‌డబ్ల్యు 189 పెద్ద సంఖ్యలో, బ్రెమెన్‌లోని ఫోకే-వుల్ఫ్ ఫ్యాక్టరీలో, బోర్డియక్స్-మెరిగ్నాక్ ఎయిర"&amp;"్‌క్రాఫ్ట్ ఫ్యాక్టరీ (ఏవియన్స్ మార్సెల్ బ్లోచ్ యొక్క కర్మాగారం, ఇది యుద్ధం తరువాత డసాల్ట్ ఏవియేషన్ గా మారింది) ఆక్రమించిన ఫ్రాన్స్‌లో, తరువాత ఏరో వోడోకోడి కర్మాగారంలో ఉత్పత్తి చేయబడింది ప్రేగ్లో, చెకోస్లోవేకియా ఆక్రమించింది. మొత్తం ఉత్పత్తి అన్ని వేరియంట్"&amp;"ల 864 విమానం. [5] జర్మన్ సైన్యం యొక్క ఫ్లీజెండే ఆగే (ఫ్లయింగ్ ఐ) అని పిలువబడే FW 189 తూర్పు ఫ్రంట్‌లో గొప్ప విజయంతో విస్తృతంగా ఉపయోగించబడింది. సోవియట్ దళాలచే దీనికి ""రామా"" (రష్యన్, ఉక్రేనియన్ మరియు పోలిష్ భాషలలో ""ఫ్రేమ్"" అనే మారుపేరు ఉంది, దాని విలక్ష"&amp;"ణమైన టెయిల్‌బూమ్ మరియు స్టెబిలైజర్ ఆకృతులను సూచిస్తుంది, దీనికి చతురస్రాకార రూపాన్ని ఇస్తుంది. FW 189 యొక్క యుక్తి సోవియట్ యోధులపై దాడి చేయడానికి ఇది కష్టమైన లక్ష్యంగా మారింది. FW 189 తరచుగా దాడి చేసే యోధులను ఒక గట్టి వృత్తంలో ఎగురుతూ శత్రు యోధులు అనుసరిం"&amp;"చలేరు. 1944 చివరలో దక్షిణ పోలాండ్‌లోని 4 వ పన్జెజార్మీకి అనుసంధానించబడిన నైట్ నిఘా గ్రూప్ 15, 189A-1 సెకన్లలో కొన్నింటిని రాత్రిపూట నిఘా మరియు తేలికపాటి బాంబు సోర్టీలను నిర్వహించింది. ఈ విమానాలకు సాధారణంగా ప్రధాన మోడల్ యొక్క వెనుక డోర్సల్ మెషిన్ గన్ లేదు."&amp;" యుద్ధం యొక్క ముగింపు వారాల్లో చిన్న సంఖ్యలో A-1 లు నైట్ ఫైటర్స్ గా ఉపయోగించబడ్డాయి-విమానం వారి నిఘా పరికరాలను తొలగించి, ఆపై ముక్కులో FUG 212 AI రాడార్‌తో అమర్చబడి, ఒకే వాలుగా ఉన్న 20 మిమీ mg ff ఆటోకానన్ సాధారణ ష్రాజ్ మ్యూజిక్‌లో బిఎఫ్ 110 జి వంటి భారీ-ఎయ"&amp;"ిర్ఫ్రేమ్డ్ జర్మన్ నైట్ ఫైటర్స్ కోసం కూడా ఉపయోగించిన ఫార్వర్డ్-ఫైరింగ్ ప్రమాదకర అమరిక. FW 189 కోసం, వెనుక డోర్సల్ గన్ సాధారణంగా ఉన్న స్థలంలో సంస్థాపన సిబ్బంది నాసెల్లెలో ఉంది. నాచ్ట్జాగర్ 189 లలో ఎక్కువ భాగం NJG 100 చేత నిర్వహించబడుతున్నాయి, వీటిని గ్రీఫ్"&amp;"స్వాల్డ్ వద్ద ఉంది. 189 రక్షణ ప్రాంతంపై దీర్ఘకాలిక ఇంధన కొరత మరియు శత్రు వాయు ఆధిపత్యం (ప్రధానంగా బెర్లిన్) అంటే ఈ క్రాఫ్ట్ చేత కొన్ని విమానాలు కాల్చబడ్డాయి. ప్రధాన ఉత్పత్తి నమూనా FW 189A నిఘా విమానం, ఇది ఎక్కువగా రెండు వేరియంట్లలో నిర్మించబడింది, A-1 మరి"&amp;"యు A-2. అన్ని విమానాలను రెండు ఆర్గస్ 465 పిఎస్ (459 హెచ్‌పి, 342 కిలోవాట్) యొక్క 410 ఇంజన్లుగా పేర్కొంది. FW 189B ఐదు సీట్ల శిక్షణా విమానం; 13 మాత్రమే నిర్మించబడ్డాయి. FW 189C హెన్‌షెల్ HS 129 తో పోటీగా భారీగా సాయుధ భూ-దాడి, క్లోజ్-సపోర్ట్ వేరియంట్‌గా భావ"&amp;"ించబడింది. అయితే దాని రెండు ప్రోటోటైప్‌లు (V1B మరియు V6) సంతృప్తికరంగా లేవు మరియు అది ఉత్పత్తి చేయబడలేదు. ఒక FW 189 ఈ రోజు బతికి ఉంది. దీని కథ మే 4, 1943 న ప్రారంభమవుతుంది. ఆధునిక రష్యా యొక్క రిపబ్లిక్ ఆఫ్ కరేలియా యొక్క దక్షిణ-మధ్య ప్రాంతం) లౌఖి -3 ఎయిర్‌"&amp;"బేస్‌ను 6,000 మీ (20,000 అడుగులు) ఎత్తు నుండి ఫోటో తీయడానికి ఒక మిషన్‌ను ప్రారంభించింది, తరువాత ముర్మాన్స్క్-లన్నింగ్రాడ్ రైల్వే వెంట ఉత్తరాన కొనసాగడానికి. బయలుదేరిన సుమారు 31 నిమిషాల తరువాత, V7+1H ను లెండ్-లీజ్-ఆర్జించే సోవియట్ హాకర్ హరికేన్ యోధులు దాడి "&amp;"చేశారు. విమానం యోధుల నుండి తప్పించుకోవడానికి డైవ్ చేసింది, కాని అప్పటికే దెబ్బతిన్నందున, సమయానికి వైదొలగలేకపోయింది, మరియు అది ట్రెటోప్‌లను తాకింది. తోక నలిగిపోయింది, మరియు సిబ్బంది నాసెల్ చెట్ల లోపల తలక్రిందులుగా వేలాడుతున్నారు. పైలట్, లోథర్ మోథెస్, ప్రాణ"&amp;"ాలతో బయటపడ్డాడు, కాని ఈ ప్రమాదంలో ఒక సిబ్బంది మృతి చెందాడు మరియు మూడవది కత్తిరించిన కాలు ఫలితంగా రక్త నష్టంతో మరణించారు. నమ్మశక్యం, మౌథెస్ ఉప-సున్నా ఉష్ణోగ్రతలలో రెండు వారాల జీవించగలిగాడు, సోవియట్ పెట్రోలింగ్ నుండి తప్పించుకున్నాడు, అతను తన స్థావరానికి తి"&amp;"రిగి నడుస్తున్నప్పుడు బెరడు మరియు గ్రబ్స్ తినేటప్పుడు. మాథెస్ తరువాతి తొమ్మిది నెలలు ఫ్రంట్ లైన్‌కు తిరిగి రాకముందు తీవ్రమైన ఫ్రాస్ట్‌బైట్ నుండి కోలుకున్న ఆసుపత్రిలో గడిపాడు, చివరికి మరో 100 మిషన్లను ఎగరడానికి. 1991 లో, V7+1H యొక్క శిధిలాలు రష్యన్ అడవిలో "&amp;"కనుగొనబడ్డాయి, అక్కడ అది 48 సంవత్సరాలుగా ఉంది. ఈ విమానం బ్రిటిష్ విమాన ts త్సాహికుల బృందం కొనుగోలు చేసింది మరియు UK కి రవాణా చేయబడింది, మార్చి 1992 లో వెస్ట్ సస్సెక్స్‌లోని వర్తింగ్ పట్టణానికి చేరుకుంది. ఫోకే వుల్ఫ్ 189 పునరుద్ధరణ సొసైటీ ఈ విమానం ఎగిరే స్"&amp;"థితికి పునరుద్ధరించడానికి ఏర్పడింది. ఆమె మాజీ పైలట్, లోథర్ మోథెస్, 1996 బిగ్గిన్ హిల్ ఎయిర్‌షోలో తన విమానంతో మళ్లీ కలుసుకున్నాడు. ఈ విమానం పాల్ అలెన్ యొక్క ఫ్లయింగ్ హెరిటేజ్ కలెక్షన్ [సైటేషన్ అవసరం] చేత సంపాదించబడిందని మరియు డక్స్ఫోర్డ్లో పునర్నిర్మించబడి"&amp;"ందని నివేదించబడింది, కాని ఆగస్టు 1 2021 నాటికి అమ్మకానికి జాబితా చేయబడింది. [6] డై డ్యూయిష్ లుఫ్‌ట్రూస్టంగ్ నుండి డేటా 1933-1945 వాల్యూమ్ 2-ఫ్లగ్జ్యూగ్టెపెన్ ఎర్లా-హీంకెల్, [7] రెండవ ప్రపంచ యుద్ధం యొక్క జర్మన్ విమానం [8] సాధారణ లక్షణాలు పనితీరు ఆయుధాలు పో"&amp;"ల్చదగిన పాత్ర, ఆకృతీకరణ మరియు ERA సంబంధిత జాబితాల విమానం విమానం")</f>
        <v>ఫోకే-వుల్ఫ్ FW 189 ఉహు ("ఈగిల్ గుడ్లగూబ") ఒక జర్మన్ జంట-ఇంజిన్, ట్విన్-బూమ్, మూడు-సీట్ల వ్యూహాత్మక నిఘా మరియు ఆర్మీ కోఆపరేషన్ విమానం. ఇది మొదట 1938 లో (FW 189 V1) ప్రయాణించింది, 1940 లో సేవలోకి ప్రవేశించింది మరియు 1944 మధ్యకాలం వరకు ఉత్పత్తి చేయబడింది. అదనంగా, ఫోల్కే-వుల్ఫ్ ఈ ఎయిర్‌ఫ్రేమ్‌ను అంకితమైన గ్రౌండ్-అటాక్ విమానం కోసం RLM చేసిన టెండర్ అభ్యర్థనకు ప్రతిస్పందనగా ఉపయోగించాడు మరియు తరువాత ట్రయల్స్ కోసం సాయుధ సంస్కరణను సమర్పించాడు. అయితే, బదులుగా హెన్షెల్ HS 129 ఎంపిక చేయబడింది. 1937 లో, జర్మన్ విమానయాన మంత్రిత్వ శాఖ ఈ రంగంలో జర్మన్ సైన్యానికి మద్దతు ఇవ్వడానికి మంచి ఆల్ రౌండ్ వీక్షణతో స్వల్ప-శ్రేణి, మూడు-సీట్ల నిఘా విమానాల కోసం ఒక స్పెసిఫికేషన్‌ను జారీ చేసింది, ఇది హెన్షెల్ హెచ్ఎస్ 126 ను భర్తీ చేసింది, ఇది ఇప్పుడే సేవలోకి ప్రవేశించింది. సుమారు 850–900 హెచ్‌పి (630–670 కిలోవాట్) శక్తి పేర్కొనబడింది. అరాడో మరియు ఫోకే-వుల్ఫ్‌కు స్పెసిఫికేషన్ జారీ చేయబడింది. [1] అరాడో యొక్క రూపకల్పన, AR 198, ఇది మొదట్లో ఇష్టపడే ఎంపిక, సాపేక్షంగా సాంప్రదాయిక సింగిల్-ఇంజిన్ హై-వింగ్ మోనోప్లేన్, ఫ్యూజ్‌లేజ్ కింద మెరుస్తున్న గొండోలాతో. [2] ఫోల్కే-వుల్ఫ్ యొక్క చీఫ్ డిజైనర్ కర్ట్ ట్యాంక్ యొక్క డిజైన్, FW 189, ఒక జంట-బూమ్ డిజైన్, ఇది రెండు ఆర్గస్ చేత 410 ఇంజన్లుగా పనిచేస్తుంది, బదులుగా expected హించిన సింగిల్ ఇంజిన్. మునుపటి డచ్ ఫోకర్ జి.ఐ వంటి "ట్విన్-బూమ్" డిజైన్‌గా, ఎఫ్‌డబ్ల్యు 189 దాని సిబ్బంది వసతి కోసం కేంద్ర సిబ్బందిని ఉపయోగించింది, ఇది ఎఫ్‌డబ్ల్యు 189 కోసం భారీగా మెరుస్తున్న మరియు ఫ్రేమ్ చేసిన "స్టెప్‌లెస్" కాక్‌పిట్ ఫార్వర్డ్ విభాగంతో రూపొందించబడుతుంది, ఇది ఇది పైలట్ కోసం ప్రత్యేక విండ్‌స్క్రీన్ ప్యానెల్‌లను ఉపయోగించలేదు (1938 నుండి అనేక జర్మన్ మీడియం బాంబర్‌ల మాదిరిగా). బ్లోమ్ &amp; వోస్ ఒక ప్రైవేట్ వెంచర్‌గా మరింత రాడికల్ గా ప్రతిపాదించారు: చీఫ్ డిజైనర్ డాక్టర్ రిచర్డ్ వోగ్ట్ యొక్క ప్రత్యేకమైన అసమాన BV 141. ఏప్రిల్ 1937 లో అరాడో మరియు ఫోకే-వాలఫ్ డిజైన్ల ప్రతి మూడు ప్రోటోటైప్‌ల కోసం ఆర్డర్లు ఉంచబడ్డాయి. [3] FW 189 దాని డిఫెన్సివ్ ఆయుధంలో భాగంగా, ఇకేరియా-వెర్కే రూపొందించిన ఒక వినూత్న వెనుక-గన్ ఎమ్ప్లేస్‌మెంట్: తిరిగే శంఖాకార వెనుక "టరెంట్", లోహ-ఫ్రేమ్డ్, మెరుస్తున్న శంఖాకార ఫెయిరింగ్ దాని ఆకారాన్ని ప్రసారం చేస్తుంది, మానవీయంగా తిప్పబడింది, యూనిట్ యొక్క వృత్తాకార-సెక్షన్ ఫార్వర్డ్ మౌంట్ వద్ద ఒకే లేదా ట్విన్-మౌంట్ మెషిన్ గన్ కోసం ఫైరింగ్ ఎపర్చరును అందించే ఓపెన్ విభాగం. [4] ఎఫ్‌డబ్ల్యు 189 పెద్ద సంఖ్యలో, బ్రెమెన్‌లోని ఫోకే-వుల్ఫ్ ఫ్యాక్టరీలో, బోర్డియక్స్-మెరిగ్నాక్ ఎయిర్‌క్రాఫ్ట్ ఫ్యాక్టరీ (ఏవియన్స్ మార్సెల్ బ్లోచ్ యొక్క కర్మాగారం, ఇది యుద్ధం తరువాత డసాల్ట్ ఏవియేషన్ గా మారింది) ఆక్రమించిన ఫ్రాన్స్‌లో, తరువాత ఏరో వోడోకోడి కర్మాగారంలో ఉత్పత్తి చేయబడింది ప్రేగ్లో, చెకోస్లోవేకియా ఆక్రమించింది. మొత్తం ఉత్పత్తి అన్ని వేరియంట్ల 864 విమానం. [5] జర్మన్ సైన్యం యొక్క ఫ్లీజెండే ఆగే (ఫ్లయింగ్ ఐ) అని పిలువబడే FW 189 తూర్పు ఫ్రంట్‌లో గొప్ప విజయంతో విస్తృతంగా ఉపయోగించబడింది. సోవియట్ దళాలచే దీనికి "రామా" (రష్యన్, ఉక్రేనియన్ మరియు పోలిష్ భాషలలో "ఫ్రేమ్" అనే మారుపేరు ఉంది, దాని విలక్షణమైన టెయిల్‌బూమ్ మరియు స్టెబిలైజర్ ఆకృతులను సూచిస్తుంది, దీనికి చతురస్రాకార రూపాన్ని ఇస్తుంది. FW 189 యొక్క యుక్తి సోవియట్ యోధులపై దాడి చేయడానికి ఇది కష్టమైన లక్ష్యంగా మారింది. FW 189 తరచుగా దాడి చేసే యోధులను ఒక గట్టి వృత్తంలో ఎగురుతూ శత్రు యోధులు అనుసరించలేరు. 1944 చివరలో దక్షిణ పోలాండ్‌లోని 4 వ పన్జెజార్మీకి అనుసంధానించబడిన నైట్ నిఘా గ్రూప్ 15, 189A-1 సెకన్లలో కొన్నింటిని రాత్రిపూట నిఘా మరియు తేలికపాటి బాంబు సోర్టీలను నిర్వహించింది. ఈ విమానాలకు సాధారణంగా ప్రధాన మోడల్ యొక్క వెనుక డోర్సల్ మెషిన్ గన్ లేదు. యుద్ధం యొక్క ముగింపు వారాల్లో చిన్న సంఖ్యలో A-1 లు నైట్ ఫైటర్స్ గా ఉపయోగించబడ్డాయి-విమానం వారి నిఘా పరికరాలను తొలగించి, ఆపై ముక్కులో FUG 212 AI రాడార్‌తో అమర్చబడి, ఒకే వాలుగా ఉన్న 20 మిమీ mg ff ఆటోకానన్ సాధారణ ష్రాజ్ మ్యూజిక్‌లో బిఎఫ్ 110 జి వంటి భారీ-ఎయిర్ఫ్రేమ్డ్ జర్మన్ నైట్ ఫైటర్స్ కోసం కూడా ఉపయోగించిన ఫార్వర్డ్-ఫైరింగ్ ప్రమాదకర అమరిక. FW 189 కోసం, వెనుక డోర్సల్ గన్ సాధారణంగా ఉన్న స్థలంలో సంస్థాపన సిబ్బంది నాసెల్లెలో ఉంది. నాచ్ట్జాగర్ 189 లలో ఎక్కువ భాగం NJG 100 చేత నిర్వహించబడుతున్నాయి, వీటిని గ్రీఫ్స్వాల్డ్ వద్ద ఉంది. 189 రక్షణ ప్రాంతంపై దీర్ఘకాలిక ఇంధన కొరత మరియు శత్రు వాయు ఆధిపత్యం (ప్రధానంగా బెర్లిన్) అంటే ఈ క్రాఫ్ట్ చేత కొన్ని విమానాలు కాల్చబడ్డాయి. ప్రధాన ఉత్పత్తి నమూనా FW 189A నిఘా విమానం, ఇది ఎక్కువగా రెండు వేరియంట్లలో నిర్మించబడింది, A-1 మరియు A-2. అన్ని విమానాలను రెండు ఆర్గస్ 465 పిఎస్ (459 హెచ్‌పి, 342 కిలోవాట్) యొక్క 410 ఇంజన్లుగా పేర్కొంది. FW 189B ఐదు సీట్ల శిక్షణా విమానం; 13 మాత్రమే నిర్మించబడ్డాయి. FW 189C హెన్‌షెల్ HS 129 తో పోటీగా భారీగా సాయుధ భూ-దాడి, క్లోజ్-సపోర్ట్ వేరియంట్‌గా భావించబడింది. అయితే దాని రెండు ప్రోటోటైప్‌లు (V1B మరియు V6) సంతృప్తికరంగా లేవు మరియు అది ఉత్పత్తి చేయబడలేదు. ఒక FW 189 ఈ రోజు బతికి ఉంది. దీని కథ మే 4, 1943 న ప్రారంభమవుతుంది. ఆధునిక రష్యా యొక్క రిపబ్లిక్ ఆఫ్ కరేలియా యొక్క దక్షిణ-మధ్య ప్రాంతం) లౌఖి -3 ఎయిర్‌బేస్‌ను 6,000 మీ (20,000 అడుగులు) ఎత్తు నుండి ఫోటో తీయడానికి ఒక మిషన్‌ను ప్రారంభించింది, తరువాత ముర్మాన్స్క్-లన్నింగ్రాడ్ రైల్వే వెంట ఉత్తరాన కొనసాగడానికి. బయలుదేరిన సుమారు 31 నిమిషాల తరువాత, V7+1H ను లెండ్-లీజ్-ఆర్జించే సోవియట్ హాకర్ హరికేన్ యోధులు దాడి చేశారు. విమానం యోధుల నుండి తప్పించుకోవడానికి డైవ్ చేసింది, కాని అప్పటికే దెబ్బతిన్నందున, సమయానికి వైదొలగలేకపోయింది, మరియు అది ట్రెటోప్‌లను తాకింది. తోక నలిగిపోయింది, మరియు సిబ్బంది నాసెల్ చెట్ల లోపల తలక్రిందులుగా వేలాడుతున్నారు. పైలట్, లోథర్ మోథెస్, ప్రాణాలతో బయటపడ్డాడు, కాని ఈ ప్రమాదంలో ఒక సిబ్బంది మృతి చెందాడు మరియు మూడవది కత్తిరించిన కాలు ఫలితంగా రక్త నష్టంతో మరణించారు. నమ్మశక్యం, మౌథెస్ ఉప-సున్నా ఉష్ణోగ్రతలలో రెండు వారాల జీవించగలిగాడు, సోవియట్ పెట్రోలింగ్ నుండి తప్పించుకున్నాడు, అతను తన స్థావరానికి తిరిగి నడుస్తున్నప్పుడు బెరడు మరియు గ్రబ్స్ తినేటప్పుడు. మాథెస్ తరువాతి తొమ్మిది నెలలు ఫ్రంట్ లైన్‌కు తిరిగి రాకముందు తీవ్రమైన ఫ్రాస్ట్‌బైట్ నుండి కోలుకున్న ఆసుపత్రిలో గడిపాడు, చివరికి మరో 100 మిషన్లను ఎగరడానికి. 1991 లో, V7+1H యొక్క శిధిలాలు రష్యన్ అడవిలో కనుగొనబడ్డాయి, అక్కడ అది 48 సంవత్సరాలుగా ఉంది. ఈ విమానం బ్రిటిష్ విమాన ts త్సాహికుల బృందం కొనుగోలు చేసింది మరియు UK కి రవాణా చేయబడింది, మార్చి 1992 లో వెస్ట్ సస్సెక్స్‌లోని వర్తింగ్ పట్టణానికి చేరుకుంది. ఫోకే వుల్ఫ్ 189 పునరుద్ధరణ సొసైటీ ఈ విమానం ఎగిరే స్థితికి పునరుద్ధరించడానికి ఏర్పడింది. ఆమె మాజీ పైలట్, లోథర్ మోథెస్, 1996 బిగ్గిన్ హిల్ ఎయిర్‌షోలో తన విమానంతో మళ్లీ కలుసుకున్నాడు. ఈ విమానం పాల్ అలెన్ యొక్క ఫ్లయింగ్ హెరిటేజ్ కలెక్షన్ [సైటేషన్ అవసరం] చేత సంపాదించబడిందని మరియు డక్స్ఫోర్డ్లో పునర్నిర్మించబడిందని నివేదించబడింది, కాని ఆగస్టు 1 2021 నాటికి అమ్మకానికి జాబితా చేయబడింది. [6] డై డ్యూయిష్ లుఫ్‌ట్రూస్టంగ్ నుండి డేటా 1933-1945 వాల్యూమ్ 2-ఫ్లగ్జ్యూగ్టెపెన్ ఎర్లా-హీంకెల్, [7] రెండవ ప్రపంచ యుద్ధం యొక్క జర్మన్ విమానం [8] సాధారణ లక్షణాలు పనితీరు ఆయుధాలు పోల్చదగిన పాత్ర, ఆకృతీకరణ మరియు ERA సంబంధిత జాబితాల విమానం విమానం</v>
      </c>
      <c r="E11" s="1" t="s">
        <v>393</v>
      </c>
      <c r="F11" s="1" t="s">
        <v>394</v>
      </c>
      <c r="G11" s="1" t="str">
        <f>IFERROR(__xludf.DUMMYFUNCTION("GOOGLETRANSLATE(F:F, ""en"", ""te"")"),"వ్యూహాత్మక నిఘా మరియు ఆర్మీ సహకార విమానం, లైట్ బాంబర్")</f>
        <v>వ్యూహాత్మక నిఘా మరియు ఆర్మీ సహకార విమానం, లైట్ బాంబర్</v>
      </c>
      <c r="H11" s="1" t="s">
        <v>395</v>
      </c>
      <c r="L11" s="1" t="s">
        <v>396</v>
      </c>
      <c r="M11" s="1" t="str">
        <f>IFERROR(__xludf.DUMMYFUNCTION("GOOGLETRANSLATE(L:L, ""en"", ""te"")"),"ఫోకే-వుల్ఫ్")</f>
        <v>ఫోకే-వుల్ఫ్</v>
      </c>
      <c r="N11" s="3" t="s">
        <v>397</v>
      </c>
      <c r="O11" s="1" t="s">
        <v>398</v>
      </c>
      <c r="P11" s="1" t="str">
        <f>IFERROR(__xludf.DUMMYFUNCTION("GOOGLETRANSLATE(O:O, ""en"", ""te"")"),"కర్ట్ ట్యాంక్")</f>
        <v>కర్ట్ ట్యాంక్</v>
      </c>
      <c r="Q11" s="1" t="s">
        <v>399</v>
      </c>
      <c r="R11" s="5">
        <v>14062.0</v>
      </c>
      <c r="S11" s="1">
        <v>864.0</v>
      </c>
      <c r="T11" s="1" t="s">
        <v>400</v>
      </c>
      <c r="V11" s="1">
        <v>3.0</v>
      </c>
      <c r="W11" s="1" t="s">
        <v>401</v>
      </c>
      <c r="X11" s="1" t="s">
        <v>402</v>
      </c>
      <c r="Y11" s="1" t="s">
        <v>403</v>
      </c>
      <c r="Z11" s="1" t="s">
        <v>404</v>
      </c>
      <c r="AG11" s="1" t="s">
        <v>405</v>
      </c>
      <c r="AH11" s="1" t="s">
        <v>406</v>
      </c>
      <c r="AO11" s="5">
        <v>15189.0</v>
      </c>
      <c r="AQ11" s="1">
        <v>1945.0</v>
      </c>
      <c r="AS11" s="1" t="s">
        <v>407</v>
      </c>
      <c r="AT11" s="1"/>
      <c r="AU11" s="1" t="s">
        <v>408</v>
      </c>
      <c r="AX11" s="1" t="s">
        <v>409</v>
      </c>
      <c r="AY11" s="1" t="str">
        <f>IFERROR(__xludf.DUMMYFUNCTION("GOOGLETRANSLATE(AX:AX, ""en"", ""te"")"),"2 × ఆర్గస్ AS 410A-1 V-12 విలోమ ఎయిర్-కూల్డ్ పిస్టన్ ఇంజన్లు 465 PS (459 HP; 342 kW)")</f>
        <v>2 × ఆర్గస్ AS 410A-1 V-12 విలోమ ఎయిర్-కూల్డ్ పిస్టన్ ఇంజన్లు 465 PS (459 HP; 342 kW)</v>
      </c>
      <c r="AZ11" s="1" t="s">
        <v>410</v>
      </c>
      <c r="BA11" s="1" t="str">
        <f>IFERROR(__xludf.DUMMYFUNCTION("GOOGLETRANSLATE(AZ:AZ, ""en"", ""te"")"),"2-బ్లేడెడ్ ఆర్గస్ వేరియబుల్-పిచ్ ప్రొపెల్లర్లు")</f>
        <v>2-బ్లేడెడ్ ఆర్గస్ వేరియబుల్-పిచ్ ప్రొపెల్లర్లు</v>
      </c>
      <c r="BB11" s="1" t="s">
        <v>411</v>
      </c>
      <c r="BC11" s="1" t="s">
        <v>412</v>
      </c>
      <c r="BD11" s="1" t="s">
        <v>413</v>
      </c>
      <c r="BG11" s="2"/>
      <c r="BS11" s="1" t="s">
        <v>414</v>
      </c>
      <c r="BT11" s="1" t="s">
        <v>415</v>
      </c>
      <c r="BW11" s="1" t="s">
        <v>416</v>
      </c>
      <c r="CB11" s="1" t="s">
        <v>417</v>
      </c>
    </row>
    <row r="12">
      <c r="A12" s="1" t="s">
        <v>418</v>
      </c>
      <c r="B12" s="1" t="str">
        <f>IFERROR(__xludf.DUMMYFUNCTION("GOOGLETRANSLATE(A:A, ""en"", ""te"")"),"Sncase se.100")</f>
        <v>Sncase se.100</v>
      </c>
      <c r="C12" s="1" t="s">
        <v>419</v>
      </c>
      <c r="D12" s="1" t="str">
        <f>IFERROR(__xludf.DUMMYFUNCTION("GOOGLETRANSLATE(C:C, ""en"", ""te"")"),"SNCase Se.100 ఒక ఫ్రెంచ్ రెండు-సీట్ల, ట్విన్-ఇంజిన్ ఫైటర్, ఇది 1939 లో మొట్టమొదట ఎగురుతుంది. 1940 చివరిలో భారీ ఉత్పత్తి ప్రారంభం కావాలని ప్రణాళిక చేయబడింది, కాని ఫ్రాన్స్ పతనం దీనిని నిరోధించింది. SE.100 యొక్క మూలాలు 1937 నాటి జాతీయీకరణలలో SNCase (SUD-EST"&amp;") సంస్థ యొక్క సృష్టిని ముందే సూచిస్తాయి. దీనిని పియరీ మెర్సియర్ మరియు జాక్వెస్ లెకార్మ్ లియోర్ ఎట్ ఆలివర్ వద్ద రూపొందించారు మరియు దీనిని మొదట లియో 50 గా నియమించారు. -రోన్ 14 ఎమ్ ఇంజన్లు, మరింత శక్తివంతమైన గ్నోమ్-రోన్ 14 ఎన్ -20 మరియు -21 ఇంజిన్లను ఉపయోగిం"&amp;"చడానికి డిజైన్ పున ast ప్రారంభించబడింది, ఇది లియోర్ ఎట్ ఆలివర్ లియో 451 బాంబర్‌లో ఉపయోగించబడింది మరియు SE.100 గా పేరు మార్చబడింది. ఈ విమానం సాంప్రదాయిక ఆల్-మెటల్ నిర్మాణానికి చెందినది, మిడ్-వింగ్ లేఅవుట్ ఉంది. యుగం యొక్క చాలా ఫ్రెంచ్ ట్విన్-ఇంజిన్ విమానాల"&amp;" మాదిరిగా, ఇంజన్లు అప్పగించబడ్డాయి, ఒక ఎయిర్ స్క్రూను సవ్యదిశలో తిప్పడం మరియు మరొకటి యాంటీ-క్లాక్వైస్, టార్క్ను తగ్గించడానికి. విమానం జంట తోకను కలిగి ఉంది. ఉత్పత్తి నమూనాలలో, LEO 451 వింగ్ నుండి ఉత్పత్తిని సులభతరం చేయడానికి రెక్కను పున es రూపకల్పన చేయడాని"&amp;"కి ప్రణాళిక చేయబడింది. ఫ్యూజ్‌లేజ్ కనిపిస్తుంది, పొడవైన ముక్కు మరియు చాలా చిన్న తోకతో, కాక్‌పిట్ గన్నర్ యొక్క స్థానం వెనుకకు విండోస్ కారిడార్ ద్వారా అనుసంధానించబడి ఉంది. అండర్ క్యారేజ్ చాలా అసాధారణమైనది, ముందు భాగంలో ఒకే ప్రధాన చక్రం మరియు ప్రతి బహిరంగ తో"&amp;"క కింద అమర్చిన ఒక వెనుక చక్రం మరియు రెక్కలు లేదా ఇంజిన్ నాసెల్లెస్ కింద రెండు ప్రధాన చక్రాలు మరియు సాధారణ అభ్యాసానికి ఒకే తోక చక్రం. ఈ విమానం ముక్కులో నాలుగు హిస్పానో-సూజా హెచ్ఎస్ .404 20 మిమీ ఫిరంగి మరియు గన్నర్ పోస్ట్‌లో ఒకటి అమర్చారు. SE.100 యొక్క మొదట"&amp;"ి నమూనా 29 మార్చి 1939 న అర్జెంటీల్ వద్ద ప్రయాణించింది మరియు పరీక్షల సమయంలో అవసరమైన అనేక మార్పులు గుర్తించబడ్డాయి. ఇది 5 ఏప్రిల్ 1940 న జరిగిన ప్రమాదంలో నాశనం చేయబడింది. [1] [2] ఫ్రెంచ్ వైమానిక దళం యొక్క ప్రస్తుత ట్విన్-ఇంజిన్ ఫైటర్ అయిన పోటెజ్ 631 కన్నా "&amp;"ఈ విమానం గంటకు 100 కిమీ/గం వేగంగా ఉందని నిరూపించబడింది మరియు ఉత్పత్తికి అధికారం ఉంది. పరీక్షలు కొనసాగుతున్నప్పుడు, రెండవ నమూనాను నిర్మిస్తున్నారు, మార్పులను కలుపుకొని, వీటిలో చాలా స్పష్టంగా ఉంది, వీటిలో చాలా స్పష్టంగా ఫ్యూజ్‌లేజ్‌లో విండోస్ కారిడార్‌ను తొ"&amp;"లగించడం మరియు దాని స్థానంలో అదనపు ఇంధన ట్యాంకులు. ఈ ఆయుధాన్ని ముక్కులో ఆరు ఫిరంగికి, గన్నర్ పోస్ట్‌లో రెండు మరియు గన్నర్ పోస్ట్ అంతస్తులో ఒక అదనపు ఫిరంగికి పెంచారు. రెండవ నమూనా నిర్మించబడుతున్నందున, సిట్రోయెన్ కంపెనీ వారి పారిస్ పనుల వద్ద విమానాన్ని భారీగ"&amp;"ా ఉత్పత్తి చేయడానికి సిద్ధమవుతోంది, 1940 చివరిలో ప్రారంభించడానికి డెలివరీలు ప్లాన్ చేయబడ్డాయి. కనీసం రెండు పేపర్ వేరియంట్లు అధ్యయనం చేయబడ్డాయి, ప్రాట్ &amp; విట్నీ ఆర్ చేత శక్తితో కూడిన SE.101 -1830 ట్విన్ కందిరీగ ఇంజన్లు, మరియు గ్నోమ్-రోన్ 14 ఎన్ యొక్క వేరే "&amp;"వెర్షన్ ద్వారా శక్తితో పనిచేసే SE.102. SE.500 మరియు SE.800 వరుసగా 12-ప్రయాణీకుల రవాణా మరియు నాలుగు ఇంజిన్ రవాణా, SE.100 నుండి తీసుకోబడ్డాయి. ఎల్'అవియేషన్ ఫ్రాంకైస్ డి 1939 à 1942, [3] రెండవ ప్రపంచ యుద్ధం యొక్క యుద్ధ విమానాలు; వాల్యూమ్ వన్; యోధులు [1] సాధా"&amp;"రణ లక్షణాలు పనితీరు ఆయుధాలు")</f>
        <v>SNCase Se.100 ఒక ఫ్రెంచ్ రెండు-సీట్ల, ట్విన్-ఇంజిన్ ఫైటర్, ఇది 1939 లో మొట్టమొదట ఎగురుతుంది. 1940 చివరిలో భారీ ఉత్పత్తి ప్రారంభం కావాలని ప్రణాళిక చేయబడింది, కాని ఫ్రాన్స్ పతనం దీనిని నిరోధించింది. SE.100 యొక్క మూలాలు 1937 నాటి జాతీయీకరణలలో SNCase (SUD-EST) సంస్థ యొక్క సృష్టిని ముందే సూచిస్తాయి. దీనిని పియరీ మెర్సియర్ మరియు జాక్వెస్ లెకార్మ్ లియోర్ ఎట్ ఆలివర్ వద్ద రూపొందించారు మరియు దీనిని మొదట లియో 50 గా నియమించారు. -రోన్ 14 ఎమ్ ఇంజన్లు, మరింత శక్తివంతమైన గ్నోమ్-రోన్ 14 ఎన్ -20 మరియు -21 ఇంజిన్లను ఉపయోగించడానికి డిజైన్ పున ast ప్రారంభించబడింది, ఇది లియోర్ ఎట్ ఆలివర్ లియో 451 బాంబర్‌లో ఉపయోగించబడింది మరియు SE.100 గా పేరు మార్చబడింది. ఈ విమానం సాంప్రదాయిక ఆల్-మెటల్ నిర్మాణానికి చెందినది, మిడ్-వింగ్ లేఅవుట్ ఉంది. యుగం యొక్క చాలా ఫ్రెంచ్ ట్విన్-ఇంజిన్ విమానాల మాదిరిగా, ఇంజన్లు అప్పగించబడ్డాయి, ఒక ఎయిర్ స్క్రూను సవ్యదిశలో తిప్పడం మరియు మరొకటి యాంటీ-క్లాక్వైస్, టార్క్ను తగ్గించడానికి. విమానం జంట తోకను కలిగి ఉంది. ఉత్పత్తి నమూనాలలో, LEO 451 వింగ్ నుండి ఉత్పత్తిని సులభతరం చేయడానికి రెక్కను పున es రూపకల్పన చేయడానికి ప్రణాళిక చేయబడింది. ఫ్యూజ్‌లేజ్ కనిపిస్తుంది, పొడవైన ముక్కు మరియు చాలా చిన్న తోకతో, కాక్‌పిట్ గన్నర్ యొక్క స్థానం వెనుకకు విండోస్ కారిడార్ ద్వారా అనుసంధానించబడి ఉంది. అండర్ క్యారేజ్ చాలా అసాధారణమైనది, ముందు భాగంలో ఒకే ప్రధాన చక్రం మరియు ప్రతి బహిరంగ తోక కింద అమర్చిన ఒక వెనుక చక్రం మరియు రెక్కలు లేదా ఇంజిన్ నాసెల్లెస్ కింద రెండు ప్రధాన చక్రాలు మరియు సాధారణ అభ్యాసానికి ఒకే తోక చక్రం. ఈ విమానం ముక్కులో నాలుగు హిస్పానో-సూజా హెచ్ఎస్ .404 20 మిమీ ఫిరంగి మరియు గన్నర్ పోస్ట్‌లో ఒకటి అమర్చారు. SE.100 యొక్క మొదటి నమూనా 29 మార్చి 1939 న అర్జెంటీల్ వద్ద ప్రయాణించింది మరియు పరీక్షల సమయంలో అవసరమైన అనేక మార్పులు గుర్తించబడ్డాయి. ఇది 5 ఏప్రిల్ 1940 న జరిగిన ప్రమాదంలో నాశనం చేయబడింది. [1] [2] ఫ్రెంచ్ వైమానిక దళం యొక్క ప్రస్తుత ట్విన్-ఇంజిన్ ఫైటర్ అయిన పోటెజ్ 631 కన్నా ఈ విమానం గంటకు 100 కిమీ/గం వేగంగా ఉందని నిరూపించబడింది మరియు ఉత్పత్తికి అధికారం ఉంది. పరీక్షలు కొనసాగుతున్నప్పుడు, రెండవ నమూనాను నిర్మిస్తున్నారు, మార్పులను కలుపుకొని, వీటిలో చాలా స్పష్టంగా ఉంది, వీటిలో చాలా స్పష్టంగా ఫ్యూజ్‌లేజ్‌లో విండోస్ కారిడార్‌ను తొలగించడం మరియు దాని స్థానంలో అదనపు ఇంధన ట్యాంకులు. ఈ ఆయుధాన్ని ముక్కులో ఆరు ఫిరంగికి, గన్నర్ పోస్ట్‌లో రెండు మరియు గన్నర్ పోస్ట్ అంతస్తులో ఒక అదనపు ఫిరంగికి పెంచారు. రెండవ నమూనా నిర్మించబడుతున్నందున, సిట్రోయెన్ కంపెనీ వారి పారిస్ పనుల వద్ద విమానాన్ని భారీగా ఉత్పత్తి చేయడానికి సిద్ధమవుతోంది, 1940 చివరిలో ప్రారంభించడానికి డెలివరీలు ప్లాన్ చేయబడ్డాయి. కనీసం రెండు పేపర్ వేరియంట్లు అధ్యయనం చేయబడ్డాయి, ప్రాట్ &amp; విట్నీ ఆర్ చేత శక్తితో కూడిన SE.101 -1830 ట్విన్ కందిరీగ ఇంజన్లు, మరియు గ్నోమ్-రోన్ 14 ఎన్ యొక్క వేరే వెర్షన్ ద్వారా శక్తితో పనిచేసే SE.102. SE.500 మరియు SE.800 వరుసగా 12-ప్రయాణీకుల రవాణా మరియు నాలుగు ఇంజిన్ రవాణా, SE.100 నుండి తీసుకోబడ్డాయి. ఎల్'అవియేషన్ ఫ్రాంకైస్ డి 1939 à 1942, [3] రెండవ ప్రపంచ యుద్ధం యొక్క యుద్ధ విమానాలు; వాల్యూమ్ వన్; యోధులు [1] సాధారణ లక్షణాలు పనితీరు ఆయుధాలు</v>
      </c>
      <c r="E12" s="1" t="s">
        <v>420</v>
      </c>
      <c r="F12" s="1" t="s">
        <v>421</v>
      </c>
      <c r="G12" s="1" t="str">
        <f>IFERROR(__xludf.DUMMYFUNCTION("GOOGLETRANSLATE(F:F, ""en"", ""te"")"),"యుద్ధ")</f>
        <v>యుద్ధ</v>
      </c>
      <c r="I12" s="1" t="s">
        <v>422</v>
      </c>
      <c r="J12" s="1" t="str">
        <f>IFERROR(__xludf.DUMMYFUNCTION("GOOGLETRANSLATE(I:I, ""en"", ""te"")"),"ఫ్రాన్స్")</f>
        <v>ఫ్రాన్స్</v>
      </c>
      <c r="K12" s="3" t="s">
        <v>423</v>
      </c>
      <c r="L12" s="1" t="s">
        <v>424</v>
      </c>
      <c r="M12" s="1" t="str">
        <f>IFERROR(__xludf.DUMMYFUNCTION("GOOGLETRANSLATE(L:L, ""en"", ""te"")"),"లియోర్ ఎట్ ఆలివర్ స్న్కేస్")</f>
        <v>లియోర్ ఎట్ ఆలివర్ స్న్కేస్</v>
      </c>
      <c r="N12" s="1" t="s">
        <v>425</v>
      </c>
      <c r="O12" s="1" t="s">
        <v>426</v>
      </c>
      <c r="P12" s="1" t="str">
        <f>IFERROR(__xludf.DUMMYFUNCTION("GOOGLETRANSLATE(O:O, ""en"", ""te"")"),"పియరీ మెర్సియర్ మరియు జాక్వెస్ లెకార్మ్")</f>
        <v>పియరీ మెర్సియర్ మరియు జాక్వెస్ లెకార్మ్</v>
      </c>
      <c r="Q12" s="1" t="s">
        <v>427</v>
      </c>
      <c r="R12" s="4">
        <v>14333.0</v>
      </c>
      <c r="S12" s="1">
        <v>1.0</v>
      </c>
      <c r="V12" s="1" t="s">
        <v>428</v>
      </c>
      <c r="W12" s="1" t="s">
        <v>429</v>
      </c>
      <c r="X12" s="1" t="s">
        <v>430</v>
      </c>
      <c r="Y12" s="1" t="s">
        <v>431</v>
      </c>
      <c r="Z12" s="1" t="s">
        <v>432</v>
      </c>
      <c r="AE12" s="1">
        <v>7.47</v>
      </c>
      <c r="AH12" s="1" t="s">
        <v>433</v>
      </c>
      <c r="AM12" s="1" t="s">
        <v>434</v>
      </c>
      <c r="AO12" s="1" t="s">
        <v>435</v>
      </c>
      <c r="AX12" s="1" t="s">
        <v>436</v>
      </c>
      <c r="AY12" s="1" t="str">
        <f>IFERROR(__xludf.DUMMYFUNCTION("GOOGLETRANSLATE(AX:AX, ""en"", ""te"")"),"1 × గ్నోమ్-రోన్ 14 ఎన్ -21 14-సిలిండర్ ఎయిర్-కూల్డ్ రేడియల్ పిస్టన్ ఇంజిన్, 806 కిలోవాట్ (1,081 హెచ్‌పి) (ఆర్‌హెచ్ రొటేషన్)")</f>
        <v>1 × గ్నోమ్-రోన్ 14 ఎన్ -21 14-సిలిండర్ ఎయిర్-కూల్డ్ రేడియల్ పిస్టన్ ఇంజిన్, 806 కిలోవాట్ (1,081 హెచ్‌పి) (ఆర్‌హెచ్ రొటేషన్)</v>
      </c>
      <c r="BB12" s="1" t="s">
        <v>437</v>
      </c>
      <c r="BC12" s="1" t="s">
        <v>438</v>
      </c>
      <c r="BE12" s="1" t="s">
        <v>439</v>
      </c>
      <c r="BF12" s="1" t="s">
        <v>440</v>
      </c>
      <c r="BG12" s="2" t="str">
        <f>IFERROR(__xludf.DUMMYFUNCTION("GOOGLETRANSLATE(BF:BF, ""en"", ""te"")"),"ఫ్రెంచ్ వైమానిక దళం (ప్రణాళిక)")</f>
        <v>ఫ్రెంచ్ వైమానిక దళం (ప్రణాళిక)</v>
      </c>
      <c r="BH12" s="1" t="s">
        <v>441</v>
      </c>
      <c r="BT12" s="1" t="s">
        <v>442</v>
      </c>
    </row>
    <row r="13">
      <c r="A13" s="1" t="s">
        <v>443</v>
      </c>
      <c r="B13" s="1" t="str">
        <f>IFERROR(__xludf.DUMMYFUNCTION("GOOGLETRANSLATE(A:A, ""en"", ""te"")"),"స్టిన్సన్ మోడల్ o")</f>
        <v>స్టిన్సన్ మోడల్ o</v>
      </c>
      <c r="C13" s="1" t="s">
        <v>444</v>
      </c>
      <c r="D13" s="1" t="str">
        <f>IFERROR(__xludf.DUMMYFUNCTION("GOOGLETRANSLATE(C:C, ""en"", ""te"")"),"స్టిన్సన్ మోడల్ O అనేది స్టిన్సన్ ఎయిర్క్రాఫ్ట్ కంపెనీ నిర్మించిన 1930 లలో ఒక అమెరికన్ సింగిల్-ఇంజిన్ మిలిటరీ ట్రైనర్ విమానం. స్టిన్సన్ SR ఆధారంగా, మోడల్ O హోండురాన్ వైమానిక దళం యొక్క అవసరాన్ని తీర్చడానికి రూపొందించబడింది, ఆ ఎయిర్ ఆర్మ్ యొక్క ప్రారంభ పరిక"&amp;"రాలను ఏర్పరుస్తుంది. 1933 లో, న్యూజిలాండ్ లోవెల్ యెరెక్స్, తన స్టిన్సన్ డెట్రాయిటర్లో హోండురాన్ ప్రెసిడెంట్-ఎన్నుకోబడిన టిబుర్సియో కారియాస్ ఆండినోకు విధేయతతో ఉన్న బలవంతపు ఫోర్స్స్ కోసం నిఘా విమానాలను ఎగురవేసాడు, డిసెంబర్ 1931 లో ఒక పౌర యుద్ధంలో, తరువాత దక"&amp;"్షిణ అమెరికా ఎయిర్లైన్ కన్సార్టియం టాకాను స్థాపించారు, కొనుగోలుతో పని చేయబడింది ఎస్క్యూలా నేషనల్ డి ఏవియాసియన్ లేదా నేషనల్ ఏవియేషన్ స్కూల్ కోసం శిక్షకులు మరియు ప్రతి-తిరుగుబాటు విమానం, ఇది తరువాత హోండురాన్ వైమానిక దళం యొక్క ప్రధాన భాగాన్ని ఏర్పరుస్తుంది. "&amp;"యెరెక్స్ మరియు స్టిన్సన్ ఎయిర్క్రాఫ్ట్ కంపెనీ మధ్య చర్చల తరువాత, గీ బీ మోడల్ Z రేసింగ్ ఎయిర్క్రాఫ్ట్ యొక్క డిజైనర్ రాబర్ట్ హాల్, హోండురాన్ అవసరాన్ని తీర్చడానికి ఒక విమానాన్ని రూపొందించారు. [1] [2] హాల్ యొక్క రూపకల్పన, మోడల్ O, ఒక పారాసోల్ వింగ్ మోనోప్లేన్"&amp;", ఇది స్టిన్సన్ SR యొక్క రెక్కలు మరియు తోక ఉపరితలాలను నాలుగు-సీట్ల ప్రైవేట్ విమానాలను ఉపయోగించింది, వాటిని కొత్త ఫ్యూజ్‌లేజ్‌తో కలిపి ఓపెన్ కాక్‌పిట్స్‌లో రెండు సిబ్బందిలో రెండు సిబ్బందిని కలిగి ఉంది (మోడల్ O ఓపెన్ కాక్‌పిట్‌లను కలిగి ఉన్న మొదటి మరియు ఏకై"&amp;"క స్టిన్సన్ విమానం). ఈ విమానం లైమింగ్ R-680 రేడియల్ ఇంజిన్ ద్వారా శక్తిని పొందింది, ఇది 220 HP (160 kW) వద్ద రేట్ చేయబడింది మరియు తక్కువ-ఆక్టేన్ రేటింగ్ ఇంధనంపై నడుస్తుంది. ఈ విమానం రెండు స్థిర ఫార్వర్డ్-ఫైరింగ్ మెషిన్ గన్‌లతో ఆయుధాలు కలిగి ఉంటుంది, మరింత"&amp;" మెషిన్ గన్ పరిశీలకుడి కాక్‌పిట్‌లో సరళంగా అమర్చబడి ఉంటుంది, అయితే ఫ్యూజ్‌లేజ్ క్రింద బాంబు రాక్ అమర్చవచ్చు. డిజైన్ మరియు నిర్మాణం త్వరగా కొనసాగాయి, ప్రోటోటైప్ మొదట మే 1933 లో ఎగురుతుంది. [3] [4] హోండురాస్ మూడు మోడల్ ఓఎస్‌ను కొనుగోలు చేసింది, డిసెంబర్ 193"&amp;"3 లో డెలివరీ తీసుకుంది, వారు ఎస్క్యూలా నేషనల్ డి ఏవియాసియన్ యొక్క ప్రారంభ పరికరాలను ఏర్పాటు చేసినప్పుడు, హోండురాన్ సీరియల్ నంబర్‌లతో 1–3. [1] డిసెంబర్ 1941 లో పెర్ల్ హార్బర్‌పై జపనీస్ దాడి తరువాత, హోండురాస్ యొక్క మోడల్ OS ఇప్పటికీ తటస్థ దేశ తీరం వెంబడి పె"&amp;"ట్రోలింగ్ చేయడానికి ఉపయోగించబడింది. అటువంటి పెట్రోలింగ్ సమయంలో మోడల్ OS లో ఒకటి తప్పిపోయింది, కాని మిగతా ఇద్దరు 1945 లో రెండవ ప్రపంచ యుద్ధం ముగింపులో ఇప్పటికీ వాడుకలో ఉన్నారు. [5] మొత్తం తొమ్మిది మోడల్ ఓఎస్ నిర్మించబడ్డాయి, మూడు చైనాకు, ఒకటి అర్జెంటీనాకు "&amp;"మరియు ఒకటి బ్రెజిల్‌కు విక్రయించబడ్డాయి. స్పానిష్ సివిల్ వార్ ర్యాగింగ్‌తో, 1938 లో రిపబ్లికన్ స్పెయిన్ 100 మోడల్ ఓఎస్‌ను కొనుగోలు చేయడానికి ప్రయత్నం చేసింది, అధ్యక్షుడు ఫ్రాంక్లిన్ డి. . [[ ఈ నమూనా అమెరికాలో పౌర విమానంగా ఉంది, మరియు ఇది ఇప్పటికీ 1946 లో "&amp;"వాడుకలో ఉంది. [6] ఒరెగాన్లోని పోర్ట్ ల్యాండ్ యొక్క ఎవర్‌గ్రీన్ ఏవియేషన్ సర్వీసెస్ చేత ప్రతిరూప మోడల్ O ను నిర్మించింది, స్టిన్సన్ SR-5 రిలయంట్ యొక్క రెక్కలు మరియు తోకను మరియు ఛాయాచిత్రాల నుండి పునర్నిర్మించిన ఫ్యూజ్‌లేజ్ మరియు వింగ్ సెంటర్-సెక్షన్ ఉపయోగిం"&amp;"చి. ఇది మొదట మార్చి 24, 2010 న ప్రయాణించింది. [7] [8] సాధారణ డైనమిక్స్ విమానం మరియు వారి పూర్వీకుల నుండి డేటా [6] సాధారణ లక్షణాల పనితీరు")</f>
        <v>స్టిన్సన్ మోడల్ O అనేది స్టిన్సన్ ఎయిర్క్రాఫ్ట్ కంపెనీ నిర్మించిన 1930 లలో ఒక అమెరికన్ సింగిల్-ఇంజిన్ మిలిటరీ ట్రైనర్ విమానం. స్టిన్సన్ SR ఆధారంగా, మోడల్ O హోండురాన్ వైమానిక దళం యొక్క అవసరాన్ని తీర్చడానికి రూపొందించబడింది, ఆ ఎయిర్ ఆర్మ్ యొక్క ప్రారంభ పరికరాలను ఏర్పరుస్తుంది. 1933 లో, న్యూజిలాండ్ లోవెల్ యెరెక్స్, తన స్టిన్సన్ డెట్రాయిటర్లో హోండురాన్ ప్రెసిడెంట్-ఎన్నుకోబడిన టిబుర్సియో కారియాస్ ఆండినోకు విధేయతతో ఉన్న బలవంతపు ఫోర్స్స్ కోసం నిఘా విమానాలను ఎగురవేసాడు, డిసెంబర్ 1931 లో ఒక పౌర యుద్ధంలో, తరువాత దక్షిణ అమెరికా ఎయిర్లైన్ కన్సార్టియం టాకాను స్థాపించారు, కొనుగోలుతో పని చేయబడింది ఎస్క్యూలా నేషనల్ డి ఏవియాసియన్ లేదా నేషనల్ ఏవియేషన్ స్కూల్ కోసం శిక్షకులు మరియు ప్రతి-తిరుగుబాటు విమానం, ఇది తరువాత హోండురాన్ వైమానిక దళం యొక్క ప్రధాన భాగాన్ని ఏర్పరుస్తుంది. యెరెక్స్ మరియు స్టిన్సన్ ఎయిర్క్రాఫ్ట్ కంపెనీ మధ్య చర్చల తరువాత, గీ బీ మోడల్ Z రేసింగ్ ఎయిర్క్రాఫ్ట్ యొక్క డిజైనర్ రాబర్ట్ హాల్, హోండురాన్ అవసరాన్ని తీర్చడానికి ఒక విమానాన్ని రూపొందించారు. [1] [2] హాల్ యొక్క రూపకల్పన, మోడల్ O, ఒక పారాసోల్ వింగ్ మోనోప్లేన్, ఇది స్టిన్సన్ SR యొక్క రెక్కలు మరియు తోక ఉపరితలాలను నాలుగు-సీట్ల ప్రైవేట్ విమానాలను ఉపయోగించింది, వాటిని కొత్త ఫ్యూజ్‌లేజ్‌తో కలిపి ఓపెన్ కాక్‌పిట్స్‌లో రెండు సిబ్బందిలో రెండు సిబ్బందిని కలిగి ఉంది (మోడల్ O ఓపెన్ కాక్‌పిట్‌లను కలిగి ఉన్న మొదటి మరియు ఏకైక స్టిన్సన్ విమానం). ఈ విమానం లైమింగ్ R-680 రేడియల్ ఇంజిన్ ద్వారా శక్తిని పొందింది, ఇది 220 HP (160 kW) వద్ద రేట్ చేయబడింది మరియు తక్కువ-ఆక్టేన్ రేటింగ్ ఇంధనంపై నడుస్తుంది. ఈ విమానం రెండు స్థిర ఫార్వర్డ్-ఫైరింగ్ మెషిన్ గన్‌లతో ఆయుధాలు కలిగి ఉంటుంది, మరింత మెషిన్ గన్ పరిశీలకుడి కాక్‌పిట్‌లో సరళంగా అమర్చబడి ఉంటుంది, అయితే ఫ్యూజ్‌లేజ్ క్రింద బాంబు రాక్ అమర్చవచ్చు. డిజైన్ మరియు నిర్మాణం త్వరగా కొనసాగాయి, ప్రోటోటైప్ మొదట మే 1933 లో ఎగురుతుంది. [3] [4] హోండురాస్ మూడు మోడల్ ఓఎస్‌ను కొనుగోలు చేసింది, డిసెంబర్ 1933 లో డెలివరీ తీసుకుంది, వారు ఎస్క్యూలా నేషనల్ డి ఏవియాసియన్ యొక్క ప్రారంభ పరికరాలను ఏర్పాటు చేసినప్పుడు, హోండురాన్ సీరియల్ నంబర్‌లతో 1–3. [1] డిసెంబర్ 1941 లో పెర్ల్ హార్బర్‌పై జపనీస్ దాడి తరువాత, హోండురాస్ యొక్క మోడల్ OS ఇప్పటికీ తటస్థ దేశ తీరం వెంబడి పెట్రోలింగ్ చేయడానికి ఉపయోగించబడింది. అటువంటి పెట్రోలింగ్ సమయంలో మోడల్ OS లో ఒకటి తప్పిపోయింది, కాని మిగతా ఇద్దరు 1945 లో రెండవ ప్రపంచ యుద్ధం ముగింపులో ఇప్పటికీ వాడుకలో ఉన్నారు. [5] మొత్తం తొమ్మిది మోడల్ ఓఎస్ నిర్మించబడ్డాయి, మూడు చైనాకు, ఒకటి అర్జెంటీనాకు మరియు ఒకటి బ్రెజిల్‌కు విక్రయించబడ్డాయి. స్పానిష్ సివిల్ వార్ ర్యాగింగ్‌తో, 1938 లో రిపబ్లికన్ స్పెయిన్ 100 మోడల్ ఓఎస్‌ను కొనుగోలు చేయడానికి ప్రయత్నం చేసింది, అధ్యక్షుడు ఫ్రాంక్లిన్ డి. . [[ ఈ నమూనా అమెరికాలో పౌర విమానంగా ఉంది, మరియు ఇది ఇప్పటికీ 1946 లో వాడుకలో ఉంది. [6] ఒరెగాన్లోని పోర్ట్ ల్యాండ్ యొక్క ఎవర్‌గ్రీన్ ఏవియేషన్ సర్వీసెస్ చేత ప్రతిరూప మోడల్ O ను నిర్మించింది, స్టిన్సన్ SR-5 రిలయంట్ యొక్క రెక్కలు మరియు తోకను మరియు ఛాయాచిత్రాల నుండి పునర్నిర్మించిన ఫ్యూజ్‌లేజ్ మరియు వింగ్ సెంటర్-సెక్షన్ ఉపయోగించి. ఇది మొదట మార్చి 24, 2010 న ప్రయాణించింది. [7] [8] సాధారణ డైనమిక్స్ విమానం మరియు వారి పూర్వీకుల నుండి డేటా [6] సాధారణ లక్షణాల పనితీరు</v>
      </c>
      <c r="E13" s="1" t="s">
        <v>445</v>
      </c>
      <c r="F13" s="1" t="s">
        <v>446</v>
      </c>
      <c r="G13" s="1" t="str">
        <f>IFERROR(__xludf.DUMMYFUNCTION("GOOGLETRANSLATE(F:F, ""en"", ""te"")"),"శిక్షకుడు")</f>
        <v>శిక్షకుడు</v>
      </c>
      <c r="I13" s="1" t="s">
        <v>447</v>
      </c>
      <c r="J13" s="1" t="str">
        <f>IFERROR(__xludf.DUMMYFUNCTION("GOOGLETRANSLATE(I:I, ""en"", ""te"")"),"అమెరికా")</f>
        <v>అమెరికా</v>
      </c>
      <c r="K13" s="3" t="s">
        <v>448</v>
      </c>
      <c r="L13" s="1" t="s">
        <v>449</v>
      </c>
      <c r="M13" s="1" t="str">
        <f>IFERROR(__xludf.DUMMYFUNCTION("GOOGLETRANSLATE(L:L, ""en"", ""te"")"),"స్టిన్సన్ ఎయిర్క్రాఫ్ట్ కంపెనీ")</f>
        <v>స్టిన్సన్ ఎయిర్క్రాఫ్ట్ కంపెనీ</v>
      </c>
      <c r="N13" s="1" t="s">
        <v>450</v>
      </c>
      <c r="O13" s="1" t="s">
        <v>451</v>
      </c>
      <c r="P13" s="1" t="str">
        <f>IFERROR(__xludf.DUMMYFUNCTION("GOOGLETRANSLATE(O:O, ""en"", ""te"")"),"రాబర్ట్ ఎల్. హాల్")</f>
        <v>రాబర్ట్ ఎల్. హాల్</v>
      </c>
      <c r="Q13" s="1" t="s">
        <v>452</v>
      </c>
      <c r="R13" s="5">
        <v>12175.0</v>
      </c>
      <c r="S13" s="1">
        <v>9.0</v>
      </c>
      <c r="V13" s="1">
        <v>2.0</v>
      </c>
      <c r="W13" s="1" t="s">
        <v>453</v>
      </c>
      <c r="X13" s="1" t="s">
        <v>454</v>
      </c>
      <c r="Y13" s="1" t="s">
        <v>455</v>
      </c>
      <c r="Z13" s="1" t="s">
        <v>456</v>
      </c>
      <c r="AG13" s="1" t="s">
        <v>457</v>
      </c>
      <c r="AH13" s="1" t="s">
        <v>458</v>
      </c>
      <c r="AX13" s="1" t="s">
        <v>459</v>
      </c>
      <c r="AY13" s="1" t="str">
        <f>IFERROR(__xludf.DUMMYFUNCTION("GOOGLETRANSLATE(AX:AX, ""en"", ""te"")"),"1 × లైమింగ్ R-680-B6 తొమ్మిది-సిలిండర్ రేడియల్ ఇంజిన్, 225 HP (168 kW)")</f>
        <v>1 × లైమింగ్ R-680-B6 తొమ్మిది-సిలిండర్ రేడియల్ ఇంజిన్, 225 HP (168 kW)</v>
      </c>
      <c r="BB13" s="1" t="s">
        <v>460</v>
      </c>
      <c r="BC13" s="1" t="s">
        <v>461</v>
      </c>
      <c r="BD13" s="1" t="s">
        <v>462</v>
      </c>
      <c r="BF13" s="1" t="s">
        <v>463</v>
      </c>
      <c r="BG13" s="2" t="str">
        <f>IFERROR(__xludf.DUMMYFUNCTION("GOOGLETRANSLATE(BF:BF, ""en"", ""te"")"),"హోండురాన్ వైమానిక దళం")</f>
        <v>హోండురాన్ వైమానిక దళం</v>
      </c>
      <c r="BH13" s="1" t="s">
        <v>464</v>
      </c>
      <c r="BI13" s="1" t="s">
        <v>465</v>
      </c>
      <c r="BJ13" s="1" t="s">
        <v>466</v>
      </c>
      <c r="BS13" s="1" t="s">
        <v>467</v>
      </c>
      <c r="BT13" s="1" t="s">
        <v>468</v>
      </c>
    </row>
    <row r="14">
      <c r="A14" s="1" t="s">
        <v>469</v>
      </c>
      <c r="B14" s="1" t="str">
        <f>IFERROR(__xludf.DUMMYFUNCTION("GOOGLETRANSLATE(A:A, ""en"", ""te"")"),"చేజ్ YCG-14")</f>
        <v>చేజ్ YCG-14</v>
      </c>
      <c r="C14" s="1" t="s">
        <v>470</v>
      </c>
      <c r="D14" s="1" t="str">
        <f>IFERROR(__xludf.DUMMYFUNCTION("GOOGLETRANSLATE(C:C, ""en"", ""te"")"),"చేజ్ సిజి -14, జి -14 లేదా మోడల్ శ్రీమతి 1 అని కూడా పిలుస్తారు, ఇది రెండవ ప్రపంచ యుద్ధంలో అమెరికా ఆర్మీ ఎయిర్ ఫోర్సెస్ కోసం చేజ్ ఎయిర్క్రాఫ్ట్ చేత తయారు చేయబడిన అస్సాల్ట్ గ్లైడర్. ప్రోటోటైప్ దశకు మించి ఈ విమానం పురోగతి సాధించడంలో విఫలమైంది, పెద్ద, మెరుగైన"&amp;" గ్లైడర్ డిజైన్ల ద్వారా అధిగమించబడింది. 1943 లో స్థాపించబడిన తరువాత చేజ్ చేత అభివృద్ధి చేయబడిన మొట్టమొదటి విమానం, సిజి -14 ను లైస్టర్-కాఫ్మన్ సిజి -10 కు ప్రాధాన్యతగా అభివృద్ధి చేశారు. [1] మెరైన్-గ్రేడ్ మహోగని నుండి నిర్మించబడింది, ఎందుకంటే స్ప్రూస్ అధిక "&amp;"ప్రాధాన్యత ప్రాజెక్టులలో యుద్ధ ప్రయత్నం ద్వారా ఉపయోగించబడుతోంది, [2] XG-14 మునుపటి గ్లైడర్‌లతో పోల్చినప్పుడు మెరుగైన క్రాష్ రక్షణను కలిగి ఉంది. [3] XCG-14 జనవరి 4, 1945 న తన తొలి విమానంలో సాధించింది మరియు విజయవంతమైన విమాన పరీక్షల తరువాత ఈ విమానం రెండు మెర"&amp;"ుగైన సంస్కరణలుగా అభివృద్ధి చేయబడింది, కలప-మరియు-లోహ XCG-14A [5] మరియు విస్తరించిన YCG-14A. [[ యుద్ధం ముగిసిన తరువాత కొనసాగించాల్సిన కొన్ని గ్లైడర్ ప్రాజెక్టులలో CG-14 ఒకటి; అయినప్పటికీ, ఇది మెరుగైన విమానం, XCG-18 ద్వారా త్వరగా అధిగమించబడింది. [6] రెండవ ప్"&amp;"రపంచ యుద్ధం యొక్క గ్లైడర్‌లతో పోరాటం నుండి డేటా [7] సాధారణ లక్షణాలు పనితీరు సంబంధిత జాబితాలు")</f>
        <v>చేజ్ సిజి -14, జి -14 లేదా మోడల్ శ్రీమతి 1 అని కూడా పిలుస్తారు, ఇది రెండవ ప్రపంచ యుద్ధంలో అమెరికా ఆర్మీ ఎయిర్ ఫోర్సెస్ కోసం చేజ్ ఎయిర్క్రాఫ్ట్ చేత తయారు చేయబడిన అస్సాల్ట్ గ్లైడర్. ప్రోటోటైప్ దశకు మించి ఈ విమానం పురోగతి సాధించడంలో విఫలమైంది, పెద్ద, మెరుగైన గ్లైడర్ డిజైన్ల ద్వారా అధిగమించబడింది. 1943 లో స్థాపించబడిన తరువాత చేజ్ చేత అభివృద్ధి చేయబడిన మొట్టమొదటి విమానం, సిజి -14 ను లైస్టర్-కాఫ్మన్ సిజి -10 కు ప్రాధాన్యతగా అభివృద్ధి చేశారు. [1] మెరైన్-గ్రేడ్ మహోగని నుండి నిర్మించబడింది, ఎందుకంటే స్ప్రూస్ అధిక ప్రాధాన్యత ప్రాజెక్టులలో యుద్ధ ప్రయత్నం ద్వారా ఉపయోగించబడుతోంది, [2] XG-14 మునుపటి గ్లైడర్‌లతో పోల్చినప్పుడు మెరుగైన క్రాష్ రక్షణను కలిగి ఉంది. [3] XCG-14 జనవరి 4, 1945 న తన తొలి విమానంలో సాధించింది మరియు విజయవంతమైన విమాన పరీక్షల తరువాత ఈ విమానం రెండు మెరుగైన సంస్కరణలుగా అభివృద్ధి చేయబడింది, కలప-మరియు-లోహ XCG-14A [5] మరియు విస్తరించిన YCG-14A. [[ యుద్ధం ముగిసిన తరువాత కొనసాగించాల్సిన కొన్ని గ్లైడర్ ప్రాజెక్టులలో CG-14 ఒకటి; అయినప్పటికీ, ఇది మెరుగైన విమానం, XCG-18 ద్వారా త్వరగా అధిగమించబడింది. [6] రెండవ ప్రపంచ యుద్ధం యొక్క గ్లైడర్‌లతో పోరాటం నుండి డేటా [7] సాధారణ లక్షణాలు పనితీరు సంబంధిత జాబితాలు</v>
      </c>
      <c r="E14" s="1" t="s">
        <v>471</v>
      </c>
      <c r="F14" s="1" t="s">
        <v>472</v>
      </c>
      <c r="G14" s="1" t="str">
        <f>IFERROR(__xludf.DUMMYFUNCTION("GOOGLETRANSLATE(F:F, ""en"", ""te"")"),"దాడి గ్లైడర్")</f>
        <v>దాడి గ్లైడర్</v>
      </c>
      <c r="H14" s="1" t="s">
        <v>473</v>
      </c>
      <c r="L14" s="1" t="s">
        <v>474</v>
      </c>
      <c r="M14" s="1" t="str">
        <f>IFERROR(__xludf.DUMMYFUNCTION("GOOGLETRANSLATE(L:L, ""en"", ""te"")"),"చేజ్ విమానం")</f>
        <v>చేజ్ విమానం</v>
      </c>
      <c r="N14" s="1" t="s">
        <v>475</v>
      </c>
      <c r="O14" s="1" t="s">
        <v>476</v>
      </c>
      <c r="P14" s="1" t="str">
        <f>IFERROR(__xludf.DUMMYFUNCTION("GOOGLETRANSLATE(O:O, ""en"", ""te"")"),"మైఖేల్ స్ట్రౌకాఫ్")</f>
        <v>మైఖేల్ స్ట్రౌకాఫ్</v>
      </c>
      <c r="Q14" s="1" t="s">
        <v>477</v>
      </c>
      <c r="R14" s="6">
        <v>16441.0</v>
      </c>
      <c r="T14" s="1" t="s">
        <v>216</v>
      </c>
      <c r="V14" s="1">
        <v>2.0</v>
      </c>
      <c r="W14" s="1" t="s">
        <v>478</v>
      </c>
      <c r="X14" s="1" t="s">
        <v>479</v>
      </c>
      <c r="Y14" s="1" t="s">
        <v>480</v>
      </c>
      <c r="Z14" s="1" t="s">
        <v>481</v>
      </c>
      <c r="AE14" s="1">
        <v>10.18</v>
      </c>
      <c r="AF14" s="1" t="s">
        <v>482</v>
      </c>
      <c r="AG14" s="1" t="s">
        <v>483</v>
      </c>
      <c r="AI14" s="1" t="s">
        <v>484</v>
      </c>
      <c r="AV14" s="1" t="s">
        <v>485</v>
      </c>
      <c r="BB14" s="1" t="s">
        <v>486</v>
      </c>
      <c r="BF14" s="1" t="s">
        <v>487</v>
      </c>
      <c r="BG14" s="2" t="str">
        <f>IFERROR(__xludf.DUMMYFUNCTION("GOOGLETRANSLATE(BF:BF, ""en"", ""te"")"),"అమెరికా వైమానిక దళం")</f>
        <v>అమెరికా వైమానిక దళం</v>
      </c>
      <c r="BH14" s="1" t="s">
        <v>488</v>
      </c>
      <c r="BR14" s="1" t="s">
        <v>489</v>
      </c>
      <c r="BW14" s="1">
        <v>3.0</v>
      </c>
      <c r="BX14" s="1"/>
      <c r="BY14" s="1" t="s">
        <v>490</v>
      </c>
      <c r="CR14" s="1" t="s">
        <v>491</v>
      </c>
      <c r="CS14" s="1" t="s">
        <v>492</v>
      </c>
    </row>
    <row r="15">
      <c r="A15" s="1" t="s">
        <v>493</v>
      </c>
      <c r="B15" s="1" t="str">
        <f>IFERROR(__xludf.DUMMYFUNCTION("GOOGLETRANSLATE(A:A, ""en"", ""te"")"),"సెస్నా సైటేషన్ కొలంబస్")</f>
        <v>సెస్నా సైటేషన్ కొలంబస్</v>
      </c>
      <c r="C15" s="1" t="s">
        <v>494</v>
      </c>
      <c r="D15" s="1" t="str">
        <f>IFERROR(__xludf.DUMMYFUNCTION("GOOGLETRANSLATE(C:C, ""en"", ""te"")"),"సెస్నా సైటేషన్ కొలంబస్ సెస్నా సైటేషన్ కుటుంబంలో భాగమైన సెస్నా రాసిన బిజినెస్ జెట్ ప్రాజెక్ట్. మోడల్ 850 ఫిబ్రవరి 2008 లో ప్రారంభించబడింది మరియు జూలై 2009 లో రద్దు చేయబడింది. ఇది ఆ సమయంలో కుటుంబంలో అతిపెద్ద నమూనాగా ఉండేది. 8,830 ఎల్బిఎఫ్ (39.3 కెఎన్) పిడబ్"&amp;"ల్యు 810 టర్బోఫాన్స్ మరియు 4,000 ఎన్ఎమ్ఐ (7,400 కిమీ) శ్రేణి, $ 27 మిలియన్ల విమానాలు 709 చదరపు అడుగులు (66 మీ), 30 ° తుడిచిపెట్టిన వింగ్ కలిగి ఉన్నాయి. మార్కెట్ అధ్యయనాలు, సర్వేలు, కాన్సెప్ట్ టెస్టింగ్, ఫోకస్ గ్రూపులు మరియు కస్టమర్ అడ్వైజరీ బోర్డులతో సెస్"&amp;"నా 2002 లో అతిపెద్ద ప్రస్తావనపై పరిశోధన ప్రారంభించింది. [1] పెద్ద క్యాబిన్ కాన్సెప్ట్ యొక్క మోకాప్ అక్టోబర్ 17, 2006 న నేషనల్ బిజినెస్ ఏవియేషన్ అసోసియేషన్ కన్వెన్షన్ [2] సెస్నా ఫిబ్రవరి 6, 2008 న ఈ విమానాన్ని అధికారికంగా ప్రకటించింది; FAA ధృవీకరణ 2013 చివ"&amp;"రి నాటికి ప్రణాళిక చేయబడింది, డెలివరీలు 2014 నుండి ప్రారంభమవుతాయి. కొలంబస్ 8 మంది ప్రయాణీకులతో 4,000 NMI (7,408 కిమీ) లక్ష్య పరిధిని కలిగి ఉంది. కాక్‌పిట్‌లో సింథటిక్ విజన్ సిస్టమ్, ఆటోథ్రోటిల్స్, ఐచ్ఛిక హెడ్-అప్ డిస్ప్లే మరియు ఐచ్ఛిక విండ్‌షీర్ ప్రిడిక్ష"&amp;"న్ తో కాలిన్స్ మల్టీస్కాన్ వాతావరణ రాడార్ ఉన్నాయి. [3] సెస్నా కొత్త ప్లాంటుతో సహా 780 మిలియన్ డాలర్ల అభివృద్ధికి పెట్టుబడి పెట్టబోతోంది, ప్రధాన సరఫరాదారులు ఇంజిన్ల కోసం ప్రాట్ &amp; విట్నీ కెనడా; ఏవియానిక్స్ కోసం రాక్వెల్ కాలిన్స్; వింగ్ కోసం విమాన పరిశ్రమలు;"&amp;" స్పిరిట్ ఏరోసిస్టమ్స్ ఫర్ ది ఫ్యూజ్‌లేజ్ అండ్ స్పిరిట్ ఏరోసిస్టమ్స్ యూరప్ లిమిటెడ్. శక్తితో కూడిన విమాన నియంత్రణ వ్యవస్థ కోసం పార్కర్ హన్నిఫిన్; ల్యాండింగ్ గేర్ కోసం గుడ్రిచ్ కార్పొరేషన్. [4] ఏప్రిల్ 29, 2009 న సెస్నా సైటేషన్ కొలంబస్ కార్యక్రమాన్ని నిలిప"&amp;"ివేస్తున్నట్లు ప్రకటించింది, కాని ఆ సమయంలో ఆర్థిక పరిస్థితులు మెరుగుపడిన తర్వాత ఈ కార్యక్రమాన్ని పున ar ప్రారంభించవచ్చని సూచించింది. కొలంబస్ ప్రోగ్రాం నుండి 700 మంది కార్మికులతో సహా 1,600 మంది కార్మికులను తొలగిస్తారని కంపెనీ సూచించింది. [5] జూలై 8, 2009 న"&amp;" సెస్నా సెక్యూరిటీస్ అండ్ ఎక్స్ఛేంజ్ కమిషన్ (SEC) కు దాఖలు చేసిన పత్రాలలో ఈ కార్యక్రమాన్ని రద్దు చేసినట్లు నివేదించింది. [6] ""ఈ ఉత్పత్తి సమర్పణకు సంబంధించిన బిజినెస్ జెట్ మార్కెట్ యొక్క అదనపు విశ్లేషణ తరువాత, సైటేషన్ కొలంబస్ యొక్క మరింత అభివృద్ధిని అధికా"&amp;"రికంగా రద్దు చేయాలని మేము నిర్ణయించుకున్నాము"" అని కంపెనీ తెలిపింది. సెస్నా యొక్క మాతృ సంస్థ, టెక్స్ట్రాన్ రద్దు ఫలితంగా US $ 43 మిలియన్లను వ్రాస్తుంది. SEC- ఫిల్డ్ పత్రాలు సెస్నా ఈ ప్రాజెక్ట్ కోసం సాధనం, సౌకర్యాలు మరియు ఇతర ఖర్చుల కోసం సుమారు US $ 50 మిల"&amp;"ియన్లు ఖర్చు చేశాయని సూచిస్తున్నాయి. ఈ ఖర్చులు చాలావరకు తిరిగి పొందలేనివి మరియు ఇతర ప్రాజెక్టులకు ఉపయోగించబడవు. [7] ప్రాట్ &amp; విట్నీ కెనడా వెంటనే PW810 ఇంజిన్ ప్రోగ్రామ్‌ను ఆపివేసింది, [8] కానీ PW800 సిరీస్‌ను కొనసాగించింది. [9] జూలై 11, 2009 న సెస్నా విచి"&amp;"త మరియు సెడ్‌విక్ కౌంటీ నగరానికి US $ 10 మిలియన్లను తిరిగి ఇస్తుందని ప్రకటించింది. విచితలో విమానాన్ని అభివృద్ధి చేయడానికి ఈ డబ్బు ఆర్థిక ప్రోత్సాహకంగా స్వీకరించబడింది మరియు ఆ రెండు ప్రభుత్వాల నుండి నగదు సహాయం మరియు పన్ను మినహాయింపులలో m 70 మిలియన్లలో భాగం"&amp;". [10] ఫ్లైట్ ఇంటర్నేషనల్ 2008 నుండి డేటా 2008 [11] సాధారణ లక్షణాలు పనితీరు సంబంధిత అభివృద్ధి అభివృద్ధి విమానం పోల్చదగిన పాత్ర, కాన్ఫిగరేషన్ మరియు ERA")</f>
        <v>సెస్నా సైటేషన్ కొలంబస్ సెస్నా సైటేషన్ కుటుంబంలో భాగమైన సెస్నా రాసిన బిజినెస్ జెట్ ప్రాజెక్ట్. మోడల్ 850 ఫిబ్రవరి 2008 లో ప్రారంభించబడింది మరియు జూలై 2009 లో రద్దు చేయబడింది. ఇది ఆ సమయంలో కుటుంబంలో అతిపెద్ద నమూనాగా ఉండేది. 8,830 ఎల్బిఎఫ్ (39.3 కెఎన్) పిడబ్ల్యు 810 టర్బోఫాన్స్ మరియు 4,000 ఎన్ఎమ్ఐ (7,400 కిమీ) శ్రేణి, $ 27 మిలియన్ల విమానాలు 709 చదరపు అడుగులు (66 మీ), 30 ° తుడిచిపెట్టిన వింగ్ కలిగి ఉన్నాయి. మార్కెట్ అధ్యయనాలు, సర్వేలు, కాన్సెప్ట్ టెస్టింగ్, ఫోకస్ గ్రూపులు మరియు కస్టమర్ అడ్వైజరీ బోర్డులతో సెస్నా 2002 లో అతిపెద్ద ప్రస్తావనపై పరిశోధన ప్రారంభించింది. [1] పెద్ద క్యాబిన్ కాన్సెప్ట్ యొక్క మోకాప్ అక్టోబర్ 17, 2006 న నేషనల్ బిజినెస్ ఏవియేషన్ అసోసియేషన్ కన్వెన్షన్ [2] సెస్నా ఫిబ్రవరి 6, 2008 న ఈ విమానాన్ని అధికారికంగా ప్రకటించింది; FAA ధృవీకరణ 2013 చివరి నాటికి ప్రణాళిక చేయబడింది, డెలివరీలు 2014 నుండి ప్రారంభమవుతాయి. కొలంబస్ 8 మంది ప్రయాణీకులతో 4,000 NMI (7,408 కిమీ) లక్ష్య పరిధిని కలిగి ఉంది. కాక్‌పిట్‌లో సింథటిక్ విజన్ సిస్టమ్, ఆటోథ్రోటిల్స్, ఐచ్ఛిక హెడ్-అప్ డిస్ప్లే మరియు ఐచ్ఛిక విండ్‌షీర్ ప్రిడిక్షన్ తో కాలిన్స్ మల్టీస్కాన్ వాతావరణ రాడార్ ఉన్నాయి. [3] సెస్నా కొత్త ప్లాంటుతో సహా 780 మిలియన్ డాలర్ల అభివృద్ధికి పెట్టుబడి పెట్టబోతోంది, ప్రధాన సరఫరాదారులు ఇంజిన్ల కోసం ప్రాట్ &amp; విట్నీ కెనడా; ఏవియానిక్స్ కోసం రాక్వెల్ కాలిన్స్; వింగ్ కోసం విమాన పరిశ్రమలు; స్పిరిట్ ఏరోసిస్టమ్స్ ఫర్ ది ఫ్యూజ్‌లేజ్ అండ్ స్పిరిట్ ఏరోసిస్టమ్స్ యూరప్ లిమిటెడ్. శక్తితో కూడిన విమాన నియంత్రణ వ్యవస్థ కోసం పార్కర్ హన్నిఫిన్; ల్యాండింగ్ గేర్ కోసం గుడ్రిచ్ కార్పొరేషన్. [4] ఏప్రిల్ 29, 2009 న సెస్నా సైటేషన్ కొలంబస్ కార్యక్రమాన్ని నిలిపివేస్తున్నట్లు ప్రకటించింది, కాని ఆ సమయంలో ఆర్థిక పరిస్థితులు మెరుగుపడిన తర్వాత ఈ కార్యక్రమాన్ని పున ar ప్రారంభించవచ్చని సూచించింది. కొలంబస్ ప్రోగ్రాం నుండి 700 మంది కార్మికులతో సహా 1,600 మంది కార్మికులను తొలగిస్తారని కంపెనీ సూచించింది. [5] జూలై 8, 2009 న సెస్నా సెక్యూరిటీస్ అండ్ ఎక్స్ఛేంజ్ కమిషన్ (SEC) కు దాఖలు చేసిన పత్రాలలో ఈ కార్యక్రమాన్ని రద్దు చేసినట్లు నివేదించింది. [6] "ఈ ఉత్పత్తి సమర్పణకు సంబంధించిన బిజినెస్ జెట్ మార్కెట్ యొక్క అదనపు విశ్లేషణ తరువాత, సైటేషన్ కొలంబస్ యొక్క మరింత అభివృద్ధిని అధికారికంగా రద్దు చేయాలని మేము నిర్ణయించుకున్నాము" అని కంపెనీ తెలిపింది. సెస్నా యొక్క మాతృ సంస్థ, టెక్స్ట్రాన్ రద్దు ఫలితంగా US $ 43 మిలియన్లను వ్రాస్తుంది. SEC- ఫిల్డ్ పత్రాలు సెస్నా ఈ ప్రాజెక్ట్ కోసం సాధనం, సౌకర్యాలు మరియు ఇతర ఖర్చుల కోసం సుమారు US $ 50 మిలియన్లు ఖర్చు చేశాయని సూచిస్తున్నాయి. ఈ ఖర్చులు చాలావరకు తిరిగి పొందలేనివి మరియు ఇతర ప్రాజెక్టులకు ఉపయోగించబడవు. [7] ప్రాట్ &amp; విట్నీ కెనడా వెంటనే PW810 ఇంజిన్ ప్రోగ్రామ్‌ను ఆపివేసింది, [8] కానీ PW800 సిరీస్‌ను కొనసాగించింది. [9] జూలై 11, 2009 న సెస్నా విచిత మరియు సెడ్‌విక్ కౌంటీ నగరానికి US $ 10 మిలియన్లను తిరిగి ఇస్తుందని ప్రకటించింది. విచితలో విమానాన్ని అభివృద్ధి చేయడానికి ఈ డబ్బు ఆర్థిక ప్రోత్సాహకంగా స్వీకరించబడింది మరియు ఆ రెండు ప్రభుత్వాల నుండి నగదు సహాయం మరియు పన్ను మినహాయింపులలో m 70 మిలియన్లలో భాగం. [10] ఫ్లైట్ ఇంటర్నేషనల్ 2008 నుండి డేటా 2008 [11] సాధారణ లక్షణాలు పనితీరు సంబంధిత అభివృద్ధి అభివృద్ధి విమానం పోల్చదగిన పాత్ర, కాన్ఫిగరేషన్ మరియు ERA</v>
      </c>
      <c r="E15" s="1" t="s">
        <v>495</v>
      </c>
      <c r="F15" s="1" t="s">
        <v>496</v>
      </c>
      <c r="G15" s="1" t="str">
        <f>IFERROR(__xludf.DUMMYFUNCTION("GOOGLETRANSLATE(F:F, ""en"", ""te"")"),"బిజినెస్ జెట్")</f>
        <v>బిజినెస్ జెట్</v>
      </c>
      <c r="H15" s="1" t="s">
        <v>497</v>
      </c>
      <c r="I15" s="1" t="s">
        <v>447</v>
      </c>
      <c r="J15" s="1" t="str">
        <f>IFERROR(__xludf.DUMMYFUNCTION("GOOGLETRANSLATE(I:I, ""en"", ""te"")"),"అమెరికా")</f>
        <v>అమెరికా</v>
      </c>
      <c r="L15" s="1" t="s">
        <v>498</v>
      </c>
      <c r="M15" s="1" t="str">
        <f>IFERROR(__xludf.DUMMYFUNCTION("GOOGLETRANSLATE(L:L, ""en"", ""te"")"),"సెస్నా")</f>
        <v>సెస్నా</v>
      </c>
      <c r="N15" s="3" t="s">
        <v>499</v>
      </c>
      <c r="W15" s="1" t="s">
        <v>500</v>
      </c>
      <c r="X15" s="1" t="s">
        <v>501</v>
      </c>
      <c r="Y15" s="1" t="s">
        <v>502</v>
      </c>
      <c r="Z15" s="1" t="s">
        <v>503</v>
      </c>
      <c r="AV15" s="1" t="s">
        <v>504</v>
      </c>
      <c r="AX15" s="1" t="s">
        <v>505</v>
      </c>
      <c r="AY15" s="1" t="str">
        <f>IFERROR(__xludf.DUMMYFUNCTION("GOOGLETRANSLATE(AX:AX, ""en"", ""te"")"),"2 × ప్రాట్ &amp; విట్నీ కెనడా పిడబ్ల్యు 810 టర్బోఫాన్స్, 8,830 ఎల్బిఎఫ్ (39.3 కెఎన్) త్రష్")</f>
        <v>2 × ప్రాట్ &amp; విట్నీ కెనడా పిడబ్ల్యు 810 టర్బోఫాన్స్, 8,830 ఎల్బిఎఫ్ (39.3 కెఎన్) త్రష్</v>
      </c>
      <c r="BB15" s="1" t="s">
        <v>506</v>
      </c>
      <c r="BC15" s="1" t="s">
        <v>507</v>
      </c>
      <c r="BD15" s="1" t="s">
        <v>508</v>
      </c>
      <c r="BG15" s="2"/>
      <c r="BT15" s="1" t="s">
        <v>509</v>
      </c>
      <c r="BU15" s="1" t="s">
        <v>510</v>
      </c>
      <c r="BV15" s="1" t="str">
        <f>IFERROR(__xludf.DUMMYFUNCTION("GOOGLETRANSLATE(BU:BU, ""en"", ""te"")"),"అభివృద్ధి 10 జూలై 2009 న రద్దు చేయబడింది")</f>
        <v>అభివృద్ధి 10 జూలై 2009 న రద్దు చేయబడింది</v>
      </c>
      <c r="CB15" s="1" t="s">
        <v>511</v>
      </c>
    </row>
    <row r="16">
      <c r="A16" s="1" t="s">
        <v>512</v>
      </c>
      <c r="B16" s="1" t="str">
        <f>IFERROR(__xludf.DUMMYFUNCTION("GOOGLETRANSLATE(A:A, ""en"", ""te"")"),"ఫెయిర్‌చైల్డ్ 71")</f>
        <v>ఫెయిర్‌చైల్డ్ 71</v>
      </c>
      <c r="C16" s="1" t="s">
        <v>513</v>
      </c>
      <c r="D16" s="1" t="str">
        <f>IFERROR(__xludf.DUMMYFUNCTION("GOOGLETRANSLATE(C:C, ""en"", ""te"")"),"ఫెయిర్‌చైల్డ్ 71 అనేది ఒక అమెరికన్ హై-వింగ్ మోనోప్లేన్ ప్రయాణీకుడు మరియు ఫెయిర్‌చైల్డ్ విమానాలు నిర్మించిన కార్గో విమానాలు మరియు తరువాత కెనడాలో ఫెయిర్‌చైల్డ్ ఎయిర్‌క్రాఫ్ట్ లిమిటెడ్ (కెనడా) చేత నిర్మించబడింది. ఫెయిర్‌చైల్డ్ ఎయిర్‌క్రాఫ్ట్ కంపెనీ ఫెయిర్‌చై"&amp;"ల్డ్ FC-2W2 లైట్ ట్రాన్స్‌పోర్ట్ యొక్క ప్రగతిశీల అభివృద్ధిని చేపట్టింది. దీని మొదటి మెరుగుదల FC-2, దీని అనేక మెరుగుదలలలో కొద్దిగా తుడిచిపెట్టిన రెక్కలు ఉన్నాయి; వింగ్స్పాన్ 50 అడుగులకు పెరిగింది; ఇంజిన్ శక్తి దాదాపు రెట్టింపు; మరియు ప్రయాణీకుల సౌకర్యాన్ని"&amp;" మెరుగుపరచడానికి అంతర్గత మార్పులు. FC-2 మొట్టమొదట 1926 లో ఎగిరింది. FC-2W మరింత అభివృద్ధిగా ఉంది, ఇది FC-2 మరియు FC-2W ఫాబ్రిక్-కప్పబడిన వెల్డెడ్ స్టీల్ గొట్టాలను ఫ్యూజ్‌లేజ్ మరియు ఎంప్రెనేజ్ నిర్మాణం కోసం కొనసాగించింది, మరియు స్ట్రట్-బ్రేస్డ్ వుడెన్- స్ట"&amp;"్రక్చర్ ఫాబ్రిక్-కప్పబడిన రెక్కలు. FC-2W, తరువాత మోడల్ 71 అని పిలుస్తారు, ఇది 1928 మరియు 1930 మధ్య అమెరికాలో నిర్మించబడింది. 1929 లో ఫెయిర్‌చైల్డ్ కెనడియన్ ఆపరేటర్లకు మద్దతుగా 1929 లో క్యూబెక్‌లోని లాంగ్‌యూయిల్‌లో కెనడాలో (ఫెయిర్‌చైల్డ్ ఎయిర్‌క్రాఫ్ట్ లిమ"&amp;"ిటెడ్) ఒక సంస్థను ఏర్పాటు చేసింది. కెనడియన్ కంపెనీ మోడల్ 71 కోసం ఫ్యాక్టరీ ప్రొడక్షన్ లైన్‌ను ఏర్పాటు చేసింది, కెనడియన్ మిలిటరీకి ఒక వేరియంట్‌ను అభివృద్ధి చేసింది. కెనడియన్ నిర్మించిన విమానం యుఎస్ వెర్షన్‌కు భిన్నంగా ఉంటుంది, దీనిలో అన్ని ప్రయాణీకుల-కామ్‌"&amp;"ఫోర్ట్ లక్షణాలు తొలగించబడ్డాయి మరియు క్రాఫ్ట్ ప్రత్యేకంగా వైమానిక ఫోటోగ్రఫీ కోసం నిర్మించబడింది. [1] అమెరికా ఆర్మీ ఎయిర్ సర్వీస్ మూల్యాంకనం కోసం ఒక మోడల్ 71 ను కొనుగోలు చేసింది; ఇది XC-8 గా నియమించబడింది, తరువాత XF-1 ను పున es రూపకల్పన చేసింది మరియు ఫోటోగ"&amp;"్రాఫిక్ పని కోసం ఉపయోగించబడింది. మరో ఎనిమిది సేవా-పరీక్ష విమానాలు, నియమించబడిన YF-1 ఆదేశించబడ్డాయి; మొత్తం తొమ్మిది తరువాత సి -8 పున es రూపకల్పన చేశారు. మరో ప్రధాన సైనిక ఆపరేటర్ రాయల్ కెనడియన్ వైమానిక దళం (ఆర్‌సిఎఎఫ్) జూన్ 1930 మధ్యలో ఫెయిర్‌చైల్డ్ 71 ను "&amp;"అంచనా వేసింది. ముప్పై నాలుగు ఆర్‌సిఎఎఫ్ ఎఫ్ -71 లు 1930 నుండి 1946 వరకు నిర్వహించబడ్డాయి. మునుపటి ఎఫ్‌సి -2 సిరీస్‌తో పాటు, ఆర్‌సిఎఎఫ్ ఎఫ్- 71 ప్రధానంగా వైమానిక ఫోటోగ్రాఫిక్ సర్వే పాత్రతో పాటు ఉత్తర రవాణాలో ఉపయోగించబడింది. నవంబర్ 1934 లో, ఆర్‌సిఎఎఫ్ ఎఫ్‌స"&amp;"ి -71 లను ఆర్‌సిఎఎఫ్ స్టేషన్ డార్ట్మౌత్ వద్ద అమల్గామేటెడ్ మారిటైమ్స్ నంబర్ 5 (ఫ్లయింగ్ బోట్) స్క్వాడ్రన్‌లో ఎగురుతున్న ఐదు నిర్లిప్తతలకు బదిలీ చేసింది. రాయల్ కెనడియన్ మౌంటెడ్ పోలీస్ (ఆర్‌సిఎంపి) కోసం స్క్వాడ్రన్ ఎఫ్‌సి -71 ను విస్తృతంగా స్మగ్లింగ్ (రమ్ రన"&amp;"్నింగ్) మరియు అక్రమ ఇమ్మిగ్రేషన్ పెట్రోలింగ్‌పై ప్రయాణించారు. [1] మోడల్ 71 ఉత్పత్తిలో ఎక్కువ భాగం కెనడా మరియు అమెరికాలోని బుష్ విమానం ఆపరేటర్ల చేతుల్లో ముగిసింది. పౌర ఆపరేటర్లు అదేవిధంగా 71 మందిని కఠినమైన, నమ్మదగిన మరియు అత్యంత ఉపయోగకరమైన యుటిలిటీ రవాణాను"&amp;" కనుగొన్నారు, ఇది ఉత్తర మరియు రిమోట్ కార్యకలాపాలకు బాగా సరిపోతుంది. 1909 నుండి కెనడియన్ విమానాల నుండి సౌదీ అరేబియా డేటా [5] సాధారణ లక్షణాలు పనితీరు సంబంధిత అభివృద్ధి అభివృద్ధి విమానం పోల్చదగిన పాత్ర, కాన్ఫిగరేషన్ మరియు ERA సంబంధిత జాబితాలు")</f>
        <v>ఫెయిర్‌చైల్డ్ 71 అనేది ఒక అమెరికన్ హై-వింగ్ మోనోప్లేన్ ప్రయాణీకుడు మరియు ఫెయిర్‌చైల్డ్ విమానాలు నిర్మించిన కార్గో విమానాలు మరియు తరువాత కెనడాలో ఫెయిర్‌చైల్డ్ ఎయిర్‌క్రాఫ్ట్ లిమిటెడ్ (కెనడా) చేత నిర్మించబడింది. ఫెయిర్‌చైల్డ్ ఎయిర్‌క్రాఫ్ట్ కంపెనీ ఫెయిర్‌చైల్డ్ FC-2W2 లైట్ ట్రాన్స్‌పోర్ట్ యొక్క ప్రగతిశీల అభివృద్ధిని చేపట్టింది. దీని మొదటి మెరుగుదల FC-2, దీని అనేక మెరుగుదలలలో కొద్దిగా తుడిచిపెట్టిన రెక్కలు ఉన్నాయి; వింగ్స్పాన్ 50 అడుగులకు పెరిగింది; ఇంజిన్ శక్తి దాదాపు రెట్టింపు; మరియు ప్రయాణీకుల సౌకర్యాన్ని మెరుగుపరచడానికి అంతర్గత మార్పులు. FC-2 మొట్టమొదట 1926 లో ఎగిరింది. FC-2W మరింత అభివృద్ధిగా ఉంది, ఇది FC-2 మరియు FC-2W ఫాబ్రిక్-కప్పబడిన వెల్డెడ్ స్టీల్ గొట్టాలను ఫ్యూజ్‌లేజ్ మరియు ఎంప్రెనేజ్ నిర్మాణం కోసం కొనసాగించింది, మరియు స్ట్రట్-బ్రేస్డ్ వుడెన్- స్ట్రక్చర్ ఫాబ్రిక్-కప్పబడిన రెక్కలు. FC-2W, తరువాత మోడల్ 71 అని పిలుస్తారు, ఇది 1928 మరియు 1930 మధ్య అమెరికాలో నిర్మించబడింది. 1929 లో ఫెయిర్‌చైల్డ్ కెనడియన్ ఆపరేటర్లకు మద్దతుగా 1929 లో క్యూబెక్‌లోని లాంగ్‌యూయిల్‌లో కెనడాలో (ఫెయిర్‌చైల్డ్ ఎయిర్‌క్రాఫ్ట్ లిమిటెడ్) ఒక సంస్థను ఏర్పాటు చేసింది. కెనడియన్ కంపెనీ మోడల్ 71 కోసం ఫ్యాక్టరీ ప్రొడక్షన్ లైన్‌ను ఏర్పాటు చేసింది, కెనడియన్ మిలిటరీకి ఒక వేరియంట్‌ను అభివృద్ధి చేసింది. కెనడియన్ నిర్మించిన విమానం యుఎస్ వెర్షన్‌కు భిన్నంగా ఉంటుంది, దీనిలో అన్ని ప్రయాణీకుల-కామ్‌ఫోర్ట్ లక్షణాలు తొలగించబడ్డాయి మరియు క్రాఫ్ట్ ప్రత్యేకంగా వైమానిక ఫోటోగ్రఫీ కోసం నిర్మించబడింది. [1] అమెరికా ఆర్మీ ఎయిర్ సర్వీస్ మూల్యాంకనం కోసం ఒక మోడల్ 71 ను కొనుగోలు చేసింది; ఇది XC-8 గా నియమించబడింది, తరువాత XF-1 ను పున es రూపకల్పన చేసింది మరియు ఫోటోగ్రాఫిక్ పని కోసం ఉపయోగించబడింది. మరో ఎనిమిది సేవా-పరీక్ష విమానాలు, నియమించబడిన YF-1 ఆదేశించబడ్డాయి; మొత్తం తొమ్మిది తరువాత సి -8 పున es రూపకల్పన చేశారు. మరో ప్రధాన సైనిక ఆపరేటర్ రాయల్ కెనడియన్ వైమానిక దళం (ఆర్‌సిఎఎఫ్) జూన్ 1930 మధ్యలో ఫెయిర్‌చైల్డ్ 71 ను అంచనా వేసింది. ముప్పై నాలుగు ఆర్‌సిఎఎఫ్ ఎఫ్ -71 లు 1930 నుండి 1946 వరకు నిర్వహించబడ్డాయి. మునుపటి ఎఫ్‌సి -2 సిరీస్‌తో పాటు, ఆర్‌సిఎఎఫ్ ఎఫ్- 71 ప్రధానంగా వైమానిక ఫోటోగ్రాఫిక్ సర్వే పాత్రతో పాటు ఉత్తర రవాణాలో ఉపయోగించబడింది. నవంబర్ 1934 లో, ఆర్‌సిఎఎఫ్ ఎఫ్‌సి -71 లను ఆర్‌సిఎఎఫ్ స్టేషన్ డార్ట్మౌత్ వద్ద అమల్గామేటెడ్ మారిటైమ్స్ నంబర్ 5 (ఫ్లయింగ్ బోట్) స్క్వాడ్రన్‌లో ఎగురుతున్న ఐదు నిర్లిప్తతలకు బదిలీ చేసింది. రాయల్ కెనడియన్ మౌంటెడ్ పోలీస్ (ఆర్‌సిఎంపి) కోసం స్క్వాడ్రన్ ఎఫ్‌సి -71 ను విస్తృతంగా స్మగ్లింగ్ (రమ్ రన్నింగ్) మరియు అక్రమ ఇమ్మిగ్రేషన్ పెట్రోలింగ్‌పై ప్రయాణించారు. [1] మోడల్ 71 ఉత్పత్తిలో ఎక్కువ భాగం కెనడా మరియు అమెరికాలోని బుష్ విమానం ఆపరేటర్ల చేతుల్లో ముగిసింది. పౌర ఆపరేటర్లు అదేవిధంగా 71 మందిని కఠినమైన, నమ్మదగిన మరియు అత్యంత ఉపయోగకరమైన యుటిలిటీ రవాణాను కనుగొన్నారు, ఇది ఉత్తర మరియు రిమోట్ కార్యకలాపాలకు బాగా సరిపోతుంది. 1909 నుండి కెనడియన్ విమానాల నుండి సౌదీ అరేబియా డేటా [5] సాధారణ లక్షణాలు పనితీరు సంబంధిత అభివృద్ధి అభివృద్ధి విమానం పోల్చదగిన పాత్ర, కాన్ఫిగరేషన్ మరియు ERA సంబంధిత జాబితాలు</v>
      </c>
      <c r="E16" s="1" t="s">
        <v>514</v>
      </c>
      <c r="F16" s="1" t="s">
        <v>515</v>
      </c>
      <c r="G16" s="1" t="str">
        <f>IFERROR(__xludf.DUMMYFUNCTION("GOOGLETRANSLATE(F:F, ""en"", ""te"")"),"ప్రయాణీకుడు లేదా కార్గో రవాణా")</f>
        <v>ప్రయాణీకుడు లేదా కార్గో రవాణా</v>
      </c>
      <c r="L16" s="1" t="s">
        <v>516</v>
      </c>
      <c r="M16" s="1" t="str">
        <f>IFERROR(__xludf.DUMMYFUNCTION("GOOGLETRANSLATE(L:L, ""en"", ""te"")"),"ఫెయిర్‌చైల్డ్ ఎయిర్‌క్రాఫ్ట్ ఫెయిర్‌చైల్డ్ ఎయిర్‌క్రాఫ్ట్ లిమిటెడ్ (కెనడా)")</f>
        <v>ఫెయిర్‌చైల్డ్ ఎయిర్‌క్రాఫ్ట్ ఫెయిర్‌చైల్డ్ ఎయిర్‌క్రాఫ్ట్ లిమిటెడ్ (కెనడా)</v>
      </c>
      <c r="N16" s="1" t="s">
        <v>517</v>
      </c>
      <c r="R16" s="1">
        <v>1926.0</v>
      </c>
      <c r="T16" s="1" t="s">
        <v>216</v>
      </c>
      <c r="V16" s="1" t="s">
        <v>518</v>
      </c>
      <c r="W16" s="1" t="s">
        <v>519</v>
      </c>
      <c r="X16" s="1" t="s">
        <v>520</v>
      </c>
      <c r="Y16" s="1" t="s">
        <v>521</v>
      </c>
      <c r="Z16" s="1" t="s">
        <v>522</v>
      </c>
      <c r="AG16" s="1" t="s">
        <v>523</v>
      </c>
      <c r="AH16" s="1" t="s">
        <v>524</v>
      </c>
      <c r="AV16" s="1" t="s">
        <v>525</v>
      </c>
      <c r="AX16" s="1" t="s">
        <v>526</v>
      </c>
      <c r="AY16" s="1" t="str">
        <f>IFERROR(__xludf.DUMMYFUNCTION("GOOGLETRANSLATE(AX:AX, ""en"", ""te"")"),"1 × ప్రాట్ &amp; విట్నీ కందిరీగ B/C 9-సిలిండర్ రేడియల్ పిస్టన్, 420 HP (310 kW)")</f>
        <v>1 × ప్రాట్ &amp; విట్నీ కందిరీగ B/C 9-సిలిండర్ రేడియల్ పిస్టన్, 420 HP (310 kW)</v>
      </c>
      <c r="BB16" s="1" t="s">
        <v>527</v>
      </c>
      <c r="BC16" s="1" t="s">
        <v>528</v>
      </c>
      <c r="BD16" s="1" t="s">
        <v>529</v>
      </c>
      <c r="BG16" s="2"/>
      <c r="BS16" s="1" t="s">
        <v>530</v>
      </c>
      <c r="BT16" s="1" t="s">
        <v>531</v>
      </c>
      <c r="CR16" s="1" t="s">
        <v>532</v>
      </c>
      <c r="CS16" s="1" t="s">
        <v>533</v>
      </c>
    </row>
    <row r="17">
      <c r="A17" s="1" t="s">
        <v>534</v>
      </c>
      <c r="B17" s="1" t="str">
        <f>IFERROR(__xludf.DUMMYFUNCTION("GOOGLETRANSLATE(A:A, ""en"", ""te"")"),"సూపర్ మేరిన్ రకం 322")</f>
        <v>సూపర్ మేరిన్ రకం 322</v>
      </c>
      <c r="C17" s="1" t="s">
        <v>535</v>
      </c>
      <c r="D17" s="1" t="str">
        <f>IFERROR(__xludf.DUMMYFUNCTION("GOOGLETRANSLATE(C:C, ""en"", ""te"")"),"సూపర్ మేరిన్ టైప్ 322 అనేది రెండవ ప్రపంచ యుద్ధం యొక్క బ్రిటిష్ క్యారియర్-బార్న్ టార్పెడో, డైవ్ బాంబర్ మరియు నిఘా విమానం. ఒకే ఇంజిన్ మోనోప్లేన్, ఇది విజయవంతం కాలేదు, రెండు ఉదాహరణలు మాత్రమే నిర్మించబడ్డాయి. అదే స్పెసిఫికేషన్‌కు నిర్మించిన ఫైరీ బార్రాకుడా ఈ "&amp;"పాత్రను నింపుతుంది. టైప్ 322 ను సూపర్ మెరైన్ 1937 అవసరాన్ని తీర్చడానికి (స్పెసిఫికేషన్ S.24/37) బ్రిటిష్ రాయల్ నేవీ యొక్క ఫెయిరీ అల్బాకోర్ బిప్‌లేన్ (అల్బాకోర్ ఇంకా ఎగురుతున్నప్పటికీ, [n 1] రెండింటినీ ఉంచారు. సూపర్ మేరిన్, మరియు బార్రాకుడాగా మారిన దాని కో"&amp;"సం ఫైరీ ఏవియేషన్ తో. [2] సూపర్ మేరిన్ యొక్క రూపకల్పన ఒక హై-వింగ్ మోనోప్లేన్, మొదట రోల్స్ రాయిస్ ఎక్స్ ఇంజిన్ చేత శక్తినివ్వడానికి ఉద్దేశించబడింది. అసాధారణంగా ఇది వేరియబుల్-యాక్షన్ వింగ్ కలిగి ఉంది, మొదట ప్రదర్శించబడింది 1913 లో పారిస్ ఎయిర్‌షోలో ఫ్రెంచ్ ప"&amp;"ాల్ స్క్మిట్ బిప్‌లేన్. ఫ్లాప్ సెట్టింగ్ తటస్థంగా ఉన్నప్పుడు 2 డిగ్రీల నుండి, ఫ్లాప్‌లను 60 డిగ్రీలకు తగ్గించినప్పుడు 16 డిగ్రీల వరకు వైవిధ్యంగా ఉంటుంది. ఈ సెట్టింగ్‌లో రెక్కతో లిఫ్ట్ గుణకం 3.9 (సాంప్రదాయిక మరియు సమకాలీన రెట్టింపు ఓరరీ విమానం), 57 నాట్ల వ"&amp;"ేగం ఇస్తుంది. ఇది క్యారియర్ ఉపయోగం కోసం ఉద్దేశించినందున, రెక్క కూడా ముడుచుకుంది - నిర్మాణాత్మక బరువులో చిన్న పెరుగుదల దృష్ట్యా ఒక గొప్ప సాంకేతిక సాధన. సంక్లిష్టతను కాపాడటానికి అండర్ క్యారేజ్ ఒక స్థిర టెయిల్‌వీల్ రకం. [4] ల్యాండింగ్ గేర్‌ను రెక్కల్లోకి ఉపస"&amp;"ంహరించుకోవడం చాలా సవాలుగా ఉండేది. ఇది ప్రధానంగా చెక్క నిర్మాణానికి చెందినది, ఆర్మ్‌స్ట్రాంగ్ విట్‌వర్త్ అల్బేమార్లే బాంబర్‌తో సమానంగా, అది నిర్మించబడుతున్నప్పుడు, తక్కువ సరఫరాలో కాంతి మిశ్రమం ఉండే ప్రమాదం ఉంది. EXE 1938 లో రద్దు చేయబడింది, మరియు రోల్స్ రా"&amp;"యిస్ మెర్లిన్ డిజైన్‌లో ప్రత్యామ్నాయం చేయబడింది. [3] ""డంబో"" అనే మారుపేరుతో రెండు టైప్ 322 లు, [సైటేషన్ అవసరం] నిర్మించబడ్డాయి. వాస్తవానికి 1941 ప్రారంభంలో పూర్తి కావడానికి, స్పిట్‌ఫైర్‌ల ఉత్పత్తికి అమలులో ఉన్న అధిక ప్రాధాన్యత కారణంగా ఈ ప్రాజెక్ట్ ఆలస్యం"&amp;" అయింది. మొదటి ప్రోటోటైప్ (R1810) 6 ఫిబ్రవరి 1943 న ప్రయాణించింది, తరువాత రెండవ ప్రోటోటైప్ (R1815) మెర్లిన్ 32 తో మెర్లిన్ 30 స్థానంలో, నాలుగు-బ్లేడ్ రోటోల్ స్థిరమైన స్పీడ్ ఎయిర్‌స్క్రూ, ఎక్కువ ప్రాంతం యొక్క తోక మరియు ఆల్క్‌క్డ్ outer టర్ రెక్కలు ఉన్నాయి "&amp;". [[ అయితే, ఈ సమయానికి, ఫైరీ యొక్క పోటీ రూపకల్పన ఫైరీ బార్రాకుడాగా సేవలోకి ప్రవేశించింది, మరియు రెండు టైప్ 322 లను ప్రయోగాత్మక విమానంగా ఉపయోగించారు. అభివృద్ధి చెందిన సంస్కరణను సూపర్ మేరిన్ టైప్ 380 గా ప్లాన్ చేశారు. ఈ వింగ్ టెక్నాలజీ సీ ఓటర్ - వేరియబుల్ ఇ"&amp;"న్సిడెన్స్ లబ్ధి చేసే సీప్లేన్లకు బదులుగా విలీనం చేయబడిందని కూడా ఉద్దేశించబడింది, ఇక్కడ టేకాఫ్ మరియు ల్యాండింగ్ సమయంలో ఫ్లోట్ల యొక్క వాంఛనీయ కోణాన్ని నిర్వహించవచ్చు. [[(3] యుద్ధానంతర, R1815 ను సంస్థ నిలుపుకుంది మరియు సూపర్ మేరిన్ అటాకర్ జెట్ ఫైటర్ యొక్క త"&amp;"క్కువ-స్పీడ్ హ్యాండ్లింగ్ ట్రయల్స్‌లో చేజ్ కోసం 1946 లో ఉపయోగించబడింది. [5] 1914 నుండి సూపర్ మేరిన్ విమానాల నుండి డేటా, [6] జేన్ యొక్క అన్ని ప్రపంచ విమానాలు 1947 [7] సాధారణ లక్షణాలు పనితీరు ఆయుధాలు పోల్చదగిన పాత్ర, కాన్ఫిగరేషన్ మరియు యుగం యొక్క విమానం")</f>
        <v>సూపర్ మేరిన్ టైప్ 322 అనేది రెండవ ప్రపంచ యుద్ధం యొక్క బ్రిటిష్ క్యారియర్-బార్న్ టార్పెడో, డైవ్ బాంబర్ మరియు నిఘా విమానం. ఒకే ఇంజిన్ మోనోప్లేన్, ఇది విజయవంతం కాలేదు, రెండు ఉదాహరణలు మాత్రమే నిర్మించబడ్డాయి. అదే స్పెసిఫికేషన్‌కు నిర్మించిన ఫైరీ బార్రాకుడా ఈ పాత్రను నింపుతుంది. టైప్ 322 ను సూపర్ మెరైన్ 1937 అవసరాన్ని తీర్చడానికి (స్పెసిఫికేషన్ S.24/37) బ్రిటిష్ రాయల్ నేవీ యొక్క ఫెయిరీ అల్బాకోర్ బిప్‌లేన్ (అల్బాకోర్ ఇంకా ఎగురుతున్నప్పటికీ, [n 1] రెండింటినీ ఉంచారు. సూపర్ మేరిన్, మరియు బార్రాకుడాగా మారిన దాని కోసం ఫైరీ ఏవియేషన్ తో. [2] సూపర్ మేరిన్ యొక్క రూపకల్పన ఒక హై-వింగ్ మోనోప్లేన్, మొదట రోల్స్ రాయిస్ ఎక్స్ ఇంజిన్ చేత శక్తినివ్వడానికి ఉద్దేశించబడింది. అసాధారణంగా ఇది వేరియబుల్-యాక్షన్ వింగ్ కలిగి ఉంది, మొదట ప్రదర్శించబడింది 1913 లో పారిస్ ఎయిర్‌షోలో ఫ్రెంచ్ పాల్ స్క్మిట్ బిప్‌లేన్. ఫ్లాప్ సెట్టింగ్ తటస్థంగా ఉన్నప్పుడు 2 డిగ్రీల నుండి, ఫ్లాప్‌లను 60 డిగ్రీలకు తగ్గించినప్పుడు 16 డిగ్రీల వరకు వైవిధ్యంగా ఉంటుంది. ఈ సెట్టింగ్‌లో రెక్కతో లిఫ్ట్ గుణకం 3.9 (సాంప్రదాయిక మరియు సమకాలీన రెట్టింపు ఓరరీ విమానం), 57 నాట్ల వేగం ఇస్తుంది. ఇది క్యారియర్ ఉపయోగం కోసం ఉద్దేశించినందున, రెక్క కూడా ముడుచుకుంది - నిర్మాణాత్మక బరువులో చిన్న పెరుగుదల దృష్ట్యా ఒక గొప్ప సాంకేతిక సాధన. సంక్లిష్టతను కాపాడటానికి అండర్ క్యారేజ్ ఒక స్థిర టెయిల్‌వీల్ రకం. [4] ల్యాండింగ్ గేర్‌ను రెక్కల్లోకి ఉపసంహరించుకోవడం చాలా సవాలుగా ఉండేది. ఇది ప్రధానంగా చెక్క నిర్మాణానికి చెందినది, ఆర్మ్‌స్ట్రాంగ్ విట్‌వర్త్ అల్బేమార్లే బాంబర్‌తో సమానంగా, అది నిర్మించబడుతున్నప్పుడు, తక్కువ సరఫరాలో కాంతి మిశ్రమం ఉండే ప్రమాదం ఉంది. EXE 1938 లో రద్దు చేయబడింది, మరియు రోల్స్ రాయిస్ మెర్లిన్ డిజైన్‌లో ప్రత్యామ్నాయం చేయబడింది. [3] "డంబో" అనే మారుపేరుతో రెండు టైప్ 322 లు, [సైటేషన్ అవసరం] నిర్మించబడ్డాయి. వాస్తవానికి 1941 ప్రారంభంలో పూర్తి కావడానికి, స్పిట్‌ఫైర్‌ల ఉత్పత్తికి అమలులో ఉన్న అధిక ప్రాధాన్యత కారణంగా ఈ ప్రాజెక్ట్ ఆలస్యం అయింది. మొదటి ప్రోటోటైప్ (R1810) 6 ఫిబ్రవరి 1943 న ప్రయాణించింది, తరువాత రెండవ ప్రోటోటైప్ (R1815) మెర్లిన్ 32 తో మెర్లిన్ 30 స్థానంలో, నాలుగు-బ్లేడ్ రోటోల్ స్థిరమైన స్పీడ్ ఎయిర్‌స్క్రూ, ఎక్కువ ప్రాంతం యొక్క తోక మరియు ఆల్క్‌క్డ్ outer టర్ రెక్కలు ఉన్నాయి . [[ అయితే, ఈ సమయానికి, ఫైరీ యొక్క పోటీ రూపకల్పన ఫైరీ బార్రాకుడాగా సేవలోకి ప్రవేశించింది, మరియు రెండు టైప్ 322 లను ప్రయోగాత్మక విమానంగా ఉపయోగించారు. అభివృద్ధి చెందిన సంస్కరణను సూపర్ మేరిన్ టైప్ 380 గా ప్లాన్ చేశారు. ఈ వింగ్ టెక్నాలజీ సీ ఓటర్ - వేరియబుల్ ఇన్సిడెన్స్ లబ్ధి చేసే సీప్లేన్లకు బదులుగా విలీనం చేయబడిందని కూడా ఉద్దేశించబడింది, ఇక్కడ టేకాఫ్ మరియు ల్యాండింగ్ సమయంలో ఫ్లోట్ల యొక్క వాంఛనీయ కోణాన్ని నిర్వహించవచ్చు. [[(3] యుద్ధానంతర, R1815 ను సంస్థ నిలుపుకుంది మరియు సూపర్ మేరిన్ అటాకర్ జెట్ ఫైటర్ యొక్క తక్కువ-స్పీడ్ హ్యాండ్లింగ్ ట్రయల్స్‌లో చేజ్ కోసం 1946 లో ఉపయోగించబడింది. [5] 1914 నుండి సూపర్ మేరిన్ విమానాల నుండి డేటా, [6] జేన్ యొక్క అన్ని ప్రపంచ విమానాలు 1947 [7] సాధారణ లక్షణాలు పనితీరు ఆయుధాలు పోల్చదగిన పాత్ర, కాన్ఫిగరేషన్ మరియు యుగం యొక్క విమానం</v>
      </c>
      <c r="E17" s="1" t="s">
        <v>536</v>
      </c>
      <c r="F17" s="1" t="s">
        <v>537</v>
      </c>
      <c r="G17" s="1" t="str">
        <f>IFERROR(__xludf.DUMMYFUNCTION("GOOGLETRANSLATE(F:F, ""en"", ""te"")"),"నావల్ టార్పెడో డైవ్ బాంబర్/నిఘా")</f>
        <v>నావల్ టార్పెడో డైవ్ బాంబర్/నిఘా</v>
      </c>
      <c r="H17" s="1" t="s">
        <v>538</v>
      </c>
      <c r="L17" s="1" t="s">
        <v>539</v>
      </c>
      <c r="M17" s="1" t="str">
        <f>IFERROR(__xludf.DUMMYFUNCTION("GOOGLETRANSLATE(L:L, ""en"", ""te"")"),"సూపర్ మెరైన్")</f>
        <v>సూపర్ మెరైన్</v>
      </c>
      <c r="N17" s="3" t="s">
        <v>540</v>
      </c>
      <c r="R17" s="4">
        <v>15743.0</v>
      </c>
      <c r="S17" s="1">
        <v>2.0</v>
      </c>
      <c r="V17" s="1">
        <v>3.0</v>
      </c>
      <c r="W17" s="1" t="s">
        <v>541</v>
      </c>
      <c r="X17" s="1" t="s">
        <v>542</v>
      </c>
      <c r="Y17" s="1" t="s">
        <v>543</v>
      </c>
      <c r="Z17" s="1" t="s">
        <v>544</v>
      </c>
      <c r="AE17" s="1">
        <v>8.8</v>
      </c>
      <c r="AG17" s="1" t="s">
        <v>545</v>
      </c>
      <c r="AH17" s="1" t="s">
        <v>546</v>
      </c>
      <c r="AM17" s="1" t="s">
        <v>547</v>
      </c>
      <c r="AX17" s="1" t="s">
        <v>548</v>
      </c>
      <c r="AY17" s="1" t="str">
        <f>IFERROR(__xludf.DUMMYFUNCTION("GOOGLETRANSLATE(AX:AX, ""en"", ""te"")"),"1 × రోల్స్ రాయిస్ మెర్లిన్ 30 వి -12 లిక్విడ్-కూల్డ్ పిస్టన్ ఇంజిన్, 1,300 హెచ్‌పి (970 కిలోవాట్)")</f>
        <v>1 × రోల్స్ రాయిస్ మెర్లిన్ 30 వి -12 లిక్విడ్-కూల్డ్ పిస్టన్ ఇంజిన్, 1,300 హెచ్‌పి (970 కిలోవాట్)</v>
      </c>
      <c r="BB17" s="1" t="s">
        <v>549</v>
      </c>
      <c r="BC17" s="1" t="s">
        <v>550</v>
      </c>
      <c r="BE17" s="1" t="s">
        <v>551</v>
      </c>
      <c r="BG17" s="2"/>
      <c r="BR17" s="1" t="s">
        <v>552</v>
      </c>
      <c r="BT17" s="1" t="s">
        <v>553</v>
      </c>
      <c r="CC17" s="1" t="s">
        <v>554</v>
      </c>
      <c r="CD17" s="1" t="str">
        <f>IFERROR(__xludf.DUMMYFUNCTION("GOOGLETRANSLATE(CC:CC, ""en"", ""te"")"),"1 × .303 (7.7 మిమీ) వింగ్‌లో బ్రౌనింగ్ మెషిన్ గన్, 1 × .303 (7.7 మిమీ) విక్కర్స్ కె మెషిన్ గన్ లేదా వెనుక కాక్‌పిట్‌లో బ్రౌనింగ్")</f>
        <v>1 × .303 (7.7 మిమీ) వింగ్‌లో బ్రౌనింగ్ మెషిన్ గన్, 1 × .303 (7.7 మిమీ) విక్కర్స్ కె మెషిన్ గన్ లేదా వెనుక కాక్‌పిట్‌లో బ్రౌనింగ్</v>
      </c>
      <c r="CE17" s="1" t="s">
        <v>555</v>
      </c>
      <c r="CF17" s="1" t="str">
        <f>IFERROR(__xludf.DUMMYFUNCTION("GOOGLETRANSLATE(CE:CE, ""en"", ""te"")"),"1 × 18 ఇన్ (457 మిమీ) టార్పెడో (1,500 ఎల్బి) లేదా 6 × 250 ఎల్బి (113 కిలోల) బాంబులు.")</f>
        <v>1 × 18 ఇన్ (457 మిమీ) టార్పెడో (1,500 ఎల్బి) లేదా 6 × 250 ఎల్బి (113 కిలోల) బాంబులు.</v>
      </c>
    </row>
    <row r="18">
      <c r="A18" s="1" t="s">
        <v>556</v>
      </c>
      <c r="B18" s="1" t="str">
        <f>IFERROR(__xludf.DUMMYFUNCTION("GOOGLETRANSLATE(A:A, ""en"", ""te"")"),"హీంకెల్ అతను 119")</f>
        <v>హీంకెల్ అతను 119</v>
      </c>
      <c r="C18" s="1" t="s">
        <v>557</v>
      </c>
      <c r="D18" s="1" t="str">
        <f>IFERROR(__xludf.DUMMYFUNCTION("GOOGLETRANSLATE(C:C, ""en"", ""te"")"),"హీంకెల్ HE 119 ఒక ప్రయోగాత్మక సింగిల్-ప్రొపెల్లర్ మోనోప్లేన్, ఇది రెండు కపుల్డ్ ఇంజన్లతో, జర్మనీలో అభివృద్ధి చేయబడింది. గుంటర్ బ్రదర్స్ చేత రాడికల్ ఆలోచనలను పరీక్షించడానికి హీంకెల్ చేత ఒక ప్రైవేట్ వెంచర్, HE 119 మొదట అధిక పనితీరు కారణంగా అన్ని యోధులను తప్"&amp;"పించుకోగల నిరాయుధ నిఘా బాంబర్గా పనిచేయడానికి ఉద్దేశించబడింది. 1936 వేసవి చివరలో డిజైన్ ప్రారంభమైంది. విమానం యొక్క ముఖ్యమైన లక్షణం క్రమబద్ధీకరించిన ఫ్యూజ్‌లేజ్, ఇది చాలావరకు 1932-పాతకాలపు హీంకెల్ యొక్క పరిణామ వారసుడిగా 70 రికార్డ్-సెట్టింగ్ సింగిల్-ఇంజిన్డ"&amp;"్ మెయిల్‌ప్లేన్ డిజైన్, కానీ అతను 70 యొక్క పొడుచుకు లేకుండా పందిరితో కప్పబడిన సిబ్బంది వసతి బాహ్య వెంట ఎక్కడైనా ఉంది. బదులుగా, HE 119 యొక్క ఫార్వర్డ్ ఫ్యూజ్‌లేజ్ ముక్కును ఏర్పరుస్తుంది, ఇది ప్రొపెల్లర్ స్పిన్నర్ యొక్క వెనుక అంచు వెనుక ఉన్న అనేక వికర్ణంగా "&amp;"కలుపుతో ఉన్న కిటికీలతో భారీగా రూపొందించబడింది. ముగ్గురు వ్యక్తుల సిబ్బందిలో ఇద్దరు డ్రైవ్‌షాఫ్ట్ యొక్క ప్రతి వైపు కూర్చున్నారు, ఇది ""పవర్ సిస్టమ్"" కి వెనుకకు నడిచింది, ఫ్యూజ్‌లేజ్ లోపల రెక్క సెంటర్-సెక్షన్ పైన అమర్చిన డైమ్లెర్ బెంజ్ డిబి 601 ఇంజన్లు జతచ"&amp;"ేయబడి, a కామన్ మౌంట్ (స్టార్‌బోర్డ్ కాంపోనెంట్ ఇంజిన్ ""మిర్రర్-ఇమేజ్"" సెంట్రిఫ్యూగల్ సూపర్ఛార్జర్ కలిగి ఉంది) ప్రతి కాంపోనెంట్ ఇంజిన్ యొక్క ముందు చివరలకు అమర్చిన సాధారణ గేర్ తగ్గింపు యూనిట్‌తో, DB 606 అని పిలువబడే డ్రైవ్ యూనిట్‌ను ఏర్పరుస్తుంది, మొదటి జ"&amp;"ర్మన్ విమానం ఉపయోగించింది ""హై-పవర్"" పవర్ ప్లాంట్ సిస్టమ్. జర్మన్ విమానాలను 1,500 కిలోవాట్ల (2,000 పిఎస్) అవుట్పుట్ సామర్ధ్యం యొక్క ఏవియేషన్ పవర్ ప్లాంట్ డిజైన్‌తో అందించడం, కానీ 1.5 టన్నుల బరువుతో ఉంటుంది. గురుత్వాకర్షణ మధ్యలో ఉన్న AFT కాక్‌పిట్ గోడ వెన"&amp;"ుక DB 606 వ్యవస్థాపించబడింది, ముక్కులో పెద్ద నాలుగు-బ్లేడ్ వేరియబుల్-పిచ్ ఎయిర్‌స్క్రూను నడపడానికి విస్తృతంగా మెరుస్తున్న కాక్‌పిట్ యొక్క సెంటర్‌లైన్ గుండా ఒక పరివేష్టిత పొడిగింపు షాఫ్ట్ వెళుతుంది. V1 లో బాష్పీభవన శీతలీకరణ వ్యవస్థ ఉపయోగించబడింది, మిగిలిన "&amp;"ప్రోటోటైప్‌లు సెమీ-రిట్రాక్టబుల్ రేడియేటర్‌ను ఇంజిన్ క్రింద నేరుగా అందుకుంటాయి, టేకాఫ్ మరియు ఆరోహణ సమయంలో శీతలీకరణను పెంచడానికి. ఎనిమిది ప్రోటోటైప్‌లు మాత్రమే పూర్తయ్యాయి మరియు విమానం ఉత్పత్తిని చూడలేదు, ప్రధానంగా అవి ఏర్పడిన 1,500 కిలోల (3,300 ఎల్బి) డిబ"&amp;"ి 606 ""పవర్ సిస్టమ్స్"" ను నిర్మించడానికి డిబి 601 ""కాంపోనెంట్"" ఇంజిన్ల కొరత కారణంగా. మొదటి రెండు ప్రోటోటైప్‌లు ముడుచుకునే ల్యాండింగ్ గేర్‌తో ల్యాండ్ విమానాలుగా నిర్మించబడ్డాయి. మూడవ ప్రోటోటైప్ (వి 3) జంట ఫ్లోట్లతో సీప్లేన్‌గా నిర్మించబడింది. ఇది బాల్ట"&amp;"ిక్ తీరంలో ఎర్ప్రోబుంగ్స్‌స్టెల్లె ట్రావెమాండే మిలిటరీ సీప్లేన్ టెస్ట్ ఫెసిలిటీలో పరీక్షించబడింది మరియు 1942 లో హీంకెల్ యొక్క ఫ్యాక్టరీ ఎయిర్‌ఫీల్డ్‌లో ఎస్టూరిన్ రోస్టాక్-ష్మార్ల్ కమ్యూనిటీలోని హీంకెల్ యొక్క ఫ్యాక్టరీ ఎయిర్‌ఫీల్డ్‌లో రద్దు చేయబడింది, అప్ప"&amp;"ుడు దీనిని మారియెహే అని పిలుస్తారు. 22 నవంబర్ 1937 న, నాల్గవ ప్రోటోటైప్ (వి 4) ప్రపంచ స్థాయి-రికార్డ్ ఫ్లైట్ చేసింది, దీనిలో ఇది 505 కిమీ/గం (314 ఎమ్‌పిహెచ్) ఎయిర్‌స్పీడ్‌ను నమోదు చేసింది, 1,000 కిలోల (2,205 ఎల్బి) పేలోడ్‌తో, 1,000 దూరం కంటే ఎక్కువ KM (62"&amp;"1 MI). మిగిలిన నాలుగు ప్రోటోటైప్‌లు 1938 వసంత summer తువు మరియు వేసవిలో పూర్తయ్యాయి, V5 మరియు V6 నిఘా మోడల్ కోసం A- సిరీస్ ప్రొడక్షన్ ప్రోటోటైప్‌లు, మరియు V7 మరియు V8 బాంబర్ మోడల్ కోసం B- సిరీస్ ప్రొడక్షన్ ప్రోటోటైప్‌లు. ఈ నాలుగు విమానాలు మూడు-సీటర్లు, డి"&amp;"ఫెన్సివ్ ఆయుధాలు 7.92 మిమీ (0.312 అంగుళాలు) Mg 15 మెషిన్ గన్ డోర్సల్ స్థానంలో ఉన్నాయి, V7 మరియు V8 మూడు 250 కిలోల (551 lb) బాంబుల లేదా గరిష్ట బాంబుబ్లోడ్ యొక్క సాధారణ బామ్‌బ్లోడ్ కోసం సదుపాయం కలిగి ఉన్నాయి 1,000 కిలోలు (2,205 పౌండ్లు). V7 మరియు V8 ను మే 1"&amp;"940 లో జపాన్‌కు విక్రయించారు మరియు విస్తృతంగా అధ్యయనం చేశారు; ఈ విధంగా పొందిన అంతర్దృష్టులు యోకోసుకా R2Y రూపకల్పనలో ఉపయోగించబడ్డాయి. DB 613 (జంట DB 603). థర్డ్ రీచ్ యొక్క వార్‌ప్లేన్ల నుండి డేటా [2] సాధారణ లక్షణాలు పనితీరు ఆయుధాల గురించి పోల్చదగిన పాత్ర, "&amp;"కాన్ఫిగరేషన్ మరియు ERA సంబంధిత జాబితాల ఆయుధాలు విమానం")</f>
        <v>హీంకెల్ HE 119 ఒక ప్రయోగాత్మక సింగిల్-ప్రొపెల్లర్ మోనోప్లేన్, ఇది రెండు కపుల్డ్ ఇంజన్లతో, జర్మనీలో అభివృద్ధి చేయబడింది. గుంటర్ బ్రదర్స్ చేత రాడికల్ ఆలోచనలను పరీక్షించడానికి హీంకెల్ చేత ఒక ప్రైవేట్ వెంచర్, HE 119 మొదట అధిక పనితీరు కారణంగా అన్ని యోధులను తప్పించుకోగల నిరాయుధ నిఘా బాంబర్గా పనిచేయడానికి ఉద్దేశించబడింది. 1936 వేసవి చివరలో డిజైన్ ప్రారంభమైంది. విమానం యొక్క ముఖ్యమైన లక్షణం క్రమబద్ధీకరించిన ఫ్యూజ్‌లేజ్, ఇది చాలావరకు 1932-పాతకాలపు హీంకెల్ యొక్క పరిణామ వారసుడిగా 70 రికార్డ్-సెట్టింగ్ సింగిల్-ఇంజిన్డ్ మెయిల్‌ప్లేన్ డిజైన్, కానీ అతను 70 యొక్క పొడుచుకు లేకుండా పందిరితో కప్పబడిన సిబ్బంది వసతి బాహ్య వెంట ఎక్కడైనా ఉంది. బదులుగా, HE 119 యొక్క ఫార్వర్డ్ ఫ్యూజ్‌లేజ్ ముక్కును ఏర్పరుస్తుంది, ఇది ప్రొపెల్లర్ స్పిన్నర్ యొక్క వెనుక అంచు వెనుక ఉన్న అనేక వికర్ణంగా కలుపుతో ఉన్న కిటికీలతో భారీగా రూపొందించబడింది. ముగ్గురు వ్యక్తుల సిబ్బందిలో ఇద్దరు డ్రైవ్‌షాఫ్ట్ యొక్క ప్రతి వైపు కూర్చున్నారు, ఇది "పవర్ సిస్టమ్" కి వెనుకకు నడిచింది, ఫ్యూజ్‌లేజ్ లోపల రెక్క సెంటర్-సెక్షన్ పైన అమర్చిన డైమ్లెర్ బెంజ్ డిబి 601 ఇంజన్లు జతచేయబడి, a కామన్ మౌంట్ (స్టార్‌బోర్డ్ కాంపోనెంట్ ఇంజిన్ "మిర్రర్-ఇమేజ్" సెంట్రిఫ్యూగల్ సూపర్ఛార్జర్ కలిగి ఉంది) ప్రతి కాంపోనెంట్ ఇంజిన్ యొక్క ముందు చివరలకు అమర్చిన సాధారణ గేర్ తగ్గింపు యూనిట్‌తో, DB 606 అని పిలువబడే డ్రైవ్ యూనిట్‌ను ఏర్పరుస్తుంది, మొదటి జర్మన్ విమానం ఉపయోగించింది "హై-పవర్" పవర్ ప్లాంట్ సిస్టమ్. జర్మన్ విమానాలను 1,500 కిలోవాట్ల (2,000 పిఎస్) అవుట్పుట్ సామర్ధ్యం యొక్క ఏవియేషన్ పవర్ ప్లాంట్ డిజైన్‌తో అందించడం, కానీ 1.5 టన్నుల బరువుతో ఉంటుంది. గురుత్వాకర్షణ మధ్యలో ఉన్న AFT కాక్‌పిట్ గోడ వెనుక DB 606 వ్యవస్థాపించబడింది, ముక్కులో పెద్ద నాలుగు-బ్లేడ్ వేరియబుల్-పిచ్ ఎయిర్‌స్క్రూను నడపడానికి విస్తృతంగా మెరుస్తున్న కాక్‌పిట్ యొక్క సెంటర్‌లైన్ గుండా ఒక పరివేష్టిత పొడిగింపు షాఫ్ట్ వెళుతుంది. V1 లో బాష్పీభవన శీతలీకరణ వ్యవస్థ ఉపయోగించబడింది, మిగిలిన ప్రోటోటైప్‌లు సెమీ-రిట్రాక్టబుల్ రేడియేటర్‌ను ఇంజిన్ క్రింద నేరుగా అందుకుంటాయి, టేకాఫ్ మరియు ఆరోహణ సమయంలో శీతలీకరణను పెంచడానికి. ఎనిమిది ప్రోటోటైప్‌లు మాత్రమే పూర్తయ్యాయి మరియు విమానం ఉత్పత్తిని చూడలేదు, ప్రధానంగా అవి ఏర్పడిన 1,500 కిలోల (3,300 ఎల్బి) డిబి 606 "పవర్ సిస్టమ్స్" ను నిర్మించడానికి డిబి 601 "కాంపోనెంట్" ఇంజిన్ల కొరత కారణంగా. మొదటి రెండు ప్రోటోటైప్‌లు ముడుచుకునే ల్యాండింగ్ గేర్‌తో ల్యాండ్ విమానాలుగా నిర్మించబడ్డాయి. మూడవ ప్రోటోటైప్ (వి 3) జంట ఫ్లోట్లతో సీప్లేన్‌గా నిర్మించబడింది. ఇది బాల్టిక్ తీరంలో ఎర్ప్రోబుంగ్స్‌స్టెల్లె ట్రావెమాండే మిలిటరీ సీప్లేన్ టెస్ట్ ఫెసిలిటీలో పరీక్షించబడింది మరియు 1942 లో హీంకెల్ యొక్క ఫ్యాక్టరీ ఎయిర్‌ఫీల్డ్‌లో ఎస్టూరిన్ రోస్టాక్-ష్మార్ల్ కమ్యూనిటీలోని హీంకెల్ యొక్క ఫ్యాక్టరీ ఎయిర్‌ఫీల్డ్‌లో రద్దు చేయబడింది, అప్పుడు దీనిని మారియెహే అని పిలుస్తారు. 22 నవంబర్ 1937 న, నాల్గవ ప్రోటోటైప్ (వి 4) ప్రపంచ స్థాయి-రికార్డ్ ఫ్లైట్ చేసింది, దీనిలో ఇది 505 కిమీ/గం (314 ఎమ్‌పిహెచ్) ఎయిర్‌స్పీడ్‌ను నమోదు చేసింది, 1,000 కిలోల (2,205 ఎల్బి) పేలోడ్‌తో, 1,000 దూరం కంటే ఎక్కువ KM (621 MI). మిగిలిన నాలుగు ప్రోటోటైప్‌లు 1938 వసంత summer తువు మరియు వేసవిలో పూర్తయ్యాయి, V5 మరియు V6 నిఘా మోడల్ కోసం A- సిరీస్ ప్రొడక్షన్ ప్రోటోటైప్‌లు, మరియు V7 మరియు V8 బాంబర్ మోడల్ కోసం B- సిరీస్ ప్రొడక్షన్ ప్రోటోటైప్‌లు. ఈ నాలుగు విమానాలు మూడు-సీటర్లు, డిఫెన్సివ్ ఆయుధాలు 7.92 మిమీ (0.312 అంగుళాలు) Mg 15 మెషిన్ గన్ డోర్సల్ స్థానంలో ఉన్నాయి, V7 మరియు V8 మూడు 250 కిలోల (551 lb) బాంబుల లేదా గరిష్ట బాంబుబ్లోడ్ యొక్క సాధారణ బామ్‌బ్లోడ్ కోసం సదుపాయం కలిగి ఉన్నాయి 1,000 కిలోలు (2,205 పౌండ్లు). V7 మరియు V8 ను మే 1940 లో జపాన్‌కు విక్రయించారు మరియు విస్తృతంగా అధ్యయనం చేశారు; ఈ విధంగా పొందిన అంతర్దృష్టులు యోకోసుకా R2Y రూపకల్పనలో ఉపయోగించబడ్డాయి. DB 613 (జంట DB 603). థర్డ్ రీచ్ యొక్క వార్‌ప్లేన్ల నుండి డేటా [2] సాధారణ లక్షణాలు పనితీరు ఆయుధాల గురించి పోల్చదగిన పాత్ర, కాన్ఫిగరేషన్ మరియు ERA సంబంధిత జాబితాల ఆయుధాలు విమానం</v>
      </c>
      <c r="F18" s="1" t="s">
        <v>558</v>
      </c>
      <c r="G18" s="1" t="str">
        <f>IFERROR(__xludf.DUMMYFUNCTION("GOOGLETRANSLATE(F:F, ""en"", ""te"")"),"నిఘా బాంబర్")</f>
        <v>నిఘా బాంబర్</v>
      </c>
      <c r="H18" s="1" t="s">
        <v>559</v>
      </c>
      <c r="L18" s="1" t="s">
        <v>560</v>
      </c>
      <c r="M18" s="1" t="str">
        <f>IFERROR(__xludf.DUMMYFUNCTION("GOOGLETRANSLATE(L:L, ""en"", ""te"")"),"హీంకెల్")</f>
        <v>హీంకెల్</v>
      </c>
      <c r="N18" s="3" t="s">
        <v>561</v>
      </c>
      <c r="R18" s="5">
        <v>13697.0</v>
      </c>
      <c r="S18" s="1">
        <v>8.0</v>
      </c>
      <c r="T18" s="1" t="s">
        <v>216</v>
      </c>
      <c r="V18" s="1">
        <v>3.0</v>
      </c>
      <c r="W18" s="1" t="s">
        <v>562</v>
      </c>
      <c r="X18" s="1" t="s">
        <v>563</v>
      </c>
      <c r="Y18" s="1" t="s">
        <v>564</v>
      </c>
      <c r="Z18" s="1" t="s">
        <v>565</v>
      </c>
      <c r="AG18" s="1" t="s">
        <v>566</v>
      </c>
      <c r="AH18" s="1" t="s">
        <v>567</v>
      </c>
      <c r="AX18" s="1" t="s">
        <v>568</v>
      </c>
      <c r="AY18" s="1" t="str">
        <f>IFERROR(__xludf.DUMMYFUNCTION("GOOGLETRANSLATE(AX:AX, ""en"", ""te"")"),"1 × డైమ్లెర్-బెంజ్ డిబి 606 ఎ -2 24-సిలిండర్ కపుల్డ్ వి -12 లిక్విడ్-కూల్డ్ పిస్టన్ ఇంజిన్, 1,753 కిలోవాట్ (2,351 హెచ్‌పి)")</f>
        <v>1 × డైమ్లెర్-బెంజ్ డిబి 606 ఎ -2 24-సిలిండర్ కపుల్డ్ వి -12 లిక్విడ్-కూల్డ్ పిస్టన్ ఇంజిన్, 1,753 కిలోవాట్ (2,351 హెచ్‌పి)</v>
      </c>
      <c r="AZ18" s="1" t="s">
        <v>569</v>
      </c>
      <c r="BA18" s="1" t="str">
        <f>IFERROR(__xludf.DUMMYFUNCTION("GOOGLETRANSLATE(AZ:AZ, ""en"", ""te"")"),"4-బ్లేడెడ్ స్థిరమైన-స్పీడ్ ప్రొపెల్లర్")</f>
        <v>4-బ్లేడెడ్ స్థిరమైన-స్పీడ్ ప్రొపెల్లర్</v>
      </c>
      <c r="BB18" s="1" t="s">
        <v>570</v>
      </c>
      <c r="BC18" s="1" t="s">
        <v>571</v>
      </c>
      <c r="BD18" s="1" t="s">
        <v>572</v>
      </c>
      <c r="BF18" s="1" t="s">
        <v>573</v>
      </c>
      <c r="BG18" s="2" t="str">
        <f>IFERROR(__xludf.DUMMYFUNCTION("GOOGLETRANSLATE(BF:BF, ""en"", ""te"")"),"లుఫ్ట్‌వాఫ్")</f>
        <v>లుఫ్ట్‌వాఫ్</v>
      </c>
      <c r="BH18" s="3" t="s">
        <v>574</v>
      </c>
      <c r="BT18" s="1" t="s">
        <v>575</v>
      </c>
      <c r="CC18" s="1" t="s">
        <v>576</v>
      </c>
      <c r="CD18" s="1" t="str">
        <f>IFERROR(__xludf.DUMMYFUNCTION("GOOGLETRANSLATE(CC:CC, ""en"", ""te"")"),"1 × 7.9 మిమీ (.312 in) Mg 15 మెషిన్ గన్ డోర్సల్ స్థానంలో ఉంది")</f>
        <v>1 × 7.9 మిమీ (.312 in) Mg 15 మెషిన్ గన్ డోర్సల్ స్థానంలో ఉంది</v>
      </c>
    </row>
    <row r="19">
      <c r="A19" s="1" t="s">
        <v>577</v>
      </c>
      <c r="B19" s="1" t="str">
        <f>IFERROR(__xludf.DUMMYFUNCTION("GOOGLETRANSLATE(A:A, ""en"", ""te"")"),"కోకుసాయి కు -7")</f>
        <v>కోకుసాయి కు -7</v>
      </c>
      <c r="C19" s="1" t="s">
        <v>578</v>
      </c>
      <c r="D19" s="1" t="str">
        <f>IFERROR(__xludf.DUMMYFUNCTION("GOOGLETRANSLATE(C:C, ""en"", ""te"")"),"కోకుసాయి కు -7 మనాజురు (真 真 鶴 鶴 ""వైట్-నాప్డ్ క్రేన్""; అనుబంధ కోడ్-పేరు బజార్డ్) ఒక పెద్ద ప్రయోగాత్మక ట్విన్ బూమ్ జపనీస్ మిలిటరీ గ్లైడర్. మునుపటి మైడా KU-1 గ్లైడర్ యొక్క విస్తరించిన సంస్కరణ, ఇది 1942 లో అభివృద్ధి చేయబడింది. ఒక పెద్ద చదరపు కార్గో తలుపు కో"&amp;"సం జంట బూమ్ డిజైన్ వాడకం అనుమతించబడింది, దీని అర్థం ఈ విమానం 32 మంది సైనికులను, 7600 కిలోల కార్గోను మోయగలదు. లేదా తేలికపాటి ట్యాంక్ కూడా. దీనికి శక్తివంతమైన వెళ్ళుట విమానం అవసరం, నకాజిమా కి -49 లేదా మిత్సుబిషి కి -67, ఇవి తక్కువ సరఫరాలో ఉన్నాయి. తత్ఫలితంగ"&amp;"ా, విమానం వాటిని ఇంజిన్లతో అమర్చడం ద్వారా సవరించబడింది, వీటిని KI-105 ఒటోరి (鳳 ""ఫీనిక్స్"") గా నియమించారు. [2] ఇంధన రవాణాగా ఉపయోగం కోసం ఉద్దేశించినది, 300 ఆర్డర్‌ చేసిన 300 మందిలో తొమ్మిది మాత్రమే అభివృద్ధి ప్రాధాన్యతలను మరెక్కడా మార్చడానికి ముందు ఉత్పత్"&amp;"తి చేయబడ్డాయి. [3] ఎన్సైక్లోపీడియా ఉజ్బ్రోజెనియా నుండి డేటా, [4] పసిఫిక్ యుద్ధం యొక్క జపనీస్ విమానం [3] పోల్చదగిన పాత్ర, కాన్ఫిగరేషన్ మరియు యుగం యొక్క సాధారణ లక్షణాల పనితీరు విమానం")</f>
        <v>కోకుసాయి కు -7 మనాజురు (真 真 鶴 鶴 "వైట్-నాప్డ్ క్రేన్"; అనుబంధ కోడ్-పేరు బజార్డ్) ఒక పెద్ద ప్రయోగాత్మక ట్విన్ బూమ్ జపనీస్ మిలిటరీ గ్లైడర్. మునుపటి మైడా KU-1 గ్లైడర్ యొక్క విస్తరించిన సంస్కరణ, ఇది 1942 లో అభివృద్ధి చేయబడింది. ఒక పెద్ద చదరపు కార్గో తలుపు కోసం జంట బూమ్ డిజైన్ వాడకం అనుమతించబడింది, దీని అర్థం ఈ విమానం 32 మంది సైనికులను, 7600 కిలోల కార్గోను మోయగలదు. లేదా తేలికపాటి ట్యాంక్ కూడా. దీనికి శక్తివంతమైన వెళ్ళుట విమానం అవసరం, నకాజిమా కి -49 లేదా మిత్సుబిషి కి -67, ఇవి తక్కువ సరఫరాలో ఉన్నాయి. తత్ఫలితంగా, విమానం వాటిని ఇంజిన్లతో అమర్చడం ద్వారా సవరించబడింది, వీటిని KI-105 ఒటోరి (鳳 "ఫీనిక్స్") గా నియమించారు. [2] ఇంధన రవాణాగా ఉపయోగం కోసం ఉద్దేశించినది, 300 ఆర్డర్‌ చేసిన 300 మందిలో తొమ్మిది మాత్రమే అభివృద్ధి ప్రాధాన్యతలను మరెక్కడా మార్చడానికి ముందు ఉత్పత్తి చేయబడ్డాయి. [3] ఎన్సైక్లోపీడియా ఉజ్బ్రోజెనియా నుండి డేటా, [4] పసిఫిక్ యుద్ధం యొక్క జపనీస్ విమానం [3] పోల్చదగిన పాత్ర, కాన్ఫిగరేషన్ మరియు యుగం యొక్క సాధారణ లక్షణాల పనితీరు విమానం</v>
      </c>
      <c r="E19" s="1" t="s">
        <v>579</v>
      </c>
      <c r="F19" s="1" t="s">
        <v>580</v>
      </c>
      <c r="G19" s="1" t="str">
        <f>IFERROR(__xludf.DUMMYFUNCTION("GOOGLETRANSLATE(F:F, ""en"", ""te"")"),"రవాణా గ్లైడర్ (KU-7) రవాణా విమానం (KI-105)")</f>
        <v>రవాణా గ్లైడర్ (KU-7) రవాణా విమానం (KI-105)</v>
      </c>
      <c r="I19" s="1" t="s">
        <v>581</v>
      </c>
      <c r="J19" s="1" t="str">
        <f>IFERROR(__xludf.DUMMYFUNCTION("GOOGLETRANSLATE(I:I, ""en"", ""te"")"),"జపాన్")</f>
        <v>జపాన్</v>
      </c>
      <c r="L19" s="1" t="s">
        <v>582</v>
      </c>
      <c r="M19" s="1" t="str">
        <f>IFERROR(__xludf.DUMMYFUNCTION("GOOGLETRANSLATE(L:L, ""en"", ""te"")"),"కోకుసాయి")</f>
        <v>కోకుసాయి</v>
      </c>
      <c r="N19" s="3" t="s">
        <v>583</v>
      </c>
      <c r="R19" s="1">
        <v>1942.0</v>
      </c>
      <c r="S19" s="1" t="s">
        <v>584</v>
      </c>
      <c r="T19" s="1" t="s">
        <v>585</v>
      </c>
      <c r="V19" s="1">
        <v>2.0</v>
      </c>
      <c r="W19" s="1" t="s">
        <v>586</v>
      </c>
      <c r="X19" s="1" t="s">
        <v>587</v>
      </c>
      <c r="Z19" s="1" t="s">
        <v>588</v>
      </c>
      <c r="AE19" s="1">
        <v>10.8</v>
      </c>
      <c r="AG19" s="1" t="s">
        <v>589</v>
      </c>
      <c r="AH19" s="1" t="s">
        <v>590</v>
      </c>
      <c r="AI19" s="1" t="s">
        <v>591</v>
      </c>
      <c r="AV19" s="1" t="s">
        <v>592</v>
      </c>
      <c r="BG19" s="2"/>
      <c r="CT19" s="1" t="s">
        <v>593</v>
      </c>
    </row>
    <row r="20">
      <c r="A20" s="1" t="s">
        <v>594</v>
      </c>
      <c r="B20" s="1" t="str">
        <f>IFERROR(__xludf.DUMMYFUNCTION("GOOGLETRANSLATE(A:A, ""en"", ""te"")"),"హాకర్ హాట్స్పుర్")</f>
        <v>హాకర్ హాట్స్పుర్</v>
      </c>
      <c r="C20" s="1" t="s">
        <v>595</v>
      </c>
      <c r="D20" s="1" t="str">
        <f>IFERROR(__xludf.DUMMYFUNCTION("GOOGLETRANSLATE(C:C, ""en"", ""te"")"),"హాకర్ హాట్స్పుర్ ఒక హాకర్ హెన్లీ బౌల్టన్-పాల్ సెమీ శక్తితో కూడిన నాలుగు తుపాకీ టరెంట్ తీసుకోవడానికి పున es రూపకల్పన చేశాడు. ఇది వాయు మంత్రిత్వ శాఖ స్పెసిఫికేషన్ F.9/35 కు ప్రతిస్పందనగా రూపొందించబడింది, దీనికి హాకర్ దెయ్యాన్ని భర్తీ చేయడానికి ప్రధాన ఆయుధంగ"&amp;"ా శక్తితో కూడిన టరెట్ అవసరం. [1] [2] హెన్లీ మాదిరిగానే, హాట్స్పుర్ ప్రామాణిక హాకర్ హరికేన్ uter టర్ వింగ్ ప్యానెల్లను ఉపయోగించాడు. ఒక ప్రోటోటైప్ విమానం, K8309, 1937 లో నిర్మించబడింది, ఇది బౌల్టన్ పాల్ డోర్సల్ టర్రెట్‌లో నాలుగు 0.303 లో (7.7 మిమీ) బ్రౌనింగ"&amp;"్ మెషిన్ గన్‌లతో సరిపోతుంది. వన్ .303 ఇన్ (7.7 మిమీ) విక్కర్స్ మెషిన్ గన్ ముందు ఫ్యూజ్‌లేజ్‌లో అమర్చబడింది. [[[7. 3] 1938 వరకు ప్రోటోటైప్ పూర్తి చేయడం ఆలస్యం అయింది, ఆ సమయానికి ప్రత్యర్థి బౌల్టన్ పాల్ డిఫియంట్ అప్పటికే ఎగిరిపోయాడు. హాట్స్పుర్ మొదట 14 జూన్"&amp;" 1938 న టరెట్ యొక్క చెక్క మాక్-అప్ మరియు బ్యాలస్ట్‌తో ఆయుధాల బరువుకు సమానంగా ప్రయాణించాడు. హాకర్ హరికేన్స్ మరియు గ్లోస్టర్ నుండి హెన్లీ ఉత్పత్తికి కట్టుబడి ఉన్నందున, మరొక రకాన్ని పరిచయం చేయడానికి తగినంత సామర్థ్యం లేదు మరియు ఉత్పత్తి వదిలివేయబడింది. [4] మా"&amp;"క్-అప్ టరెట్ తొలగించబడింది మరియు కాక్‌పిట్ ఫెయిరింగ్ ఇన్‌స్టాల్ చేయబడింది. 1942 వరకు ఫ్లాప్ మరియు డైవ్ బ్రేక్ కాన్ఫిగరేషన్లను పరీక్షించడానికి AVRO ద్వారా AVRO చేత ప్లాన్డ్ ఉత్పత్తిని స్పెసిఫికేషన్ 17/36 వదిలివేసింది మరియు ప్రోటోటైప్, తక్కువ టరెంట్ రే ఫర్న"&amp;"్‌బరో వద్ద ఉపయోగించబడింది. 1920 నుండి హాకర్ విమానం నుండి వచ్చిన డేటా [5] సాధారణ లక్షణాలు పనితీరు ఆయుధాల అభివృద్ధి విమాన విమాన విమానాలు పోల్చదగిన పాత్ర, కాన్ఫిగరేషన్ మరియు ERA సంబంధిత జాబితాలు")</f>
        <v>హాకర్ హాట్స్పుర్ ఒక హాకర్ హెన్లీ బౌల్టన్-పాల్ సెమీ శక్తితో కూడిన నాలుగు తుపాకీ టరెంట్ తీసుకోవడానికి పున es రూపకల్పన చేశాడు. ఇది వాయు మంత్రిత్వ శాఖ స్పెసిఫికేషన్ F.9/35 కు ప్రతిస్పందనగా రూపొందించబడింది, దీనికి హాకర్ దెయ్యాన్ని భర్తీ చేయడానికి ప్రధాన ఆయుధంగా శక్తితో కూడిన టరెట్ అవసరం. [1] [2] హెన్లీ మాదిరిగానే, హాట్స్పుర్ ప్రామాణిక హాకర్ హరికేన్ uter టర్ వింగ్ ప్యానెల్లను ఉపయోగించాడు. ఒక ప్రోటోటైప్ విమానం, K8309, 1937 లో నిర్మించబడింది, ఇది బౌల్టన్ పాల్ డోర్సల్ టర్రెట్‌లో నాలుగు 0.303 లో (7.7 మిమీ) బ్రౌనింగ్ మెషిన్ గన్‌లతో సరిపోతుంది. వన్ .303 ఇన్ (7.7 మిమీ) విక్కర్స్ మెషిన్ గన్ ముందు ఫ్యూజ్‌లేజ్‌లో అమర్చబడింది. [[[7. 3] 1938 వరకు ప్రోటోటైప్ పూర్తి చేయడం ఆలస్యం అయింది, ఆ సమయానికి ప్రత్యర్థి బౌల్టన్ పాల్ డిఫియంట్ అప్పటికే ఎగిరిపోయాడు. హాట్స్పుర్ మొదట 14 జూన్ 1938 న టరెట్ యొక్క చెక్క మాక్-అప్ మరియు బ్యాలస్ట్‌తో ఆయుధాల బరువుకు సమానంగా ప్రయాణించాడు. హాకర్ హరికేన్స్ మరియు గ్లోస్టర్ నుండి హెన్లీ ఉత్పత్తికి కట్టుబడి ఉన్నందున, మరొక రకాన్ని పరిచయం చేయడానికి తగినంత సామర్థ్యం లేదు మరియు ఉత్పత్తి వదిలివేయబడింది. [4] మాక్-అప్ టరెట్ తొలగించబడింది మరియు కాక్‌పిట్ ఫెయిరింగ్ ఇన్‌స్టాల్ చేయబడింది. 1942 వరకు ఫ్లాప్ మరియు డైవ్ బ్రేక్ కాన్ఫిగరేషన్లను పరీక్షించడానికి AVRO ద్వారా AVRO చేత ప్లాన్డ్ ఉత్పత్తిని స్పెసిఫికేషన్ 17/36 వదిలివేసింది మరియు ప్రోటోటైప్, తక్కువ టరెంట్ రే ఫర్న్‌బరో వద్ద ఉపయోగించబడింది. 1920 నుండి హాకర్ విమానం నుండి వచ్చిన డేటా [5] సాధారణ లక్షణాలు పనితీరు ఆయుధాల అభివృద్ధి విమాన విమాన విమానాలు పోల్చదగిన పాత్ర, కాన్ఫిగరేషన్ మరియు ERA సంబంధిత జాబితాలు</v>
      </c>
      <c r="E20" s="1" t="s">
        <v>596</v>
      </c>
      <c r="F20" s="1" t="s">
        <v>421</v>
      </c>
      <c r="G20" s="1" t="str">
        <f>IFERROR(__xludf.DUMMYFUNCTION("GOOGLETRANSLATE(F:F, ""en"", ""te"")"),"యుద్ధ")</f>
        <v>యుద్ధ</v>
      </c>
      <c r="L20" s="1" t="s">
        <v>597</v>
      </c>
      <c r="M20" s="1" t="str">
        <f>IFERROR(__xludf.DUMMYFUNCTION("GOOGLETRANSLATE(L:L, ""en"", ""te"")"),"హాకర్")</f>
        <v>హాకర్</v>
      </c>
      <c r="N20" s="3" t="s">
        <v>598</v>
      </c>
      <c r="O20" s="1" t="s">
        <v>599</v>
      </c>
      <c r="P20" s="1" t="str">
        <f>IFERROR(__xludf.DUMMYFUNCTION("GOOGLETRANSLATE(O:O, ""en"", ""te"")"),"సిడ్నీ కామ్")</f>
        <v>సిడ్నీ కామ్</v>
      </c>
      <c r="Q20" s="1" t="s">
        <v>600</v>
      </c>
      <c r="R20" s="4">
        <v>14045.0</v>
      </c>
      <c r="S20" s="1">
        <v>1.0</v>
      </c>
      <c r="V20" s="1" t="s">
        <v>601</v>
      </c>
      <c r="W20" s="1" t="s">
        <v>602</v>
      </c>
      <c r="X20" s="1" t="s">
        <v>603</v>
      </c>
      <c r="Y20" s="1" t="s">
        <v>604</v>
      </c>
      <c r="Z20" s="1" t="s">
        <v>605</v>
      </c>
      <c r="AG20" s="1" t="s">
        <v>606</v>
      </c>
      <c r="AX20" s="1" t="s">
        <v>607</v>
      </c>
      <c r="AY20" s="1" t="str">
        <f>IFERROR(__xludf.DUMMYFUNCTION("GOOGLETRANSLATE(AX:AX, ""en"", ""te"")"),"1 × రోల్స్ రాయిస్ మెర్లిన్ II HP V-12 ఇన్లైన్ పిస్టన్ ఇంజిన్, 1,030 HP (768 kW)")</f>
        <v>1 × రోల్స్ రాయిస్ మెర్లిన్ II HP V-12 ఇన్లైన్ పిస్టన్ ఇంజిన్, 1,030 HP (768 kW)</v>
      </c>
      <c r="BB20" s="1" t="s">
        <v>608</v>
      </c>
      <c r="BD20" s="1" t="s">
        <v>609</v>
      </c>
      <c r="BF20" s="1" t="s">
        <v>610</v>
      </c>
      <c r="BG20" s="2" t="str">
        <f>IFERROR(__xludf.DUMMYFUNCTION("GOOGLETRANSLATE(BF:BF, ""en"", ""te"")"),"రాయల్ వైమానిక దళం")</f>
        <v>రాయల్ వైమానిక దళం</v>
      </c>
      <c r="BH20" s="1" t="s">
        <v>611</v>
      </c>
      <c r="BI20" s="1" t="s">
        <v>612</v>
      </c>
      <c r="BJ20" s="1" t="s">
        <v>613</v>
      </c>
      <c r="BX20" s="1"/>
      <c r="BY20" s="1" t="s">
        <v>614</v>
      </c>
      <c r="CC20" s="1" t="s">
        <v>615</v>
      </c>
      <c r="CD20" s="1" t="str">
        <f>IFERROR(__xludf.DUMMYFUNCTION("GOOGLETRANSLATE(CC:CC, ""en"", ""te"")"),"4 × .303 (7.7 మిమీ) బ్రౌనింగ్ మెషిన్ గన్స్ బౌల్టన్-పాల్ టరెట్ 1 × .303 లో (7.7 మిమీ) విక్కర్స్ మెషిన్ గన్ ముక్కులో")</f>
        <v>4 × .303 (7.7 మిమీ) బ్రౌనింగ్ మెషిన్ గన్స్ బౌల్టన్-పాల్ టరెట్ 1 × .303 లో (7.7 మిమీ) విక్కర్స్ మెషిన్ గన్ ముక్కులో</v>
      </c>
    </row>
    <row r="21">
      <c r="A21" s="1" t="s">
        <v>616</v>
      </c>
      <c r="B21" s="1" t="str">
        <f>IFERROR(__xludf.DUMMYFUNCTION("GOOGLETRANSLATE(A:A, ""en"", ""te"")"),"ఆర్మ్‌స్ట్రాంగ్ విట్‌వర్త్ A.W.23")</f>
        <v>ఆర్మ్‌స్ట్రాంగ్ విట్‌వర్త్ A.W.23</v>
      </c>
      <c r="C21" s="1" t="s">
        <v>617</v>
      </c>
      <c r="D21" s="1" t="str">
        <f>IFERROR(__xludf.DUMMYFUNCTION("GOOGLETRANSLATE(C:C, ""en"", ""te"")"),"ఆర్మ్‌స్ట్రాంగ్ విట్‌వర్త్ A.W.23 అనేది ఆర్మ్‌స్ట్రాంగ్ విట్‌వర్త్ విమానం బ్రిటిష్ వైమానిక మంత్రిత్వ శాఖ కోసం స్పెసిఫికేషన్ C.26/31 కు ఉత్పత్తి చేయబడిన ప్రోటోటైప్ బాంబర్/రవాణా విమానం. ఈ స్పెసిఫికేషన్‌ను తీర్చడానికి ఇది ఎంపిక చేయబడనప్పటికీ, ఇది తరువాతి ఆర్"&amp;"మ్‌స్ట్రాంగ్ విట్‌వర్త్ విట్లీ విమానానికి ఆధారం. స్పెసిఫికేషన్ C.26/31 కు రాయల్ ఎయిర్ ఫోర్స్ (RAF) తో సేవ కోసం ద్వంద్వ-ప్రయోజన బాంబర్/రవాణా విమానం అవసరం, స్పెసిఫికేషన్ దాని పాత్ర యొక్క రవాణా భాగాన్ని నొక్కి చెబుతుంది. A.W.23 ను ఆర్మ్‌స్ట్రాంగ్ విట్‌వర్త్ "&amp;"యొక్క చీఫ్ డిజైనర్ జాన్ లాయిడ్ రూపొందించారు, ఈ స్పెసిఫికేషన్‌ను కలవడానికి, హ్యాండ్లీ పేజ్ H.P.51 మరియు బ్రిస్టల్ బొంబాయిలతో పోటీ పడుతున్నారు. A.W.23 తక్కువ-వింగ్ ట్విన్-ఇంజిన్ మోనోప్లేన్, ఇది రెండు ఆర్మ్‌స్ట్రాంగ్ సిడ్లీ టైగర్ ఇంజన్లతో నడిచింది. ఇది ఒక ఫా"&amp;"బ్రిక్ కప్పబడిన కలుపుతో కూడిన స్టీల్ ఫ్యూజ్‌లేజ్ కలిగి ఉంది, దాని ప్రాధమిక రవాణా పాత్రను నెరవేర్చడానికి పెద్ద క్యాబిన్ ఉంది, కాని క్యాబిన్ ఫ్లోర్ కింద అంతర్గత బాంబు రాక్లకు గది ఉంది. రెక్కలు ఒక నవల నిర్మాణాన్ని ఉపయోగించాయి, ఆర్మ్‌స్ట్రాంగ్ విట్‌వర్త్ పేటె"&amp;"ంట్, భారీ లైట్ అల్లాయ్ బాక్స్-స్పేర్ స్టీల్ ట్యూబ్‌లతో అంతర్గతంగా కలుపుతారు. ఈ నిర్మాణం చాలా బలంగా ఉంది, కానీ మందపాటి రెక్క విభాగం అవసరం, పెరుగుతుంది. ఈ రెక్కల నిర్మాణం ఆర్మ్‌స్ట్రాంగ్ విట్‌వర్త్ విట్లీ బాంబర్‌లో తిరిగి ఉపయోగించబడింది. A.W.23 అనేది ఉపసంహర"&amp;"ించదగిన అండర్ క్యారేజీతో అమర్చిన మొదటి ఆర్మ్‌స్ట్రాంగ్ విట్‌వర్త్ విమానం. [1] [2] K3585 అనే ప్రోటోటైప్ మొదట 4 జూన్ 1935 న ఫ్లయింగ్ నిర్మించబడింది. [2] నమ్మదగని పులి ఇంజిన్ల కారణంగా, పరీక్ష కోసం RAF కి డెలివరీ ఆలస్యం అయింది, బొంబాయిని స్పెసిఫికేషన్ విజేతగా"&amp;" ప్రకటించారు. ఈ ప్రోటోటైప్‌కు మే 1939 లో సివిల్ రిజిస్ట్రేషన్ జి-ఎఎఫ్‌ఆర్‌ఎక్స్ ఇవ్వబడింది, ఫ్లైట్ రీఫ్యూయలింగ్ లిమిటెడ్ ద్వారా ఇన్ఫ్లైట్ ఇంధనం నింపే అభివృద్ధికి చిన్న సామ్రాజ్యం ఎగిరే పడవతో ఉపయోగించబడింది. ఇది ఫిబ్రవరి 1940 లో ప్రపంచంలోని మొదటి రాత్రి రీ"&amp;"ఫ్యూయలింగ్ ప్రయోగాల కోసం ఉపయోగించబడింది. జూన్ 1940 లో ఫోర్డ్ ఎయిర్‌ఫీల్డ్‌పై జర్మన్ బాంబు దాడిలో ఇది నాశనం చేయబడింది. [3] 1914 నుండి బ్రిటిష్ బాంబర్ నుండి యునైటెడ్ కింగ్‌డమ్ డేటా. [2] సాధారణ లక్షణాలు పనితీరు ఆయుధాల సంబంధిత అభివృద్ధి విమానం పోల్చదగిన పాత్ర"&amp;", కాన్ఫిగరేషన్ మరియు ERA సంబంధిత జాబితాలు")</f>
        <v>ఆర్మ్‌స్ట్రాంగ్ విట్‌వర్త్ A.W.23 అనేది ఆర్మ్‌స్ట్రాంగ్ విట్‌వర్త్ విమానం బ్రిటిష్ వైమానిక మంత్రిత్వ శాఖ కోసం స్పెసిఫికేషన్ C.26/31 కు ఉత్పత్తి చేయబడిన ప్రోటోటైప్ బాంబర్/రవాణా విమానం. ఈ స్పెసిఫికేషన్‌ను తీర్చడానికి ఇది ఎంపిక చేయబడనప్పటికీ, ఇది తరువాతి ఆర్మ్‌స్ట్రాంగ్ విట్‌వర్త్ విట్లీ విమానానికి ఆధారం. స్పెసిఫికేషన్ C.26/31 కు రాయల్ ఎయిర్ ఫోర్స్ (RAF) తో సేవ కోసం ద్వంద్వ-ప్రయోజన బాంబర్/రవాణా విమానం అవసరం, స్పెసిఫికేషన్ దాని పాత్ర యొక్క రవాణా భాగాన్ని నొక్కి చెబుతుంది. A.W.23 ను ఆర్మ్‌స్ట్రాంగ్ విట్‌వర్త్ యొక్క చీఫ్ డిజైనర్ జాన్ లాయిడ్ రూపొందించారు, ఈ స్పెసిఫికేషన్‌ను కలవడానికి, హ్యాండ్లీ పేజ్ H.P.51 మరియు బ్రిస్టల్ బొంబాయిలతో పోటీ పడుతున్నారు. A.W.23 తక్కువ-వింగ్ ట్విన్-ఇంజిన్ మోనోప్లేన్, ఇది రెండు ఆర్మ్‌స్ట్రాంగ్ సిడ్లీ టైగర్ ఇంజన్లతో నడిచింది. ఇది ఒక ఫాబ్రిక్ కప్పబడిన కలుపుతో కూడిన స్టీల్ ఫ్యూజ్‌లేజ్ కలిగి ఉంది, దాని ప్రాధమిక రవాణా పాత్రను నెరవేర్చడానికి పెద్ద క్యాబిన్ ఉంది, కాని క్యాబిన్ ఫ్లోర్ కింద అంతర్గత బాంబు రాక్లకు గది ఉంది. రెక్కలు ఒక నవల నిర్మాణాన్ని ఉపయోగించాయి, ఆర్మ్‌స్ట్రాంగ్ విట్‌వర్త్ పేటెంట్, భారీ లైట్ అల్లాయ్ బాక్స్-స్పేర్ స్టీల్ ట్యూబ్‌లతో అంతర్గతంగా కలుపుతారు. ఈ నిర్మాణం చాలా బలంగా ఉంది, కానీ మందపాటి రెక్క విభాగం అవసరం, పెరుగుతుంది. ఈ రెక్కల నిర్మాణం ఆర్మ్‌స్ట్రాంగ్ విట్‌వర్త్ విట్లీ బాంబర్‌లో తిరిగి ఉపయోగించబడింది. A.W.23 అనేది ఉపసంహరించదగిన అండర్ క్యారేజీతో అమర్చిన మొదటి ఆర్మ్‌స్ట్రాంగ్ విట్‌వర్త్ విమానం. [1] [2] K3585 అనే ప్రోటోటైప్ మొదట 4 జూన్ 1935 న ఫ్లయింగ్ నిర్మించబడింది. [2] నమ్మదగని పులి ఇంజిన్ల కారణంగా, పరీక్ష కోసం RAF కి డెలివరీ ఆలస్యం అయింది, బొంబాయిని స్పెసిఫికేషన్ విజేతగా ప్రకటించారు. ఈ ప్రోటోటైప్‌కు మే 1939 లో సివిల్ రిజిస్ట్రేషన్ జి-ఎఎఫ్‌ఆర్‌ఎక్స్ ఇవ్వబడింది, ఫ్లైట్ రీఫ్యూయలింగ్ లిమిటెడ్ ద్వారా ఇన్ఫ్లైట్ ఇంధనం నింపే అభివృద్ధికి చిన్న సామ్రాజ్యం ఎగిరే పడవతో ఉపయోగించబడింది. ఇది ఫిబ్రవరి 1940 లో ప్రపంచంలోని మొదటి రాత్రి రీఫ్యూయలింగ్ ప్రయోగాల కోసం ఉపయోగించబడింది. జూన్ 1940 లో ఫోర్డ్ ఎయిర్‌ఫీల్డ్‌పై జర్మన్ బాంబు దాడిలో ఇది నాశనం చేయబడింది. [3] 1914 నుండి బ్రిటిష్ బాంబర్ నుండి యునైటెడ్ కింగ్‌డమ్ డేటా. [2] సాధారణ లక్షణాలు పనితీరు ఆయుధాల సంబంధిత అభివృద్ధి విమానం పోల్చదగిన పాత్ర, కాన్ఫిగరేషన్ మరియు ERA సంబంధిత జాబితాలు</v>
      </c>
      <c r="E21" s="1" t="s">
        <v>618</v>
      </c>
      <c r="F21" s="1" t="s">
        <v>619</v>
      </c>
      <c r="G21" s="1" t="str">
        <f>IFERROR(__xludf.DUMMYFUNCTION("GOOGLETRANSLATE(F:F, ""en"", ""te"")"),"బాంబర్/రవాణా")</f>
        <v>బాంబర్/రవాణా</v>
      </c>
      <c r="L21" s="1" t="s">
        <v>620</v>
      </c>
      <c r="M21" s="1" t="str">
        <f>IFERROR(__xludf.DUMMYFUNCTION("GOOGLETRANSLATE(L:L, ""en"", ""te"")"),"ఆర్మ్‌స్ట్రాంగ్ విట్‌వర్త్ విమానం")</f>
        <v>ఆర్మ్‌స్ట్రాంగ్ విట్‌వర్త్ విమానం</v>
      </c>
      <c r="N21" s="1" t="s">
        <v>621</v>
      </c>
      <c r="O21" s="1" t="s">
        <v>622</v>
      </c>
      <c r="P21" s="1" t="str">
        <f>IFERROR(__xludf.DUMMYFUNCTION("GOOGLETRANSLATE(O:O, ""en"", ""te"")"),"జాన్ లాయిడ్")</f>
        <v>జాన్ లాయిడ్</v>
      </c>
      <c r="R21" s="1">
        <v>1935.0</v>
      </c>
      <c r="S21" s="1">
        <v>1.0</v>
      </c>
      <c r="V21" s="1">
        <v>4.0</v>
      </c>
      <c r="W21" s="1" t="s">
        <v>623</v>
      </c>
      <c r="X21" s="1" t="s">
        <v>624</v>
      </c>
      <c r="Y21" s="1" t="s">
        <v>625</v>
      </c>
      <c r="Z21" s="1" t="s">
        <v>626</v>
      </c>
      <c r="AH21" s="1" t="s">
        <v>627</v>
      </c>
      <c r="AQ21" s="1">
        <v>1940.0</v>
      </c>
      <c r="AS21" s="1" t="s">
        <v>628</v>
      </c>
      <c r="AT21" s="1"/>
      <c r="AU21" s="1" t="s">
        <v>629</v>
      </c>
      <c r="AV21" s="1" t="s">
        <v>630</v>
      </c>
      <c r="AX21" s="1" t="s">
        <v>631</v>
      </c>
      <c r="AY21" s="1" t="str">
        <f>IFERROR(__xludf.DUMMYFUNCTION("GOOGLETRANSLATE(AX:AX, ""en"", ""te"")"),"2 × ఆర్మ్‌స్ట్రాంగ్ సిడ్లీ టైగర్ VI 14-సిలిండర్ రేడియల్ ఇంజన్లు, 810 హెచ్‌పి (600 కిలోవాట్)")</f>
        <v>2 × ఆర్మ్‌స్ట్రాంగ్ సిడ్లీ టైగర్ VI 14-సిలిండర్ రేడియల్ ఇంజన్లు, 810 హెచ్‌పి (600 కిలోవాట్)</v>
      </c>
      <c r="BB21" s="1" t="s">
        <v>632</v>
      </c>
      <c r="BD21" s="1" t="s">
        <v>633</v>
      </c>
      <c r="BG21" s="2"/>
      <c r="BT21" s="1" t="s">
        <v>634</v>
      </c>
      <c r="BU21" s="1" t="s">
        <v>635</v>
      </c>
      <c r="BV21" s="1" t="str">
        <f>IFERROR(__xludf.DUMMYFUNCTION("GOOGLETRANSLATE(BU:BU, ""en"", ""te"")"),"ధ్వంసమైంది")</f>
        <v>ధ్వంసమైంది</v>
      </c>
      <c r="BW21" s="1">
        <v>1935.0</v>
      </c>
      <c r="CB21" s="1" t="s">
        <v>636</v>
      </c>
      <c r="CC21" s="1" t="s">
        <v>637</v>
      </c>
      <c r="CD21" s="1" t="str">
        <f>IFERROR(__xludf.DUMMYFUNCTION("GOOGLETRANSLATE(CC:CC, ""en"", ""te"")"),"ముక్కు మరియు తోక టర్రెట్లలో సింగిల్ మెషిన్ గన్స్ కోసం సదుపాయం")</f>
        <v>ముక్కు మరియు తోక టర్రెట్లలో సింగిల్ మెషిన్ గన్స్ కోసం సదుపాయం</v>
      </c>
      <c r="CE21" s="1" t="s">
        <v>638</v>
      </c>
      <c r="CF21" s="1" t="str">
        <f>IFERROR(__xludf.DUMMYFUNCTION("GOOGLETRANSLATE(CE:CE, ""en"", ""te"")"),"అంతర్గతంగా 2,000 పౌండ్లు (907 కిలోలు) బాంబులు")</f>
        <v>అంతర్గతంగా 2,000 పౌండ్లు (907 కిలోలు) బాంబులు</v>
      </c>
      <c r="CR21" s="1" t="s">
        <v>639</v>
      </c>
      <c r="CS21" s="1" t="s">
        <v>640</v>
      </c>
    </row>
    <row r="22">
      <c r="A22" s="1" t="s">
        <v>641</v>
      </c>
      <c r="B22" s="1" t="str">
        <f>IFERROR(__xludf.DUMMYFUNCTION("GOOGLETRANSLATE(A:A, ""en"", ""te"")"),"అన్బో VIII")</f>
        <v>అన్బో VIII</v>
      </c>
      <c r="C22" s="1" t="s">
        <v>642</v>
      </c>
      <c r="D22" s="1" t="str">
        <f>IFERROR(__xludf.DUMMYFUNCTION("GOOGLETRANSLATE(C:C, ""en"", ""te"")"),"అన్బో VIII అనేది లిథువేనియన్ బాంబర్-రెకోనైసెన్స్ మోనోప్లేన్, అంటనాస్ గుస్టైటిస్ రూపొందించారు మరియు కరో ఏవియాసిజోస్ టైకిమో స్కైయస్ నిర్మించారు. [1] అన్బో VIII అనేది తక్కువ-వింగ్ మోనోప్లేన్, ఇది టెయిల్‌వీల్ ల్యాండింగ్ గేర్‌తో, పరివేష్టిత రెండు-సీట్ల టెన్డం "&amp;"కాక్‌పిట్ మరియు 930 హెచ్‌పి (694 కిలోవాట్ ప్రోటోటైప్ మరియు అన్బో VIII మాత్రమే మొదట 5 సెప్టెంబర్ 1939 న వినిపించింది మరియు సోవియట్ యూనియన్ దేశాన్ని స్వాధీనం చేసుకున్నప్పుడు ఇప్పటికీ పరీక్షలో ఉంది. పరీక్ష కోసం ప్రోటోటైప్‌ను సోవియట్ అధికారులు తొలగించారు. [1]"&amp;" [2] లిథువేనియన్ ఏవియేషన్ మ్యూజియం నుండి డేటా [2] సాధారణ లక్షణాల పనితీరు ఆయుధాలు")</f>
        <v>అన్బో VIII అనేది లిథువేనియన్ బాంబర్-రెకోనైసెన్స్ మోనోప్లేన్, అంటనాస్ గుస్టైటిస్ రూపొందించారు మరియు కరో ఏవియాసిజోస్ టైకిమో స్కైయస్ నిర్మించారు. [1] అన్బో VIII అనేది తక్కువ-వింగ్ మోనోప్లేన్, ఇది టెయిల్‌వీల్ ల్యాండింగ్ గేర్‌తో, పరివేష్టిత రెండు-సీట్ల టెన్డం కాక్‌పిట్ మరియు 930 హెచ్‌పి (694 కిలోవాట్ ప్రోటోటైప్ మరియు అన్బో VIII మాత్రమే మొదట 5 సెప్టెంబర్ 1939 న వినిపించింది మరియు సోవియట్ యూనియన్ దేశాన్ని స్వాధీనం చేసుకున్నప్పుడు ఇప్పటికీ పరీక్షలో ఉంది. పరీక్ష కోసం ప్రోటోటైప్‌ను సోవియట్ అధికారులు తొలగించారు. [1] [2] లిథువేనియన్ ఏవియేషన్ మ్యూజియం నుండి డేటా [2] సాధారణ లక్షణాల పనితీరు ఆయుధాలు</v>
      </c>
      <c r="E22" s="1" t="s">
        <v>643</v>
      </c>
      <c r="F22" s="1" t="s">
        <v>644</v>
      </c>
      <c r="G22" s="1" t="str">
        <f>IFERROR(__xludf.DUMMYFUNCTION("GOOGLETRANSLATE(F:F, ""en"", ""te"")"),"బాంబర్-నిఘా మోనోప్లేన్")</f>
        <v>బాంబర్-నిఘా మోనోప్లేన్</v>
      </c>
      <c r="H22" s="1" t="s">
        <v>645</v>
      </c>
      <c r="I22" s="1" t="s">
        <v>646</v>
      </c>
      <c r="J22" s="1" t="str">
        <f>IFERROR(__xludf.DUMMYFUNCTION("GOOGLETRANSLATE(I:I, ""en"", ""te"")"),"లిథువేనియా")</f>
        <v>లిథువేనియా</v>
      </c>
      <c r="K22" s="3" t="s">
        <v>647</v>
      </c>
      <c r="L22" s="1" t="s">
        <v>648</v>
      </c>
      <c r="M22" s="1" t="str">
        <f>IFERROR(__xludf.DUMMYFUNCTION("GOOGLETRANSLATE(L:L, ""en"", ""te"")"),"కరో ఏవియాసిజోస్ టైకిమో స్కైయస్")</f>
        <v>కరో ఏవియాసిజోస్ టైకిమో స్కైయస్</v>
      </c>
      <c r="N22" s="1" t="s">
        <v>649</v>
      </c>
      <c r="O22" s="1" t="s">
        <v>650</v>
      </c>
      <c r="P22" s="1" t="str">
        <f>IFERROR(__xludf.DUMMYFUNCTION("GOOGLETRANSLATE(O:O, ""en"", ""te"")"),"అంటనాస్ గుస్టైటిస్")</f>
        <v>అంటనాస్ గుస్టైటిస్</v>
      </c>
      <c r="Q22" s="1" t="s">
        <v>651</v>
      </c>
      <c r="R22" s="4">
        <v>14493.0</v>
      </c>
      <c r="S22" s="1">
        <v>1.0</v>
      </c>
      <c r="V22" s="1">
        <v>2.0</v>
      </c>
      <c r="W22" s="1" t="s">
        <v>652</v>
      </c>
      <c r="X22" s="1" t="s">
        <v>653</v>
      </c>
      <c r="Z22" s="1" t="s">
        <v>654</v>
      </c>
      <c r="AG22" s="1" t="s">
        <v>655</v>
      </c>
      <c r="AX22" s="1" t="s">
        <v>656</v>
      </c>
      <c r="AY22" s="1" t="str">
        <f>IFERROR(__xludf.DUMMYFUNCTION("GOOGLETRANSLATE(AX:AX, ""en"", ""te"")"),"1 × బ్రిస్టల్ పెగసాస్ XVIII రేడియల్ పిస్టన్ ఇంజిన్, 690 kW (930 HP)")</f>
        <v>1 × బ్రిస్టల్ పెగసాస్ XVIII రేడియల్ పిస్టన్ ఇంజిన్, 690 kW (930 HP)</v>
      </c>
      <c r="BB22" s="1" t="s">
        <v>657</v>
      </c>
      <c r="BD22" s="1" t="s">
        <v>658</v>
      </c>
      <c r="BG22" s="2"/>
      <c r="BX22" s="1"/>
      <c r="BY22" s="1" t="s">
        <v>659</v>
      </c>
      <c r="CB22" s="1" t="s">
        <v>660</v>
      </c>
      <c r="CC22" s="1" t="s">
        <v>661</v>
      </c>
      <c r="CD22" s="1" t="str">
        <f>IFERROR(__xludf.DUMMYFUNCTION("GOOGLETRANSLATE(CC:CC, ""en"", ""te"")"),"4 × 7.7 మిమీ (0.303 అంగుళాలు) 500 RPG తో ఫార్వర్డ్-ఫైరింగ్ M1919 బ్రౌనింగ్ మెషిన్ గన్స్")</f>
        <v>4 × 7.7 మిమీ (0.303 అంగుళాలు) 500 RPG తో ఫార్వర్డ్-ఫైరింగ్ M1919 బ్రౌనింగ్ మెషిన్ గన్స్</v>
      </c>
      <c r="CE22" s="1" t="s">
        <v>662</v>
      </c>
      <c r="CF22" s="1" t="str">
        <f>IFERROR(__xludf.DUMMYFUNCTION("GOOGLETRANSLATE(CE:CE, ""en"", ""te"")"),"ఫ్యూజ్‌లేజ్ బాంబ్ రాక్ మరియు/లేదా 400 కిలోల (880 ఎల్బి) పై 600 కిలోల (1,300 ఎల్బి) వరకు రెక్కల క్రింద.")</f>
        <v>ఫ్యూజ్‌లేజ్ బాంబ్ రాక్ మరియు/లేదా 400 కిలోల (880 ఎల్బి) పై 600 కిలోల (1,300 ఎల్బి) వరకు రెక్కల క్రింద.</v>
      </c>
      <c r="CU22" s="1" t="s">
        <v>663</v>
      </c>
    </row>
    <row r="23">
      <c r="A23" s="1" t="s">
        <v>664</v>
      </c>
      <c r="B23" s="1" t="str">
        <f>IFERROR(__xludf.DUMMYFUNCTION("GOOGLETRANSLATE(A:A, ""en"", ""te"")"),"కన్సాలిడేటెడ్ R2Y")</f>
        <v>కన్సాలిడేటెడ్ R2Y</v>
      </c>
      <c r="C23" s="1" t="s">
        <v>665</v>
      </c>
      <c r="D23" s="1" t="str">
        <f>IFERROR(__xludf.DUMMYFUNCTION("GOOGLETRANSLATE(C:C, ""en"", ""te"")"),"కన్సాలిడేటెడ్ R2Y ""లిబరేటర్ లైనర్"" (కన్సాలిడేటెడ్ మోడల్ 39) అనేది కన్సాలిడేటెడ్ ఎయిర్క్రాఫ్ట్ ద్వారా అమెరికా నేవీ కోసం నిర్మించిన B-24 లిబరేటర్ యొక్క విమాన ఉత్పన్నం. XR2Y-1, సింగిల్ ప్రోటోటైప్ నేవీ సేవలో ప్రసిద్ది చెందింది, లిబరేటర్ యొక్క అధిక-కారక వింగ"&amp;"్ మరియు ట్రైసైకిల్ ల్యాండింగ్ గేర్‌ను ఉపయోగించింది. ఫ్యూజ్‌లేజ్ పూర్తిగా కొత్త డిజైన్, మరియు నిలువు స్టెబిలైజర్ PB4Y ప్రైవేట్ నుండి తీసుకోబడింది. [1] ఫైనల్ డిజైన్ చిన్న, హై-వింగ్ బోయింగ్ బి -29 సూపర్‌ఫోర్ట్రెస్ లాగా ఉంది, కానీ ప్రయాణీకులకు కిటికీలతో. ఈ వి"&amp;"మానం ప్రయాణీకులను లేదా సరుకును సుదూర నేవీ స్థావరాలకు తీసుకెళ్లడానికి ఉద్దేశించబడింది, కాని క్లుప్త మూల్యాంకనం తరువాత 1940 ల మధ్యలో ప్రోటోటైప్ నిరుత్సాహపరిచింది, కన్వైర్ చేయడానికి తిరిగి వచ్చింది మరియు ""సిటీ ఆఫ్ సాలినాస్"" పేరుతో అమెరికన్ విమానయాన సంస్థలక"&amp;"ు ఫ్రైటర్‌గా లీజుకు ఇచ్చింది. [[(చేర్చుట రెండవ ప్రపంచ యుద్ధం యొక్క జేన్ యొక్క పోరాట విమానాల నుండి డేటా [1] సాధారణ లక్షణాలు పనితీరు సంబంధిత అభివృద్ధి విమానం పోల్చదగిన పాత్ర, కాన్ఫిగరేషన్ మరియు ERA సంబంధిత జాబితాలు")</f>
        <v>కన్సాలిడేటెడ్ R2Y "లిబరేటర్ లైనర్" (కన్సాలిడేటెడ్ మోడల్ 39) అనేది కన్సాలిడేటెడ్ ఎయిర్క్రాఫ్ట్ ద్వారా అమెరికా నేవీ కోసం నిర్మించిన B-24 లిబరేటర్ యొక్క విమాన ఉత్పన్నం. XR2Y-1, సింగిల్ ప్రోటోటైప్ నేవీ సేవలో ప్రసిద్ది చెందింది, లిబరేటర్ యొక్క అధిక-కారక వింగ్ మరియు ట్రైసైకిల్ ల్యాండింగ్ గేర్‌ను ఉపయోగించింది. ఫ్యూజ్‌లేజ్ పూర్తిగా కొత్త డిజైన్, మరియు నిలువు స్టెబిలైజర్ PB4Y ప్రైవేట్ నుండి తీసుకోబడింది. [1] ఫైనల్ డిజైన్ చిన్న, హై-వింగ్ బోయింగ్ బి -29 సూపర్‌ఫోర్ట్రెస్ లాగా ఉంది, కానీ ప్రయాణీకులకు కిటికీలతో. ఈ విమానం ప్రయాణీకులను లేదా సరుకును సుదూర నేవీ స్థావరాలకు తీసుకెళ్లడానికి ఉద్దేశించబడింది, కాని క్లుప్త మూల్యాంకనం తరువాత 1940 ల మధ్యలో ప్రోటోటైప్ నిరుత్సాహపరిచింది, కన్వైర్ చేయడానికి తిరిగి వచ్చింది మరియు "సిటీ ఆఫ్ సాలినాస్" పేరుతో అమెరికన్ విమానయాన సంస్థలకు ఫ్రైటర్‌గా లీజుకు ఇచ్చింది. [[(చేర్చుట రెండవ ప్రపంచ యుద్ధం యొక్క జేన్ యొక్క పోరాట విమానాల నుండి డేటా [1] సాధారణ లక్షణాలు పనితీరు సంబంధిత అభివృద్ధి విమానం పోల్చదగిన పాత్ర, కాన్ఫిగరేషన్ మరియు ERA సంబంధిత జాబితాలు</v>
      </c>
      <c r="E23" s="1" t="s">
        <v>666</v>
      </c>
      <c r="F23" s="1" t="s">
        <v>667</v>
      </c>
      <c r="G23" s="1" t="str">
        <f>IFERROR(__xludf.DUMMYFUNCTION("GOOGLETRANSLATE(F:F, ""en"", ""te"")"),"ప్రోటోటైప్ సైనిక రవాణా విమానం మరియు ప్రోటోటైప్ కార్గో విమానం")</f>
        <v>ప్రోటోటైప్ సైనిక రవాణా విమానం మరియు ప్రోటోటైప్ కార్గో విమానం</v>
      </c>
      <c r="H23" s="1" t="s">
        <v>668</v>
      </c>
      <c r="L23" s="1" t="s">
        <v>669</v>
      </c>
      <c r="M23" s="1" t="str">
        <f>IFERROR(__xludf.DUMMYFUNCTION("GOOGLETRANSLATE(L:L, ""en"", ""te"")"),"ఏకీకృత విమానం")</f>
        <v>ఏకీకృత విమానం</v>
      </c>
      <c r="N23" s="1" t="s">
        <v>670</v>
      </c>
      <c r="R23" s="4">
        <v>16177.0</v>
      </c>
      <c r="S23" s="1">
        <v>1.0</v>
      </c>
      <c r="V23" s="1" t="s">
        <v>671</v>
      </c>
      <c r="W23" s="1" t="s">
        <v>672</v>
      </c>
      <c r="X23" s="1" t="s">
        <v>673</v>
      </c>
      <c r="AF23" s="1" t="s">
        <v>674</v>
      </c>
      <c r="AH23" s="1" t="s">
        <v>675</v>
      </c>
      <c r="AS23" s="1" t="s">
        <v>676</v>
      </c>
      <c r="AT23" s="1"/>
      <c r="AU23" s="1" t="s">
        <v>677</v>
      </c>
      <c r="AV23" s="1" t="s">
        <v>678</v>
      </c>
      <c r="AX23" s="1" t="s">
        <v>679</v>
      </c>
      <c r="AY23" s="1" t="str">
        <f>IFERROR(__xludf.DUMMYFUNCTION("GOOGLETRANSLATE(AX:AX, ""en"", ""te"")"),"4 × ప్రాట్ &amp; విట్నీ R-1830-94 రేడియల్ ఇంజన్లు, 1,200 HP (900 kW) ఒక్కొక్కటి")</f>
        <v>4 × ప్రాట్ &amp; విట్నీ R-1830-94 రేడియల్ ఇంజన్లు, 1,200 HP (900 kW) ఒక్కొక్కటి</v>
      </c>
      <c r="BC23" s="1" t="s">
        <v>680</v>
      </c>
      <c r="BG23" s="2"/>
      <c r="BI23" s="1" t="s">
        <v>681</v>
      </c>
      <c r="BJ23" s="1" t="s">
        <v>682</v>
      </c>
      <c r="BT23" s="1" t="s">
        <v>683</v>
      </c>
      <c r="BU23" s="1" t="s">
        <v>684</v>
      </c>
      <c r="BV23" s="1" t="str">
        <f>IFERROR(__xludf.DUMMYFUNCTION("GOOGLETRANSLATE(BU:BU, ""en"", ""te"")"),"ప్రయోగాత్మక")</f>
        <v>ప్రయోగాత్మక</v>
      </c>
      <c r="BX23" s="1"/>
      <c r="BY23" s="1" t="s">
        <v>685</v>
      </c>
    </row>
    <row r="24">
      <c r="A24" s="1" t="s">
        <v>686</v>
      </c>
      <c r="B24" s="1" t="str">
        <f>IFERROR(__xludf.DUMMYFUNCTION("GOOGLETRANSLATE(A:A, ""en"", ""te"")"),"డ్యూయిటిన్ D.33")</f>
        <v>డ్యూయిటిన్ D.33</v>
      </c>
      <c r="C24" s="1" t="s">
        <v>687</v>
      </c>
      <c r="D24" s="1" t="str">
        <f>IFERROR(__xludf.DUMMYFUNCTION("GOOGLETRANSLATE(C:C, ""en"", ""te"")"),"డ్యూయిటిన్ D.33 అనేది డ్యూయిటిన్ కంపెనీ నిర్మించిన సింగిల్-ఇంజిన్ లో-వింగ్ మోనోప్లేన్ విమానం. [1] [2] 1930 లో దాని మొదటి విమానంలో సుదూర రికార్డును సృష్టించినందుకు ఇది గుర్తుంచుకోబడింది. [2] డి. మోడల్‌కు మూడు డాక్యుమెంట్ వైవిధ్యాలు ఉన్నాయి, వీటిలో ప్రతి ఒక"&amp;"్కటి ప్రత్యేక విమానంగా రూపొందించబడ్డాయి. రెండవ ప్రపంచ యుద్ధానికి ముందు ఈ విమానాల శ్రేణి చాలా వాణిజ్యపరంగా పరిగణించబడింది మరియు డ్యూయిటిన్ కంపెనీ స్థాపనలో వారు ప్రభావవంతంగా ఉన్నారు. [1] అసలు D.33 ఆధారంగా D.332 అభివృద్ధి చేయబడింది. [3] సింగిల్-స్పేర్ కాంటిల"&amp;"ివర్ లో-వింగ్ మోనోప్లేన్, D.332 అసలు రూపకల్పనకు ప్రాథమిక పోలికలను కలిగి ఉంది. [4] మొత్తం ఎనిమిది మంది ప్రయాణికులను పట్టుకోగలిగేటప్పుడు, D.332 లో చిన్న, పరివేష్టిత కాక్‌పిట్ ఉంది, ఏరోడైనమిక్ డిజైన్ మరియు దృ ret మైన అండర్ క్యారేజీతో. ఇది పూర్తిగా లోహం నుండి"&amp;" నిర్మించబడింది మరియు 1933 లో అసలు D.33 మోడల్ తర్వాత సుమారు మూడు సంవత్సరాల తరువాత నిర్మించబడింది. [1] [3] డి. పారిస్ టు సైగాన్. అయినప్పటికీ, ఇది 15 జనవరి 1935 న సైగాన్ నుండి తిరిగి వచ్చే విమానంలో క్రాష్ చేసింది. [1] [4] 1934 లో, D.333 మొదటిసారిగా రూపొందిం"&amp;"చబడింది, నిర్మించబడింది మరియు ఎగిరింది. ఇది దాని పూర్వీకుల నుండి భిన్నంగా ఉంది, దీనిలో ఇది మరింత విశాలమైన క్యాబిన్‌తో నిర్మించబడింది మరియు గరిష్టంగా 10 మంది ప్రయాణీకులను కలిగి ఉంటుంది. [4] ఈ మోడల్ యొక్క ప్రాధమిక కొనుగోలుదారు ఎయిర్ ఫ్రాన్స్; ఏదేమైనా, టౌలౌస"&amp;"్ మరియు డాకర్ మధ్య దూరం ఎగురుతున్నప్పుడు తరువాతి మూడు విమానాలలో రెండు క్రాష్ అయ్యాయి. [1] [4] 1935-6 D.338 యొక్క ముసాయిదా మరియు నమూనాను చూసింది. ఈ కొత్త మోడల్ ముడుచుకునే అండర్ క్యారేజీతో నిర్మించబడింది మరియు 22 మంది ప్రయాణీకులను గరిష్టంగా 1,950 కిమీ (1,21"&amp;"0 మైళ్ళు) కంటే ఎక్కువ తీసుకువెళతారు. 485 kW (650 HP) హిస్పానో-సుజా 9v16/17 ఇంజన్లతో అమర్చబడి, [4] D.338 గంటకు 260 కిమీ (160 mph) వేగంతో ప్రయాణించగలదు. డి. మొత్తం 31 డి .338 లను ఎయిర్ ఫ్రాన్స్ కొనుగోలు చేసింది, మరియు వాటిని రెండవ ప్రపంచ యుద్ధంలో ఉపయోగించార"&amp;"ు, అక్కడ వారు ట్రూప్ ట్రాన్స్పోర్టర్లుగా పనిచేశారు. యుద్ధంలో వారు ఉపయోగించిన తరువాత, ఎనిమిది విమానాలు మాత్రమే బయటపడ్డాయి. [4] అయినప్పటికీ, ఇది ఉన్నప్పటికీ, ఇటీవలి నిర్మాణాలు రూపొందించబడే వరకు ప్రాథమిక నమూనా ఇప్పటికీ సంవత్సరాలుగా ఉపయోగించబడింది. DEWOITINE "&amp;"D.33 లైన్ ఆధారంగా రెండు వన్-ఆఫ్ విమానాలను రూపొందించింది; D.342 మరియు D.620. ఈ రెండు విమానాల యొక్క ప్రత్యేకతలకు సంబంధించిన చాలా తక్కువ వివరాలు తెలిసినవి లేదా డాక్యుమెంట్ చేయబడ్డాయి. రెండూ ఎక్కువగా D.338 పై ఎక్కువగా ఉన్నాయి. [4]")</f>
        <v>డ్యూయిటిన్ D.33 అనేది డ్యూయిటిన్ కంపెనీ నిర్మించిన సింగిల్-ఇంజిన్ లో-వింగ్ మోనోప్లేన్ విమానం. [1] [2] 1930 లో దాని మొదటి విమానంలో సుదూర రికార్డును సృష్టించినందుకు ఇది గుర్తుంచుకోబడింది. [2] డి. మోడల్‌కు మూడు డాక్యుమెంట్ వైవిధ్యాలు ఉన్నాయి, వీటిలో ప్రతి ఒక్కటి ప్రత్యేక విమానంగా రూపొందించబడ్డాయి. రెండవ ప్రపంచ యుద్ధానికి ముందు ఈ విమానాల శ్రేణి చాలా వాణిజ్యపరంగా పరిగణించబడింది మరియు డ్యూయిటిన్ కంపెనీ స్థాపనలో వారు ప్రభావవంతంగా ఉన్నారు. [1] అసలు D.33 ఆధారంగా D.332 అభివృద్ధి చేయబడింది. [3] సింగిల్-స్పేర్ కాంటిలివర్ లో-వింగ్ మోనోప్లేన్, D.332 అసలు రూపకల్పనకు ప్రాథమిక పోలికలను కలిగి ఉంది. [4] మొత్తం ఎనిమిది మంది ప్రయాణికులను పట్టుకోగలిగేటప్పుడు, D.332 లో చిన్న, పరివేష్టిత కాక్‌పిట్ ఉంది, ఏరోడైనమిక్ డిజైన్ మరియు దృ ret మైన అండర్ క్యారేజీతో. ఇది పూర్తిగా లోహం నుండి నిర్మించబడింది మరియు 1933 లో అసలు D.33 మోడల్ తర్వాత సుమారు మూడు సంవత్సరాల తరువాత నిర్మించబడింది. [1] [3] డి. పారిస్ టు సైగాన్. అయినప్పటికీ, ఇది 15 జనవరి 1935 న సైగాన్ నుండి తిరిగి వచ్చే విమానంలో క్రాష్ చేసింది. [1] [4] 1934 లో, D.333 మొదటిసారిగా రూపొందించబడింది, నిర్మించబడింది మరియు ఎగిరింది. ఇది దాని పూర్వీకుల నుండి భిన్నంగా ఉంది, దీనిలో ఇది మరింత విశాలమైన క్యాబిన్‌తో నిర్మించబడింది మరియు గరిష్టంగా 10 మంది ప్రయాణీకులను కలిగి ఉంటుంది. [4] ఈ మోడల్ యొక్క ప్రాధమిక కొనుగోలుదారు ఎయిర్ ఫ్రాన్స్; ఏదేమైనా, టౌలౌస్ మరియు డాకర్ మధ్య దూరం ఎగురుతున్నప్పుడు తరువాతి మూడు విమానాలలో రెండు క్రాష్ అయ్యాయి. [1] [4] 1935-6 D.338 యొక్క ముసాయిదా మరియు నమూనాను చూసింది. ఈ కొత్త మోడల్ ముడుచుకునే అండర్ క్యారేజీతో నిర్మించబడింది మరియు 22 మంది ప్రయాణీకులను గరిష్టంగా 1,950 కిమీ (1,210 మైళ్ళు) కంటే ఎక్కువ తీసుకువెళతారు. 485 kW (650 HP) హిస్పానో-సుజా 9v16/17 ఇంజన్లతో అమర్చబడి, [4] D.338 గంటకు 260 కిమీ (160 mph) వేగంతో ప్రయాణించగలదు. డి. మొత్తం 31 డి .338 లను ఎయిర్ ఫ్రాన్స్ కొనుగోలు చేసింది, మరియు వాటిని రెండవ ప్రపంచ యుద్ధంలో ఉపయోగించారు, అక్కడ వారు ట్రూప్ ట్రాన్స్పోర్టర్లుగా పనిచేశారు. యుద్ధంలో వారు ఉపయోగించిన తరువాత, ఎనిమిది విమానాలు మాత్రమే బయటపడ్డాయి. [4] అయినప్పటికీ, ఇది ఉన్నప్పటికీ, ఇటీవలి నిర్మాణాలు రూపొందించబడే వరకు ప్రాథమిక నమూనా ఇప్పటికీ సంవత్సరాలుగా ఉపయోగించబడింది. DEWOITINE D.33 లైన్ ఆధారంగా రెండు వన్-ఆఫ్ విమానాలను రూపొందించింది; D.342 మరియు D.620. ఈ రెండు విమానాల యొక్క ప్రత్యేకతలకు సంబంధించిన చాలా తక్కువ వివరాలు తెలిసినవి లేదా డాక్యుమెంట్ చేయబడ్డాయి. రెండూ ఎక్కువగా D.338 పై ఎక్కువగా ఉన్నాయి. [4]</v>
      </c>
      <c r="E24" s="1" t="s">
        <v>688</v>
      </c>
      <c r="F24" s="1" t="s">
        <v>689</v>
      </c>
      <c r="G24" s="1" t="str">
        <f>IFERROR(__xludf.DUMMYFUNCTION("GOOGLETRANSLATE(F:F, ""en"", ""te"")"),"సింగిల్-ఇంజిన్ లో-వింగ్ మోనోప్లేన్")</f>
        <v>సింగిల్-ఇంజిన్ లో-వింగ్ మోనోప్లేన్</v>
      </c>
      <c r="H24" s="1" t="s">
        <v>690</v>
      </c>
      <c r="L24" s="1" t="s">
        <v>691</v>
      </c>
      <c r="M24" s="1" t="str">
        <f>IFERROR(__xludf.DUMMYFUNCTION("GOOGLETRANSLATE(L:L, ""en"", ""te"")"),"డ్యూయిటిన్")</f>
        <v>డ్యూయిటిన్</v>
      </c>
      <c r="N24" s="3" t="s">
        <v>692</v>
      </c>
      <c r="R24" s="1">
        <v>1930.0</v>
      </c>
      <c r="T24" s="1" t="s">
        <v>693</v>
      </c>
      <c r="U24" s="1" t="s">
        <v>694</v>
      </c>
      <c r="BF24" s="1" t="s">
        <v>695</v>
      </c>
      <c r="BG24" s="2" t="str">
        <f>IFERROR(__xludf.DUMMYFUNCTION("GOOGLETRANSLATE(BF:BF, ""en"", ""te"")"),"ఎయిర్ ఫ్రాన్స్")</f>
        <v>ఎయిర్ ఫ్రాన్స్</v>
      </c>
      <c r="BH24" s="1" t="s">
        <v>696</v>
      </c>
    </row>
    <row r="25">
      <c r="A25" s="1" t="s">
        <v>697</v>
      </c>
      <c r="B25" s="1" t="str">
        <f>IFERROR(__xludf.DUMMYFUNCTION("GOOGLETRANSLATE(A:A, ""en"", ""te"")"),"బ్లెరియోట్ 110")</f>
        <v>బ్లెరియోట్ 110</v>
      </c>
      <c r="C25" s="1" t="s">
        <v>698</v>
      </c>
      <c r="D25" s="1" t="str">
        <f>IFERROR(__xludf.DUMMYFUNCTION("GOOGLETRANSLATE(C:C, ""en"", ""te"")"),"బ్లెరియోట్ 110 (లేదా బ్లెరియోట్-జప్పాటా 110) 1930 లో కొత్త ప్రపంచ వైమానిక దూర రికార్డులను ప్రయత్నించడానికి ఒక ఫ్రెంచ్ విమానం. ఫ్రెంచ్ వైమానిక మంత్రిత్వ శాఖ యొక్క సేవా సాంకేతికత ఆదేశించిన అభ్యర్థన మేరకు ప్రత్యేకంగా నిర్మించబడింది. ఇది కలపతో నిర్మించిన రెండ"&amp;"ు-సీట్ల హై-వింగ్ మోనోప్లేన్. [1] ఫ్యూజ్‌లేజ్ రెండు ఎగువ లాంగన్లు మరియు వెంట్రల్ కీల్‌తో టియర్‌డ్రాప్-ఆకారపు క్రాస్ సెక్షన్‌తో ఒత్తిడితో కూడిన-చర్మం నిర్మాణం: లోడ్-బేరింగ్ కవరింగ్ మూడు పొరల వైట్‌వుడ్ స్ట్రిప్స్‌ను కలిగి ఉంటుంది. [2] ఇది రెక్కలలో ఆరు ఇంధన ట"&amp;"్యాంకులతో మరియు ఫ్యూజ్‌లేజ్‌లో నాలుగు అమర్చారు, మొత్తం 6,000 ఎల్ (1,319 ఇంపీరియల్ గ్యాలన్లు లేదా 1,585 యుఎస్ గాల్) కలిగి ఉంది. పైలట్ మరియు కో-పైలాట్స్ సీట్లు ఫ్యూజ్‌లేజ్ ఇంధన ట్యాంకుల వెనుక ఉన్నందున, టేకాఫ్ మరియు ల్యాండింగ్‌ల కోసం పెరిస్కోప్ అమర్చారు. కో-"&amp;"పైలట్ స్టేషన్ వెనుక స్లీపింగ్ మంచం అమర్చబడింది, కాబట్టి సిబ్బందిలో ఒకరు సుదూర విమానాలలో నిద్రపోవచ్చు. [3] 16 మే 1930 న విమానం యొక్క మొదటి ఫ్లైట్ ఇంధన సరఫరా సమస్యతో తగ్గించబడింది, అయినప్పటికీ ఎటువంటి నష్టం జరగలేదు. మరమ్మతుల తరువాత, క్లోజ్డ్-సర్క్యూట్ దూర ర"&amp;"ికార్డుపై ప్రయత్నం చేయడానికి అల్జీరియాలోని ఓరన్ వద్దకు తీసుకువెళ్లారు. నవంబర్ 15 మరియు 26 మార్చి 1932 మధ్య, లూసీన్ బోసోట్రోట్ మరియు మారిస్ రోస్సీ ఎగిరిన బ్లెరియోట్ 110, ఈ రికార్డును మూడుసార్లు బద్దలు కొట్టింది; చివరి సందర్భంలో 76 గంటలు 34 నిమిషాలు పైకి ఉం"&amp;"డి 10,601 కిమీ (6,587 మైళ్ళు) దూరాన్ని కలిగి ఉంటుంది. ఈ సమయానికి, 110 యొక్క ప్రత్యర్థి ది డ్యూయిటిన్ డి .33 ఎగురుతూ మరణించిన పైలట్ గౌరవార్థం ఈ విమానం జోసెఫ్ లే బ్రిక్స్ అని పేరు పెట్టారు. 5 ఆగస్టు 1933 న, పాల్ కోడోస్ మరియు మారిస్ రోసీ న్యూయార్క్ నుండి సిర"&amp;"ియాలోని రాయక్ వరకు ఎగురుతూ కొత్త సరళరేఖ దూర రికార్డును సృష్టించారు-9,105 కిమీ (5,658 మైళ్ళు) దూరం. రాబోయే రెండేళ్ళలో మరిన్ని రికార్డులు ప్రయత్నించబడ్డాయి, కాని ఇవి విజయవంతం కాలేదు, మరియు 110 రద్దు చేయబడింది. సాధారణ లక్షణాలు పోల్చదగిన పాత్ర, ఆకృతీకరణ మరియు"&amp;" యుగం యొక్క పనితీరు విమానం")</f>
        <v>బ్లెరియోట్ 110 (లేదా బ్లెరియోట్-జప్పాటా 110) 1930 లో కొత్త ప్రపంచ వైమానిక దూర రికార్డులను ప్రయత్నించడానికి ఒక ఫ్రెంచ్ విమానం. ఫ్రెంచ్ వైమానిక మంత్రిత్వ శాఖ యొక్క సేవా సాంకేతికత ఆదేశించిన అభ్యర్థన మేరకు ప్రత్యేకంగా నిర్మించబడింది. ఇది కలపతో నిర్మించిన రెండు-సీట్ల హై-వింగ్ మోనోప్లేన్. [1] ఫ్యూజ్‌లేజ్ రెండు ఎగువ లాంగన్లు మరియు వెంట్రల్ కీల్‌తో టియర్‌డ్రాప్-ఆకారపు క్రాస్ సెక్షన్‌తో ఒత్తిడితో కూడిన-చర్మం నిర్మాణం: లోడ్-బేరింగ్ కవరింగ్ మూడు పొరల వైట్‌వుడ్ స్ట్రిప్స్‌ను కలిగి ఉంటుంది. [2] ఇది రెక్కలలో ఆరు ఇంధన ట్యాంకులతో మరియు ఫ్యూజ్‌లేజ్‌లో నాలుగు అమర్చారు, మొత్తం 6,000 ఎల్ (1,319 ఇంపీరియల్ గ్యాలన్లు లేదా 1,585 యుఎస్ గాల్) కలిగి ఉంది. పైలట్ మరియు కో-పైలాట్స్ సీట్లు ఫ్యూజ్‌లేజ్ ఇంధన ట్యాంకుల వెనుక ఉన్నందున, టేకాఫ్ మరియు ల్యాండింగ్‌ల కోసం పెరిస్కోప్ అమర్చారు. కో-పైలట్ స్టేషన్ వెనుక స్లీపింగ్ మంచం అమర్చబడింది, కాబట్టి సిబ్బందిలో ఒకరు సుదూర విమానాలలో నిద్రపోవచ్చు. [3] 16 మే 1930 న విమానం యొక్క మొదటి ఫ్లైట్ ఇంధన సరఫరా సమస్యతో తగ్గించబడింది, అయినప్పటికీ ఎటువంటి నష్టం జరగలేదు. మరమ్మతుల తరువాత, క్లోజ్డ్-సర్క్యూట్ దూర రికార్డుపై ప్రయత్నం చేయడానికి అల్జీరియాలోని ఓరన్ వద్దకు తీసుకువెళ్లారు. నవంబర్ 15 మరియు 26 మార్చి 1932 మధ్య, లూసీన్ బోసోట్రోట్ మరియు మారిస్ రోస్సీ ఎగిరిన బ్లెరియోట్ 110, ఈ రికార్డును మూడుసార్లు బద్దలు కొట్టింది; చివరి సందర్భంలో 76 గంటలు 34 నిమిషాలు పైకి ఉండి 10,601 కిమీ (6,587 మైళ్ళు) దూరాన్ని కలిగి ఉంటుంది. ఈ సమయానికి, 110 యొక్క ప్రత్యర్థి ది డ్యూయిటిన్ డి .33 ఎగురుతూ మరణించిన పైలట్ గౌరవార్థం ఈ విమానం జోసెఫ్ లే బ్రిక్స్ అని పేరు పెట్టారు. 5 ఆగస్టు 1933 న, పాల్ కోడోస్ మరియు మారిస్ రోసీ న్యూయార్క్ నుండి సిరియాలోని రాయక్ వరకు ఎగురుతూ కొత్త సరళరేఖ దూర రికార్డును సృష్టించారు-9,105 కిమీ (5,658 మైళ్ళు) దూరం. రాబోయే రెండేళ్ళలో మరిన్ని రికార్డులు ప్రయత్నించబడ్డాయి, కాని ఇవి విజయవంతం కాలేదు, మరియు 110 రద్దు చేయబడింది. సాధారణ లక్షణాలు పోల్చదగిన పాత్ర, ఆకృతీకరణ మరియు యుగం యొక్క పనితీరు విమానం</v>
      </c>
      <c r="E25" s="1" t="s">
        <v>699</v>
      </c>
      <c r="F25" s="1" t="s">
        <v>700</v>
      </c>
      <c r="G25" s="1" t="str">
        <f>IFERROR(__xludf.DUMMYFUNCTION("GOOGLETRANSLATE(F:F, ""en"", ""te"")"),"సుదూర పరిశోధన విమానం")</f>
        <v>సుదూర పరిశోధన విమానం</v>
      </c>
      <c r="L25" s="1" t="s">
        <v>701</v>
      </c>
      <c r="M25" s="1" t="str">
        <f>IFERROR(__xludf.DUMMYFUNCTION("GOOGLETRANSLATE(L:L, ""en"", ""te"")"),"బ్లెరియోట్ ఏరోనాటిక్")</f>
        <v>బ్లెరియోట్ ఏరోనాటిక్</v>
      </c>
      <c r="N25" s="1" t="s">
        <v>702</v>
      </c>
      <c r="O25" s="1" t="s">
        <v>703</v>
      </c>
      <c r="P25" s="1" t="str">
        <f>IFERROR(__xludf.DUMMYFUNCTION("GOOGLETRANSLATE(O:O, ""en"", ""te"")"),"ఫిలిప్పో జప్పటా")</f>
        <v>ఫిలిప్పో జప్పటా</v>
      </c>
      <c r="Q25" s="1" t="s">
        <v>704</v>
      </c>
      <c r="R25" s="4">
        <v>11094.0</v>
      </c>
      <c r="S25" s="1">
        <v>1.0</v>
      </c>
      <c r="V25" s="1" t="s">
        <v>705</v>
      </c>
      <c r="W25" s="1" t="s">
        <v>706</v>
      </c>
      <c r="X25" s="1" t="s">
        <v>707</v>
      </c>
      <c r="Y25" s="1" t="s">
        <v>708</v>
      </c>
      <c r="Z25" s="1" t="s">
        <v>709</v>
      </c>
      <c r="AG25" s="1" t="s">
        <v>710</v>
      </c>
      <c r="AH25" s="1" t="s">
        <v>711</v>
      </c>
      <c r="AX25" s="1" t="s">
        <v>712</v>
      </c>
      <c r="AY25" s="1" t="str">
        <f>IFERROR(__xludf.DUMMYFUNCTION("GOOGLETRANSLATE(AX:AX, ""en"", ""te"")"),"1 × హిస్పానో-సుయిజా 12 ఎల్, 447 కిలోవాట్ (600 హెచ్‌పి)")</f>
        <v>1 × హిస్పానో-సుయిజా 12 ఎల్, 447 కిలోవాట్ (600 హెచ్‌పి)</v>
      </c>
      <c r="BB25" s="1" t="s">
        <v>713</v>
      </c>
      <c r="BD25" s="1" t="s">
        <v>714</v>
      </c>
      <c r="BG25" s="2"/>
      <c r="BT25" s="1" t="s">
        <v>715</v>
      </c>
    </row>
    <row r="26">
      <c r="A26" s="1" t="s">
        <v>716</v>
      </c>
      <c r="B26" s="1" t="str">
        <f>IFERROR(__xludf.DUMMYFUNCTION("GOOGLETRANSLATE(A:A, ""en"", ""te"")"),"బ్లెరియోట్ XII")</f>
        <v>బ్లెరియోట్ XII</v>
      </c>
      <c r="C26" s="1" t="s">
        <v>717</v>
      </c>
      <c r="D26" s="1" t="str">
        <f>IFERROR(__xludf.DUMMYFUNCTION("GOOGLETRANSLATE(C:C, ""en"", ""te"")"),"బ్లెరియోట్ XII లూయిస్ బ్లెరియోట్ నిర్మించిన ప్రారంభ ఫ్రెంచ్ విమానం. ఇది మొట్టమొదట మే 1909 లో ఎగురవేయబడింది మరియు ఇది ఇద్దరు ప్రయాణీకులతో విమానంలో ప్రయాణించిన మొట్టమొదటి విమానం, మరియు 1909 గోర్డాన్ బెన్నెట్ కప్‌లో రెండవ స్థానాన్ని పొందటానికి మరియు కొత్త ప్"&amp;"రపంచ వేగవంతమైన రికార్డును నెలకొల్పడానికి బ్ బారియోట్ దీనిని ఉపయోగించారు. బ్లెరియోట్ XII ఒక హై వింగ్ ట్రాక్టర్ కాన్ఫిగరేషన్ మోనోప్లేన్, లోతైన వెలికితీసిన ఫ్యూజ్‌లేజ్‌తో, రెక్కలు ఎగువ లాంగన్‌లపై అమర్చబడి, పైలట్ మరియు ప్రయాణీకుడు వింగ్ యొక్క వెనుకంజలో ఉన్న ఎ"&amp;"గువ మరియు దిగువ పొడవైన లాంగన్‌ల మధ్య కూర్చున్నాయి. పైలట్ వెనుక ఉన్న దిగువ లాన్స్‌పై రెక్కల నుండి స్వతంత్రంగా అమర్చిన ఒక జత ఐలెరాన్‌ల ద్వారా పార్శ్వ నియంత్రణ ప్రభావితమైంది. ప్రోటోటైప్ ప్రారంభంలో 40 హెచ్‌పి (30 కిలోవాట్) E.N.V. టైప్ డి వాటర్-కూల్డ్ ఇంజిన్ ద"&amp;"ిగువ లాంగన్స్‌పై అమర్చబడి, రెండు-బ్లేడెడ్ ప్రొపెల్లర్‌ను రెక్క వలె గొలుసు ద్వారా అదే స్థాయిలో అమర్చారు, తగ్గింపు నిష్పత్తి 2: 1 తో. మొదట ఎగిరినప్పుడు, సామ్రాజ్యం ఫ్యూజ్‌లేజ్ యొక్క విపరీత వెనుక భాగంలో ఒక ఎలివేటర్‌ను కలిగి ఉంది, ప్రత్యేక స్థిర క్షితిజ సమాంత"&amp;"ర ఉపరితలం పైన మరియు దాని ముందు అమర్చబడి ఉంటుంది, మరియు ఎలివేటర్ పైన మూడు చిన్న దీర్ఘచతురస్రాకార రడ్డర్లు. [1] మే 1909 లో ప్రారంభ విమాన ప్రయత్నాల తరువాత రడ్డర్లు తొలగించబడ్డాయి. వివిధ ఆకృతీకరణలు ప్రయోగాలు చేయబడ్డాయి, చివరి అమరిక పొడుగుచేసిన త్రిభుజాకార ఫిన"&amp;"్, దీర్ఘచతురస్రాకార అసమతుల్య చుక్కానితో వెనుకబడి ఉంది. ఈ విమానం మొదట మే 21 న బ్లెరియోట్ చేత ఎగురవేయబడింది. తరువాతి వారాల్లో అతను చాలా సుదీర్ఘ విమానాలు చేశాడు, మరియు జూన్ 12 న ముగ్గురు వ్యక్తులతో విమానంలో ప్రయాణించిన మొదటి విమానంగా మారింది. ప్రయాణీకులలో ఒక"&amp;"రు అల్బెర్టో శాంటాస్-డుమోంట్. [2] ఆగష్టు 22 మరియు ఆగస్టు 29 మధ్య రీమ్స్‌లో జరిగిన గ్రాండే సెమైన్ డి ఏవియేషన్ వద్ద బ్లెరియోట్ రెండు టైప్ XII XIIS ను ఎగరవేసింది, ప్రోటోటైప్ (ఇప్పుడు 60 HP (45 kW) E.N.V. రకం F మరియు మరొకటి 40 HP (30 kW) అంజని చేత శక్తినిస్తు"&amp;"ంది . MI) సర్క్యూట్, 7 నిమిషాల సమయం 47.8 సెకన్ల సమయం. అతని వేగం గంటకు 77 కిలోమీటర్లు (48 mph) దూరానికి కొత్త ప్రపంచ వేగం రికార్డు. ఇది నిలిచిపోయింది, క్రాష్ అయ్యింది మరియు మంటలు చెలరేగాయి. బ్లెరియోట్ విమానాన్ని దింపగలిగాడు మరియు స్పష్టంగా తెలుసుకున్నాడు, "&amp;"అతని ఓవర్ఆల్స్ ను బయట పెట్టడానికి నేలమీదకు వస్తాడు, ఇది మంటలను పట్టుకుంది, కాని విమానం నాశనం చేయబడింది. ఒక ఉదాహరణ 60 హార్స్‌పవర్ (45 కిలోవాట్ . టె ఈగిల్. ఏదేమైనా, గ్రాహమ్ వైట్ ఈ విమానం సంతృప్తికరంగా లేదని కనుగొన్నాడు, తరువాత దీనిని కల్నల్ జోసెఫ్ లేకాక్ మర"&amp;"ియు డ్యూక్ ఆఫ్ వెస్ట్ మినిస్టర్ లకు విక్రయించారు, దీనిని బ్రిటిష్ యుద్ధ కార్యాలయానికి సమర్పించారు, ఇది బెలూన్ పాఠశాల కలిగి ఉన్న మొదటి ఎయిర్-ఎయిర్ క్రాఫ్ట్ గా నిలిచింది. [[ 5] విమానాన్ని సేకరించడానికి లెఫ్టినెంట్ రెజినాల్డ్ కామెల్‌ను ఫ్రాన్స్‌కు పంపారు. కా"&amp;"మెల్ విమానం ప్రమాదకరమైన అస్థిరంగా మరియు చాలా నిటారుగా ఉన్న గ్లైడ్ కోణాన్ని కలిగి ఉంది. లార్కిల్ వద్ద ఇది ""ది మ్యాన్-కిల్లర్"" అనే మారుపేరును సంపాదించింది మరియు చివరికి రాయల్ ఎయిర్క్రాఫ్ట్ ఫ్యాక్టరీ పునర్నిర్మించబడింది, అతను దానిని S.E. గా మార్చాడు. 1. [1"&amp;". [[6] Opdycke 1999 నుండి డేటా p.55 జనరల్ లక్షణాల పనితీరు")</f>
        <v>బ్లెరియోట్ XII లూయిస్ బ్లెరియోట్ నిర్మించిన ప్రారంభ ఫ్రెంచ్ విమానం. ఇది మొట్టమొదట మే 1909 లో ఎగురవేయబడింది మరియు ఇది ఇద్దరు ప్రయాణీకులతో విమానంలో ప్రయాణించిన మొట్టమొదటి విమానం, మరియు 1909 గోర్డాన్ బెన్నెట్ కప్‌లో రెండవ స్థానాన్ని పొందటానికి మరియు కొత్త ప్రపంచ వేగవంతమైన రికార్డును నెలకొల్పడానికి బ్ బారియోట్ దీనిని ఉపయోగించారు. బ్లెరియోట్ XII ఒక హై వింగ్ ట్రాక్టర్ కాన్ఫిగరేషన్ మోనోప్లేన్, లోతైన వెలికితీసిన ఫ్యూజ్‌లేజ్‌తో, రెక్కలు ఎగువ లాంగన్‌లపై అమర్చబడి, పైలట్ మరియు ప్రయాణీకుడు వింగ్ యొక్క వెనుకంజలో ఉన్న ఎగువ మరియు దిగువ పొడవైన లాంగన్‌ల మధ్య కూర్చున్నాయి. పైలట్ వెనుక ఉన్న దిగువ లాన్స్‌పై రెక్కల నుండి స్వతంత్రంగా అమర్చిన ఒక జత ఐలెరాన్‌ల ద్వారా పార్శ్వ నియంత్రణ ప్రభావితమైంది. ప్రోటోటైప్ ప్రారంభంలో 40 హెచ్‌పి (30 కిలోవాట్) E.N.V. టైప్ డి వాటర్-కూల్డ్ ఇంజిన్ దిగువ లాంగన్స్‌పై అమర్చబడి, రెండు-బ్లేడెడ్ ప్రొపెల్లర్‌ను రెక్క వలె గొలుసు ద్వారా అదే స్థాయిలో అమర్చారు, తగ్గింపు నిష్పత్తి 2: 1 తో. మొదట ఎగిరినప్పుడు, సామ్రాజ్యం ఫ్యూజ్‌లేజ్ యొక్క విపరీత వెనుక భాగంలో ఒక ఎలివేటర్‌ను కలిగి ఉంది, ప్రత్యేక స్థిర క్షితిజ సమాంతర ఉపరితలం పైన మరియు దాని ముందు అమర్చబడి ఉంటుంది, మరియు ఎలివేటర్ పైన మూడు చిన్న దీర్ఘచతురస్రాకార రడ్డర్లు. [1] మే 1909 లో ప్రారంభ విమాన ప్రయత్నాల తరువాత రడ్డర్లు తొలగించబడ్డాయి. వివిధ ఆకృతీకరణలు ప్రయోగాలు చేయబడ్డాయి, చివరి అమరిక పొడుగుచేసిన త్రిభుజాకార ఫిన్, దీర్ఘచతురస్రాకార అసమతుల్య చుక్కానితో వెనుకబడి ఉంది. ఈ విమానం మొదట మే 21 న బ్లెరియోట్ చేత ఎగురవేయబడింది. తరువాతి వారాల్లో అతను చాలా సుదీర్ఘ విమానాలు చేశాడు, మరియు జూన్ 12 న ముగ్గురు వ్యక్తులతో విమానంలో ప్రయాణించిన మొదటి విమానంగా మారింది. ప్రయాణీకులలో ఒకరు అల్బెర్టో శాంటాస్-డుమోంట్. [2] ఆగష్టు 22 మరియు ఆగస్టు 29 మధ్య రీమ్స్‌లో జరిగిన గ్రాండే సెమైన్ డి ఏవియేషన్ వద్ద బ్లెరియోట్ రెండు టైప్ XII XIIS ను ఎగరవేసింది, ప్రోటోటైప్ (ఇప్పుడు 60 HP (45 kW) E.N.V. రకం F మరియు మరొకటి 40 HP (30 kW) అంజని చేత శక్తినిస్తుంది . MI) సర్క్యూట్, 7 నిమిషాల సమయం 47.8 సెకన్ల సమయం. అతని వేగం గంటకు 77 కిలోమీటర్లు (48 mph) దూరానికి కొత్త ప్రపంచ వేగం రికార్డు. ఇది నిలిచిపోయింది, క్రాష్ అయ్యింది మరియు మంటలు చెలరేగాయి. బ్లెరియోట్ విమానాన్ని దింపగలిగాడు మరియు స్పష్టంగా తెలుసుకున్నాడు, అతని ఓవర్ఆల్స్ ను బయట పెట్టడానికి నేలమీదకు వస్తాడు, ఇది మంటలను పట్టుకుంది, కాని విమానం నాశనం చేయబడింది. ఒక ఉదాహరణ 60 హార్స్‌పవర్ (45 కిలోవాట్ . టె ఈగిల్. ఏదేమైనా, గ్రాహమ్ వైట్ ఈ విమానం సంతృప్తికరంగా లేదని కనుగొన్నాడు, తరువాత దీనిని కల్నల్ జోసెఫ్ లేకాక్ మరియు డ్యూక్ ఆఫ్ వెస్ట్ మినిస్టర్ లకు విక్రయించారు, దీనిని బ్రిటిష్ యుద్ధ కార్యాలయానికి సమర్పించారు, ఇది బెలూన్ పాఠశాల కలిగి ఉన్న మొదటి ఎయిర్-ఎయిర్ క్రాఫ్ట్ గా నిలిచింది. [[ 5] విమానాన్ని సేకరించడానికి లెఫ్టినెంట్ రెజినాల్డ్ కామెల్‌ను ఫ్రాన్స్‌కు పంపారు. కామెల్ విమానం ప్రమాదకరమైన అస్థిరంగా మరియు చాలా నిటారుగా ఉన్న గ్లైడ్ కోణాన్ని కలిగి ఉంది. లార్కిల్ వద్ద ఇది "ది మ్యాన్-కిల్లర్" అనే మారుపేరును సంపాదించింది మరియు చివరికి రాయల్ ఎయిర్క్రాఫ్ట్ ఫ్యాక్టరీ పునర్నిర్మించబడింది, అతను దానిని S.E. గా మార్చాడు. 1. [1. [[6] Opdycke 1999 నుండి డేటా p.55 జనరల్ లక్షణాల పనితీరు</v>
      </c>
      <c r="E26" s="1" t="s">
        <v>718</v>
      </c>
      <c r="L26" s="1" t="s">
        <v>719</v>
      </c>
      <c r="M26" s="1" t="str">
        <f>IFERROR(__xludf.DUMMYFUNCTION("GOOGLETRANSLATE(L:L, ""en"", ""te"")"),"లూయిస్ బ్లెరియోట్")</f>
        <v>లూయిస్ బ్లెరియోట్</v>
      </c>
      <c r="N26" s="1" t="s">
        <v>720</v>
      </c>
      <c r="O26" s="1" t="s">
        <v>719</v>
      </c>
      <c r="P26" s="1" t="str">
        <f>IFERROR(__xludf.DUMMYFUNCTION("GOOGLETRANSLATE(O:O, ""en"", ""te"")"),"లూయిస్ బ్లెరియోట్")</f>
        <v>లూయిస్ బ్లెరియోట్</v>
      </c>
      <c r="Q26" s="1" t="s">
        <v>720</v>
      </c>
      <c r="R26" s="4">
        <v>3429.0</v>
      </c>
      <c r="S26" s="1" t="s">
        <v>721</v>
      </c>
      <c r="V26" s="1">
        <v>1.0</v>
      </c>
      <c r="W26" s="1" t="s">
        <v>652</v>
      </c>
      <c r="X26" s="1" t="s">
        <v>722</v>
      </c>
      <c r="Z26" s="1" t="s">
        <v>319</v>
      </c>
      <c r="AG26" s="1" t="s">
        <v>723</v>
      </c>
      <c r="AN26" s="1" t="s">
        <v>724</v>
      </c>
      <c r="AV26" s="1">
        <v>2.0</v>
      </c>
      <c r="AX26" s="1" t="s">
        <v>725</v>
      </c>
      <c r="AY26" s="1" t="str">
        <f>IFERROR(__xludf.DUMMYFUNCTION("GOOGLETRANSLATE(AX:AX, ""en"", ""te"")"),"1 × E.N.V. , 35 kW (47 HP)")</f>
        <v>1 × E.N.V. , 35 kW (47 HP)</v>
      </c>
      <c r="BB26" s="1" t="s">
        <v>726</v>
      </c>
      <c r="BG26" s="2"/>
    </row>
    <row r="27">
      <c r="A27" s="1" t="s">
        <v>727</v>
      </c>
      <c r="B27" s="1" t="str">
        <f>IFERROR(__xludf.DUMMYFUNCTION("GOOGLETRANSLATE(A:A, ""en"", ""te"")"),"బ్లెరియోట్-స్పాడ్ S.33")</f>
        <v>బ్లెరియోట్-స్పాడ్ S.33</v>
      </c>
      <c r="C27" s="1" t="s">
        <v>728</v>
      </c>
      <c r="D27" s="1" t="str">
        <f>IFERROR(__xludf.DUMMYFUNCTION("GOOGLETRANSLATE(C:C, ""en"", ""te"")"),"బ్లెరియోట్-స్పాడ్ S.33 ప్రపంచ యుద్ధం తరువాత అభివృద్ధి చెందిన ఒక చిన్న ఫ్రెంచ్ విమానం. ఈ విమానం సాంప్రదాయిక కాన్ఫిగరేషన్ యొక్క బిప్‌లేన్, దీని రూపకల్పన బ్లెరియోట్ కంపెనీ యొక్క సమకాలీన ఫైటర్ డిజైన్లైన S.20 కు చాలా రుణపడి ఉంది. మోనోకోక్ ఫ్యూజ్‌లేజ్‌లోని పరివ"&amp;"ేష్టిత క్యాబిన్‌లో నలుగురు ప్రయాణీకులను వసతి కల్పించవచ్చు మరియు ఐదవ ప్రయాణీకుడు పైలట్ పక్కన ఉన్న ఓపెన్ కాక్‌పిట్‌లో ప్రయాణించవచ్చు. గొప్ప విజయం, S.33 1920 లలో దాని రంగంలో, ప్రారంభంలో CMA యొక్క పారిస్-లండన్ మార్గంలో, మరియు తరువాత ఫ్రాంకో-రూమైన్ సేవ చేసిన ఖ"&amp;"ండాంతర మార్గాల్లో ఆధిపత్యం చెలాయించింది. ఒక ఆసక్తికరమైన అభివృద్ధి సిడ్నా చేత మార్చబడిన ఏకైక ఉదాహరణ, అంధ-ఎగిరే శిక్షకుడిగా పనిచేయడానికి. ప్రయాణీకుల క్యాబిన్ లోపల నియంత్రణల సమితి వ్యవస్థాపించబడింది, వీటి కిటికీలు బ్లాక్ అవుట్ అయ్యాయి. జేన్ యొక్క అన్ని ప్రపం"&amp;"చ విమానాల నుండి డేటా 1924, [1] ఏవియాఫ్రాన్స్: స్పాడ్ ఎస్ -33, [2] ఫ్లైట్ 7 జూలై 1921: [3] సాధారణ లక్షణాల పనితీరు సంబంధిత అభివృద్ధి")</f>
        <v>బ్లెరియోట్-స్పాడ్ S.33 ప్రపంచ యుద్ధం తరువాత అభివృద్ధి చెందిన ఒక చిన్న ఫ్రెంచ్ విమానం. ఈ విమానం సాంప్రదాయిక కాన్ఫిగరేషన్ యొక్క బిప్‌లేన్, దీని రూపకల్పన బ్లెరియోట్ కంపెనీ యొక్క సమకాలీన ఫైటర్ డిజైన్లైన S.20 కు చాలా రుణపడి ఉంది. మోనోకోక్ ఫ్యూజ్‌లేజ్‌లోని పరివేష్టిత క్యాబిన్‌లో నలుగురు ప్రయాణీకులను వసతి కల్పించవచ్చు మరియు ఐదవ ప్రయాణీకుడు పైలట్ పక్కన ఉన్న ఓపెన్ కాక్‌పిట్‌లో ప్రయాణించవచ్చు. గొప్ప విజయం, S.33 1920 లలో దాని రంగంలో, ప్రారంభంలో CMA యొక్క పారిస్-లండన్ మార్గంలో, మరియు తరువాత ఫ్రాంకో-రూమైన్ సేవ చేసిన ఖండాంతర మార్గాల్లో ఆధిపత్యం చెలాయించింది. ఒక ఆసక్తికరమైన అభివృద్ధి సిడ్నా చేత మార్చబడిన ఏకైక ఉదాహరణ, అంధ-ఎగిరే శిక్షకుడిగా పనిచేయడానికి. ప్రయాణీకుల క్యాబిన్ లోపల నియంత్రణల సమితి వ్యవస్థాపించబడింది, వీటి కిటికీలు బ్లాక్ అవుట్ అయ్యాయి. జేన్ యొక్క అన్ని ప్రపంచ విమానాల నుండి డేటా 1924, [1] ఏవియాఫ్రాన్స్: స్పాడ్ ఎస్ -33, [2] ఫ్లైట్ 7 జూలై 1921: [3] సాధారణ లక్షణాల పనితీరు సంబంధిత అభివృద్ధి</v>
      </c>
      <c r="E27" s="1" t="s">
        <v>729</v>
      </c>
      <c r="F27" s="1" t="s">
        <v>212</v>
      </c>
      <c r="G27" s="1" t="str">
        <f>IFERROR(__xludf.DUMMYFUNCTION("GOOGLETRANSLATE(F:F, ""en"", ""te"")"),"విమానాల")</f>
        <v>విమానాల</v>
      </c>
      <c r="L27" s="1" t="s">
        <v>730</v>
      </c>
      <c r="M27" s="1" t="str">
        <f>IFERROR(__xludf.DUMMYFUNCTION("GOOGLETRANSLATE(L:L, ""en"", ""te"")"),"బ్లెరియోట్")</f>
        <v>బ్లెరియోట్</v>
      </c>
      <c r="N27" s="1" t="s">
        <v>731</v>
      </c>
      <c r="R27" s="4">
        <v>7652.0</v>
      </c>
      <c r="S27" s="1" t="s">
        <v>732</v>
      </c>
      <c r="T27" s="1" t="s">
        <v>216</v>
      </c>
      <c r="U27" s="1" t="s">
        <v>733</v>
      </c>
      <c r="V27" s="1">
        <v>1.0</v>
      </c>
      <c r="W27" s="1" t="s">
        <v>734</v>
      </c>
      <c r="X27" s="1" t="s">
        <v>735</v>
      </c>
      <c r="Y27" s="1" t="s">
        <v>736</v>
      </c>
      <c r="Z27" s="1" t="s">
        <v>737</v>
      </c>
      <c r="AG27" s="1" t="s">
        <v>738</v>
      </c>
      <c r="AH27" s="1" t="s">
        <v>739</v>
      </c>
      <c r="AM27" s="1" t="s">
        <v>740</v>
      </c>
      <c r="AS27" s="1" t="s">
        <v>741</v>
      </c>
      <c r="AT27" s="1"/>
      <c r="AU27" s="1" t="s">
        <v>742</v>
      </c>
      <c r="AV27" s="1" t="s">
        <v>743</v>
      </c>
      <c r="AX27" s="1" t="s">
        <v>744</v>
      </c>
      <c r="AY27" s="1" t="str">
        <f>IFERROR(__xludf.DUMMYFUNCTION("GOOGLETRANSLATE(AX:AX, ""en"", ""te"")"),"× సాల్మ్సన్ CM.9 9-సిలిండర్ ఎయిర్-కూల్డ్ రేడియల్ పిస్టన్ ఇంజిన్, 190 కిలోవాట్ (260 హెచ్‌పి)")</f>
        <v>× సాల్మ్సన్ CM.9 9-సిలిండర్ ఎయిర్-కూల్డ్ రేడియల్ పిస్టన్ ఇంజిన్, 190 కిలోవాట్ (260 హెచ్‌పి)</v>
      </c>
      <c r="AZ27" s="1" t="s">
        <v>297</v>
      </c>
      <c r="BA27" s="1" t="str">
        <f>IFERROR(__xludf.DUMMYFUNCTION("GOOGLETRANSLATE(AZ:AZ, ""en"", ""te"")"),"2-బ్లేడెడ్ ఫిక్స్‌డ్-పిచ్ ప్రొపెల్లర్")</f>
        <v>2-బ్లేడెడ్ ఫిక్స్‌డ్-పిచ్ ప్రొపెల్లర్</v>
      </c>
      <c r="BB27" s="1" t="s">
        <v>745</v>
      </c>
      <c r="BD27" s="1" t="s">
        <v>746</v>
      </c>
      <c r="BE27" s="1" t="s">
        <v>747</v>
      </c>
      <c r="BG27" s="2"/>
      <c r="BT27" s="1" t="s">
        <v>748</v>
      </c>
      <c r="BZ27" s="1" t="s">
        <v>749</v>
      </c>
      <c r="CB27" s="1" t="s">
        <v>750</v>
      </c>
    </row>
    <row r="28">
      <c r="A28" s="1" t="s">
        <v>751</v>
      </c>
      <c r="B28" s="1" t="str">
        <f>IFERROR(__xludf.DUMMYFUNCTION("GOOGLETRANSLATE(A:A, ""en"", ""te"")"),"మావాగ్ హజా")</f>
        <v>మావాగ్ హజా</v>
      </c>
      <c r="C28" s="1" t="s">
        <v>752</v>
      </c>
      <c r="D28" s="1" t="str">
        <f>IFERROR(__xludf.DUMMYFUNCTION("GOOGLETRANSLATE(C:C, ""en"", ""te"")"),"మావాగ్ హేజా (""హాక్"") ఇటాలియన్ రెగ్సియాన్ రీ .2000 ఆధారంగా హంగేరియన్ ఫైటర్ విమానం. ఇటలీ నుండి పంపిణీ చేయబడిన 70 రెగ్గియాన్ RE2000 లు హంగేరియన్ పరికరాలతో సవరించబడ్డాయి మరియు హంగేరియన్-నిర్మించిన మన్‌ఫ్రెడ్ వీస్ WM K-14 ఇంజిన్‌లతో అమర్చబడ్డాయి. హంగేరియన్ త"&amp;"యారీకి హేజాను హంగేరియన్ తయారీకి తిరిగి రూపొందించారు మరియు మరో 203 ను మాగ్యార్ కిరోలియీ హోన్వేడ్ లెజియెర్ (రాయల్ హంగేరియన్ ఎయిర్ ఫోర్స్) కోసం మావగ్ నిర్మించారు, ఇది జర్మన్ యూనిట్లతో పాటు సోవియట్ యూనియన్‌కు వ్యతిరేకంగా కార్యకలాపాలను ఉపయోగించింది. డిసెంబర్ 1"&amp;"939 లో, ఇటలీ నుండి కొనుగోలు చేసిన డెబ్బై రెగ్గియాన్ RE.2000 ఫైటర్స్, మాగ్యార్ కిరెలి ఓల్లామి వాస్-, అకాల్-గెప్పీరాక్, (""రాయల్ హంగేరియన్ స్టేట్ ఐరన్, స్టీల్ మరియు మెషిన్ వర్క్స్"") కు పంపిణీ చేయబడ్డారు, అక్కడ వారు మావాగ్ హజాగా సవరించబడ్డారు నేను (""హాక్ I"&amp;""") యోధులు. అసలు పియాగియో పి.ఎక్సీ ఇంజిన్లను హంగేరియన్-నిర్మించిన మన్‌ఫ్రెడ్ వీస్ WM K-14 డ్రైవింగ్ హామిల్టన్ స్టాండర్డ్ మూడు-బ్లేడెడ్, స్థిరమైన-స్పీడ్ ప్రొపెల్లర్లు భర్తీ చేశారు. WM K-14 అనేది ఫ్రెంచ్ గ్నోమ్-రోన్ 14 కె ఇంజిన్ యొక్క లైసెన్స్ పొందిన కాపీ, "&amp;"ఇది గ్రావిటీ కేంద్రాన్ని సురక్షితమైన స్థానానికి పునరుద్ధరించడానికి, యోధుల ఫార్వర్డ్ ఫ్యూజ్‌లేజ్ యొక్క 1-అడుగుల 3-అంగుళాల పొడవు అవసరం. పియాగియో ఇంజిన్ గ్నోమ్-రోన్ 14 కె యొక్క కాపీ కూడా, ఇది ఇటాలియన్ ఇంజిన్ల కంటే నమ్మదగినది. ఏదేమైనా, ఈ విమానం కూడా అనేక లోపా"&amp;"లతో బాధపడింది. హంగేరియన్ మరియు ఇటాలియన్ రసాయన పరిశ్రమలు వింగ్ ట్యాంకుల కోసం తగినంత మంచి ఇన్సులేషన్ పదార్థాలను ఉత్పత్తి చేయలేకపోయాయి, అందువల్ల ప్రారంభ విమానాలు (హెజా I. మరియు ఇటాలియన్ అన్ని రీ .2000) నిరంతరం లీక్ అవుతున్న ఇంధన ట్యాంకులు మరియు చివరి మోడళ్లత"&amp;"ో (హేజా II.) వరుసలు ఉన్నాయి. రెక్కలో చిన్న ట్యాంకులు, కాబట్టి విమానం యొక్క తయారీ సంక్లిష్టత మరియు బరువు పెరిగింది. యా స్థిరత్వం పేలవంగా ఉంది మరియు సైడ్‌లిప్‌కు హేజా యొక్క ప్రవృత్తి తక్కువ ఎత్తులో చాలా ప్రమాదకరమైనది (ఇది ఇస్ట్వాన్ హోర్తిని చంపింది), అంతేకా"&amp;"క హెజా II యొక్క సామూహిక పెరుగుదల. ఈ సమస్యను మరింత దిగజార్చింది. [1] [2] మావగ్ హెజా II (హాక్ II) గా హంగేరిలో లైసెన్స్ కింద ఎక్కువ మంది హెజా యోధులను ఉత్పత్తి చేయడానికి త్వరలో ఒక నిర్ణయం తీసుకున్నారు. కొత్త హెజా II పూర్తిగా స్థానికంగా ఉత్పత్తి చేయబడిన ఎయిర్‌"&amp;"ఫ్రేమ్‌లు, ఇంజన్లు మరియు ఆయుధాలతో పూర్తిగా హంగేరియన్, ఇది జంట 12.7 మిమీ (0.500 అంగుళాలు) గెబౌర్ మోటార్జ్‌ప్స్కా 1940 గా మార్చబడింది. 4] మొట్టమొదటి మావాగ్ హజా II 30 అక్టోబర్ 1942 న ప్రసారం చేసాడు మరియు మావాగ్ రాయల్ హంగేరియన్ వైమానిక దళం కోసం మరో 203 హెజా I"&amp;"I లను నిర్మించాడు, చివరి విమానం 1944 ఆగస్టు 1 న పూర్తయింది. హంగేరి రాజ్యం ప్రపంచ యుద్ధంలో నాజీ జర్మనీతో పొత్తు పెట్టుకుంది. II, తూర్పు ముందు భాగంలో పోరాటంలో కనీసం ఒక హంగేరియన్ స్క్వాడ్రన్ మావాగ్ హేజాను ఎగురుతూ ఉంటుంది. ఏదేమైనా, చాలా మంది హెజాస్ హంగరీ లోపల"&amp;" వాయు రక్షణ పాత్రలో లేదా శిక్షకుడిగా పనిచేస్తున్నారు. 20 ఆగస్టు 1942 న, వ్యక్తిగత విషాదం హంగేరియన్ రీజెంట్ మిక్లేస్ హోర్తీని తాకింది, 37 ఏళ్ల ఇస్ట్వాన్ హోర్తి, హోర్తీ యొక్క పెద్ద కుమారుడు, హంగేరీకి చెందిన డిప్యూటీ రీజెంట్ మరియు రిజర్వులలో ఫ్లైట్ లెఫ్టినెం"&amp;"ట్, 1 యొక్క హెజా v.421 ను ఎగురుతున్నప్పుడు చంపబడ్డాడు. ఇలోవ్స్కోయ్ సమీపంలో 1 ఫైటర్ స్క్వాడ్రన్ రాయల్ హంగేరియన్ వైమానిక దళం. [5] 1943 లో, 98 హెజాస్ ఉత్పత్తి చేయబడ్డాయి మరియు మరో 72 1944 లో. అవి ఆధునిక సోవియట్ యోధులపై పోరాటానికి ఇకపై తగినవి కావు మరియు ఫైటర్"&amp;" ట్రైనర్‌గా మాత్రమే పనిచేయాలి. [6] లుఫ్ట్‌వాఫ్ఫే దాని హంగేరియన్ మిత్రదేశాన్ని తిరిగి సమకూర్చడానికి ఇష్టపడలేదు: విమానాల డెలివరీలు ప్రధానంగా ఫ్రంట్-లైన్ నిర్మాణాలకు వెళ్ళాయి మరియు హంగేరియన్-రొమేనియన్ సంఘర్షణకు ఇంకా ప్రమాదం ఉంది. అంతేకాకుండా, హిట్లర్ హంగేరియ"&amp;"న్ ఏవియేటర్స్ గురించి చాలా చెడ్డ అభిప్రాయాన్ని కలిగి ఉన్నాడు. [7] కాబట్టి, హంగేరియన్ వైమానిక దళం లైసెన్స్ నిర్మించిన రెగ్గియాన్‌ను ఉపయోగించవలసి వచ్చింది. హెజాస్ యొక్క చివరి ప్రమాదకర సోర్టీ 2 ఏప్రిల్ 1944 న జరిగింది, 180 15 వ వైమానిక దళం యుఎస్ఎఎఫ్ బాంబర్లు"&amp;", 170 మంది యోధులు ఎస్కార్ట్ చేసి, డానుబే విమాన పనులపై బుడాపెస్ట్ మరియు ఇతర లక్ష్యాలలో బాంబు దాడి చేశారు. ఫైటర్ కంట్రోల్ సెంటర్ 1/1 ఫైటర్ స్క్వాడ్రన్ నుండి హెజాస్ యొక్క ఒక వింగ్‌ను పంపింది, రెండు మెసెర్స్‌మిట్ ME 210CA లు మరియు 12 BF 109GS. హోన్వేడ్ పైలట్ల"&amp;"ు 11 అమెరికన్ విమానాలను పేర్కొన్నారు (వారిలో ఆరు ధృవీకరించబడ్డాయి). USAAF పైలట్లు 27 హంగేరియన్ విమానాలను కాల్చివేసినట్లు నివేదించగా, ఇద్దరు హంగేరియన్లు మాత్రమే చంపబడ్డారు. [8] పూర్తి బుక్ ఆఫ్ ఫైటర్స్ నుండి డేటా [9] సాధారణ లక్షణాలు పనితీరు ఆయుధాలు పోల్చదగి"&amp;"న పాత్ర, కాన్ఫిగరేషన్ మరియు ERA సంబంధిత జాబితాల విమానం")</f>
        <v>మావాగ్ హేజా ("హాక్") ఇటాలియన్ రెగ్సియాన్ రీ .2000 ఆధారంగా హంగేరియన్ ఫైటర్ విమానం. ఇటలీ నుండి పంపిణీ చేయబడిన 70 రెగ్గియాన్ RE2000 లు హంగేరియన్ పరికరాలతో సవరించబడ్డాయి మరియు హంగేరియన్-నిర్మించిన మన్‌ఫ్రెడ్ వీస్ WM K-14 ఇంజిన్‌లతో అమర్చబడ్డాయి. హంగేరియన్ తయారీకి హేజాను హంగేరియన్ తయారీకి తిరిగి రూపొందించారు మరియు మరో 203 ను మాగ్యార్ కిరోలియీ హోన్వేడ్ లెజియెర్ (రాయల్ హంగేరియన్ ఎయిర్ ఫోర్స్) కోసం మావగ్ నిర్మించారు, ఇది జర్మన్ యూనిట్లతో పాటు సోవియట్ యూనియన్‌కు వ్యతిరేకంగా కార్యకలాపాలను ఉపయోగించింది. డిసెంబర్ 1939 లో, ఇటలీ నుండి కొనుగోలు చేసిన డెబ్బై రెగ్గియాన్ RE.2000 ఫైటర్స్, మాగ్యార్ కిరెలి ఓల్లామి వాస్-, అకాల్-గెప్పీరాక్, ("రాయల్ హంగేరియన్ స్టేట్ ఐరన్, స్టీల్ మరియు మెషిన్ వర్క్స్") కు పంపిణీ చేయబడ్డారు, అక్కడ వారు మావాగ్ హజాగా సవరించబడ్డారు నేను ("హాక్ I") యోధులు. అసలు పియాగియో పి.ఎక్సీ ఇంజిన్లను హంగేరియన్-నిర్మించిన మన్‌ఫ్రెడ్ వీస్ WM K-14 డ్రైవింగ్ హామిల్టన్ స్టాండర్డ్ మూడు-బ్లేడెడ్, స్థిరమైన-స్పీడ్ ప్రొపెల్లర్లు భర్తీ చేశారు. WM K-14 అనేది ఫ్రెంచ్ గ్నోమ్-రోన్ 14 కె ఇంజిన్ యొక్క లైసెన్స్ పొందిన కాపీ, ఇది గ్రావిటీ కేంద్రాన్ని సురక్షితమైన స్థానానికి పునరుద్ధరించడానికి, యోధుల ఫార్వర్డ్ ఫ్యూజ్‌లేజ్ యొక్క 1-అడుగుల 3-అంగుళాల పొడవు అవసరం. పియాగియో ఇంజిన్ గ్నోమ్-రోన్ 14 కె యొక్క కాపీ కూడా, ఇది ఇటాలియన్ ఇంజిన్ల కంటే నమ్మదగినది. ఏదేమైనా, ఈ విమానం కూడా అనేక లోపాలతో బాధపడింది. హంగేరియన్ మరియు ఇటాలియన్ రసాయన పరిశ్రమలు వింగ్ ట్యాంకుల కోసం తగినంత మంచి ఇన్సులేషన్ పదార్థాలను ఉత్పత్తి చేయలేకపోయాయి, అందువల్ల ప్రారంభ విమానాలు (హెజా I. మరియు ఇటాలియన్ అన్ని రీ .2000) నిరంతరం లీక్ అవుతున్న ఇంధన ట్యాంకులు మరియు చివరి మోడళ్లతో (హేజా II.) వరుసలు ఉన్నాయి. రెక్కలో చిన్న ట్యాంకులు, కాబట్టి విమానం యొక్క తయారీ సంక్లిష్టత మరియు బరువు పెరిగింది. యా స్థిరత్వం పేలవంగా ఉంది మరియు సైడ్‌లిప్‌కు హేజా యొక్క ప్రవృత్తి తక్కువ ఎత్తులో చాలా ప్రమాదకరమైనది (ఇది ఇస్ట్వాన్ హోర్తిని చంపింది), అంతేకాక హెజా II యొక్క సామూహిక పెరుగుదల. ఈ సమస్యను మరింత దిగజార్చింది. [1] [2] మావగ్ హెజా II (హాక్ II) గా హంగేరిలో లైసెన్స్ కింద ఎక్కువ మంది హెజా యోధులను ఉత్పత్తి చేయడానికి త్వరలో ఒక నిర్ణయం తీసుకున్నారు. కొత్త హెజా II పూర్తిగా స్థానికంగా ఉత్పత్తి చేయబడిన ఎయిర్‌ఫ్రేమ్‌లు, ఇంజన్లు మరియు ఆయుధాలతో పూర్తిగా హంగేరియన్, ఇది జంట 12.7 మిమీ (0.500 అంగుళాలు) గెబౌర్ మోటార్జ్‌ప్స్కా 1940 గా మార్చబడింది. 4] మొట్టమొదటి మావాగ్ హజా II 30 అక్టోబర్ 1942 న ప్రసారం చేసాడు మరియు మావాగ్ రాయల్ హంగేరియన్ వైమానిక దళం కోసం మరో 203 హెజా II లను నిర్మించాడు, చివరి విమానం 1944 ఆగస్టు 1 న పూర్తయింది. హంగేరి రాజ్యం ప్రపంచ యుద్ధంలో నాజీ జర్మనీతో పొత్తు పెట్టుకుంది. II, తూర్పు ముందు భాగంలో పోరాటంలో కనీసం ఒక హంగేరియన్ స్క్వాడ్రన్ మావాగ్ హేజాను ఎగురుతూ ఉంటుంది. ఏదేమైనా, చాలా మంది హెజాస్ హంగరీ లోపల వాయు రక్షణ పాత్రలో లేదా శిక్షకుడిగా పనిచేస్తున్నారు. 20 ఆగస్టు 1942 న, వ్యక్తిగత విషాదం హంగేరియన్ రీజెంట్ మిక్లేస్ హోర్తీని తాకింది, 37 ఏళ్ల ఇస్ట్వాన్ హోర్తి, హోర్తీ యొక్క పెద్ద కుమారుడు, హంగేరీకి చెందిన డిప్యూటీ రీజెంట్ మరియు రిజర్వులలో ఫ్లైట్ లెఫ్టినెంట్, 1 యొక్క హెజా v.421 ను ఎగురుతున్నప్పుడు చంపబడ్డాడు. ఇలోవ్స్కోయ్ సమీపంలో 1 ఫైటర్ స్క్వాడ్రన్ రాయల్ హంగేరియన్ వైమానిక దళం. [5] 1943 లో, 98 హెజాస్ ఉత్పత్తి చేయబడ్డాయి మరియు మరో 72 1944 లో. అవి ఆధునిక సోవియట్ యోధులపై పోరాటానికి ఇకపై తగినవి కావు మరియు ఫైటర్ ట్రైనర్‌గా మాత్రమే పనిచేయాలి. [6] లుఫ్ట్‌వాఫ్ఫే దాని హంగేరియన్ మిత్రదేశాన్ని తిరిగి సమకూర్చడానికి ఇష్టపడలేదు: విమానాల డెలివరీలు ప్రధానంగా ఫ్రంట్-లైన్ నిర్మాణాలకు వెళ్ళాయి మరియు హంగేరియన్-రొమేనియన్ సంఘర్షణకు ఇంకా ప్రమాదం ఉంది. అంతేకాకుండా, హిట్లర్ హంగేరియన్ ఏవియేటర్స్ గురించి చాలా చెడ్డ అభిప్రాయాన్ని కలిగి ఉన్నాడు. [7] కాబట్టి, హంగేరియన్ వైమానిక దళం లైసెన్స్ నిర్మించిన రెగ్గియాన్‌ను ఉపయోగించవలసి వచ్చింది. హెజాస్ యొక్క చివరి ప్రమాదకర సోర్టీ 2 ఏప్రిల్ 1944 న జరిగింది, 180 15 వ వైమానిక దళం యుఎస్ఎఎఫ్ బాంబర్లు, 170 మంది యోధులు ఎస్కార్ట్ చేసి, డానుబే విమాన పనులపై బుడాపెస్ట్ మరియు ఇతర లక్ష్యాలలో బాంబు దాడి చేశారు. ఫైటర్ కంట్రోల్ సెంటర్ 1/1 ఫైటర్ స్క్వాడ్రన్ నుండి హెజాస్ యొక్క ఒక వింగ్‌ను పంపింది, రెండు మెసెర్స్‌మిట్ ME 210CA లు మరియు 12 BF 109GS. హోన్వేడ్ పైలట్లు 11 అమెరికన్ విమానాలను పేర్కొన్నారు (వారిలో ఆరు ధృవీకరించబడ్డాయి). USAAF పైలట్లు 27 హంగేరియన్ విమానాలను కాల్చివేసినట్లు నివేదించగా, ఇద్దరు హంగేరియన్లు మాత్రమే చంపబడ్డారు. [8] పూర్తి బుక్ ఆఫ్ ఫైటర్స్ నుండి డేటా [9] సాధారణ లక్షణాలు పనితీరు ఆయుధాలు పోల్చదగిన పాత్ర, కాన్ఫిగరేషన్ మరియు ERA సంబంధిత జాబితాల విమానం</v>
      </c>
      <c r="E28" s="1" t="s">
        <v>753</v>
      </c>
      <c r="F28" s="1" t="s">
        <v>421</v>
      </c>
      <c r="G28" s="1" t="str">
        <f>IFERROR(__xludf.DUMMYFUNCTION("GOOGLETRANSLATE(F:F, ""en"", ""te"")"),"యుద్ధ")</f>
        <v>యుద్ధ</v>
      </c>
      <c r="H28" s="3" t="s">
        <v>754</v>
      </c>
      <c r="I28" s="1" t="s">
        <v>755</v>
      </c>
      <c r="J28" s="1" t="str">
        <f>IFERROR(__xludf.DUMMYFUNCTION("GOOGLETRANSLATE(I:I, ""en"", ""te"")"),"హంగరీ")</f>
        <v>హంగరీ</v>
      </c>
      <c r="L28" s="1" t="s">
        <v>756</v>
      </c>
      <c r="M28" s="1" t="str">
        <f>IFERROR(__xludf.DUMMYFUNCTION("GOOGLETRANSLATE(L:L, ""en"", ""te"")"),"మావాగ్")</f>
        <v>మావాగ్</v>
      </c>
      <c r="N28" s="1" t="s">
        <v>757</v>
      </c>
      <c r="R28" s="1">
        <v>1940.0</v>
      </c>
      <c r="S28" s="1">
        <v>204.0</v>
      </c>
      <c r="V28" s="1">
        <v>1.0</v>
      </c>
      <c r="W28" s="1" t="s">
        <v>758</v>
      </c>
      <c r="X28" s="1" t="s">
        <v>368</v>
      </c>
      <c r="Y28" s="1" t="s">
        <v>403</v>
      </c>
      <c r="AF28" s="1" t="s">
        <v>759</v>
      </c>
      <c r="AG28" s="1" t="s">
        <v>760</v>
      </c>
      <c r="AH28" s="1" t="s">
        <v>761</v>
      </c>
      <c r="AO28" s="1">
        <v>1941.0</v>
      </c>
      <c r="AQ28" s="1">
        <v>1945.0</v>
      </c>
      <c r="AX28" s="1" t="s">
        <v>762</v>
      </c>
      <c r="AY28" s="1" t="str">
        <f>IFERROR(__xludf.DUMMYFUNCTION("GOOGLETRANSLATE(AX:AX, ""en"", ""te"")"),"1 × మన్‌ఫ్రెడ్ వీస్ WM K.14 14-సైండర్ ఎయిర్-కూల్డ్ రేడియల్ పిస్టన్ ఇంజిన్, 694 kW (931 HP) (గ్నోమ్-రోన్ 14KFRS మిస్ట్రాల్-మేజర్)")</f>
        <v>1 × మన్‌ఫ్రెడ్ వీస్ WM K.14 14-సైండర్ ఎయిర్-కూల్డ్ రేడియల్ పిస్టన్ ఇంజిన్, 694 kW (931 HP) (గ్నోమ్-రోన్ 14KFRS మిస్ట్రాల్-మేజర్)</v>
      </c>
      <c r="AZ28" s="1" t="s">
        <v>763</v>
      </c>
      <c r="BA28" s="1" t="str">
        <f>IFERROR(__xludf.DUMMYFUNCTION("GOOGLETRANSLATE(AZ:AZ, ""en"", ""te"")"),"3-బ్లేడెడ్ స్థిరమైన-స్పీడ్ ప్రొపెల్లర్")</f>
        <v>3-బ్లేడెడ్ స్థిరమైన-స్పీడ్ ప్రొపెల్లర్</v>
      </c>
      <c r="BB28" s="1" t="s">
        <v>764</v>
      </c>
      <c r="BD28" s="1" t="s">
        <v>765</v>
      </c>
      <c r="BF28" s="1" t="s">
        <v>766</v>
      </c>
      <c r="BG28" s="2" t="str">
        <f>IFERROR(__xludf.DUMMYFUNCTION("GOOGLETRANSLATE(BF:BF, ""en"", ""te"")"),"రాయల్ హంగేరియన్ వైమానిక దళం")</f>
        <v>రాయల్ హంగేరియన్ వైమానిక దళం</v>
      </c>
      <c r="BH28" s="1" t="s">
        <v>767</v>
      </c>
      <c r="BI28" s="1" t="s">
        <v>768</v>
      </c>
      <c r="BJ28" s="1" t="s">
        <v>769</v>
      </c>
      <c r="BT28" s="1" t="s">
        <v>770</v>
      </c>
      <c r="BU28" s="1" t="s">
        <v>36</v>
      </c>
      <c r="BV28" s="1" t="str">
        <f>IFERROR(__xludf.DUMMYFUNCTION("GOOGLETRANSLATE(BU:BU, ""en"", ""te"")"),"రిటైర్డ్")</f>
        <v>రిటైర్డ్</v>
      </c>
      <c r="BZ28" s="1" t="s">
        <v>771</v>
      </c>
      <c r="CC28" s="1" t="s">
        <v>772</v>
      </c>
      <c r="CD28" s="1" t="str">
        <f>IFERROR(__xludf.DUMMYFUNCTION("GOOGLETRANSLATE(CC:CC, ""en"", ""te"")"),"2x స్థిర ఫార్వర్డ్-ఫైరింగ్ 12.7 మిమీ (0.500 అంగుళాలు) గెబౌర్ మోటార్జ్పుస్కా 1940. మింటా జికెఎమ్ ఫ్యూజ్‌లేజ్ ముక్కులో మోటారు-నడిచే మెషిన్ గన్స్ [3] [4]")</f>
        <v>2x స్థిర ఫార్వర్డ్-ఫైరింగ్ 12.7 మిమీ (0.500 అంగుళాలు) గెబౌర్ మోటార్జ్పుస్కా 1940. మింటా జికెఎమ్ ఫ్యూజ్‌లేజ్ ముక్కులో మోటారు-నడిచే మెషిన్ గన్స్ [3] [4]</v>
      </c>
    </row>
    <row r="29">
      <c r="A29" s="1" t="s">
        <v>773</v>
      </c>
      <c r="B29" s="1" t="str">
        <f>IFERROR(__xludf.DUMMYFUNCTION("GOOGLETRANSLATE(A:A, ""en"", ""te"")"),"బొంబార్డియర్ ఛాలెంజర్ 850")</f>
        <v>బొంబార్డియర్ ఛాలెంజర్ 850</v>
      </c>
      <c r="C29" s="1" t="s">
        <v>774</v>
      </c>
      <c r="D29" s="1" t="str">
        <f>IFERROR(__xludf.DUMMYFUNCTION("GOOGLETRANSLATE(C:C, ""en"", ""te"")"),"బొంబార్డియర్ ఛాలెంజర్ 800 బొంబార్డియర్ ఏరోస్పేస్ నిర్మించిన అతిపెద్ద సూపర్-మిడ్సైజ్ బిజినెస్ జెట్. ఇది బొంబార్డియర్ యొక్క 50-సీట్ల బొంబార్డియర్ CRJ200 LR పై ఆధారపడింది. ఛాలెంజర్ 850 అనేది 2006 నుండి 2015 వరకు ఉత్పత్తి చేయబడిన నవీకరించబడిన సంస్కరణ. [3] ఛాల"&amp;"ెంజర్ 850 బొంబార్డియర్ CRJ200 విమానాల నుండి తీసుకోబడింది. ఇది 12-16 మంది ప్రయాణీకులకు వసతి కల్పించగలదు. ఛాలెంజర్ 850 జెట్ ట్రాన్స్ కాంటినెంటల్ రేంజ్ మరియు మాక్ 0.80 యొక్క హై-స్పీడ్ క్రూయిజ్ కలిగి ఉంది. ఛాలెంజర్ 850 మొట్టమొదట 1996 లో ఛాలెంజర్ SE (స్పెషల్ ఎ"&amp;"డిషన్) గా తయారు చేయబడింది మరియు 2006 లో ఛాలెంజర్ 850 గా రీబ్రాండ్ చేయబడింది. 71 డెలివరీలు పూర్తయిన తరువాత ఉత్పత్తి 2012 లో ముగిసింది. [4] బొంబార్డియర్ వెబ్‌సైట్ నుండి డేటా [5] సాధారణ లక్షణాలు పనితీరు ఏవియానిక్స్ సంబంధిత అభివృద్ధి సంబంధిత జాబితాలు")</f>
        <v>బొంబార్డియర్ ఛాలెంజర్ 800 బొంబార్డియర్ ఏరోస్పేస్ నిర్మించిన అతిపెద్ద సూపర్-మిడ్సైజ్ బిజినెస్ జెట్. ఇది బొంబార్డియర్ యొక్క 50-సీట్ల బొంబార్డియర్ CRJ200 LR పై ఆధారపడింది. ఛాలెంజర్ 850 అనేది 2006 నుండి 2015 వరకు ఉత్పత్తి చేయబడిన నవీకరించబడిన సంస్కరణ. [3] ఛాలెంజర్ 850 బొంబార్డియర్ CRJ200 విమానాల నుండి తీసుకోబడింది. ఇది 12-16 మంది ప్రయాణీకులకు వసతి కల్పించగలదు. ఛాలెంజర్ 850 జెట్ ట్రాన్స్ కాంటినెంటల్ రేంజ్ మరియు మాక్ 0.80 యొక్క హై-స్పీడ్ క్రూయిజ్ కలిగి ఉంది. ఛాలెంజర్ 850 మొట్టమొదట 1996 లో ఛాలెంజర్ SE (స్పెషల్ ఎడిషన్) గా తయారు చేయబడింది మరియు 2006 లో ఛాలెంజర్ 850 గా రీబ్రాండ్ చేయబడింది. 71 డెలివరీలు పూర్తయిన తరువాత ఉత్పత్తి 2012 లో ముగిసింది. [4] బొంబార్డియర్ వెబ్‌సైట్ నుండి డేటా [5] సాధారణ లక్షణాలు పనితీరు ఏవియానిక్స్ సంబంధిత అభివృద్ధి సంబంధిత జాబితాలు</v>
      </c>
      <c r="E29" s="1" t="s">
        <v>775</v>
      </c>
      <c r="F29" s="1" t="s">
        <v>496</v>
      </c>
      <c r="G29" s="1" t="str">
        <f>IFERROR(__xludf.DUMMYFUNCTION("GOOGLETRANSLATE(F:F, ""en"", ""te"")"),"బిజినెస్ జెట్")</f>
        <v>బిజినెస్ జెట్</v>
      </c>
      <c r="H29" s="1" t="s">
        <v>497</v>
      </c>
      <c r="L29" s="1" t="s">
        <v>776</v>
      </c>
      <c r="M29" s="1" t="str">
        <f>IFERROR(__xludf.DUMMYFUNCTION("GOOGLETRANSLATE(L:L, ""en"", ""te"")"),"బొంబార్డియర్ ఏరోస్పేస్")</f>
        <v>బొంబార్డియర్ ఏరోస్పేస్</v>
      </c>
      <c r="N29" s="1" t="s">
        <v>777</v>
      </c>
      <c r="R29" s="4">
        <v>38959.0</v>
      </c>
      <c r="V29" s="1" t="s">
        <v>778</v>
      </c>
      <c r="W29" s="1" t="s">
        <v>779</v>
      </c>
      <c r="X29" s="1" t="s">
        <v>780</v>
      </c>
      <c r="Y29" s="1" t="s">
        <v>781</v>
      </c>
      <c r="Z29" s="1" t="s">
        <v>782</v>
      </c>
      <c r="AG29" s="1" t="s">
        <v>783</v>
      </c>
      <c r="AO29" s="1" t="s">
        <v>784</v>
      </c>
      <c r="AQ29" s="1" t="s">
        <v>785</v>
      </c>
      <c r="AV29" s="1" t="s">
        <v>786</v>
      </c>
      <c r="AX29" s="1" t="s">
        <v>787</v>
      </c>
      <c r="AY29" s="1" t="str">
        <f>IFERROR(__xludf.DUMMYFUNCTION("GOOGLETRANSLATE(AX:AX, ""en"", ""te"")"),"2 × జనరల్ ఎలక్ట్రిక్ CF34-3B1 టర్బోఫాన్ ఇంజన్లు, 38.84 kN (8,730 lbf) ప్రతి 41 kN (9,217 lbf) ను take = ఆఫ్ ISA + 8 ° C (73 ° F)")</f>
        <v>2 × జనరల్ ఎలక్ట్రిక్ CF34-3B1 టర్బోఫాన్ ఇంజన్లు, 38.84 kN (8,730 lbf) ప్రతి 41 kN (9,217 lbf) ను take = ఆఫ్ ISA + 8 ° C (73 ° F)</v>
      </c>
      <c r="BB29" s="1" t="s">
        <v>788</v>
      </c>
      <c r="BC29" s="1" t="s">
        <v>789</v>
      </c>
      <c r="BD29" s="1" t="s">
        <v>790</v>
      </c>
      <c r="BF29" s="1" t="s">
        <v>791</v>
      </c>
      <c r="BG29" s="2" t="str">
        <f>IFERROR(__xludf.DUMMYFUNCTION("GOOGLETRANSLATE(BF:BF, ""en"", ""te"")"),"ఎయిర్ఎక్స్ చార్టర్")</f>
        <v>ఎయిర్ఎక్స్ చార్టర్</v>
      </c>
      <c r="BH29" s="1" t="s">
        <v>792</v>
      </c>
      <c r="BI29" s="1" t="s">
        <v>793</v>
      </c>
      <c r="BJ29" s="1" t="s">
        <v>794</v>
      </c>
      <c r="BT29" s="1" t="s">
        <v>795</v>
      </c>
      <c r="BU29" s="1" t="s">
        <v>796</v>
      </c>
      <c r="BV29" s="1" t="str">
        <f>IFERROR(__xludf.DUMMYFUNCTION("GOOGLETRANSLATE(BU:BU, ""en"", ""te"")"),"క్రియాశీల")</f>
        <v>క్రియాశీల</v>
      </c>
      <c r="BW29" s="1" t="s">
        <v>797</v>
      </c>
      <c r="CV29" s="1" t="s">
        <v>798</v>
      </c>
      <c r="CW29" s="1" t="s">
        <v>799</v>
      </c>
      <c r="CX29" s="1" t="s">
        <v>800</v>
      </c>
      <c r="CY29" s="1" t="s">
        <v>801</v>
      </c>
      <c r="CZ29" s="1" t="s">
        <v>802</v>
      </c>
      <c r="DA29" s="1" t="s">
        <v>803</v>
      </c>
      <c r="DB29" s="1" t="s">
        <v>804</v>
      </c>
      <c r="DC29" s="1" t="s">
        <v>805</v>
      </c>
      <c r="DD29" s="1" t="s">
        <v>806</v>
      </c>
      <c r="DE29" s="1" t="s">
        <v>807</v>
      </c>
      <c r="DF29" s="1" t="s">
        <v>808</v>
      </c>
      <c r="DG29" s="1" t="s">
        <v>809</v>
      </c>
    </row>
    <row r="30">
      <c r="A30" s="1" t="s">
        <v>810</v>
      </c>
      <c r="B30" s="1" t="str">
        <f>IFERROR(__xludf.DUMMYFUNCTION("GOOGLETRANSLATE(A:A, ""en"", ""te"")"),"బోహేమియా B.5")</f>
        <v>బోహేమియా B.5</v>
      </c>
      <c r="C30" s="1" t="s">
        <v>811</v>
      </c>
      <c r="D30" s="1" t="str">
        <f>IFERROR(__xludf.DUMMYFUNCTION("GOOGLETRANSLATE(C:C, ""en"", ""te"")"),"బోహేమియా B.5 అనేది ఒకే ఇంజిన్, రెండు సీటులు, లైట్ స్పోర్ట్ ఎయిర్క్రాఫ్ట్, ఇది మొదటి ప్రపంచ యుద్ధం తరువాత చెకోస్లోవేకియాలో రూపొందించబడింది మరియు నిర్మించబడింది. [1] మొదటి ప్రపంచ యుద్ధం ముగింపులో చెకోస్లోవేకియాలో రూపొందించిన మరియు నిర్మించిన మొట్టమొదటి విమా"&amp;"నం B.5. బోహేమియా పిల్సెన్ వర్క్స్ వద్ద రూపకల్పన చేయబడిన మరియు నిర్మించినది B.5 లో ఒక ఇంజిన్ మరియు రెండు సీట్లు ప్రత్యేక, టెన్డం ఓపెన్ కాక్‌పిట్‌లు ఉన్నాయి. [1] B.5 ఒక సాధారణ బిప్‌లేన్ స్పోర్ట్/ట్రైనర్ విమానం, ఇది ఎగువ మరియు దిగువ రెక్కలతో అస్థిరంగా ఉంటుంద"&amp;"ి; దిగువ వింగ్ రెండు కాక్‌పిట్‌లు మరియు ఒక ముక్క అప్పర్ వింగ్ మధ్య దిగువ ఫ్యూజ్‌లేజ్‌కు నేరుగా జతచేయబడుతుంది, క్యాబనే మరియు ఇంటర్-ప్లేన్ స్ట్రట్‌లపై మద్దతు ఉంది. [1] ఫ్యూజ్‌లేజ్ మరియు రెక్కల నిర్మాణం ఫాబ్రిక్ మరియు/లేదా ప్లైవుడ్ స్కిన్నింగ్ మరియు చెక్క ని"&amp;"ర్మాణంతో పూర్తిగా సాంప్రదాయంగా ఉంది. సాంప్రదాయిక ఫిన్ మరియు టెయిల్‌ప్లేన్ ఫ్యూజ్‌లేజ్ వెనుక భాగంలో ఉంచబడ్డాయి మరియు యా మరియు పిచ్ నియంత్రణ కోసం ఫిన్ మరియు ఎలివేటర్లతో ఉదారంగా ఉన్న ఎలివేటర్లతో అమర్చారు. రోల్ కంట్రోల్ ఎగువ రెక్కలకు మాత్రమే అమర్చిన ఐలెరాన్‌ల"&amp;" ద్వారా ప్రభావితమైంది. అండర్ క్యారేజ్ లో వైర్-బ్రెస్డ్ స్ట్రట్స్ మరియు ఫ్యూజ్‌లేజ్ యొక్క తీవ్ర చివరలో మొలకెత్తిన తోక-స్కిడ్ మద్దతు ఉన్న లైవ్ ఇరుసుపై బంగీ మొలకెత్తిన మెయిన్-వీల్స్ ఉన్నాయి. [1] న్యూ ఆటోమొబిల్-గెసెల్స్‌చాఫ్ట్ MBH నాగ్ 4-సిల్ ఇన్-లైన్ పిస్టన్"&amp;" ఇంజిన్ ద్వారా శక్తిని సరఫరా చేసింది, ఇది 40 హెచ్‌పి (30 కిలోవాట్) వద్ద రేట్ చేయబడింది, కాక్‌పిట్ నుండి చూసినట్లుగా రెండు-బ్లేడ్ చెక్క ప్రొపెల్లర్‌ను అపసవ్య దిశలో తిప్పికొట్టింది. [1] రంగులు మరియు గుర్తులు సరళమైనవి, ఫాబ్రిక్ కవరింగ్ దాని సహజ రంగులో స్పష్ట"&amp;"మైన వార్నిష్‌తో డోప్ చేయబడి ఉంటుంది. దిగువ వింగ్ బాటమ్ ఉపరితలం యొక్క పెద్ద నల్ల అక్షరాలు బోహేమియాను స్పెల్లింగ్ చేశాయి. [1] ప్రోటోటైప్ మొదట 27 ఏప్రిల్ 1919 న పిల్సెన్ ఏరోడ్రోమ్ నుండి ఎగిరింది, కానీ దాని పేలవమైన పనితీరు కారణంగా ఇది కొన్ని అమ్మకాలతో వాణిజ్య"&amp;" విజయం కాదు. [1] ప్రోటోటైప్ B.5 17 మే 1919 శనివారం కుప్పకూలింది, విద్యార్థి జోసెఫ్ క్లిబ్రా్‌ను చంపి, వెనుక కాక్‌పిట్‌లో బోధకుడిని కొంచెం గాయపరిచింది, రుడాల్ఫ్ పోలనెక్. B.5 యొక్క అవశేషాలు కేవలం ఆరు వారాల్లో వేగంగా పునరుత్థానం చేయబడ్డాయి. [1] క్రుడిమ్ జె. "&amp;"వైస్నర్ యాజమాన్యంలోని 1923 వరకు B.5 ఎగురుతూనే ఉంది. ఈ సమయానికి నాగ్ ఇంజిన్ పూర్తిగా అరిగిపోయింది మరియు అసురక్షితంగా ఉంది. ఏరో ఫ్యాక్టరీ నుండి వైస్నర్ మరియు ఒక టెస్ట్ పైలట్, రుడాల్ఫ్ వాలెంటా, ఇంజిన్‌ను తొలగించి, ముందు ఫ్యూజ్‌లేజ్‌ను సవరించడం మరియు చక్రాల అ"&amp;"ండర్ క్యారేజీని స్కిడ్‌లతో భర్తీ చేయడం ద్వారా B.5 ను గ్లైడర్‌గా మార్చారు. పేలవమైన ఏరోడైనమిక్ లక్షణాలు మరియు తగిన లాంచింగ్ ప్రాంతం లేకపోవడం వల్ల వాలెంటా క్బెల్స్కె గ్లైడర్‌ను ఎగరడానికి చేసిన ప్రయత్నాల ఫలితాలు మధ్యస్థంగా ఉన్నాయి. [1] ఈ రోజు పూర్తి B.5 లేదు,"&amp;" కానీ KBELY లోని ప్రేగ్ ఏవియేషన్ మ్యూజియంలో ఫ్యూజ్‌లేజ్ ప్రదర్శనలో ఉంది. [1] పోల్చదగిన పాత్ర, కాన్ఫిగరేషన్ మరియు ERA యొక్క సాధారణ లక్షణాల పనితీరు విమానం నుండి డేటా")</f>
        <v>బోహేమియా B.5 అనేది ఒకే ఇంజిన్, రెండు సీటులు, లైట్ స్పోర్ట్ ఎయిర్క్రాఫ్ట్, ఇది మొదటి ప్రపంచ యుద్ధం తరువాత చెకోస్లోవేకియాలో రూపొందించబడింది మరియు నిర్మించబడింది. [1] మొదటి ప్రపంచ యుద్ధం ముగింపులో చెకోస్లోవేకియాలో రూపొందించిన మరియు నిర్మించిన మొట్టమొదటి విమానం B.5. బోహేమియా పిల్సెన్ వర్క్స్ వద్ద రూపకల్పన చేయబడిన మరియు నిర్మించినది B.5 లో ఒక ఇంజిన్ మరియు రెండు సీట్లు ప్రత్యేక, టెన్డం ఓపెన్ కాక్‌పిట్‌లు ఉన్నాయి. [1] B.5 ఒక సాధారణ బిప్‌లేన్ స్పోర్ట్/ట్రైనర్ విమానం, ఇది ఎగువ మరియు దిగువ రెక్కలతో అస్థిరంగా ఉంటుంది; దిగువ వింగ్ రెండు కాక్‌పిట్‌లు మరియు ఒక ముక్క అప్పర్ వింగ్ మధ్య దిగువ ఫ్యూజ్‌లేజ్‌కు నేరుగా జతచేయబడుతుంది, క్యాబనే మరియు ఇంటర్-ప్లేన్ స్ట్రట్‌లపై మద్దతు ఉంది. [1] ఫ్యూజ్‌లేజ్ మరియు రెక్కల నిర్మాణం ఫాబ్రిక్ మరియు/లేదా ప్లైవుడ్ స్కిన్నింగ్ మరియు చెక్క నిర్మాణంతో పూర్తిగా సాంప్రదాయంగా ఉంది. సాంప్రదాయిక ఫిన్ మరియు టెయిల్‌ప్లేన్ ఫ్యూజ్‌లేజ్ వెనుక భాగంలో ఉంచబడ్డాయి మరియు యా మరియు పిచ్ నియంత్రణ కోసం ఫిన్ మరియు ఎలివేటర్లతో ఉదారంగా ఉన్న ఎలివేటర్లతో అమర్చారు. రోల్ కంట్రోల్ ఎగువ రెక్కలకు మాత్రమే అమర్చిన ఐలెరాన్‌ల ద్వారా ప్రభావితమైంది. అండర్ క్యారేజ్ లో వైర్-బ్రెస్డ్ స్ట్రట్స్ మరియు ఫ్యూజ్‌లేజ్ యొక్క తీవ్ర చివరలో మొలకెత్తిన తోక-స్కిడ్ మద్దతు ఉన్న లైవ్ ఇరుసుపై బంగీ మొలకెత్తిన మెయిన్-వీల్స్ ఉన్నాయి. [1] న్యూ ఆటోమొబిల్-గెసెల్స్‌చాఫ్ట్ MBH నాగ్ 4-సిల్ ఇన్-లైన్ పిస్టన్ ఇంజిన్ ద్వారా శక్తిని సరఫరా చేసింది, ఇది 40 హెచ్‌పి (30 కిలోవాట్) వద్ద రేట్ చేయబడింది, కాక్‌పిట్ నుండి చూసినట్లుగా రెండు-బ్లేడ్ చెక్క ప్రొపెల్లర్‌ను అపసవ్య దిశలో తిప్పికొట్టింది. [1] రంగులు మరియు గుర్తులు సరళమైనవి, ఫాబ్రిక్ కవరింగ్ దాని సహజ రంగులో స్పష్టమైన వార్నిష్‌తో డోప్ చేయబడి ఉంటుంది. దిగువ వింగ్ బాటమ్ ఉపరితలం యొక్క పెద్ద నల్ల అక్షరాలు బోహేమియాను స్పెల్లింగ్ చేశాయి. [1] ప్రోటోటైప్ మొదట 27 ఏప్రిల్ 1919 న పిల్సెన్ ఏరోడ్రోమ్ నుండి ఎగిరింది, కానీ దాని పేలవమైన పనితీరు కారణంగా ఇది కొన్ని అమ్మకాలతో వాణిజ్య విజయం కాదు. [1] ప్రోటోటైప్ B.5 17 మే 1919 శనివారం కుప్పకూలింది, విద్యార్థి జోసెఫ్ క్లిబ్రా్‌ను చంపి, వెనుక కాక్‌పిట్‌లో బోధకుడిని కొంచెం గాయపరిచింది, రుడాల్ఫ్ పోలనెక్. B.5 యొక్క అవశేషాలు కేవలం ఆరు వారాల్లో వేగంగా పునరుత్థానం చేయబడ్డాయి. [1] క్రుడిమ్ జె. వైస్నర్ యాజమాన్యంలోని 1923 వరకు B.5 ఎగురుతూనే ఉంది. ఈ సమయానికి నాగ్ ఇంజిన్ పూర్తిగా అరిగిపోయింది మరియు అసురక్షితంగా ఉంది. ఏరో ఫ్యాక్టరీ నుండి వైస్నర్ మరియు ఒక టెస్ట్ పైలట్, రుడాల్ఫ్ వాలెంటా, ఇంజిన్‌ను తొలగించి, ముందు ఫ్యూజ్‌లేజ్‌ను సవరించడం మరియు చక్రాల అండర్ క్యారేజీని స్కిడ్‌లతో భర్తీ చేయడం ద్వారా B.5 ను గ్లైడర్‌గా మార్చారు. పేలవమైన ఏరోడైనమిక్ లక్షణాలు మరియు తగిన లాంచింగ్ ప్రాంతం లేకపోవడం వల్ల వాలెంటా క్బెల్స్కె గ్లైడర్‌ను ఎగరడానికి చేసిన ప్రయత్నాల ఫలితాలు మధ్యస్థంగా ఉన్నాయి. [1] ఈ రోజు పూర్తి B.5 లేదు, కానీ KBELY లోని ప్రేగ్ ఏవియేషన్ మ్యూజియంలో ఫ్యూజ్‌లేజ్ ప్రదర్శనలో ఉంది. [1] పోల్చదగిన పాత్ర, కాన్ఫిగరేషన్ మరియు ERA యొక్క సాధారణ లక్షణాల పనితీరు విమానం నుండి డేటా</v>
      </c>
      <c r="E30" s="1" t="s">
        <v>812</v>
      </c>
      <c r="F30" s="1" t="s">
        <v>813</v>
      </c>
      <c r="G30" s="1" t="str">
        <f>IFERROR(__xludf.DUMMYFUNCTION("GOOGLETRANSLATE(F:F, ""en"", ""te"")"),"స్పోర్ట్ ట్రైనర్")</f>
        <v>స్పోర్ట్ ట్రైనర్</v>
      </c>
      <c r="I30" s="1" t="s">
        <v>814</v>
      </c>
      <c r="J30" s="1" t="str">
        <f>IFERROR(__xludf.DUMMYFUNCTION("GOOGLETRANSLATE(I:I, ""en"", ""te"")"),"చెకోస్లోవేకియా")</f>
        <v>చెకోస్లోవేకియా</v>
      </c>
      <c r="L30" s="1" t="s">
        <v>815</v>
      </c>
      <c r="M30" s="1" t="str">
        <f>IFERROR(__xludf.DUMMYFUNCTION("GOOGLETRANSLATE(L:L, ""en"", ""te"")"),"బోహేమియా పిల్సెన్ విమానం పనిచేస్తుంది")</f>
        <v>బోహేమియా పిల్సెన్ విమానం పనిచేస్తుంది</v>
      </c>
      <c r="N30" s="1" t="s">
        <v>816</v>
      </c>
      <c r="R30" s="1" t="s">
        <v>817</v>
      </c>
      <c r="S30" s="1" t="s">
        <v>818</v>
      </c>
      <c r="V30" s="1" t="s">
        <v>819</v>
      </c>
      <c r="W30" s="1" t="s">
        <v>820</v>
      </c>
      <c r="X30" s="1" t="s">
        <v>821</v>
      </c>
      <c r="Y30" s="1" t="s">
        <v>822</v>
      </c>
      <c r="Z30" s="1" t="s">
        <v>823</v>
      </c>
      <c r="AG30" s="1" t="s">
        <v>824</v>
      </c>
      <c r="AH30" s="1" t="s">
        <v>825</v>
      </c>
      <c r="AV30" s="1" t="s">
        <v>819</v>
      </c>
      <c r="AX30" s="1" t="s">
        <v>826</v>
      </c>
      <c r="AY30" s="1" t="str">
        <f>IFERROR(__xludf.DUMMYFUNCTION("GOOGLETRANSLATE(AX:AX, ""en"", ""te"")"),"1 × neue ఆటోమొబిల్-గెసెల్స్‌చాఫ్ట్ MBH నాగ్ 4-సిల్ ఇన్-లైన్, 30 kW (40 hp)")</f>
        <v>1 × neue ఆటోమొబిల్-గెసెల్స్‌చాఫ్ట్ MBH నాగ్ 4-సిల్ ఇన్-లైన్, 30 kW (40 hp)</v>
      </c>
      <c r="BB30" s="1" t="s">
        <v>827</v>
      </c>
      <c r="BD30" s="1" t="s">
        <v>828</v>
      </c>
      <c r="BG30" s="2"/>
      <c r="BT30" s="1" t="s">
        <v>829</v>
      </c>
      <c r="BZ30" s="1" t="s">
        <v>830</v>
      </c>
    </row>
    <row r="31">
      <c r="A31" s="1" t="s">
        <v>831</v>
      </c>
      <c r="B31" s="1" t="str">
        <f>IFERROR(__xludf.DUMMYFUNCTION("GOOGLETRANSLATE(A:A, ""en"", ""te"")"),"PZL TS-8 BIES")</f>
        <v>PZL TS-8 BIES</v>
      </c>
      <c r="C31" s="1" t="s">
        <v>832</v>
      </c>
      <c r="D31" s="1" t="str">
        <f>IFERROR(__xludf.DUMMYFUNCTION("GOOGLETRANSLATE(C:C, ""en"", ""te"")"),"PZL TS-8 BIES అనేది పోలిష్ ట్రైనర్ విమానం, దీనిని 1957 నుండి 1970 ల వరకు పోలిష్ వైమానిక దళం మరియు పౌర విమానయానం ఉపయోగిస్తున్నారు. జునాక్ 3 మరియు యాక్ -11 విమానాలను భర్తీ చేయడానికి ఒక ఆధునిక పిస్టన్-ఇంజిన్ ట్రైనర్ కోసం ఒక ఆధునిక పిస్టన్-ఇంజిన్ ట్రైనర్ కోసం"&amp;" పాలిష్ వైమానిక దళ అవసరానికి ప్రతిస్పందనగా ఈ విమానం రూపొందించబడింది. ప్రధాన డిజైనర్ తాడియస్జ్ సోసిటెక్ - అందువల్ల హోదా అక్షరాలు ts. ఈ విమానానికి బైస్ అని పేరు పెట్టారు - డెవిల్‌కు జానపద పేరు. 1953 లో పనులు ప్రారంభమయ్యాయి మరియు మొదటి నమూనా జూలై 23, 1955 న "&amp;"వినిపించింది. 1956 మరియు 1957 లో ఇది దాని తరగతిలో మూడు అంతర్జాతీయ రికార్డులను ఓడించింది. [1] రెండవ నమూనా 1957 లో పారిస్ ఎయిర్ షోలో చూపబడింది. 1957 లో 10 విమానాల యొక్క మొదటి ప్రయోగాత్మక శ్రేణిని WSK-OKECIE (TS-8 BI గా నియమించారు) నిర్మించింది. TS-8 BII గా "&amp;"నియమించబడిన కొద్దిగా మెరుగైన ప్రధాన వేరియంట్‌ను 1958 నుండి 1960 వరకు WSK మైలెక్ నిర్మించింది. చివరి 10 యంత్రాలు, TS-8 BIII, మెరుగైన ఏవియానిక్‌లతో నిర్మించబడ్డాయి, మొత్తం 251 TS-8 లో ఉత్పత్తి చేయబడ్డాయి, వీటిలో 229 TS-8 BII వేరియంట్. TS-8 మంచి నిర్వహణ మరియ"&amp;"ు పనితీరును కలిగి ఉంది; ధ్వనించే ఇంజిన్ దాని కొన్ని లోపాలలో ఒకటి. ఇది యుద్ధం తరువాత పోలాండ్‌లో రూపొందించిన మొట్టమొదటి ఆధునిక విమానం, ఇది పోలిష్ ఇంజిన్‌ను కూడా ఉపయోగించింది. TS-8 అనేది ఆల్-మెటల్ లో-వింగ్ కాంటిలివర్ మోనోప్లేన్, లోహంతో కప్పబడిన సెమీ-మోనోకోక్"&amp;" ఫ్యూజ్‌లేజ్, క్రాస్ సెక్షన్‌లో ఓవల్. సెమీ-మోనోకోక్ డిజైన్ యొక్క మూడు-భాగాల సింగిల్-స్పేర్ వింగ్, విలోమ విలోమ గల్ వింగ్ ""W"" ఆకారాన్ని సృష్టిస్తుంది. ఇది ట్రైసైకిల్ ముడుచుకునే ల్యాండింగ్ గేర్, మరియు 7-సిలిండర్ WN-3 రేడియల్ ఇంజిన్‌ను ముందు భాగంలో కలిగి ఉం"&amp;"ది, 330 హెచ్‌పి టేకాఫ్ శక్తిని మరియు 283 హెచ్‌పి సాధారణ శక్తిని 2.2 మీటర్ల వ్యాసం కలిగిన రెండు-బ్లేడ్ వేరియబుల్ పిచ్ వుడెన్ ప్రొపెల్లర్‌కు అందిస్తుంది. ఇద్దరు సిబ్బంది, ఒక టెన్డం పరివేష్టిత కాక్‌పిట్‌లో కూర్చున్నారు, జంట నియంత్రణలతో, వెనుక ఉన్న బోధకుడితో "&amp;"విద్యార్థి ముందు ఉన్నారు. సిబ్బంది పైన ఉన్న పందిరి విభాగాలు వెనుకకు జారిపోయాయి. ప్రయోగాత్మక సిరీస్ TS-8 BI మినహా ఈ విమానం లేదు, ఇందులో ఒక 12.7 మిమీ మెషిన్ గన్ మరియు రెండు చిన్న బాంబు పైలాన్లు ఉన్నాయి. 1960 ల మధ్యలో TS-8 లను పోలిష్ వైమానిక దళం నుండి ఉపసంహర"&amp;"ించుకోవడం ప్రారంభమైంది, దీని స్థానంలో PZL TS-11 ఇస్క్రా జెట్ ట్రైనర్స్ ఉన్నారు. 100 కి పైగా ఉపసంహరించుకున్న విమానాలను పౌర విమానయాన (ఏరో క్లబ్‌లు) కు అప్పగించారు. చాలా టిఎస్ -8 లు చివరకు 1978 నాటికి పౌర విమానయానం నుండి ఉపసంహరించబడ్డాయి, ప్రస్తుతం ముగ్గురు "&amp;"గాలికి మిగిలిపోయారు. రెండు టిఎస్ -8 లను ఇండోనేషియా ఉపయోగించారు. జేన్ యొక్క ఆల్ ది వరల్డ్ విమానాల నుండి డేటా 1961-62 [2] సాధారణ లక్షణాలు పనితీరు ఆయుధాలు వికీమీడియా కామన్స్ వద్ద PZL TS-8 కు సంబంధించిన పోల్చదగిన పాత్ర, కాన్ఫిగరేషన్ మరియు ERA మీడియా యొక్క ఆయు"&amp;"ధ విమానం")</f>
        <v>PZL TS-8 BIES అనేది పోలిష్ ట్రైనర్ విమానం, దీనిని 1957 నుండి 1970 ల వరకు పోలిష్ వైమానిక దళం మరియు పౌర విమానయానం ఉపయోగిస్తున్నారు. జునాక్ 3 మరియు యాక్ -11 విమానాలను భర్తీ చేయడానికి ఒక ఆధునిక పిస్టన్-ఇంజిన్ ట్రైనర్ కోసం ఒక ఆధునిక పిస్టన్-ఇంజిన్ ట్రైనర్ కోసం పాలిష్ వైమానిక దళ అవసరానికి ప్రతిస్పందనగా ఈ విమానం రూపొందించబడింది. ప్రధాన డిజైనర్ తాడియస్జ్ సోసిటెక్ - అందువల్ల హోదా అక్షరాలు ts. ఈ విమానానికి బైస్ అని పేరు పెట్టారు - డెవిల్‌కు జానపద పేరు. 1953 లో పనులు ప్రారంభమయ్యాయి మరియు మొదటి నమూనా జూలై 23, 1955 న వినిపించింది. 1956 మరియు 1957 లో ఇది దాని తరగతిలో మూడు అంతర్జాతీయ రికార్డులను ఓడించింది. [1] రెండవ నమూనా 1957 లో పారిస్ ఎయిర్ షోలో చూపబడింది. 1957 లో 10 విమానాల యొక్క మొదటి ప్రయోగాత్మక శ్రేణిని WSK-OKECIE (TS-8 BI గా నియమించారు) నిర్మించింది. TS-8 BII గా నియమించబడిన కొద్దిగా మెరుగైన ప్రధాన వేరియంట్‌ను 1958 నుండి 1960 వరకు WSK మైలెక్ నిర్మించింది. చివరి 10 యంత్రాలు, TS-8 BIII, మెరుగైన ఏవియానిక్‌లతో నిర్మించబడ్డాయి, మొత్తం 251 TS-8 లో ఉత్పత్తి చేయబడ్డాయి, వీటిలో 229 TS-8 BII వేరియంట్. TS-8 మంచి నిర్వహణ మరియు పనితీరును కలిగి ఉంది; ధ్వనించే ఇంజిన్ దాని కొన్ని లోపాలలో ఒకటి. ఇది యుద్ధం తరువాత పోలాండ్‌లో రూపొందించిన మొట్టమొదటి ఆధునిక విమానం, ఇది పోలిష్ ఇంజిన్‌ను కూడా ఉపయోగించింది. TS-8 అనేది ఆల్-మెటల్ లో-వింగ్ కాంటిలివర్ మోనోప్లేన్, లోహంతో కప్పబడిన సెమీ-మోనోకోక్ ఫ్యూజ్‌లేజ్, క్రాస్ సెక్షన్‌లో ఓవల్. సెమీ-మోనోకోక్ డిజైన్ యొక్క మూడు-భాగాల సింగిల్-స్పేర్ వింగ్, విలోమ విలోమ గల్ వింగ్ "W" ఆకారాన్ని సృష్టిస్తుంది. ఇది ట్రైసైకిల్ ముడుచుకునే ల్యాండింగ్ గేర్, మరియు 7-సిలిండర్ WN-3 రేడియల్ ఇంజిన్‌ను ముందు భాగంలో కలిగి ఉంది, 330 హెచ్‌పి టేకాఫ్ శక్తిని మరియు 283 హెచ్‌పి సాధారణ శక్తిని 2.2 మీటర్ల వ్యాసం కలిగిన రెండు-బ్లేడ్ వేరియబుల్ పిచ్ వుడెన్ ప్రొపెల్లర్‌కు అందిస్తుంది. ఇద్దరు సిబ్బంది, ఒక టెన్డం పరివేష్టిత కాక్‌పిట్‌లో కూర్చున్నారు, జంట నియంత్రణలతో, వెనుక ఉన్న బోధకుడితో విద్యార్థి ముందు ఉన్నారు. సిబ్బంది పైన ఉన్న పందిరి విభాగాలు వెనుకకు జారిపోయాయి. ప్రయోగాత్మక సిరీస్ TS-8 BI మినహా ఈ విమానం లేదు, ఇందులో ఒక 12.7 మిమీ మెషిన్ గన్ మరియు రెండు చిన్న బాంబు పైలాన్లు ఉన్నాయి. 1960 ల మధ్యలో TS-8 లను పోలిష్ వైమానిక దళం నుండి ఉపసంహరించుకోవడం ప్రారంభమైంది, దీని స్థానంలో PZL TS-11 ఇస్క్రా జెట్ ట్రైనర్స్ ఉన్నారు. 100 కి పైగా ఉపసంహరించుకున్న విమానాలను పౌర విమానయాన (ఏరో క్లబ్‌లు) కు అప్పగించారు. చాలా టిఎస్ -8 లు చివరకు 1978 నాటికి పౌర విమానయానం నుండి ఉపసంహరించబడ్డాయి, ప్రస్తుతం ముగ్గురు గాలికి మిగిలిపోయారు. రెండు టిఎస్ -8 లను ఇండోనేషియా ఉపయోగించారు. జేన్ యొక్క ఆల్ ది వరల్డ్ విమానాల నుండి డేటా 1961-62 [2] సాధారణ లక్షణాలు పనితీరు ఆయుధాలు వికీమీడియా కామన్స్ వద్ద PZL TS-8 కు సంబంధించిన పోల్చదగిన పాత్ర, కాన్ఫిగరేషన్ మరియు ERA మీడియా యొక్క ఆయుధ విమానం</v>
      </c>
      <c r="E31" s="1" t="s">
        <v>833</v>
      </c>
      <c r="F31" s="1" t="s">
        <v>834</v>
      </c>
      <c r="G31" s="1" t="str">
        <f>IFERROR(__xludf.DUMMYFUNCTION("GOOGLETRANSLATE(F:F, ""en"", ""te"")"),"ట్రైనర్ విమానం")</f>
        <v>ట్రైనర్ విమానం</v>
      </c>
      <c r="H31" s="1" t="s">
        <v>835</v>
      </c>
      <c r="L31" s="1" t="s">
        <v>836</v>
      </c>
      <c r="M31" s="1" t="str">
        <f>IFERROR(__xludf.DUMMYFUNCTION("GOOGLETRANSLATE(L:L, ""en"", ""te"")"),"WSK PZL-MELEC")</f>
        <v>WSK PZL-MELEC</v>
      </c>
      <c r="N31" s="1" t="s">
        <v>837</v>
      </c>
      <c r="R31" s="4">
        <v>20293.0</v>
      </c>
      <c r="S31" s="1">
        <v>251.0</v>
      </c>
      <c r="T31" s="1" t="s">
        <v>838</v>
      </c>
      <c r="V31" s="1" t="s">
        <v>839</v>
      </c>
      <c r="W31" s="1" t="s">
        <v>840</v>
      </c>
      <c r="X31" s="1" t="s">
        <v>841</v>
      </c>
      <c r="Y31" s="1" t="s">
        <v>842</v>
      </c>
      <c r="Z31" s="1" t="s">
        <v>843</v>
      </c>
      <c r="AE31" s="1">
        <v>7.38</v>
      </c>
      <c r="AF31" s="1" t="s">
        <v>844</v>
      </c>
      <c r="AG31" s="1" t="s">
        <v>845</v>
      </c>
      <c r="AH31" s="1" t="s">
        <v>846</v>
      </c>
      <c r="AO31" s="1">
        <v>1957.0</v>
      </c>
      <c r="AP31" s="3" t="s">
        <v>847</v>
      </c>
      <c r="AQ31" s="1">
        <v>1978.0</v>
      </c>
      <c r="AR31" s="3" t="s">
        <v>848</v>
      </c>
      <c r="AS31" s="1" t="s">
        <v>849</v>
      </c>
      <c r="AT31" s="1"/>
      <c r="AU31" s="1" t="s">
        <v>850</v>
      </c>
      <c r="AW31" s="1" t="s">
        <v>851</v>
      </c>
      <c r="AX31" s="1" t="s">
        <v>852</v>
      </c>
      <c r="AY31" s="1" t="str">
        <f>IFERROR(__xludf.DUMMYFUNCTION("GOOGLETRANSLATE(AX:AX, ""en"", ""te"")"),"1 × narkivicz wn-3 7-సిలిండర్ రేడియల్ ఇంజిన్, 240 kW (320 HP), 2350 RPM వద్ద రేట్ శక్తి")</f>
        <v>1 × narkivicz wn-3 7-సిలిండర్ రేడియల్ ఇంజిన్, 240 kW (320 HP), 2350 RPM వద్ద రేట్ శక్తి</v>
      </c>
      <c r="AZ31" s="1" t="s">
        <v>853</v>
      </c>
      <c r="BA31" s="1" t="str">
        <f>IFERROR(__xludf.DUMMYFUNCTION("GOOGLETRANSLATE(AZ:AZ, ""en"", ""te"")"),"2-బ్లేడెడ్ W.R.1 స్థిరమైన-స్పీడ్ ప్రొపెల్లర్, 2.20 మీ (7 అడుగుల 3 అంగుళాలు) వ్యాసం")</f>
        <v>2-బ్లేడెడ్ W.R.1 స్థిరమైన-స్పీడ్ ప్రొపెల్లర్, 2.20 మీ (7 అడుగుల 3 అంగుళాలు) వ్యాసం</v>
      </c>
      <c r="BB31" s="1" t="s">
        <v>854</v>
      </c>
      <c r="BC31" s="1" t="s">
        <v>855</v>
      </c>
      <c r="BD31" s="1" t="s">
        <v>856</v>
      </c>
      <c r="BG31" s="2"/>
      <c r="BS31" s="1" t="s">
        <v>857</v>
      </c>
      <c r="BT31" s="1" t="s">
        <v>378</v>
      </c>
      <c r="BW31" s="1" t="s">
        <v>858</v>
      </c>
      <c r="BX31" s="1"/>
      <c r="BY31" s="1" t="s">
        <v>859</v>
      </c>
      <c r="CE31" s="1" t="s">
        <v>860</v>
      </c>
      <c r="CF31" s="1" t="str">
        <f>IFERROR(__xludf.DUMMYFUNCTION("GOOGLETRANSLATE(CE:CE, ""en"", ""te"")"),"ప్రాక్టీస్ బాంబుల 200 కిలోల (440 ఎల్బి) వరకు రాక్ల అండర్ వింగ్")</f>
        <v>ప్రాక్టీస్ బాంబుల 200 కిలోల (440 ఎల్బి) వరకు రాక్ల అండర్ వింగ్</v>
      </c>
      <c r="DH31" s="1" t="s">
        <v>861</v>
      </c>
    </row>
    <row r="32">
      <c r="A32" s="1" t="s">
        <v>862</v>
      </c>
      <c r="B32" s="1" t="str">
        <f>IFERROR(__xludf.DUMMYFUNCTION("GOOGLETRANSLATE(A:A, ""en"", ""te"")"),"బ్లోచ్ MB.300 పాసిఫిక్")</f>
        <v>బ్లోచ్ MB.300 పాసిఫిక్</v>
      </c>
      <c r="C32" s="1" t="s">
        <v>863</v>
      </c>
      <c r="D32" s="1" t="str">
        <f>IFERROR(__xludf.DUMMYFUNCTION("GOOGLETRANSLATE(C:C, ""en"", ""te"")"),"బ్లోచ్ MB.300 పాసిఫిక్ (a.k.a. లా గ్రోస్ జూలీ, ""బిగ్ జూలీ"") ఒక ఫ్రెంచ్ ఆల్-మెటల్ మూడు-ఇంజిన్ మోనోప్లేన్, ఇది ఎయిర్ ఫ్రాన్స్ విమానంలో సేవల్లోకి ప్రవేశించడానికి అభివృద్ధి చేయబడింది. 1935 లో సోషియాట్ డెస్ ఏవియన్స్ మార్సెల్ బ్లోచ్ చేత ఒకే నమూనాను నిర్మించిన"&amp;"ప్పటికీ, చివరికి దీనిని ఎయిర్ ఫ్రాన్స్ సిర్కా 1938 లో తిరస్కరించారు. టెస్ట్ ఫ్లైట్ నవంబర్ 15 లేదా నవంబర్ 16, 1935 న విల్లాకౌబ్లే ఎయిర్ఫీల్డ్ వద్ద టెస్ట్ పైలట్లు ఆండ్రే కర్వులే మరియు జీన్ లేపెయిర్లతో జరిగింది. ప్రోటోటైప్ (ఎఫ్-అయోన్బ్) 1936 ప్రారంభంలో మళ్ళీ"&amp;" మార్చి 1937 లో సవరణల సవరణల క్రిందకు వెళ్ళింది. తరువాత ప్రయాణీకుల సంఖ్య 30 నుండి 24 కి తగ్గించబడింది. ఇది అధికారికంగా జనవరి 1938 లో ఎయిర్ ఫ్రాన్స్ విమానాలతో సేవలో ప్రవేశించింది (ఎఫ్-అయోయిగా ). దీని విధి తెలియదు, కానీ అది స్పెయిన్‌కు పంపబడింది. [1] జేన్ యొ"&amp;"క్క అన్ని ప్రపంచ విమానాల నుండి డేటా 1938 [2] సాధారణ లక్షణాలు పనితీరు సంబంధిత అభివృద్ధి విమానం పోల్చదగిన పాత్ర, కాన్ఫిగరేషన్ మరియు ERA")</f>
        <v>బ్లోచ్ MB.300 పాసిఫిక్ (a.k.a. లా గ్రోస్ జూలీ, "బిగ్ జూలీ") ఒక ఫ్రెంచ్ ఆల్-మెటల్ మూడు-ఇంజిన్ మోనోప్లేన్, ఇది ఎయిర్ ఫ్రాన్స్ విమానంలో సేవల్లోకి ప్రవేశించడానికి అభివృద్ధి చేయబడింది. 1935 లో సోషియాట్ డెస్ ఏవియన్స్ మార్సెల్ బ్లోచ్ చేత ఒకే నమూనాను నిర్మించినప్పటికీ, చివరికి దీనిని ఎయిర్ ఫ్రాన్స్ సిర్కా 1938 లో తిరస్కరించారు. టెస్ట్ ఫ్లైట్ నవంబర్ 15 లేదా నవంబర్ 16, 1935 న విల్లాకౌబ్లే ఎయిర్ఫీల్డ్ వద్ద టెస్ట్ పైలట్లు ఆండ్రే కర్వులే మరియు జీన్ లేపెయిర్లతో జరిగింది. ప్రోటోటైప్ (ఎఫ్-అయోన్బ్) 1936 ప్రారంభంలో మళ్ళీ మార్చి 1937 లో సవరణల సవరణల క్రిందకు వెళ్ళింది. తరువాత ప్రయాణీకుల సంఖ్య 30 నుండి 24 కి తగ్గించబడింది. ఇది అధికారికంగా జనవరి 1938 లో ఎయిర్ ఫ్రాన్స్ విమానాలతో సేవలో ప్రవేశించింది (ఎఫ్-అయోయిగా ). దీని విధి తెలియదు, కానీ అది స్పెయిన్‌కు పంపబడింది. [1] జేన్ యొక్క అన్ని ప్రపంచ విమానాల నుండి డేటా 1938 [2] సాధారణ లక్షణాలు పనితీరు సంబంధిత అభివృద్ధి విమానం పోల్చదగిన పాత్ర, కాన్ఫిగరేషన్ మరియు ERA</v>
      </c>
      <c r="E32" s="1" t="s">
        <v>864</v>
      </c>
      <c r="F32" s="1" t="s">
        <v>865</v>
      </c>
      <c r="G32" s="1" t="str">
        <f>IFERROR(__xludf.DUMMYFUNCTION("GOOGLETRANSLATE(F:F, ""en"", ""te"")"),"సివిల్ విమానాలు")</f>
        <v>సివిల్ విమానాలు</v>
      </c>
      <c r="H32" s="1" t="s">
        <v>866</v>
      </c>
      <c r="L32" s="1" t="s">
        <v>214</v>
      </c>
      <c r="M32" s="1" t="str">
        <f>IFERROR(__xludf.DUMMYFUNCTION("GOOGLETRANSLATE(L:L, ""en"", ""te"")"),"Société డెస్ ఏవియన్లు మార్సెల్ బ్లోచ్")</f>
        <v>Société డెస్ ఏవియన్లు మార్సెల్ బ్లోచ్</v>
      </c>
      <c r="N32" s="1" t="s">
        <v>215</v>
      </c>
      <c r="R32" s="1">
        <v>1935.0</v>
      </c>
      <c r="S32" s="1">
        <v>1.0</v>
      </c>
      <c r="V32" s="1">
        <v>4.0</v>
      </c>
      <c r="W32" s="1" t="s">
        <v>867</v>
      </c>
      <c r="X32" s="1" t="s">
        <v>868</v>
      </c>
      <c r="Y32" s="1" t="s">
        <v>869</v>
      </c>
      <c r="Z32" s="1" t="s">
        <v>870</v>
      </c>
      <c r="AG32" s="1" t="s">
        <v>871</v>
      </c>
      <c r="AH32" s="1" t="s">
        <v>872</v>
      </c>
      <c r="AN32" s="3" t="s">
        <v>351</v>
      </c>
      <c r="AO32" s="1">
        <v>1938.0</v>
      </c>
      <c r="AP32" s="3" t="s">
        <v>225</v>
      </c>
      <c r="AS32" s="1" t="s">
        <v>873</v>
      </c>
      <c r="AT32" s="1"/>
      <c r="AU32" s="1" t="s">
        <v>874</v>
      </c>
      <c r="AV32" s="1" t="s">
        <v>875</v>
      </c>
      <c r="AX32" s="1" t="s">
        <v>876</v>
      </c>
      <c r="AY32" s="1" t="str">
        <f>IFERROR(__xludf.DUMMYFUNCTION("GOOGLETRANSLATE(AX:AX, ""en"", ""te"")"),"1 × గ్నోమ్-రోన్ 14 ఎన్ -17 14-సిల్. రెండు-వరుస ఎయిర్-కూల్డ్ పిస్టన్ ఇంజన్లు, 682 kW (915 HP) 1,750 మీ (5,740 అడుగులు) (కుడి చేతి భ్రమణం)")</f>
        <v>1 × గ్నోమ్-రోన్ 14 ఎన్ -17 14-సిల్. రెండు-వరుస ఎయిర్-కూల్డ్ పిస్టన్ ఇంజన్లు, 682 kW (915 HP) 1,750 మీ (5,740 అడుగులు) (కుడి చేతి భ్రమణం)</v>
      </c>
      <c r="AZ32" s="1" t="s">
        <v>877</v>
      </c>
      <c r="BA32" s="1" t="str">
        <f>IFERROR(__xludf.DUMMYFUNCTION("GOOGLETRANSLATE(AZ:AZ, ""en"", ""te"")"),"3-బ్లేడెడ్ వేరియబుల్-పిచ్ ఎయిర్‌స్క్రూలు")</f>
        <v>3-బ్లేడెడ్ వేరియబుల్-పిచ్ ఎయిర్‌స్క్రూలు</v>
      </c>
      <c r="BB32" s="1" t="s">
        <v>878</v>
      </c>
      <c r="BD32" s="1" t="s">
        <v>299</v>
      </c>
      <c r="BG32" s="2"/>
      <c r="BT32" s="1" t="s">
        <v>879</v>
      </c>
      <c r="BU32" s="1" t="s">
        <v>880</v>
      </c>
      <c r="BV32" s="1" t="str">
        <f>IFERROR(__xludf.DUMMYFUNCTION("GOOGLETRANSLATE(BU:BU, ""en"", ""te"")"),"రిటైర్డ్")</f>
        <v>రిటైర్డ్</v>
      </c>
      <c r="CA32" s="1" t="s">
        <v>881</v>
      </c>
      <c r="CU32" s="1" t="s">
        <v>726</v>
      </c>
    </row>
    <row r="33">
      <c r="A33" s="1" t="s">
        <v>882</v>
      </c>
      <c r="B33" s="1" t="str">
        <f>IFERROR(__xludf.DUMMYFUNCTION("GOOGLETRANSLATE(A:A, ""en"", ""te"")"),"బోయింగ్ ఫాంటమ్ కన్ను")</f>
        <v>బోయింగ్ ఫాంటమ్ కన్ను</v>
      </c>
      <c r="C33" s="1" t="s">
        <v>883</v>
      </c>
      <c r="D33" s="1" t="str">
        <f>IFERROR(__xludf.DUMMYFUNCTION("GOOGLETRANSLATE(C:C, ""en"", ""te"")"),"బోయింగ్ ఫాంటమ్ కన్ను అధిక ఎత్తులో, లాంగ్ ఎండ్యూరెన్స్ (హేల్) ద్రవ హైడ్రోజన్-శక్తితో కూడిన [1] [నమ్మదగని మూలం?] బోయింగ్ ఫాంటమ్ వర్క్స్ అభివృద్ధి చేసిన మానవరహిత వైమానిక వాహనం. [2] ఈ విమానం బోయింగ్ చేసిన ప్రతిపాదన, యుఎస్ మిలిటరీ నుండి డిమాండ్ మానవరహిత డ్రోన్"&amp;"ల కోసం అధునాతన మేధస్సు మరియు నిఘా పనులను అందించడానికి రూపొందించబడింది, ముఖ్యంగా ఆఫ్ఘనిస్తాన్లో పోరాట పరిస్థితులచే నడపబడుతుంది. [3] ఆగష్టు 2016 లో, ఫాంటమ్ కంటి ప్రదర్శనకారుడు ఎయిర్ ఫోర్స్ ఫ్లైట్ టెస్ట్ మ్యూజియంలో ప్రదర్శన కోసం విడదీయబడ్డాడు. [4] ఫాంటమ్ ఐ ​"&amp;"​పిస్టన్-శక్తితో పనిచేసే బోయింగ్ కాండోర్‌తో బోయింగ్ యొక్క మునుపటి విజయం నుండి ఒక పరిణామం, ఇది 1980 ల చివరలో ఎత్తు మరియు ఓర్పు కోసం అనేక రికార్డులు సృష్టించింది. బోయింగ్ ఒక పెద్ద హేల్ యుఎవిని కూడా అధ్యయనం చేసింది, ఇది 10 రోజులకు పైగా ఎగురుతుంది మరియు 2,000"&amp;" పౌండ్ల (900 కిలోల) లేదా అంతకంటే ఎక్కువ పేలోడ్లను తీసుకెళ్లగలదు; అధునాతన సాంకేతిక పరిజ్ఞానాల కోసం ఫ్లయింగ్ టెస్ట్‌బెడ్‌గా కంపెనీ ఫాంటమ్ రే యుఎవిపై పనిచేసింది. [5] ఫాంటమ్ ఐ ​​యొక్క ప్రొపల్షన్ సిస్టమ్ మార్చి 1, 2010 న ఒక ఎత్తు గదిలో 80 గంటల పరీక్షను విజయవంత"&amp;"ంగా పూర్తి చేసింది; ఇది ప్రొపల్షన్ సిస్టమ్ మరియు ఎయిర్ఫ్రేమ్ సమీకరించటానికి మార్గం క్లియర్ చేసింది. బోయింగ్ బాల్ ఏరోస్పేస్, అరోరా ఫ్లైట్ సైన్సెస్, ఫోర్డ్ మోటార్ కో. జూలై 12, 2010 న మిస్సౌరీలోని సెయింట్ లూయిస్‌లోని బోయింగ్ సౌకర్యాల వద్ద జరిగిన వేడుకలో ఫాంట"&amp;"మ్ కన్ను పత్రికలకు వెల్లడైంది. [2] ఫాంటమ్ కంటి ప్రదర్శనకారుడు ఆబ్జెక్టివ్ సిస్టమ్ యొక్క 60-70% స్కేల్ డిజైన్. బోయింగ్ యొక్క ఫాంటమ్ వర్క్స్ అడ్వాన్స్‌డ్ కాన్సెప్ట్స్ గ్రూప్ ప్రెసిడెంట్ డారిల్ డేవిస్ ప్రకారం, ఫాంటమ్ కంటి ప్రదర్శనకారుడు 24 గంటల రోజు, ఏడు రోజ"&amp;"ుల-వారానికి ఏడాది పొడవునా ఏడు-రోజుల కవరేజీని సాధించగల ఆబ్జెక్టివ్ సిస్టమ్‌కు దారితీయవచ్చు నాలుగు విమానాలుగా కొన్ని. [6] ప్రదర్శనకారుడిని కాలిఫోర్నియాలోని ఎడ్వర్డ్స్ ఎయిర్ ఫోర్స్ బేస్ వద్ద ఉన్న నాసా యొక్క డ్రైడెన్ ఫ్లైట్ రీసెర్చ్ సెంటర్‌కు గ్రౌండ్ టెస్టుల "&amp;"కోసం రవాణా చేశారు. ఇది మార్చి 10, 2012 న తన మొదటి మీడియం-స్పీడ్ టాక్సీ పరీక్షను నిర్వహించింది, ఇది 30 నాట్ల (35 mph; 56 కిమీ/గం) వేగంతో చేరుకుంది. [7] బోయింగ్ పరీక్షను విజయవంతం చేసినట్లు ప్రకటించింది మరియు విమానం యొక్క మొదటి విమానానికి మార్గం సుగమం చేసింద"&amp;"ని, ఇది 8 గంటలు ఉంటుందని భావిస్తున్నారు. [8] ఫాంటమ్ ఐ ​​జూన్ 1, 2012 న ఎడ్వర్డ్స్ ఎయిర్ ఫోర్స్ బేస్ వద్ద మొదటి విమానాన్ని పూర్తి చేసింది. ఇది 4,000 అడుగుల ఎత్తు మరియు 62 నాట్ల వేగంతో (71 mph; 115 కిమీ/గం) 28 నిమిషాలు చేరుకుంది. దాని ల్యాండింగ్ గేర్ ల్యాండ"&amp;"ింగ్ సమయంలో పొడి లేక్‌బెడ్‌లోకి తవ్వి, విమానానికి కొంత నష్టం కలిగించింది. [9] [10] ఫిబ్రవరి 6, 2013 న, ఫాంటమ్ ఐ ​​రెండవ విమానానికి సన్నాహకంగా ఎడ్వర్డ్స్ ఎయిర్ ఫోర్స్ బేస్ వద్ద టాక్సీ పరీక్షను పూర్తి చేసింది. ప్రయోగ బండిపై కూర్చుని, ఇది 46 mph వేగంతో చేరుక"&amp;"ుంది. మొదటి విమాన పరీక్షకు ప్రతిస్పందనగా, స్వయంప్రతిపత్త విమాన వ్యవస్థలు అప్‌గ్రేడ్ చేయబడ్డాయి మరియు ల్యాండింగ్ వ్యవస్థ మెరుగుపరచబడింది. [11] ఫాంటమ్ ఐ ​​ఫిబ్రవరి 25, 2013 న ఎడ్వర్డ్స్ ఎయిర్ ఫోర్స్ బేస్ వద్ద రెండవ విమానాన్ని పూర్తి చేసింది. ఇది 66 నిమిషాల "&amp;"పాటు 62 నాట్ల (71 mph; 115 కిమీ/గంట) క్రూజింగ్ వేగంతో 8,000 అడుగుల ఎత్తుకు ఎక్కింది. రెండవ విమాన పరీక్ష విజయవంతమైన ల్యాండింగ్‌తో ముగిసింది. [12] 6 జూన్ 2013 న, ఫాంటమ్ కంటి ప్రదర్శనకారుడిపై గుర్తించబడని పేలోడ్‌ను వ్యవస్థాపించడానికి బోయింగ్‌కు యు.ఎస్. క్షిప"&amp;"ణి రక్షణ సంస్థ 8 6.8 మిలియన్ల ఒప్పందం కుదుర్చుకుంది. [13] పేలోడ్ చాలావరకు లేజర్‌ను లక్ష్యంగా చేసుకోవడానికి అవసరమైన సుదూర సెన్సింగ్ మరియు ట్రాకింగ్ సిస్టమ్. [14] ఫాంటమ్ ఐ ​​యొక్క నాల్గవ విమానం జూన్ 14, 2013 న జరిగింది, ఇది 4 గంటలు 20,000 అడుగుల ఎత్తుకు చేర"&amp;"ుకుంది. సెప్టెంబర్ 14, 2013 న, దాని ఐదవ ఫ్లైట్ దాదాపు నాలుగున్నర గంటలకు 28,000 అడుగుల ఎత్తుకు చేరుకుంది. విమాన పరీక్ష విజయవంతం అయినప్పటికీ, పరీక్ష మొదట 40,000 అడుగుల ఎత్తుకు చేరుకోవడానికి ఉద్దేశించినట్లు వర్గాలు పేర్కొన్నాయి. ఐదవ ఫ్లైట్ క్షిపణి రక్షణ సంస్"&amp;"థ నుండి పేలోడ్‌ను కలిగి ఉంది. [15] ఆరవ ఫ్లైట్ జనవరి 6, 2014 న జరిగింది మరియు మునుపటి ఫ్లైట్ కంటే 5 గంటలు కొనసాగింది. [16] ఫిబ్రవరి 2014 లో, నాసా యొక్క డ్రైడెన్ ఫ్లైట్ రీసెర్చ్ సెంటర్ సిఫార్సుపై ఫాంటమ్ ఐని వైమానిక దళం యొక్క 412 వ ఆపరేషన్స్ గ్రూప్ ప్రయోగాత్"&amp;"మక స్థితికి ప్రోత్సహించింది. ఫాంటమ్ ఐ ​​అప్పటికి ఆరు టెస్ట్ విమానాలకు గురై నాసా భద్రతా ప్రమాణాలకు అనుగుణంగా ఉంది. USAF పరీక్షా కేంద్రం క్రింద ప్రయోగాత్మకంగా వర్గీకరణ అంటే ఇది ఎడ్వర్డ్స్ AFB పైన ఎగురుతూనే పరిమితం కాలేదు మరియు మరింత పరీక్షా ఓర్పు మరియు ఎత్త"&amp;"ు సామర్థ్యాలకు అనేక మైళ్ళ దూరంలో పరీక్షా పరిధికి వెళుతుంది. రాబోయే నెలల్లో, బోయింగ్ ప్రదర్శనకారుడిని 60,000 అడుగుల (18,000 మీ) యొక్క కావలసిన ఆపరేటింగ్ ఎత్తుకు చేరుకోవటానికి మరియు దాని ఓర్పును పెంచడానికి ప్రణాళికాబద్ధంగా పరీక్షించారు; పూర్తి-పరిమాణ కార్యాచ"&amp;"రణ ఫాంటమ్ కన్ను విజయవంతమైతే 7-10 రోజుల వాయుమార్గాల ఓర్పు లక్ష్యాలను చేరుకోవడానికి నిర్మించాలని ప్రణాళిక చేయబడింది. [17] ప్రదర్శనకారుడి తొమ్మిదవ విమానం 2014 లో 8-9 గంటలకు 54,000 అడుగుల వద్ద సంభవించింది, తరువాత దీనిని నాసా యొక్క ఆర్మ్‌స్ట్రాంగ్ ఫ్లైట్ రీసెర"&amp;"్చ్ సెంటర్‌లో నిల్వ చేశారు. బోయింగ్ అభివృద్ధిని కొనసాగించడానికి సైనిక లేదా వాణిజ్య రంగాలలో అవకాశాల కోసం చూసింది. ప్రారంభంలో గ్రౌండ్ నిఘా లేదా కమ్యూనికేషన్స్ రిలే కోసం అధిక ఎగిరే ఉపగ్రహ సర్రోగేట్‌గా పిచ్ చేయబడిన సంస్థ, క్షిపణి రక్షణను నిర్వహించడానికి ఘన-స్"&amp;"థితి లేజర్‌ను అమర్చగలదా అని కంపెనీ చూసింది; బోయింగ్ యొక్క మునుపటి YAL-1 వాయుమార్గాన లేజర్ టెస్ట్‌బెడ్‌లో ఉపయోగించినట్లుగా, రసాయన లేజర్‌లపై ఘన-స్థితి లేజర్ కావాలి, ఎందుకంటే తక్కువ లాజిస్టికల్ తోక ఉంది మరియు రీఛార్జ్ చేయడానికి మరియు చల్లబరచడానికి తక్కువ సమయ"&amp;"ం అవసరం. [18] 17 ఆగస్టు 2016 న, వైమానిక దళం విడదీయబడిన ఫాంటమ్ కంటి ప్రదర్శనకారుడిని తిరిగి కలపడం మరియు పునర్నిర్మాణం కోసం ఎయిర్ ఫోర్స్ ఫ్లైట్ టెస్ట్ మ్యూజియంలో ప్రదర్శించడానికి బదిలీ చేసింది. తొమ్మిది సోర్టీలు నిర్వహించిన తరువాత సెప్టెంబర్ 2014 లో విమాన ప"&amp;"్రయత్నాలు ముగిసిన తరువాత విమానాలను సేవకు తిరిగి ఇవ్వాలనే ఆశతో బోయింగ్ సైనిక మరియు వాణిజ్య సంస్థలతో చర్చలు జరుపుతున్నాడు, కాని విజయం సాధించలేదు. 1,000 ఎల్బి (450 కిలోల) పేలోడ్ లేదా 7 రోజులు 2,000 ఎల్బి పేలోడ్‌తో 10 రోజులు గాలిలో ఉండగల 40% పెద్ద సంస్కరణను న"&amp;"ిర్మించాలని కంపెనీ భావించింది, కాని ప్రోటోటైప్ యొక్క పదవీ విరమణ అస్పష్టంగా ఉంటుంది. [19] ఫాంటమ్ కంటి ప్రదర్శనకారుడు 150 అడుగుల (46 మీటర్లు) వింగ్స్పాన్ కలిగి ఉన్నారు. 65,000 అడుగుల వరకు ఎత్తులో ఒకేసారి నాలుగు రోజుల వరకు ఎగురుతుందని బోయింగ్ పేర్కొంది. ఫాంట"&amp;"మ్ కంటి ప్రదర్శనకారుడు 450-పౌండ్ల పేలోడ్‌ను మోయగలిగాడు మరియు 150 నాట్ల క్రూజింగ్ వేగాన్ని కలిగి ఉన్నాడని బోయింగ్ పేర్కొన్నాడు. [5] ఫాంటమ్ ఐ ​​ఆయుధాలను కలిగి ఉండదు మరియు ""నిరంతర తెలివితేటలు మరియు నిఘా"" కోసం. [2] రెండు ప్రొపల్షన్ సిస్టమ్స్‌లో ప్రతి ఒక్కటి"&amp;" సవరించిన ఫోర్డ్ 2.3 లీటర్ ఇంజన్లు, తగ్గింపు గేర్‌బాక్స్ మరియు 4-బ్లేడ్ ప్రొపెల్లర్‌ను కలిగి ఉంది. ఇంజిన్లు మొదట పెట్రోల్-బర్నింగ్ ఫోర్డ్ ఫ్యూజన్ కారు యొక్క కొన్ని మోడళ్లతో ఉపయోగం కోసం రూపొందించబడ్డాయి. 65,000 అడుగుల వద్ద ఆక్సిజన్ ఆకలితో ఉన్న వాతావరణంలో న"&amp;"డపడానికి, ఇంజిన్లు బహుళ టర్బోచార్జర్ వ్యవస్థను కలిగి ఉన్నాయి, ఇది తక్కువ సాంద్రత గల గాలిని లభించే మరియు దాని స్టీల్త్ లక్షణాలను పెంచడానికి రేడియేటెడ్ ఇన్ఫ్రారెడ్ హీట్ సంతకాన్ని తగ్గిస్తుంది. సముద్ర మట్టంలో 150 హార్స్‌పవర్లను అందించిన ఇంజన్లు హైడ్రోజన్‌పై "&amp;"నడపగలిగేలా ట్యూన్ చేయబడ్డాయి. బోయింగ్ యొక్క మార్కెటింగ్ విభాగం ఇది విమానం ఆర్థికంగా మరియు ""ఆకుపచ్చ"" ను అమలు చేయడానికి చేస్తుంది, ఎందుకంటే ఉప-ఉత్పత్తి మాత్రమే నీరు. [20] ఫాంటమ్ కంటి యొక్క ప్రాధమిక పాత్ర వాయుమార్గాన నిఘా అయినప్పటికీ, బోయింగ్ దీనిని యు.ఎస్"&amp;". నేవీకి కమ్యూనికేషన్ రిలేగా పేర్కొంది. MQ-4C ట్రిటాన్ ఇప్పటికీ అందించిన దీర్ఘ-శ్రేణి నిఘాతో విమాన క్యారియర్‌లో స్థలాన్ని తీసుకోకుండా ఇది నేవీలో పాత్రను కలిగి ఉంటుంది. ఒక జత ఫాంటమ్ కళ్ళు, ఒకటి స్థిరమైన విమాన రోజుల తరువాత మరొకటి ఉపశమనం పొందుతుంది, నేవీకి న"&amp;"ిరంతర సుదూర సమాచార మార్పిడి అందిస్తుంది. [21]")</f>
        <v>బోయింగ్ ఫాంటమ్ కన్ను అధిక ఎత్తులో, లాంగ్ ఎండ్యూరెన్స్ (హేల్) ద్రవ హైడ్రోజన్-శక్తితో కూడిన [1] [నమ్మదగని మూలం?] బోయింగ్ ఫాంటమ్ వర్క్స్ అభివృద్ధి చేసిన మానవరహిత వైమానిక వాహనం. [2] ఈ విమానం బోయింగ్ చేసిన ప్రతిపాదన, యుఎస్ మిలిటరీ నుండి డిమాండ్ మానవరహిత డ్రోన్ల కోసం అధునాతన మేధస్సు మరియు నిఘా పనులను అందించడానికి రూపొందించబడింది, ముఖ్యంగా ఆఫ్ఘనిస్తాన్లో పోరాట పరిస్థితులచే నడపబడుతుంది. [3] ఆగష్టు 2016 లో, ఫాంటమ్ కంటి ప్రదర్శనకారుడు ఎయిర్ ఫోర్స్ ఫ్లైట్ టెస్ట్ మ్యూజియంలో ప్రదర్శన కోసం విడదీయబడ్డాడు. [4] ఫాంటమ్ ఐ ​​పిస్టన్-శక్తితో పనిచేసే బోయింగ్ కాండోర్‌తో బోయింగ్ యొక్క మునుపటి విజయం నుండి ఒక పరిణామం, ఇది 1980 ల చివరలో ఎత్తు మరియు ఓర్పు కోసం అనేక రికార్డులు సృష్టించింది. బోయింగ్ ఒక పెద్ద హేల్ యుఎవిని కూడా అధ్యయనం చేసింది, ఇది 10 రోజులకు పైగా ఎగురుతుంది మరియు 2,000 పౌండ్ల (900 కిలోల) లేదా అంతకంటే ఎక్కువ పేలోడ్లను తీసుకెళ్లగలదు; అధునాతన సాంకేతిక పరిజ్ఞానాల కోసం ఫ్లయింగ్ టెస్ట్‌బెడ్‌గా కంపెనీ ఫాంటమ్ రే యుఎవిపై పనిచేసింది. [5] ఫాంటమ్ ఐ ​​యొక్క ప్రొపల్షన్ సిస్టమ్ మార్చి 1, 2010 న ఒక ఎత్తు గదిలో 80 గంటల పరీక్షను విజయవంతంగా పూర్తి చేసింది; ఇది ప్రొపల్షన్ సిస్టమ్ మరియు ఎయిర్ఫ్రేమ్ సమీకరించటానికి మార్గం క్లియర్ చేసింది. బోయింగ్ బాల్ ఏరోస్పేస్, అరోరా ఫ్లైట్ సైన్సెస్, ఫోర్డ్ మోటార్ కో. జూలై 12, 2010 న మిస్సౌరీలోని సెయింట్ లూయిస్‌లోని బోయింగ్ సౌకర్యాల వద్ద జరిగిన వేడుకలో ఫాంటమ్ కన్ను పత్రికలకు వెల్లడైంది. [2] ఫాంటమ్ కంటి ప్రదర్శనకారుడు ఆబ్జెక్టివ్ సిస్టమ్ యొక్క 60-70% స్కేల్ డిజైన్. బోయింగ్ యొక్క ఫాంటమ్ వర్క్స్ అడ్వాన్స్‌డ్ కాన్సెప్ట్స్ గ్రూప్ ప్రెసిడెంట్ డారిల్ డేవిస్ ప్రకారం, ఫాంటమ్ కంటి ప్రదర్శనకారుడు 24 గంటల రోజు, ఏడు రోజుల-వారానికి ఏడాది పొడవునా ఏడు-రోజుల కవరేజీని సాధించగల ఆబ్జెక్టివ్ సిస్టమ్‌కు దారితీయవచ్చు నాలుగు విమానాలుగా కొన్ని. [6] ప్రదర్శనకారుడిని కాలిఫోర్నియాలోని ఎడ్వర్డ్స్ ఎయిర్ ఫోర్స్ బేస్ వద్ద ఉన్న నాసా యొక్క డ్రైడెన్ ఫ్లైట్ రీసెర్చ్ సెంటర్‌కు గ్రౌండ్ టెస్టుల కోసం రవాణా చేశారు. ఇది మార్చి 10, 2012 న తన మొదటి మీడియం-స్పీడ్ టాక్సీ పరీక్షను నిర్వహించింది, ఇది 30 నాట్ల (35 mph; 56 కిమీ/గం) వేగంతో చేరుకుంది. [7] బోయింగ్ పరీక్షను విజయవంతం చేసినట్లు ప్రకటించింది మరియు విమానం యొక్క మొదటి విమానానికి మార్గం సుగమం చేసిందని, ఇది 8 గంటలు ఉంటుందని భావిస్తున్నారు. [8] ఫాంటమ్ ఐ ​​జూన్ 1, 2012 న ఎడ్వర్డ్స్ ఎయిర్ ఫోర్స్ బేస్ వద్ద మొదటి విమానాన్ని పూర్తి చేసింది. ఇది 4,000 అడుగుల ఎత్తు మరియు 62 నాట్ల వేగంతో (71 mph; 115 కిమీ/గం) 28 నిమిషాలు చేరుకుంది. దాని ల్యాండింగ్ గేర్ ల్యాండింగ్ సమయంలో పొడి లేక్‌బెడ్‌లోకి తవ్వి, విమానానికి కొంత నష్టం కలిగించింది. [9] [10] ఫిబ్రవరి 6, 2013 న, ఫాంటమ్ ఐ ​​రెండవ విమానానికి సన్నాహకంగా ఎడ్వర్డ్స్ ఎయిర్ ఫోర్స్ బేస్ వద్ద టాక్సీ పరీక్షను పూర్తి చేసింది. ప్రయోగ బండిపై కూర్చుని, ఇది 46 mph వేగంతో చేరుకుంది. మొదటి విమాన పరీక్షకు ప్రతిస్పందనగా, స్వయంప్రతిపత్త విమాన వ్యవస్థలు అప్‌గ్రేడ్ చేయబడ్డాయి మరియు ల్యాండింగ్ వ్యవస్థ మెరుగుపరచబడింది. [11] ఫాంటమ్ ఐ ​​ఫిబ్రవరి 25, 2013 న ఎడ్వర్డ్స్ ఎయిర్ ఫోర్స్ బేస్ వద్ద రెండవ విమానాన్ని పూర్తి చేసింది. ఇది 66 నిమిషాల పాటు 62 నాట్ల (71 mph; 115 కిమీ/గంట) క్రూజింగ్ వేగంతో 8,000 అడుగుల ఎత్తుకు ఎక్కింది. రెండవ విమాన పరీక్ష విజయవంతమైన ల్యాండింగ్‌తో ముగిసింది. [12] 6 జూన్ 2013 న, ఫాంటమ్ కంటి ప్రదర్శనకారుడిపై గుర్తించబడని పేలోడ్‌ను వ్యవస్థాపించడానికి బోయింగ్‌కు యు.ఎస్. క్షిపణి రక్షణ సంస్థ 8 6.8 మిలియన్ల ఒప్పందం కుదుర్చుకుంది. [13] పేలోడ్ చాలావరకు లేజర్‌ను లక్ష్యంగా చేసుకోవడానికి అవసరమైన సుదూర సెన్సింగ్ మరియు ట్రాకింగ్ సిస్టమ్. [14] ఫాంటమ్ ఐ ​​యొక్క నాల్గవ విమానం జూన్ 14, 2013 న జరిగింది, ఇది 4 గంటలు 20,000 అడుగుల ఎత్తుకు చేరుకుంది. సెప్టెంబర్ 14, 2013 న, దాని ఐదవ ఫ్లైట్ దాదాపు నాలుగున్నర గంటలకు 28,000 అడుగుల ఎత్తుకు చేరుకుంది. విమాన పరీక్ష విజయవంతం అయినప్పటికీ, పరీక్ష మొదట 40,000 అడుగుల ఎత్తుకు చేరుకోవడానికి ఉద్దేశించినట్లు వర్గాలు పేర్కొన్నాయి. ఐదవ ఫ్లైట్ క్షిపణి రక్షణ సంస్థ నుండి పేలోడ్‌ను కలిగి ఉంది. [15] ఆరవ ఫ్లైట్ జనవరి 6, 2014 న జరిగింది మరియు మునుపటి ఫ్లైట్ కంటే 5 గంటలు కొనసాగింది. [16] ఫిబ్రవరి 2014 లో, నాసా యొక్క డ్రైడెన్ ఫ్లైట్ రీసెర్చ్ సెంటర్ సిఫార్సుపై ఫాంటమ్ ఐని వైమానిక దళం యొక్క 412 వ ఆపరేషన్స్ గ్రూప్ ప్రయోగాత్మక స్థితికి ప్రోత్సహించింది. ఫాంటమ్ ఐ ​​అప్పటికి ఆరు టెస్ట్ విమానాలకు గురై నాసా భద్రతా ప్రమాణాలకు అనుగుణంగా ఉంది. USAF పరీక్షా కేంద్రం క్రింద ప్రయోగాత్మకంగా వర్గీకరణ అంటే ఇది ఎడ్వర్డ్స్ AFB పైన ఎగురుతూనే పరిమితం కాలేదు మరియు మరింత పరీక్షా ఓర్పు మరియు ఎత్తు సామర్థ్యాలకు అనేక మైళ్ళ దూరంలో పరీక్షా పరిధికి వెళుతుంది. రాబోయే నెలల్లో, బోయింగ్ ప్రదర్శనకారుడిని 60,000 అడుగుల (18,000 మీ) యొక్క కావలసిన ఆపరేటింగ్ ఎత్తుకు చేరుకోవటానికి మరియు దాని ఓర్పును పెంచడానికి ప్రణాళికాబద్ధంగా పరీక్షించారు; పూర్తి-పరిమాణ కార్యాచరణ ఫాంటమ్ కన్ను విజయవంతమైతే 7-10 రోజుల వాయుమార్గాల ఓర్పు లక్ష్యాలను చేరుకోవడానికి నిర్మించాలని ప్రణాళిక చేయబడింది. [17] ప్రదర్శనకారుడి తొమ్మిదవ విమానం 2014 లో 8-9 గంటలకు 54,000 అడుగుల వద్ద సంభవించింది, తరువాత దీనిని నాసా యొక్క ఆర్మ్‌స్ట్రాంగ్ ఫ్లైట్ రీసెర్చ్ సెంటర్‌లో నిల్వ చేశారు. బోయింగ్ అభివృద్ధిని కొనసాగించడానికి సైనిక లేదా వాణిజ్య రంగాలలో అవకాశాల కోసం చూసింది. ప్రారంభంలో గ్రౌండ్ నిఘా లేదా కమ్యూనికేషన్స్ రిలే కోసం అధిక ఎగిరే ఉపగ్రహ సర్రోగేట్‌గా పిచ్ చేయబడిన సంస్థ, క్షిపణి రక్షణను నిర్వహించడానికి ఘన-స్థితి లేజర్‌ను అమర్చగలదా అని కంపెనీ చూసింది; బోయింగ్ యొక్క మునుపటి YAL-1 వాయుమార్గాన లేజర్ టెస్ట్‌బెడ్‌లో ఉపయోగించినట్లుగా, రసాయన లేజర్‌లపై ఘన-స్థితి లేజర్ కావాలి, ఎందుకంటే తక్కువ లాజిస్టికల్ తోక ఉంది మరియు రీఛార్జ్ చేయడానికి మరియు చల్లబరచడానికి తక్కువ సమయం అవసరం. [18] 17 ఆగస్టు 2016 న, వైమానిక దళం విడదీయబడిన ఫాంటమ్ కంటి ప్రదర్శనకారుడిని తిరిగి కలపడం మరియు పునర్నిర్మాణం కోసం ఎయిర్ ఫోర్స్ ఫ్లైట్ టెస్ట్ మ్యూజియంలో ప్రదర్శించడానికి బదిలీ చేసింది. తొమ్మిది సోర్టీలు నిర్వహించిన తరువాత సెప్టెంబర్ 2014 లో విమాన ప్రయత్నాలు ముగిసిన తరువాత విమానాలను సేవకు తిరిగి ఇవ్వాలనే ఆశతో బోయింగ్ సైనిక మరియు వాణిజ్య సంస్థలతో చర్చలు జరుపుతున్నాడు, కాని విజయం సాధించలేదు. 1,000 ఎల్బి (450 కిలోల) పేలోడ్ లేదా 7 రోజులు 2,000 ఎల్బి పేలోడ్‌తో 10 రోజులు గాలిలో ఉండగల 40% పెద్ద సంస్కరణను నిర్మించాలని కంపెనీ భావించింది, కాని ప్రోటోటైప్ యొక్క పదవీ విరమణ అస్పష్టంగా ఉంటుంది. [19] ఫాంటమ్ కంటి ప్రదర్శనకారుడు 150 అడుగుల (46 మీటర్లు) వింగ్స్పాన్ కలిగి ఉన్నారు. 65,000 అడుగుల వరకు ఎత్తులో ఒకేసారి నాలుగు రోజుల వరకు ఎగురుతుందని బోయింగ్ పేర్కొంది. ఫాంటమ్ కంటి ప్రదర్శనకారుడు 450-పౌండ్ల పేలోడ్‌ను మోయగలిగాడు మరియు 150 నాట్ల క్రూజింగ్ వేగాన్ని కలిగి ఉన్నాడని బోయింగ్ పేర్కొన్నాడు. [5] ఫాంటమ్ ఐ ​​ఆయుధాలను కలిగి ఉండదు మరియు "నిరంతర తెలివితేటలు మరియు నిఘా" కోసం. [2] రెండు ప్రొపల్షన్ సిస్టమ్స్‌లో ప్రతి ఒక్కటి సవరించిన ఫోర్డ్ 2.3 లీటర్ ఇంజన్లు, తగ్గింపు గేర్‌బాక్స్ మరియు 4-బ్లేడ్ ప్రొపెల్లర్‌ను కలిగి ఉంది. ఇంజిన్లు మొదట పెట్రోల్-బర్నింగ్ ఫోర్డ్ ఫ్యూజన్ కారు యొక్క కొన్ని మోడళ్లతో ఉపయోగం కోసం రూపొందించబడ్డాయి. 65,000 అడుగుల వద్ద ఆక్సిజన్ ఆకలితో ఉన్న వాతావరణంలో నడపడానికి, ఇంజిన్లు బహుళ టర్బోచార్జర్ వ్యవస్థను కలిగి ఉన్నాయి, ఇది తక్కువ సాంద్రత గల గాలిని లభించే మరియు దాని స్టీల్త్ లక్షణాలను పెంచడానికి రేడియేటెడ్ ఇన్ఫ్రారెడ్ హీట్ సంతకాన్ని తగ్గిస్తుంది. సముద్ర మట్టంలో 150 హార్స్‌పవర్లను అందించిన ఇంజన్లు హైడ్రోజన్‌పై నడపగలిగేలా ట్యూన్ చేయబడ్డాయి. బోయింగ్ యొక్క మార్కెటింగ్ విభాగం ఇది విమానం ఆర్థికంగా మరియు "ఆకుపచ్చ" ను అమలు చేయడానికి చేస్తుంది, ఎందుకంటే ఉప-ఉత్పత్తి మాత్రమే నీరు. [20] ఫాంటమ్ కంటి యొక్క ప్రాధమిక పాత్ర వాయుమార్గాన నిఘా అయినప్పటికీ, బోయింగ్ దీనిని యు.ఎస్. నేవీకి కమ్యూనికేషన్ రిలేగా పేర్కొంది. MQ-4C ట్రిటాన్ ఇప్పటికీ అందించిన దీర్ఘ-శ్రేణి నిఘాతో విమాన క్యారియర్‌లో స్థలాన్ని తీసుకోకుండా ఇది నేవీలో పాత్రను కలిగి ఉంటుంది. ఒక జత ఫాంటమ్ కళ్ళు, ఒకటి స్థిరమైన విమాన రోజుల తరువాత మరొకటి ఉపశమనం పొందుతుంది, నేవీకి నిరంతర సుదూర సమాచార మార్పిడి అందిస్తుంది. [21]</v>
      </c>
      <c r="E33" s="1" t="s">
        <v>884</v>
      </c>
      <c r="F33" s="1" t="s">
        <v>885</v>
      </c>
      <c r="G33" s="1" t="str">
        <f>IFERROR(__xludf.DUMMYFUNCTION("GOOGLETRANSLATE(F:F, ""en"", ""te"")"),"అధిక ఎత్తు, పొడవైన ఓర్పు మానవరహిత వైమానిక వాహనం")</f>
        <v>అధిక ఎత్తు, పొడవైన ఓర్పు మానవరహిత వైమానిక వాహనం</v>
      </c>
      <c r="H33" s="1" t="s">
        <v>886</v>
      </c>
      <c r="I33" s="1" t="s">
        <v>447</v>
      </c>
      <c r="J33" s="1" t="str">
        <f>IFERROR(__xludf.DUMMYFUNCTION("GOOGLETRANSLATE(I:I, ""en"", ""te"")"),"అమెరికా")</f>
        <v>అమెరికా</v>
      </c>
      <c r="K33" s="3" t="s">
        <v>448</v>
      </c>
      <c r="L33" s="1" t="s">
        <v>887</v>
      </c>
      <c r="M33" s="1" t="str">
        <f>IFERROR(__xludf.DUMMYFUNCTION("GOOGLETRANSLATE(L:L, ""en"", ""te"")"),"బోయింగ్")</f>
        <v>బోయింగ్</v>
      </c>
      <c r="N33" s="3" t="s">
        <v>888</v>
      </c>
      <c r="R33" s="6">
        <v>41061.0</v>
      </c>
      <c r="BG33" s="2"/>
      <c r="BU33" s="1" t="s">
        <v>889</v>
      </c>
      <c r="BV33" s="1" t="str">
        <f>IFERROR(__xludf.DUMMYFUNCTION("GOOGLETRANSLATE(BU:BU, ""en"", ""te"")"),"మ్యూజియం ముక్క")</f>
        <v>మ్యూజియం ముక్క</v>
      </c>
    </row>
    <row r="34">
      <c r="A34" s="1" t="s">
        <v>890</v>
      </c>
      <c r="B34" s="1" t="str">
        <f>IFERROR(__xludf.DUMMYFUNCTION("GOOGLETRANSLATE(A:A, ""en"", ""te"")"),"బోయింగ్ X-40")</f>
        <v>బోయింగ్ X-40</v>
      </c>
      <c r="C34" s="1" t="s">
        <v>891</v>
      </c>
      <c r="D34" s="1" t="str">
        <f>IFERROR(__xludf.DUMMYFUNCTION("GOOGLETRANSLATE(C:C, ""en"", ""te"")"),"బోయింగ్ X-40A స్పేస్ యుక్తి వాహనం X-37 ఫ్యూచర్-ఎక్స్ పునర్వినియోగ ప్రయోగ వాహనానికి పరీక్షా వేదిక. X-37 ఫ్యూచర్-ఎక్స్ పునర్వినియోగ ప్రయోగ వాహన ప్రాజెక్ట్ యొక్క ఏరోడైనమిక్స్ మరియు నావిగేషన్‌ను పరీక్షించడానికి అన్‌పిలట్ చేయని ఎక్స్ -40 85% స్కేల్‌కు నిర్మించ"&amp;"బడింది. ఆగష్టు 1998 లో మొదటి డ్రాప్ పరీక్ష తరువాత ఈ వాహనాన్ని నాసాకు బదిలీ చేశారు, ఇది దానిని సవరించింది. ఏప్రిల్ 4 మరియు మే 19, 2001 మధ్య, వాహనం ఏడు ఉచిత విమానాలను విజయవంతంగా నిర్వహించింది. [3] 2001 లో ఇది X-37 యొక్క కొవ్వు-శరీర, చిన్న-రెక్కల రూపకల్పన యొ"&amp;"క్క గ్లైడ్ సామర్థ్యాలను విజయవంతంగా ప్రదర్శించింది మరియు ప్రతిపాదిత మార్గదర్శక వ్యవస్థను ధృవీకరించింది. మొదటి X-40 డ్రాప్ పరీక్ష న్యూ మెక్సికోలోని హోలోమన్ AFB వద్ద ఆగస్టు 11, 1998 న 06:59 వద్ద జరిగింది. ఇది స్పేస్ యుక్తి వాహనం అని పిలువబడే ఉమ్మడి వైమానిక ద"&amp;"ళం/బోయింగ్ ప్రాజెక్ట్. ఇది రన్వే 04 చివరి నుండి UH-60 బ్లాక్ హాక్ హెలికాప్టర్ [1] [2] [3] ద్వారా రన్వే 04 చివర నుండి సుమారు 9,200 అడుగుల (2,800 మీ) మరియు 2.5 మైళ్ళు (4.0 కిమీ) దూరంలో విడుదల చేయబడింది (తరువాత పరీక్షలు ఉపయోగించబడ్డాయి CH-47 చినూక్ హెలికాప్ట"&amp;"ర్). [2] [3] వాహనం రన్‌వేకి పావురం స్పేస్ షటిల్, ఎగిరింది, మరియు రన్‌వే సెంటర్‌లైన్‌కు ఎడమవైపున దిగింది. దాని డ్రాగ్ చ్యూట్స్ విజయవంతంగా మోహరించబడ్డాయి, మరియు వాహనం సెంటర్‌లైన్ యొక్క 7 అడుగుల (2.1 మీ) లోపల ట్రాక్ చేయబడింది మరియు 7,000 అడుగుల (2,100 మీ) కం"&amp;"టే కొంచెం ఎక్కువ దూరంలో ఆగిపోయింది. సాధారణ లక్షణాలు పనితీరు ఏవియానిక్స్ హనీవెల్ 12-ఛానల్ స్పేస్ ఇంటిగ్రేటెడ్ GPS/INS (SIGI) సిస్టమ్ సంబంధిత అభివృద్ధి సంబంధిత జాబితాలు")</f>
        <v>బోయింగ్ X-40A స్పేస్ యుక్తి వాహనం X-37 ఫ్యూచర్-ఎక్స్ పునర్వినియోగ ప్రయోగ వాహనానికి పరీక్షా వేదిక. X-37 ఫ్యూచర్-ఎక్స్ పునర్వినియోగ ప్రయోగ వాహన ప్రాజెక్ట్ యొక్క ఏరోడైనమిక్స్ మరియు నావిగేషన్‌ను పరీక్షించడానికి అన్‌పిలట్ చేయని ఎక్స్ -40 85% స్కేల్‌కు నిర్మించబడింది. ఆగష్టు 1998 లో మొదటి డ్రాప్ పరీక్ష తరువాత ఈ వాహనాన్ని నాసాకు బదిలీ చేశారు, ఇది దానిని సవరించింది. ఏప్రిల్ 4 మరియు మే 19, 2001 మధ్య, వాహనం ఏడు ఉచిత విమానాలను విజయవంతంగా నిర్వహించింది. [3] 2001 లో ఇది X-37 యొక్క కొవ్వు-శరీర, చిన్న-రెక్కల రూపకల్పన యొక్క గ్లైడ్ సామర్థ్యాలను విజయవంతంగా ప్రదర్శించింది మరియు ప్రతిపాదిత మార్గదర్శక వ్యవస్థను ధృవీకరించింది. మొదటి X-40 డ్రాప్ పరీక్ష న్యూ మెక్సికోలోని హోలోమన్ AFB వద్ద ఆగస్టు 11, 1998 న 06:59 వద్ద జరిగింది. ఇది స్పేస్ యుక్తి వాహనం అని పిలువబడే ఉమ్మడి వైమానిక దళం/బోయింగ్ ప్రాజెక్ట్. ఇది రన్వే 04 చివరి నుండి UH-60 బ్లాక్ హాక్ హెలికాప్టర్ [1] [2] [3] ద్వారా రన్వే 04 చివర నుండి సుమారు 9,200 అడుగుల (2,800 మీ) మరియు 2.5 మైళ్ళు (4.0 కిమీ) దూరంలో విడుదల చేయబడింది (తరువాత పరీక్షలు ఉపయోగించబడ్డాయి CH-47 చినూక్ హెలికాప్టర్). [2] [3] వాహనం రన్‌వేకి పావురం స్పేస్ షటిల్, ఎగిరింది, మరియు రన్‌వే సెంటర్‌లైన్‌కు ఎడమవైపున దిగింది. దాని డ్రాగ్ చ్యూట్స్ విజయవంతంగా మోహరించబడ్డాయి, మరియు వాహనం సెంటర్‌లైన్ యొక్క 7 అడుగుల (2.1 మీ) లోపల ట్రాక్ చేయబడింది మరియు 7,000 అడుగుల (2,100 మీ) కంటే కొంచెం ఎక్కువ దూరంలో ఆగిపోయింది. సాధారణ లక్షణాలు పనితీరు ఏవియానిక్స్ హనీవెల్ 12-ఛానల్ స్పేస్ ఇంటిగ్రేటెడ్ GPS/INS (SIGI) సిస్టమ్ సంబంధిత అభివృద్ధి సంబంధిత జాబితాలు</v>
      </c>
      <c r="E34" s="1" t="s">
        <v>892</v>
      </c>
      <c r="F34" s="1" t="s">
        <v>893</v>
      </c>
      <c r="G34" s="1" t="str">
        <f>IFERROR(__xludf.DUMMYFUNCTION("GOOGLETRANSLATE(F:F, ""en"", ""te"")"),"గ్లైడ్ టెస్ట్ వెహికల్")</f>
        <v>గ్లైడ్ టెస్ట్ వెహికల్</v>
      </c>
      <c r="I34" s="1" t="s">
        <v>447</v>
      </c>
      <c r="J34" s="1" t="str">
        <f>IFERROR(__xludf.DUMMYFUNCTION("GOOGLETRANSLATE(I:I, ""en"", ""te"")"),"అమెరికా")</f>
        <v>అమెరికా</v>
      </c>
      <c r="L34" s="1" t="s">
        <v>894</v>
      </c>
      <c r="M34" s="1" t="str">
        <f>IFERROR(__xludf.DUMMYFUNCTION("GOOGLETRANSLATE(L:L, ""en"", ""te"")"),"బోయింగ్ ఫాంటమ్ పనిచేస్తుంది")</f>
        <v>బోయింగ్ ఫాంటమ్ పనిచేస్తుంది</v>
      </c>
      <c r="N34" s="1" t="s">
        <v>895</v>
      </c>
      <c r="R34" s="1" t="s">
        <v>896</v>
      </c>
      <c r="S34" s="1">
        <v>1.0</v>
      </c>
      <c r="W34" s="1" t="s">
        <v>897</v>
      </c>
      <c r="X34" s="1" t="s">
        <v>898</v>
      </c>
      <c r="Y34" s="1" t="s">
        <v>899</v>
      </c>
      <c r="AG34" s="1" t="s">
        <v>900</v>
      </c>
      <c r="AN34" s="1" t="s">
        <v>901</v>
      </c>
      <c r="AS34" s="1" t="s">
        <v>902</v>
      </c>
      <c r="AT34" s="1"/>
      <c r="AU34" s="3" t="s">
        <v>903</v>
      </c>
      <c r="BB34" s="1" t="s">
        <v>904</v>
      </c>
      <c r="BG34" s="2"/>
      <c r="BU34" s="1" t="s">
        <v>905</v>
      </c>
      <c r="BV34" s="1" t="str">
        <f>IFERROR(__xludf.DUMMYFUNCTION("GOOGLETRANSLATE(BU:BU, ""en"", ""te"")"),"రిటైర్డ్ మే 2001")</f>
        <v>రిటైర్డ్ మే 2001</v>
      </c>
      <c r="DI34" s="1" t="s">
        <v>906</v>
      </c>
    </row>
    <row r="35">
      <c r="A35" s="1" t="s">
        <v>907</v>
      </c>
      <c r="B35" s="1" t="str">
        <f>IFERROR(__xludf.DUMMYFUNCTION("GOOGLETRANSLATE(A:A, ""en"", ""te"")"),"FFA గా 202 బ్రావో")</f>
        <v>FFA గా 202 బ్రావో</v>
      </c>
      <c r="C35" s="1" t="s">
        <v>908</v>
      </c>
      <c r="D35" s="1" t="str">
        <f>IFERROR(__xludf.DUMMYFUNCTION("GOOGLETRANSLATE(C:C, ""en"", ""te"")"),"AS/SA 202 బ్రావో అనేది స్విస్ కంపెనీ ఫ్లగ్- Und fahrzeugwerke Altenrhein (FFA) మరియు ఇటాలియన్ కంపెనీ సావోయా-మౌర్చెట్టి సంయుక్తంగా రూపొందించిన మరియు తయారుచేసిన రెండు నుండి మూడు-సీట్ల సివిల్ లైట్ విమానాలు. ఈ విమానం స్విట్జర్లాండ్‌లో 202 మరియు ఇటలీలో ఎస్‌ఐ 2"&amp;"02 గా నియమించబడింది. సావోయా-మార్చెట్టి రెక్కలు, అండర్ క్యారేజ్ మరియు ఇంజిన్ సంస్థాపనను తయారు చేయగా, ఎఫ్‌ఎఫ్‌ఎ ఫ్యూజ్‌లేజ్, తోక మరియు నియంత్రణలను తయారు చేసింది, అయితే రెండు కంపెనీలు పూర్తి విమానాలను తయారుచేసే అసెంబ్లీ ప్లాంట్లను కలిగి ఉన్నాయి. మొదటి స్విస్"&amp;" మోడల్ 9 మార్చి 1969 న ప్రయాణించింది, ఇది మే 8 న మొదటి ఇటాలియన్ విమానం. బ్రావో అనేది పూర్తి దృష్టి పందిరితో కఠినమైన ఆల్-మెటల్ లో-వింగ్ మోనోప్లేన్. దాని ట్రైసైకిల్ ల్యాండింగ్ గేర్ పరిష్కరించబడింది. 34 15 లు మరియు 180 18 లు నిర్మించబడ్డాయి, సైనిక కస్టమర్లతో"&amp;" ఎక్కువ మంది సేవ చేస్తున్నారు. 2000–2011లో ఫిన్లాండ్‌లోని హెల్సింకి-మాల్మి విమానాశ్రయంలో పాట్రియా పైలట్ శిక్షణ అతిపెద్ద సివిల్ ఆపరేటర్. అసలు 10 లో 7 విమానం సేవలో ఉంది. పాట్రియాతో విలీనం చేసేటప్పుడు, ఒక విమానం ప్రైవేట్ యజమానికి విక్రయించబడింది. 2002 లో హెల"&amp;"్సింకి-మాల్మి విమానాశ్రయంలో రాత్రి-సమయ ప్రమాదం ప్రాణాలు కోల్పోలేదు కాని హల్ మరమ్మత్తుకు మించి దెబ్బతింది. ఆగష్టు 2010 లో, ఒక విమానం హెల్సింకి-మాల్మి వద్ద రన్వే నుండి బయటపడింది మరియు వ్రాయబడింది. పాట్రియా బ్రావోస్ స్థానంలో టెక్నం పి 2002 జెఎఫ్ స్థానంలో ఉంద"&amp;"ి. జేన్ యొక్క అన్ని ప్రపంచ విమానాల నుండి డేటా 1976-77 [1] సాధారణ లక్షణాల పనితీరు సంబంధిత జాబితాలు")</f>
        <v>AS/SA 202 బ్రావో అనేది స్విస్ కంపెనీ ఫ్లగ్- Und fahrzeugwerke Altenrhein (FFA) మరియు ఇటాలియన్ కంపెనీ సావోయా-మౌర్చెట్టి సంయుక్తంగా రూపొందించిన మరియు తయారుచేసిన రెండు నుండి మూడు-సీట్ల సివిల్ లైట్ విమానాలు. ఈ విమానం స్విట్జర్లాండ్‌లో 202 మరియు ఇటలీలో ఎస్‌ఐ 202 గా నియమించబడింది. సావోయా-మార్చెట్టి రెక్కలు, అండర్ క్యారేజ్ మరియు ఇంజిన్ సంస్థాపనను తయారు చేయగా, ఎఫ్‌ఎఫ్‌ఎ ఫ్యూజ్‌లేజ్, తోక మరియు నియంత్రణలను తయారు చేసింది, అయితే రెండు కంపెనీలు పూర్తి విమానాలను తయారుచేసే అసెంబ్లీ ప్లాంట్లను కలిగి ఉన్నాయి. మొదటి స్విస్ మోడల్ 9 మార్చి 1969 న ప్రయాణించింది, ఇది మే 8 న మొదటి ఇటాలియన్ విమానం. బ్రావో అనేది పూర్తి దృష్టి పందిరితో కఠినమైన ఆల్-మెటల్ లో-వింగ్ మోనోప్లేన్. దాని ట్రైసైకిల్ ల్యాండింగ్ గేర్ పరిష్కరించబడింది. 34 15 లు మరియు 180 18 లు నిర్మించబడ్డాయి, సైనిక కస్టమర్లతో ఎక్కువ మంది సేవ చేస్తున్నారు. 2000–2011లో ఫిన్లాండ్‌లోని హెల్సింకి-మాల్మి విమానాశ్రయంలో పాట్రియా పైలట్ శిక్షణ అతిపెద్ద సివిల్ ఆపరేటర్. అసలు 10 లో 7 విమానం సేవలో ఉంది. పాట్రియాతో విలీనం చేసేటప్పుడు, ఒక విమానం ప్రైవేట్ యజమానికి విక్రయించబడింది. 2002 లో హెల్సింకి-మాల్మి విమానాశ్రయంలో రాత్రి-సమయ ప్రమాదం ప్రాణాలు కోల్పోలేదు కాని హల్ మరమ్మత్తుకు మించి దెబ్బతింది. ఆగష్టు 2010 లో, ఒక విమానం హెల్సింకి-మాల్మి వద్ద రన్వే నుండి బయటపడింది మరియు వ్రాయబడింది. పాట్రియా బ్రావోస్ స్థానంలో టెక్నం పి 2002 జెఎఫ్ స్థానంలో ఉంది. జేన్ యొక్క అన్ని ప్రపంచ విమానాల నుండి డేటా 1976-77 [1] సాధారణ లక్షణాల పనితీరు సంబంధిత జాబితాలు</v>
      </c>
      <c r="E35" s="1" t="s">
        <v>909</v>
      </c>
      <c r="F35" s="1" t="s">
        <v>910</v>
      </c>
      <c r="G35" s="1" t="str">
        <f>IFERROR(__xludf.DUMMYFUNCTION("GOOGLETRANSLATE(F:F, ""en"", ""te"")"),"సివిల్ లైట్ విమానం")</f>
        <v>సివిల్ లైట్ విమానం</v>
      </c>
      <c r="I35" s="1" t="s">
        <v>911</v>
      </c>
      <c r="J35" s="1" t="str">
        <f>IFERROR(__xludf.DUMMYFUNCTION("GOOGLETRANSLATE(I:I, ""en"", ""te"")"),"స్విట్జర్లాండ్/ఇటలీ")</f>
        <v>స్విట్జర్లాండ్/ఇటలీ</v>
      </c>
      <c r="K35" s="3" t="s">
        <v>912</v>
      </c>
      <c r="L35" s="1" t="s">
        <v>913</v>
      </c>
      <c r="M35" s="1" t="str">
        <f>IFERROR(__xludf.DUMMYFUNCTION("GOOGLETRANSLATE(L:L, ""en"", ""te"")"),"FFA/SIAI-MARCHETTI")</f>
        <v>FFA/SIAI-MARCHETTI</v>
      </c>
      <c r="N35" s="3" t="s">
        <v>914</v>
      </c>
      <c r="R35" s="4">
        <v>25271.0</v>
      </c>
      <c r="S35" s="1">
        <v>214.0</v>
      </c>
      <c r="T35" s="1" t="s">
        <v>216</v>
      </c>
      <c r="U35" s="1" t="s">
        <v>915</v>
      </c>
      <c r="V35" s="1" t="s">
        <v>916</v>
      </c>
      <c r="W35" s="1" t="s">
        <v>917</v>
      </c>
      <c r="X35" s="1" t="s">
        <v>918</v>
      </c>
      <c r="Y35" s="1" t="s">
        <v>919</v>
      </c>
      <c r="Z35" s="1" t="s">
        <v>920</v>
      </c>
      <c r="AF35" s="1" t="s">
        <v>247</v>
      </c>
      <c r="AG35" s="1" t="s">
        <v>921</v>
      </c>
      <c r="AI35" s="1" t="s">
        <v>922</v>
      </c>
      <c r="AM35" s="1" t="s">
        <v>923</v>
      </c>
      <c r="AQ35" s="1" t="s">
        <v>924</v>
      </c>
      <c r="AR35" s="1" t="s">
        <v>925</v>
      </c>
      <c r="AS35" s="1" t="s">
        <v>926</v>
      </c>
      <c r="AT35" s="1"/>
      <c r="AU35" s="1" t="s">
        <v>927</v>
      </c>
      <c r="AW35" s="1" t="s">
        <v>928</v>
      </c>
      <c r="AX35" s="1" t="s">
        <v>929</v>
      </c>
      <c r="AY35" s="1" t="str">
        <f>IFERROR(__xludf.DUMMYFUNCTION("GOOGLETRANSLATE(AX:AX, ""en"", ""te"")"),"1 × లైమింగ్ O-320-E2A 4-సిలిండర్ ఎయిర్-కూల్డ్ అడ్డంగా-ప్రతిపాదించిన పిస్టన్ ఇంజిన్, 112 kW (150 HP)")</f>
        <v>1 × లైమింగ్ O-320-E2A 4-సిలిండర్ ఎయిర్-కూల్డ్ అడ్డంగా-ప్రతిపాదించిన పిస్టన్ ఇంజిన్, 112 kW (150 HP)</v>
      </c>
      <c r="AZ35" s="1" t="s">
        <v>930</v>
      </c>
      <c r="BA35" s="1" t="str">
        <f>IFERROR(__xludf.DUMMYFUNCTION("GOOGLETRANSLATE(AZ:AZ, ""en"", ""te"")"),"2-బ్లేడెడ్ మెక్కాలీ 1C172 mgm, 1.88 M (6 ft 2 in) వ్యాసం స్థిర-పిచ్ ప్రొపెల్లర్")</f>
        <v>2-బ్లేడెడ్ మెక్కాలీ 1C172 mgm, 1.88 M (6 ft 2 in) వ్యాసం స్థిర-పిచ్ ప్రొపెల్లర్</v>
      </c>
      <c r="BB35" s="1" t="s">
        <v>931</v>
      </c>
      <c r="BC35" s="1" t="s">
        <v>932</v>
      </c>
      <c r="BD35" s="1" t="s">
        <v>933</v>
      </c>
      <c r="BE35" s="1" t="s">
        <v>934</v>
      </c>
      <c r="BG35" s="2"/>
      <c r="BR35" s="1" t="s">
        <v>935</v>
      </c>
      <c r="BS35" s="1" t="s">
        <v>936</v>
      </c>
      <c r="BT35" s="1" t="s">
        <v>937</v>
      </c>
      <c r="BU35" s="1" t="s">
        <v>796</v>
      </c>
      <c r="BV35" s="1" t="str">
        <f>IFERROR(__xludf.DUMMYFUNCTION("GOOGLETRANSLATE(BU:BU, ""en"", ""te"")"),"క్రియాశీల")</f>
        <v>క్రియాశీల</v>
      </c>
      <c r="BW35" s="1" t="s">
        <v>938</v>
      </c>
      <c r="BX35" s="1"/>
      <c r="BY35" s="1" t="s">
        <v>939</v>
      </c>
    </row>
    <row r="36">
      <c r="A36" s="1" t="s">
        <v>940</v>
      </c>
      <c r="B36" s="1" t="str">
        <f>IFERROR(__xludf.DUMMYFUNCTION("GOOGLETRANSLATE(A:A, ""en"", ""te"")"),"మికోయన్-గ్యూర్విచ్ MIG-105")</f>
        <v>మికోయన్-గ్యూర్విచ్ MIG-105</v>
      </c>
      <c r="C36" s="1" t="s">
        <v>941</v>
      </c>
      <c r="D36" s="1" t="str">
        <f>IFERROR(__xludf.DUMMYFUNCTION("GOOGLETRANSLATE(C:C, ""en"", ""te"")"),"స్పైరల్ ప్రోగ్రామ్‌లో భాగమైన మికోయన్-గ్యూర్విచ్ మిగ్ -105, తక్కువ-వేగ నిర్వహణ మరియు ల్యాండింగ్‌ను అన్వేషించడానికి ఒక సిబ్బంది పరీక్షా వాహనం. ఇది కక్ష్య అంతరిక్ష పత్రాన్ని సృష్టించడానికి సోవియట్ ప్రాజెక్ట్ యొక్క కనిపించే ఫలితం. మిగ్ 105 ను ""లాపోట్"" (రష్య"&amp;"న్: лапоть, లేదా బాస్ట్ షూ (ఈ పదాన్ని ""షూ"" కోసం యాసగా కూడా ఉపయోగిస్తారు)), దాని ముక్కు ఆకారం కోసం) అనే మారుపేరుతో ఉంది. ఈ కార్యక్రమాన్ని ప్రయోగాత్మక ప్రయాణీకుల కక్ష్య విమానం (EPO లు) అని కూడా పిలుస్తారు. ఈ ప్రాజెక్టు పనులు 1965 లో ప్రారంభమయ్యాయి, ఈ ప్రా"&amp;"జెక్ట్ 1969 లో నిలిపివేయబడింది, యు.ఎస్. స్పేస్ షటిల్ కార్యక్రమానికి ప్రతిస్పందనగా 1974 లో పున ar ప్రారంభించబడుతుంది. పరీక్ష వాహనం 1976 లో మొట్టమొదటి సబ్సోనిక్ ఫ్రీ-ఫ్లైట్ పరీక్షను చేసింది, మాస్కో సమీపంలోని పాత ఎయిర్‌స్ట్రిప్ నుండి దాని స్వంత శక్తితో బయలుద"&amp;"ేరింది. విమాన పరీక్షలు, మొత్తం ఎనిమిది మంది 1978 వరకు అప్పుడప్పుడు కొనసాగాయి. బదులుగా బురాన్ ప్రాజెక్టుతో కొనసాగాలని నిర్ణయం తీసుకున్నప్పుడు అసలు స్పేస్ ప్లేన్ ప్రాజెక్ట్ రద్దు చేయబడింది. MIG పరీక్ష వాహనం ఇప్పటికీ ఉంది మరియు ప్రస్తుతం రష్యాలోని మోనినో ఎయి"&amp;"ర్ ఫోర్స్ మ్యూజియంలో ప్రదర్శించబడుతోంది. [1] Б (రష్యన్: бесилотный орбитальный ракетопланый, బెస్పిలోట్ని ఓర్బిటాలీ రాకెటోప్లాన్, ""అన్‌పిలట్డ్ కక్ష్య రాక్‌టెప్లేన్""). మురి రూపకల్పనను ఉపయోగించటానికి మరో అంతరిక్ష నౌక BOR సిరీస్, అన్‌ప్రీడ్ సబ్-స్కేల్ రీఎం"&amp;"ట్రీ టెస్ట్ వాహనాలు. అమెరికన్ అనలాగ్స్ X-23 ప్రైమ్ మరియు ఆస్తి. వీటిలో చాలా క్రాఫ్ట్ ప్రపంచవ్యాప్తంగా ఏరోస్పేస్ మ్యూజియమ్‌లలో భద్రపరచబడింది. సోవియట్ ఎక్స్-ప్లానెస్ నుండి డేటా [1] పోల్చదగిన పాత్ర, కాన్ఫిగరేషన్ మరియు ERA యొక్క సాధారణ లక్షణాల పనితీరు విమానం")</f>
        <v>స్పైరల్ ప్రోగ్రామ్‌లో భాగమైన మికోయన్-గ్యూర్విచ్ మిగ్ -105, తక్కువ-వేగ నిర్వహణ మరియు ల్యాండింగ్‌ను అన్వేషించడానికి ఒక సిబ్బంది పరీక్షా వాహనం. ఇది కక్ష్య అంతరిక్ష పత్రాన్ని సృష్టించడానికి సోవియట్ ప్రాజెక్ట్ యొక్క కనిపించే ఫలితం. మిగ్ 105 ను "లాపోట్" (రష్యన్: лапоть, లేదా బాస్ట్ షూ (ఈ పదాన్ని "షూ" కోసం యాసగా కూడా ఉపయోగిస్తారు)), దాని ముక్కు ఆకారం కోసం) అనే మారుపేరుతో ఉంది. ఈ కార్యక్రమాన్ని ప్రయోగాత్మక ప్రయాణీకుల కక్ష్య విమానం (EPO లు) అని కూడా పిలుస్తారు. ఈ ప్రాజెక్టు పనులు 1965 లో ప్రారంభమయ్యాయి, ఈ ప్రాజెక్ట్ 1969 లో నిలిపివేయబడింది, యు.ఎస్. స్పేస్ షటిల్ కార్యక్రమానికి ప్రతిస్పందనగా 1974 లో పున ar ప్రారంభించబడుతుంది. పరీక్ష వాహనం 1976 లో మొట్టమొదటి సబ్సోనిక్ ఫ్రీ-ఫ్లైట్ పరీక్షను చేసింది, మాస్కో సమీపంలోని పాత ఎయిర్‌స్ట్రిప్ నుండి దాని స్వంత శక్తితో బయలుదేరింది. విమాన పరీక్షలు, మొత్తం ఎనిమిది మంది 1978 వరకు అప్పుడప్పుడు కొనసాగాయి. బదులుగా బురాన్ ప్రాజెక్టుతో కొనసాగాలని నిర్ణయం తీసుకున్నప్పుడు అసలు స్పేస్ ప్లేన్ ప్రాజెక్ట్ రద్దు చేయబడింది. MIG పరీక్ష వాహనం ఇప్పటికీ ఉంది మరియు ప్రస్తుతం రష్యాలోని మోనినో ఎయిర్ ఫోర్స్ మ్యూజియంలో ప్రదర్శించబడుతోంది. [1] Б (రష్యన్: бесилотный орбитальный ракетопланый, బెస్పిలోట్ని ఓర్బిటాలీ రాకెటోప్లాన్, "అన్‌పిలట్డ్ కక్ష్య రాక్‌టెప్లేన్"). మురి రూపకల్పనను ఉపయోగించటానికి మరో అంతరిక్ష నౌక BOR సిరీస్, అన్‌ప్రీడ్ సబ్-స్కేల్ రీఎంట్రీ టెస్ట్ వాహనాలు. అమెరికన్ అనలాగ్స్ X-23 ప్రైమ్ మరియు ఆస్తి. వీటిలో చాలా క్రాఫ్ట్ ప్రపంచవ్యాప్తంగా ఏరోస్పేస్ మ్యూజియమ్‌లలో భద్రపరచబడింది. సోవియట్ ఎక్స్-ప్లానెస్ నుండి డేటా [1] పోల్చదగిన పాత్ర, కాన్ఫిగరేషన్ మరియు ERA యొక్క సాధారణ లక్షణాల పనితీరు విమానం</v>
      </c>
      <c r="E36" s="1" t="s">
        <v>942</v>
      </c>
      <c r="F36" s="1" t="s">
        <v>943</v>
      </c>
      <c r="G36" s="1" t="str">
        <f>IFERROR(__xludf.DUMMYFUNCTION("GOOGLETRANSLATE(F:F, ""en"", ""te"")"),"పరీక్ష వాహనం")</f>
        <v>పరీక్ష వాహనం</v>
      </c>
      <c r="I36" s="1" t="s">
        <v>944</v>
      </c>
      <c r="J36" s="1" t="str">
        <f>IFERROR(__xludf.DUMMYFUNCTION("GOOGLETRANSLATE(I:I, ""en"", ""te"")"),"సోవియట్ యూనియన్")</f>
        <v>సోవియట్ యూనియన్</v>
      </c>
      <c r="L36" s="1" t="s">
        <v>945</v>
      </c>
      <c r="M36" s="1" t="str">
        <f>IFERROR(__xludf.DUMMYFUNCTION("GOOGLETRANSLATE(L:L, ""en"", ""te"")"),"మికోయన్")</f>
        <v>మికోయన్</v>
      </c>
      <c r="N36" s="3" t="s">
        <v>946</v>
      </c>
      <c r="R36" s="1">
        <v>1976.0</v>
      </c>
      <c r="V36" s="1">
        <v>1.0</v>
      </c>
      <c r="W36" s="1" t="s">
        <v>947</v>
      </c>
      <c r="X36" s="1" t="s">
        <v>948</v>
      </c>
      <c r="Z36" s="1" t="s">
        <v>949</v>
      </c>
      <c r="AG36" s="1" t="s">
        <v>950</v>
      </c>
      <c r="AH36" s="1" t="s">
        <v>951</v>
      </c>
      <c r="AM36" s="1" t="s">
        <v>952</v>
      </c>
      <c r="AW36" s="1" t="s">
        <v>953</v>
      </c>
      <c r="AX36" s="1" t="s">
        <v>954</v>
      </c>
      <c r="AY36" s="1" t="str">
        <f>IFERROR(__xludf.DUMMYFUNCTION("GOOGLETRANSLATE(AX:AX, ""en"", ""te"")"),"1 × RD-36-35K టర్బోజెట్, 19.61 kN (4,410 lbf) థ్రస్ట్")</f>
        <v>1 × RD-36-35K టర్బోజెట్, 19.61 kN (4,410 lbf) థ్రస్ట్</v>
      </c>
      <c r="BB36" s="1" t="s">
        <v>955</v>
      </c>
      <c r="BF36" s="1" t="s">
        <v>956</v>
      </c>
      <c r="BG36" s="2" t="str">
        <f>IFERROR(__xludf.DUMMYFUNCTION("GOOGLETRANSLATE(BF:BF, ""en"", ""te"")"),"సోవియట్ వైమానిక దళాలు")</f>
        <v>సోవియట్ వైమానిక దళాలు</v>
      </c>
      <c r="BH36" s="1" t="s">
        <v>957</v>
      </c>
      <c r="BU36" s="1" t="s">
        <v>958</v>
      </c>
      <c r="BV36" s="1" t="str">
        <f>IFERROR(__xludf.DUMMYFUNCTION("GOOGLETRANSLATE(BU:BU, ""en"", ""te"")"),"రద్దు")</f>
        <v>రద్దు</v>
      </c>
      <c r="CA36" s="1" t="s">
        <v>959</v>
      </c>
    </row>
    <row r="37">
      <c r="A37" s="1" t="s">
        <v>960</v>
      </c>
      <c r="B37" s="1" t="str">
        <f>IFERROR(__xludf.DUMMYFUNCTION("GOOGLETRANSLATE(A:A, ""en"", ""te"")"),"ఫెయిరీ డెల్టా 2")</f>
        <v>ఫెయిరీ డెల్టా 2</v>
      </c>
      <c r="C37" s="1" t="s">
        <v>961</v>
      </c>
      <c r="D37" s="1" t="str">
        <f>IFERROR(__xludf.DUMMYFUNCTION("GOOGLETRANSLATE(C:C, ""en"", ""te"")"),"ఫెయిరీ డెల్టా 2 లేదా ఎఫ్‌డి 2 (ఫెయిరీలోని అంతర్గత హోదా రకం V) అనేది ఫ్లైట్ మరియు కంట్రోల్ ఎట్ ట్రాన్సోనిక్ మరియు నియంత్రణలో పరిశోధనలు నిర్వహించడానికి ఒక ప్రత్యేక విమానం కోసం సరఫరా మంత్రిత్వ శాఖ నుండి ఒక స్పెసిఫికేషన్ నుండి ఒక స్పెసిఫికేషన్‌కు ప్రతిస్పందనగ"&amp;"ా ఫైరీ ఏవియేషన్ కంపెనీ నిర్మించిన బ్రిటిష్ సూపర్సోనిక్ పరిశోధన విమానం, సూపర్సోనిక్ వేగం. ఫీచర్లు డెల్టా వింగ్ మరియు డూప్డ్ నోస్ ఉన్నాయి. 6 అక్టోబర్ 1954 న, డెల్టా 2 తన తొలి విమానంలో ప్రయాణించింది, ఫైరీ టెస్ట్ పైలట్ పీటర్ ట్విస్ చేత ఎగిరింది; రెండు విమానాల"&amp;"ు ఉత్పత్తి చేయబడతాయి. డెల్టా 2 అనేది స్వతంత్ర తయారీదారుగా ఫెయిరీ నిర్మించిన చివరి విమానం. [1] ఫెయిరీ డెల్టా 2 మొదటి జెట్ విమానం గంటకు 1,000 మైళ్ళు (గంటకు 1,600 కి.మీ) మట్టమైన విమానంలో. [2] 10 మార్చి 1956 న, ఇది 1,132 mph (1,822 కిమీ/గం) యొక్క కొత్త ప్రపంచ"&amp;" వేగ రికార్డును నెలకొల్పింది, ఇది మునుపటి అధికారిక రికార్డును 310 mph (500 కిమీ/గం) మించిపోయింది. [గమనిక 1] డెల్టా 2 సంపూర్ణ ప్రపంచ గాలి వేగాన్ని కలిగి ఉంది ఒక సంవత్సరానికి పైగా రికార్డ్. ఇది విమాన పరీక్ష కోసం ఉపయోగించబడుతోంది మరియు 1958 లో రాయల్ ఎయిర్క్ర"&amp;"ాఫ్ట్ ఎస్టాబ్లిష్మెంట్ (RAE) కు కేటాయించబడింది. కాంకోర్డ్ ""ఓగీ డెల్టా"" వింగ్ డిజైన్ కోసం డిజైన్ లెక్కలు మరియు విండ్ టన్నెల్ ఫలితాలను ధృవీకరించడానికి ఒక టెస్ట్‌బెడ్ విమానం అవసరం కాబట్టి విమానంలో ఒకటి BAC 221 గా విస్తృతంగా పునర్నిర్మించబడింది. 1 మే 1964 న"&amp;", సవరించిన విమానం దాని మొదటి విమానాన్ని ప్రదర్శించింది. అధునాతన ఆల్-వెదర్ ఇంటర్‌సెప్టర్ డిజైన్ల కోసం ఫైరీ యొక్క సమర్పణలకు FD2 కూడా ఉపయోగించబడింది, F.155 స్పెసిఫికేషన్‌కు అనుగుణంగా ప్రతిపాదిత ఫైరీ డెల్టా 3 లో ముగుస్తుంది; అయితే, FD3 డ్రాయింగ్-బోర్డు దశను ద"&amp;"ాటలేదు. 1940 ల చివరలో, బ్రిటిష్ విమాన తయారీదారు ఫెయిరీ ఏవియేషన్ డెల్టా వింగ్ టెక్నాలజీపై ఆసక్తి చూపింది మరియు డెల్టా వింగ్ కాన్సెప్ట్ ఆధారంగా బహుళ సమర్పణలను సరఫరా మంత్రిత్వ శాఖకు సమర్పించడానికి ముందుకు వచ్చింది. [3] ఈ ప్రతిపాదనలపై ఆసక్తి ఉన్న మంత్రిత్వ శా"&amp;"ఖ, vision హించిన డెల్టా వింగ్‌ను పరీక్షించడానికి మోడళ్ల కోసం ఆదేశాలు జారీ చేసింది, వీటిలో మొదటిది 1947 లో నిర్మించబడింది; రాయల్ ఎయిర్క్రాఫ్ట్ ఎస్టాబ్లిష్మెంట్ (RAE) చేత పరీక్షలు జరిగాయి. ఈ కార్యక్రమం అనేకసార్లు విజయవంతమైంది, సంభావ్య VTOL కార్యకలాపాలపై దర్"&amp;"యాప్తుతో సహా, కార్డిగాన్ బే, వేల్స్ మరియు వూమెరా, ఆస్ట్రేలియాలో డెల్టా వింగ్ మోడళ్ల యొక్క మరింత విమాన పరీక్షలకు దారితీసింది. [4] 1947 లో, ఎయిర్ మినిస్ట్రీ స్పెసిఫికేషన్ E.10/47 పూర్తి స్థాయి పైలట్ డెల్టా వింగ్ విమానం కోసం జారీ చేయబడింది, దీని ఫలితంగా ఫైరీ"&amp;" డెల్టా 1 వచ్చింది, ఇది 12 మార్చి 1951 న RAF బోస్కోంబే వద్ద తొలి విమానాన్ని నిర్వహించింది. [5] ఇంతలో, 1950 ల ప్రారంభ మరియు మధ్యలో, రాయల్ ఎయిర్ ఫోర్స్ (RAF) వారి విమానం యొక్క పనితీరును ముందుకు తీసుకురావడానికి తీవ్రమైన కోరికను పెంచుకుంది; ప్రత్యేకించి, ఈ సే"&amp;"వ కొత్త ఫైటర్ విమానాలను కోరింది, ఇది చాలా ఎక్కువ వేగంతో మరియు అధిక ఎత్తులో ఎగురుతూ ఉంటుంది, ఇది సుమారు 700 మొదటి తరం జెట్ ఫైటర్ల యొక్క ప్రస్తుత జాబితాకు దీర్ఘకాలిక పున ment స్థాపనగా ఉంటుంది. [6] ఆ సమయంలో, సూపర్సోనిక్ విమాన రూపకల్పనలో బ్రిటన్ వెనుకబడి ఉందన"&amp;"ి ఒక అవగాహన ఉంది, మరియు దీనిని సరిదిద్దడానికి ఒత్తిడి ఉంది. [7] [8] కొరియన్ యుద్ధం మరియు బ్రిటిష్ విమాన పరిశ్రమల సూపర్సోనిక్ ఏరోడైనమిక్స్, స్ట్రక్చర్స్ మరియు ఏరో ఇంజిన్ల రంగాలలో వేగవంతమైన పురోగతి వంటి సంఘటనలు పెరుగుతున్న డిమాండ్ మరియు కొత్త యోధుల సంభావ్య "&amp;"సామర్థ్యాలను కలిగి ఉన్నాయి. హాకర్ హంటర్ మరియు గ్లోస్టర్ జావెలిన్ వంటి ఇప్పటికే ఉన్న మరియు అభివృద్ధి చెందుతున్న యోధుల మెరుగైన సంస్కరణలను అభివృద్ధి చేయడంతో పాటు, పూర్తిగా కొత్త విమానాలకు మరింత ఆశాజనకంగా ఆకలి ఉంది. [9] డెల్టా 1 నుండి అనుసరించి, ట్రాన్సోనిక్ "&amp;"పరిశోధనల ప్రయోజనం కోసం ఫెయిరీ మరింత మోడల్ ప్రోగ్రామ్‌ను నిర్వహించాలని సరఫరా మంత్రిత్వ శాఖ అభ్యర్థించింది. [5] ఏదేమైనా, ఫైరీ ఈ ప్రతిపాదనను ఆకర్షణీయంగా కనుగొనలేదు, ఈ ప్రాజెక్ట్ ఏదైనా విలువైన డేటాను ఉత్పత్తి చేయాలంటే పైలట్ చేసిన విమానం తప్పనిసరి అని నమ్ముతార"&amp;"ు. ఫెయిరీ అత్యంత తుడిచిపెట్టిన జంట-ఇంజిన్ విమానంలో పనిని ప్రారంభించాడు; ఏదేమైనా, మంత్రిత్వ శాఖకు జంట-ఇంజిన్ కాన్ఫిగరేషన్ కోసం ఉత్సాహం లేదు, ఎక్కువగా ట్విన్-ఇంజిన్ సూపర్సోనిక్ విమానాలను ఉత్పత్తి చేయడానికి ప్రస్తుతం ఉన్న ప్రత్యర్థి ప్రాజెక్ట్ కారణంగా-ఇది ఇం"&amp;"గ్లీష్ ఎలక్ట్రిక్ మెరుపుగా మారుతుంది. [8] ఫిబ్రవరి 1949 లో, ఫెయిరీ ఒకే-ఇంజిన్ ట్రాన్సోనిక్ విమానాల అవకాశాలను ప్రత్యామ్నాయంగా పరిశీలించాలని సూచించారు; ఈ సంవత్సరం చివరి నాటికి, సంస్థ వారి కొత్త ప్రాజెక్టును నిర్మించింది, వీటిలో ఫైరీ డెల్టా 2 (ఎఫ్‌డి 2) నేరు"&amp;"గా ఉద్భవించింది. దీని ప్రకారం, మంత్రిత్వ శాఖ ఎయిర్ మినిస్ట్రీ స్పెసిఫికేషన్ ER.103 ను ప్రాజెక్ట్ కోసం జారీ చేసింది, ఒక జత ప్రోటోటైప్ విమానాలను ఉత్పత్తి చేయాలని ఆదేశించింది. [8] ఆ సమయంలో, ఫెయిరీ ఎక్కువగా నావికాదళ విమానాలను ఉత్పత్తి చేయడానికి ప్రసిద్ది చెంద"&amp;"ాడు, ఫెయిరీ స్వోర్డ్ ఫిష్ బిప్‌లేన్ మరియు ఫెయిరీ ఫైర్‌ఫ్లై మోనోప్లేన్; డిజైన్ బృందానికి హై స్పీడ్ ప్రాజెక్టులతో అనుభవం లేదు. [8] దీనికి పరిష్కారంగా, అక్టోబర్ 1951 లో, హాకర్ విమానానికి చెందిన సర్ రాబర్ట్ లిక్లీని వెంటనే ఫైరీ యొక్క కొత్త చీఫ్ ఇంజనీర్‌గా నియ"&amp;"మించారు మరియు ఈ కార్యక్రమం వెనుక ప్రధాన శక్తిగా మారింది. మునుపటి మోడల్ పని నుండి పొందిన డేటా ఫెయిరీ డెల్టా 2 కార్యక్రమానికి ఎంతో విలువైనదని నిరూపించబడింది. [11] ఎఫ్‌డి 2 పై ప్రారంభ అభివృద్ధి పనులు రెండు ప్రధాన కారకాలతో ఆటంకం కలిగిస్తాయి, రెక్క మరియు తీసుక"&amp;"ోవడం రూపకల్పనపై అందుబాటులో ఉన్న సమాచారం లేకపోవడం మరియు ఫైరీ గానెట్‌ను బ్రిటిష్ ప్రభుత్వం 'సూపర్-ప్రాధాన్యత' గా ప్రకటించడం, ఇది ఆలస్యం అవసరం. [8 ] సెప్టెంబర్ 1952 లో, ఫైరీ డెల్టా 2 యొక్క సాంకేతిక డ్రాయింగ్‌లు జారీ చేయబడ్డాయి మరియు అభివృద్ధి సరైనది. [8] ప్ర"&amp;"ాజెక్ట్ ప్రారంభం నుండి, ఫైరీ FD2 యొక్క పారామితులను ఉద్దేశపూర్వకంగా మించిపోయేలా రూపొందించారు, ఇది మాక్ 1 ను సాధించటానికి మాత్రమే అవసరం. , తద్వారా ఇది ఒక యుద్ధ విమానంగా మారవచ్చు. [8] మొత్తంగా, ఒక జత ఫ్లైట్-సామర్థ్యం గల విమానాలు ఉత్పత్తి చేయబడ్డాయి: క్రమ సంఖ"&amp;"్యలు WG774 మరియు WG777. [1] WG777, తయారు చేయబడిన రెండవది, అండర్ వింగ్ ఫ్లాప్ సిస్టమ్ చేర్చబడలేదు తప్ప WG774 కు చాలా పోలి ఉంటుంది. పరికరాలు మరియు ఇన్స్ట్రుమెంటేషన్ పరంగా కొన్ని తేడాలు కూడా ఉన్నాయి. రెండు ఎగిరే విమానాలతో పాటు, ఒకే స్టాటిక్ టెస్ట్ ఎయిర్‌ఫ్రే"&amp;"మ్ కూడా పూర్తయింది. [1] 6 అక్టోబర్ 1954 న, WG774, పూర్తయిన మొదటి FD2, దాని తొలి విమానాన్ని నిర్వహించింది, ఫెయిరీ టెస్ట్ పైలట్ పీటర్ ట్విస్ చేత ఎగిరింది. [7] ఏవియేషన్ రచయిత డెరెక్ వుడ్ ప్రకారం, డెల్టా 2 ""ప్రారంభం నుండి అసాధారణమైన విమానం అని నిరూపించబడింది"&amp;""". [12] 17 నవంబర్ 1954 న, WG774 తన 14 వ విమానంలో ఇంజిన్ మంటను ఎదుర్కొంది, అంతర్గత పీడన బిల్డ్-అప్ ఫ్యూజ్‌లేజ్ కలెక్టర్ ట్యాంక్‌ను కూలిపోయింది, ఇంజిన్‌కు ఇంధన సరఫరాను మూసివేసింది, అదే సమయంలో ఎయిర్‌ఫీల్డ్ నుండి 30,000 అడుగుల (9,100 మీ), 30 వద్ద వెళుతుంది R"&amp;"AF బోస్కోంబే నుండి బయలుదేరిన తరువాత MI (50 కి.మీ). [12] ట్విస్ ఎయిర్‌ఫీల్డ్‌లో అధిక వేగంతో డెడ్-స్టిక్ ల్యాండింగ్‌కు గ్లైడ్ చేయగలిగింది. ముక్కు గేర్ మాత్రమే మోహరించింది, మరియు విమానం ఎనిమిది నెలలు చర్య తీసుకోకుండా దెబ్బతింది. [13] అనుభవంతో కదిలిన కానీ గాయ"&amp;"పడని ట్విస్, గాలిలో విలువైన సేవ కోసం రాణి ప్రశంసలను అందుకుంది. [14] క్రాష్ యొక్క ఒక ఫలితం పరీక్షా కార్యక్రమంలో తాత్కాలిక ఆగిపోయింది, ఇది ఆగస్టు 1955 వరకు తిరిగి ప్రారంభించలేదు. [15] ప్రారంభ విమాన పరీక్షల సమయంలో, దక్షిణ బ్రిటన్ పై పునరావృతమయ్యే సూపర్సోనిక్"&amp;" పరీక్ష పరుగులు జరిగాయి; ఈ విమానాల ఫలితంగా, సూపర్సోనిక్ విజృంభణలకు వ్యతిరేకంగా నష్టాల కోసం అనేక వాదనలు వచ్చాయి. [16] డెల్టా 2 యొక్క తక్కువ-స్థాయి సూపర్సోనిక్ విమాన సామర్ధ్యం యొక్క పరీక్షలు తక్కువ ఎత్తులో విమానంలో ఉత్పత్తి చేయబడిన సూపర్సోనిక్ బూమ్స్ వల్ల క"&amp;"లిగే ప్రమాదం కారణంగా అంతరాయం కలిగింది; అందుకని, సరఫరా మంత్రిత్వ శాఖ ఈ పరీక్షను UK లో నిర్వహించడానికి నిరాకరించింది. [17] ఈ తిరస్కరణ ఉన్నప్పటికీ, ఫెయిరీ డెల్టా 2 ను తాత్కాలికంగా ఫ్రాన్స్‌లో మరియు తరువాత నార్వేలో ఆధారపడగలిగాడు, తద్వారా పరీక్షలు చేయవచ్చు. డ్"&amp;"యామేజ్ క్లెయిమ్‌లకు వ్యతిరేకంగా పరీక్షలు బీమా చేయాల్సిన అవసరం ఉంది; ఈ డిమాండ్ రెండు బ్రిటిష్ భీమా సంస్థలు ప్రతి విమానానికి సుమారు £ 1,000 ప్రీమియంను ఉటంకిస్తూ ఆమోదయోగ్యం కాదని నిరూపించబడింది; అయితే, ఒక ఫ్రెంచ్ సంస్థ వారికి £ 40 కు బీమా చేసింది. ఫ్రాన్స్ ల"&amp;"ేదా నార్వేలో ఎటువంటి వాదనలు రాలేదు. [16] [18] 15 ఫిబ్రవరి 1956 న, WG777, రెండవ డెల్టా 2, RAF బోస్కోంబే నుండి తన తొలి విమాన ప్రయాణాన్ని ప్రదర్శించింది; ట్విస్ చేత పైలట్ చేయబడిన ఈ మొదటి విమానంలో విమానం ట్రాన్సోనిక్ వేగంతో చేరుకుంది. [1] 14 ఏప్రిల్ 1956 న తు"&amp;"ది కాంట్రాక్టర్ చెక్ ఫ్లైట్ తరువాత, WG777 అధికారికంగా అంగీకరించబడింది, దానిపై ఇది RAE యొక్క హై-స్పీడ్ రీసెర్చ్ ప్రోగ్రామ్‌కు కేటాయించబడింది, కొలత, స్థిరత్వం మరియు పరిశోధనలను నిర్వహించడం. సెప్టెంబర్ 1956 లో, రెండు విమానాలు హాంప్‌షైర్‌లోని ఫర్న్‌బరో ఎయిర్‌ష"&amp;"ోలో విమాన ప్రదర్శనలను ప్రదర్శించాయి. [1] డెల్టా 2 సాధారణంగా ఏరోడైనమిక్స్ లక్షణాలు, నిర్వహణ మరియు స్థిరత్వ పనితీరుతో సహా అనేక పరీక్షలను నిర్వహించడానికి ఉపయోగించబడింది. [1] డెల్టా 2 యొక్క పరీక్ష కొంతకాలం ఫ్రాన్స్‌లో జరిగింది, కొంతకాలం ఫ్రాన్స్ మరియు ఫ్రెంచ్"&amp;" వైమానిక దళం యొక్క డసాల్ట్ ఏవియేషన్ తో ఫెయిరీ యొక్క మంచి సంబంధాల కారణంగా. [17] అక్టోబర్ మరియు నవంబర్ 1956 లో, ఫ్రాన్స్‌లోని బోర్డియక్స్, కాజాక్స్ ఎయిర్ బేస్ నుండి మొత్తం 47 తక్కువ-స్థాయి సూపర్సోనిక్ టెస్ట్ విమానాలు జరిగాయి; డసాల్ట్ ఇంజనీర్ల నిర్లిప్తత ఈ ట"&amp;"్రయల్స్ నిశితంగా గమనించింది, FD2 నుండి డెల్టా వింగ్ విమానం గురించి చాలా నేర్చుకుంటుంది. డసాల్ట్ MD.550 మిస్టేర్-డెల్టా డిజైన్‌ను ఉత్పత్తి చేయడానికి వెళ్ళాడు, ఇది వుడ్ FD2 కు ""అద్భుతమైన పోలికను కలిగి ఉంది"" అని పేర్కొంది; MD.550 డిజైన్ విజయవంతమైన డసాల్ట్ "&amp;"మిరాజ్ III ఫైటర్‌గా తయారవుతుంది. [18] వుడ్ డెల్టా 2 ను డసాల్ట్ యొక్క సిద్ధాంతాలను ధృవీకరించడానికి మరియు మిరాజ్ III యొక్క రూపకల్పన మరియు అభివృద్ధికి మద్దతుగా పేర్కొన్నట్లు ఘనత ఇచ్చాడు. [19] తయారీదారుల పరీక్ష పూర్తయిన తర్వాత, రెండు విమానాలను అధికారికంగా RAE"&amp;" కి అప్పగించారు. 1958 నుండి 60 °-స్వీప్ డెల్టా వింగ్ యొక్క లక్షణాలపై సంస్థకు ఉపయోగకరమైన సమాచారాన్ని అందించడంతో పాటు, ఎఫ్‌డి 2 విమానాలు వివిధ పరిశోధన ప్రాజెక్టులలో మరియు ఎగిరే పరీక్షలలో పాల్గొన్నాయి, వీటిలో ఎజెక్టర్-రకం ప్రొపల్సివ్ నాజిల్ పనితీరుపై దర్యాప్"&amp;"తుతో సహా. [[(చేర్చు మరింత పరిశోధనలో పాల్గొనడానికి విమానం యొక్క గణనీయమైన పునర్నిర్మాణం అదే సంవత్సరంలో కూడా మొదట రూపొందించబడింది. [20] దాని అసలు కాన్ఫిగరేషన్‌లో, డెల్టా 2 విమాన పరీక్షలను ప్రదర్శించింది, 1966 మధ్యకాలం వరకు నిల్వ కాలాలతో విభజించింది. [1] ఆగష్"&amp;"టు 1955 లో, టెస్టింగ్ షెడ్యూల్ ఆ సమయంలో దాని ఉపయోగం ఇంకా అవసరం లేనందున డెల్టా 2 దాని రీహీట్ ఉపయోగించకుండా సూపర్సోనిక్ వేగంతో ప్రయాణించింది. [16] వుడ్ ప్రకారం, అభివృద్ధి బృందంలోని చాలా మంది సభ్యులు ఎఫ్‌డి 2 భారీ వేగ సామర్థ్యాన్ని కలిగి ఉందని గుర్తించారు, ఆ"&amp;" సమయంలో ఉనికిలో ఉన్న ఇతర బ్రిటిష్ నిర్మించిన విమానాలకు మించి. [21] ప్రారంభ విమాన పరీక్ష సమయంలో, డెల్టా 2 గంటకు 1,000 మైళ్ళ (1,600 కిమీ/గం) వేగంతో ఉంటుంది మరియు ప్రస్తుత ఎయిర్ స్పీడ్ రికార్డును బద్దలు కొట్టే లక్ష్యంతో ఎగురవేయాలని ప్రతిపాదించింది, అది అప్పట"&amp;"ికి ఉంది 1955 నుండి ఉత్తర అమెరికా ఎఫ్ -100 సూపర్ సాబెర్ చేత జరిగింది. [22] ఏదేమైనా, ఫెయిరీ సరఫరా మంత్రిత్వ శాఖకు మద్దతు లేనిది కనుగొన్నారు, మనుషుల సైనిక విమానాలను త్వరలో గైడెడ్ క్షిపణుల ద్వారా భర్తీ చేస్తారనేది ప్రస్తుత నమ్మకాన్ని స్వీకరించింది. ప్రయత్నాన"&amp;"ికి అనుమతి పొందడంలో ఫైరీకి చాలా ఇబ్బంది ఉంది. ట్విస్ ఈ పరిస్థితి అంచనాల నుండి ""ఆసక్తికరంగా విలోమం"" అని పేర్కొంది, జాతీయ ప్రతిష్టను పెంపొందించే సాధనంగా ప్రభుత్వ సంస్థలు రికార్డు స్థాయిలో విమాన ప్రయాణం కోసం ఉత్సాహంగా ఒత్తిడి చేస్తాయని expected హించిన తరువ"&amp;"ాత. [23] వుడ్ ప్రకారం, ఫెయిరీ హర్ మెజెస్టి యొక్క పౌర సేవ నుండి సంశయవాదం మరియు ఉదాసీనత కలయికతో ఎదుర్కొన్నాడు, ప్రభుత్వం ఈ ప్రయత్నాన్ని వ్యతిరేకిస్తున్నట్లు కనిపించినంతవరకు. [24] సరఫరా మంత్రిత్వ శాఖ స్పీడ్ రికార్డ్ బిడ్‌తో ఎటువంటి అనుబంధాన్ని నివారించడానికి"&amp;" ప్రయత్నించింది, అయితే ఎఫ్‌డి 2 యొక్క ఇంజిన్ తయారీదారు రోల్స్ రాయిస్ కూడా ఈ ప్రయత్నాన్ని తోసిపుచ్చారు, మాక్ 1.5 చుట్టూ వేగం కోసం గాలి తీసుకోవడం అనుచితమైనదని మరియు అవాన్ ఇంజిన్ విచ్ఛిన్నమవుతుందని పేర్కొంది ఇటువంటి వేగం, ఈ వాదనకు మద్దతు ఇవ్వడానికి ఆచరణాత్మక"&amp;" డేటా లేనప్పటికీ. ఈ వ్యతిరేకత ఉన్నప్పటికీ, ఫైరీ కొనసాగించడానికి ప్రయత్నించారు, మరియు కొనసాగడానికి అనుమతి ఇవ్వబడింది. [24] మంత్రిత్వ శాఖ ఎటువంటి ఆర్థిక సహాయాన్ని అందించలేదు, బదులుగా విమానం ఫెయిరీకి రుణం ఇవ్వడానికి మరియు RAE ఆస్తుల ఉపయోగం కోసం సంస్థను వసూలు"&amp;" చేయడానికి ఎంచుకుంది. ఫైరీ కూడా దాని స్వంత భీమాకు ఆర్థిక సహాయం చేయాల్సి వచ్చింది. [25] సంబంధం లేకుండా, ఫెయిరీ రికార్డు ప్రయత్నాన్ని కొనసాగించాలని ఎంచుకున్నాడు. [26] మరొక పోటీదారుని ఓడించే ప్రమాదాన్ని తగ్గించడానికి, తక్కువ వ్యవధిలో మరియు గొప్ప గోప్యతతో సన్"&amp;"నాహాలు నిర్వహించాల్సి వచ్చింది. [26] అటువంటి వేగంతో ఫ్లైట్ యొక్క ఖచ్చితమైన కొలతకు అనువైన పరికరాల అభివృద్ధి మరియు విస్తరణ ఒక సవాలు. ఈ ప్రయోజనం కోసం, చిచెస్టర్ వద్ద మరియు RNAS ఫోర్డ్ వద్ద వివిధ రకాల గ్రౌండ్ కొలత కెమెరాలు ఏర్పాటు చేయబడ్డాయి, వివిధ గ్రౌండ్ గు"&amp;"ర్తులను పేర్కొన్న ప్రదేశాలలో వ్యవస్థాపించారు మరియు RNAS ఫోర్డ్ మరియు RAF సోప్లీ నుండి రాడార్ ట్రాకింగ్; క్రమాంకనం ప్రయోజనాల కోసం గ్లోస్టర్ ఉల్కలు మరియు డి హవిలాండ్ విషాల విమానాలు కూడా RAF చేత నిర్వహించబడ్డాయి. [26] పైలట్ మరియు గ్రౌండ్ సిబ్బంది రెండింటిపై "&amp;"కార్యాచరణ డిమాండ్లు తీవ్రంగా ఉన్నాయి మరియు చాలా పరుగులు ప్రయత్నించబడ్డాయి, కాని ఒక సాంకేతికత లేదా మరొక సాంకేతికతకు అర్హత సాధించడంలో విఫలమయ్యాయి. అందుబాటులో ఉన్న చివరి రోజున, మొదటి పరుగు కూడా విఫలమైంది; ఆ రోజు రెండవ మరియు చివరి పరుగు ప్రయత్నం ముగిసేలోపు మి"&amp;"గిలి ఉన్న ఏకైక అవకాశంగా మారింది. 10 మార్చి 1956 న, ఫైరీ డెల్టా 2 ప్రపంచ ఎయిర్ స్పీడ్ రికార్డును బద్దలు కొట్టి, దానిని 1,132 mph (1,811 కిమీ/గం) లేదా మాక్ 1.73 కు పెంచింది. [7] ఈ సాధన ముందస్తు రికార్డ్ చేసిన ఎయిర్‌స్పీడ్ రికార్డును 310 mph లేదా 37 శాతం మిం"&amp;"చిపోయింది; ఇంతకు ముందెన్నడూ రికార్డును ఇంత విస్తృతమైన తేడాతో పెంచలేదు. [22] [26] ఈ సాధించినది ఫైరీ డెల్టా 2 ను మొదటి జెట్ విమానం స్థాయి విమానంలో 1,000 mph (1,600 కిమీ/గం) మించిపోయింది. కొత్త ఎయిర్‌స్పీడ్ రికార్డ్ యొక్క వార్తలు త్వరగా వ్యాపించాయి మరియు అంత"&amp;"ర్జాతీయ ఏరోనాటిక్స్ పరిశ్రమపై సమానంగా ప్రభావం చూపించాయి, విలక్షణమైన ప్రతిచర్యలు షాక్ మరియు సమీపంలో ఉన్నవి. [26] వుడ్ ప్రకారం, పరిణామాలు అమెరికా చేత FD2 ఎయిర్ఫ్రేమ్ యొక్క లోతైన అధ్యయనాలు మరియు ఫ్రాన్స్‌లో సైనిక విమాన కార్యక్రమాల యొక్క ప్రధాన పున hap రూపకల్"&amp;"పనను కలిగి ఉన్నాయి. ఫెయిరీ కూడా సాధించిన సాధనతో ఉల్లాసంగా ఉంది, దీనిని వారి రూపకల్పన యొక్క ఆచరణాత్మక ఆమోదంగా చూసింది మరియు సూపర్సోనిక్ యోధుల కుటుంబాన్ని దాని ప్రాతిపదికన స్థాపించాలనే సంస్థ యొక్క ఆశయాలకు ఆజ్యం పోసింది. [26] ఈ రికార్డు 12 డిసెంబర్ 1957 వరకు"&amp;" ఉంది, దీనిని అమెరికా వైమానిక దళానికి చెందిన మెక్‌డోనెల్ జెఎఫ్ -101 ఎ oood షూ ఓడించారు. [16] [27] ఫెయిరీ అనేక ప్రతిపాదనలను రూపొందించారు, ఇది డెల్టా 2 యొక్క మరింత అభివృద్ధిని కలిగి ఉంటుంది. వీటిలో మొదటిది మరొక ప్రయోగాత్మక విమానం, దీనిని ER.103/B గా నియమించ"&amp;"ారు, ఇది FD2 యొక్క రెక్కలను సవరించిన ఫ్యూజ్‌లేజ్‌తో జత చేస్తుంది, ఇది ఎక్కువ వ్యవధి మరియు పొడవును కలిగి ఉంది. [26] ER.103/B డి హవిలాండ్ గైరాన్ లేదా రోల్స్ రాయిస్ RB.122 చేత శక్తినివ్వింది మరియు విస్తరించిన ఓర్పు కోసం ఇంధన ట్యాంకుల అండర్ వింగ్ కలిగి ఉంటుంద"&amp;"ి. ఒక పోరాట ఫైటర్ మోడల్, ER.103/C కూడా ప్రతిపాదించబడింది, దానిపై రెక్కలు 50 శాతం పెరిగాయి, రాడికల్ ఏరోడైనమిక్ మార్పులు చేయలేదు. ఫెర్రాంటి-నిర్మించిన వాయుమార్గాన ఇంటర్‌సెప్షన్ రాడార్ 1495 మరియు డి హవిలాండ్ ఫైర్‌స్ట్రీక్ ఎయిర్-టు-ఎయిర్ క్షిపణులతో సహా పోరాట "&amp;"పరికరాలు అందించబడతాయి. [28] ER.103/C 55,000 అడుగుల (17,000 మీ) ఎత్తులో మాక్ 2.26 ను సాధించగలదని ఫైరీ పేర్కొన్నారు. [29] ""మీరు బ్రిటన్లో వస్తువులను పరిష్కరించే వికృతమైన మార్గం కోసం కాకపోతే, మీరు మీరే మిరాజ్ ను తయారు చేసుకోవచ్చు."" ఫెయిరీ యొక్క అంచనాల ప్రక"&amp;"ారం, డసాల్ట్ ఏవియేషన్ వ్యవస్థాపకుడు మార్సెల్ డసాల్ట్ [30] నెలలు. [29] ప్రత్యేకించి, ఫెయిరీ కార్యాచరణ అవసరాన్ని అనుసరించాడు f.155, ఇది రాడార్ మరియు క్షిపణులతో కూడిన రెండు-సీట్ల ఫైటర్‌ను తగిన పనితీరుతో పిలుపునిచ్చింది, ఇది బయలుదేరిన ఆరు నిమిషాల్లో 60,000 అడ"&amp;"ుగుల (18,000 మీ) మరియు మాక్ 2 ఎత్తును సాధించడానికి; వారి రూపకల్పన పేర్కొన్న అవసరాలను తీర్చగలదని వారి రూపకల్పన పూర్తిగా సామర్థ్యం కలిగి ఉంటుందని సంస్థ భావించినప్పటికీ, పూర్తి ఆయుధ వ్యవస్థ 1962 వరకు పూర్తిగా అభివృద్ధి చేయబడదని నమ్ముతారు. అందువల్ల, ఎంచుకోబడి"&amp;"తే, సరళమైన మధ్యంతర విమానం ఒక సరళమైన మధ్యంతర విమానం అని ఫెయిరీ ప్రతిపాదించారు , 1960 నాటికి లేదా అంతకుముందు అందుబాటులో ఉండవచ్చు. [31] మునుపటి ప్రతిపాదనల యొక్క గైరాన్ ఇంజిన్‌తో పాటు, ప్రతిపాదిత ఫైటర్‌ను వెనుక ఫ్యూజ్‌లేజ్‌లో ఫెయిరింగ్‌లలో అమర్చిన డి హవిలాండ్"&amp;" స్పెక్టర్ రాకెట్ ఇంజిన్లను కలిగి ఉండాలి. [32] రాకెట్ ఇంజిన్ల కోసం హై-టెస్ట్ పెరాక్సైడ్ (హెచ్‌టిపి) ఇంధనాన్ని ట్యాంకుల్లో అండర్ వింగ్ ఫెయిరింగ్స్‌లో మరియు వింగ్ యొక్క ప్రముఖ అంచున, టర్బోజెట్ ఇంజిన్ యొక్క ఇంధన నిల్వ నుండి వేరుగా నిల్వ చేశారు. ఇందులో ఇద్దరు"&amp;" వ్యక్తుల సిబ్బంది, పైలట్ మరియు రాడార్ ఆపరేటర్/నావిగేషన్, పక్కపక్కనే కాన్ఫిగరేషన్‌లో కూర్చున్నారు. [32] పెద్ద దీర్ఘచతురస్రాకార వేరియబుల్ గాలి తీసుకోవడం స్వీకరించబడినప్పుడు ఫ్యూజ్‌లేజ్ పాలించబడింది. పేర్కొన్నట్లుగా, ఫైటర్ తాత్కాలికంగా వింగ్టిప్-మౌంటెడ్ డి "&amp;"హవిలాండ్ రెడ్ టాప్ ఎయిర్-టు-ఎయిర్ క్షిపణులతో సాయుధమైంది. [32] మరింత డిజైన్ పునర్విమర్శలు సింగిల్ గైరాన్ ఇంజిన్‌ను బదులుగా ఒక జత RB.122 ఇంజిన్‌లతో భర్తీ చేయబడ్డాయి మరియు రెడ్ డీన్ క్షిపణిని స్వీకరించడం, తీసుకోవడం మెరుగుదలలు మరియు అంతర్గత ఇంధన సామర్థ్యం పెర"&amp;"ిగిన మెరుగుదలలతో పాటు. ఈ విమానం వివిధ ఎత్తులు, సమ్మె మరియు వైమానిక నిఘా మిషన్లలో ఇంటర్‌సెప్టర్ విధులకు సరిపోతుందని ఫైరీ పేర్కొన్నారు. [32] 1 ఏప్రిల్ 1957 న, ఫెయిరీని సరఫరా మంత్రిత్వ శాఖలోని అధికారులు తమ ప్రతిపాదనలు కార్యాచరణ అవసరాన్ని తీర్చడానికి ఇష్టమైనవ"&amp;"ి. [17] ఏదేమైనా, 4 ఏప్రిల్ 1957 న, రక్షణ మంత్రి డంకన్ శాండిస్, RAF కోసం దాదాపు అన్ని ఫైటర్ విమానాల అభివృద్ధిని సమర్థవంతంగా రద్దు చేస్తున్నట్లు ప్రకటించారు, తక్షణమే F.155 అవసరాన్ని తొలగిస్తుంది. [17] పశ్చిమ జర్మనీ యొక్క కొత్త జర్మన్ వైమానిక దళం కోసం 1950 ల"&amp;" చివరలో డెల్టా 2 ఉత్పన్నం ఉత్పత్తికి పురోగతి సాధించడానికి తుది ప్రయత్నం జరిగింది. [33] లాక్‌హీడ్ ఎఫ్ -104 జి స్టార్‌ఫైటర్‌తో పోటీ పడుతున్న అమెరికన్ బిడ్‌కు వ్యతిరేకంగా నడుస్తున్న ఫెయిరీ రోల్స్ రాయిస్ మరియు డసాల్ట్‌లతో కలిసి డెల్టా వింగ్ విమానాన్ని ఉత్పత్త"&amp;"ి చేసే సహకార ప్రయత్నంలో చేరాడు, ఫైటర్ విమానాల కోసం జర్మన్ డిమాండ్‌ను తీర్చడానికి మాక్ 2 ను చేరుకోగల సామర్థ్యం కలిగి ఉన్నాడు. ఈ ప్రతిపాదన డసాల్ట్ రెక్కలను ఉత్పత్తి చేస్తుంది, ఫైరీ ఫ్యూజ్‌లేజ్‌ను తయారు చేస్తుంది మరియు రోల్స్ రాయిస్ ఇంజిన్‌ను అందిస్తుంది, ఇద"&amp;"ి రోల్స్ రాయిస్ స్పై ఇంజిన్‌గా రిహీట్‌తో ఉద్దేశించబడింది; ఈ కార్యక్రమంలో బెల్జియం కూడా పాత్ర పోషించింది. [34] ఏదేమైనా, అమెరికన్ లాబీ చాలా బలంగా ఉందని నిరూపించబడింది, తరువాత జర్మన్ నిర్ణయాధికారులను ప్రభావితం చేసిన లాక్‌హీడ్ లంచం కుంభకోణాల కారణంగా, మరియు బద"&amp;"ులుగా F-104G ఎంపిక చేయబడింది. ఫైటర్ కాన్సెప్ట్‌గా FD2 కు ఇది ముగింపు; ఈ భావన ఉత్పత్తి విమానంగా ఏ ఉపయోగాన్ని ఎప్పుడూ చూడలేదు; వుడ్ వ్యవహారాల స్థితిని ""పంటను సేకరించడానికి ఫ్రాన్స్‌కు వదిలివేసింది"" అని సంక్షిప్తీకరించారు. [35] కాంకోర్డ్ డిజైన్ అప్పటి కొత్"&amp;"త రకం డెల్టా వింగ్‌ను ఉపయోగించింది, దీనిని ఓగీ లేదా ఓగివాల్ డెల్టా డిజైన్ అని పిలువబడే రే వద్ద అభివృద్ధి చేస్తున్నారు. ఈ రూపకల్పన రూట్ వద్ద అధిక ప్రముఖ-అంచు స్వీప్ మరియు తక్కువ మందం/తీగ నిష్పత్తితో సూపర్సోనిక్ వేవ్ డ్రాగ్ రెండింటినీ మెరుగుపరచడం లక్ష్యంగా "&amp;"పెట్టుకుంది, [36] వింగ్. సుడిగుండం కింద జోడించిన చూషణ లిఫ్ట్ [37] ను వోర్టెక్స్ లిఫ్ట్ అని పిలుస్తారు. వింగ్ రూట్ తీగ వీలైనంత ఎక్కువ కాలం ఉండాలి మరియు ఇది ఫార్వర్డ్ ఫ్యూజ్‌లేజ్‌ను కలిసే చోట బాగా తుడిచిపెట్టుకుపోతుంది. ఈ ప్రాథమిక భావన యొక్క నిరంతర అధ్యయనాల"&amp;"ు ఓగీ లేఅవుట్కు దారితీశాయి మరియు చివరికి దాని ధ్రువీకరణకు పూర్తి స్థాయి విమాన పరీక్షల శ్రేణి అవసరమని చివరికి స్పష్టమైంది. [20] కాన్సెప్ట్ యొక్క తక్కువ-స్పీడ్ టెస్టింగ్ ఇప్పటికే హ్యాండ్లీ పేజీ HP.115 చేత అందించబడింది. హై-స్పీడ్ పనితీరు able హించదగినదిగా కన"&amp;"ిపించినప్పటికీ, అంకితమైన టెస్ట్‌బెడ్ విమానం కావలసినది, ముఖ్యంగా డ్రాగ్ కొలతల కోసం. 1958 లోనే, రే మరియు ఫైరీ ఓగీ వింగ్‌కు మద్దతుగా డెల్టా 2 ప్రోటోటైప్‌లలో ఒకదాన్ని మార్చడం గురించి చర్చలు ప్రారంభించారు. [20] [38] సుదీర్ఘ ప్లాన్‌ఫార్మ్‌తో సరిపోలడానికి ఫ్యూజ్"&amp;"‌లేజ్‌ను మరో మూడు అడుగుల విస్తరణను ఫెయిరీ ప్రతిపాదించాడు, రెక్కలు ముక్కుకు విస్తరించి ఉన్నాయి. ఏదేమైనా, విస్తరించిన ప్లాన్‌ఫార్మ్ ఫలితంగా ఫార్వర్డ్ కదిలే సెంటర్ ఆఫ్ ప్రెజర్ (COP) ను ఎదుర్కోవటానికి ఈ పొడిగింపు గొప్పది కాదని లెక్కలు చూపించాయి మరియు ఓవర్-విం"&amp;"గ్ ఇంజిన్ తీసుకోవడం రెక్క పైన సుడిగుండం మింగేస్తుందని కూడా ఆందోళనలు ఉన్నాయి. [[ 20] 1960 లో, వెస్ట్‌ల్యాండ్ ఎయిర్‌క్రాఫ్ట్ ఫెయిరీని కొనుగోలు చేయడం ద్వారా మరింత అభివృద్ధి కార్యకలాపాలు దెబ్బతిన్నాయి, అతను మార్పిడి ప్రాజెక్టుపై వేట విమానాలకు తదుపరి పనిని కేట"&amp;"ాయించాడు. [20] దీని ప్రకారం, జూలై 1960 లో, ఈ కార్యక్రమం బ్రిస్టల్‌కు మారింది మరియు ఇప్పుడు పెద్ద బ్రిటిష్ ఎయిర్‌క్రాఫ్ట్ కార్పొరేషన్ (BAC) లో భాగం. బ్రిస్టల్ రెండు మార్గాలను ముందుకు సూచించింది, ఉప-ఆప్టిమల్ వింగ్‌తో కనీస మార్పిడి, కానీ ఇతర పెద్ద మార్పులు ల"&amp;"ేవు, లేదా ఫ్యూజ్‌లేజ్‌కు పెద్ద ఆరు అడుగుల పొడిగింపుతో ""గరిష్ట"" మార్పిడి మరియు చాలా పొడవుగా ఉన్న ల్యాండింగ్ గేర్‌పై ఎక్కువ విలక్షణమైనది కాంకోర్డ్. రెండూ కొత్త ఇలియట్ బ్రదర్స్ స్టెబిలైజేషన్ సిస్టమ్‌ను కలిగి ఉంటాయి మరియు ఇంజిన్ తీసుకోవడం రెక్క కింద కదిలింద"&amp;"ి. కనీస మార్పిడి 'రాజీ'గా పరిగణించబడింది, తక్కువ సన్నగా ఉంటుంది మరియు గరిష్ట ఎంపిక అందించిన అదనపు ఇంధన సామర్థ్యం లేదు. [39] సెప్టెంబర్ 1960 ప్రారంభంలో, ""గరిష్ట"" మార్పిడి కొనసాగుతుందని అంగీకరించారు; అదే సంవత్సరం సెప్టెంబర్ 5 న, WG774 ను బ్రిస్టల్ యొక్క ఫ"&amp;"ిల్టన్ సదుపాయానికి తరలించారు. [40] వివరణాత్మక రూపకల్పన పని యొక్క కాలం తరువాత, తిరిగి తయారుచేసే ప్రక్రియ ఏప్రిల్ 1961 లో ప్రారంభమైంది. గణనీయమైన ఖర్చు తగ్గించే చర్యలు మరియు పెర్ట్ వంటి నిర్వహణ వ్యూహాలు BAC చేత స్వీకరించబడ్డాయి, అది జారీ చేయబడిన స్థిర-ధర ఒప్"&amp;"పందంపై అధిగమించకుండా ఉండటానికి BAC చేత స్వీకరించబడింది పని కోసం; కొంతమంది ఇంజనీర్లు దీనితో విసుగు చెందారు, ఎందుకంటే మరింత మెరుగుదల యొక్క స్పష్టమైన మార్గాలు కొట్టివేయబడ్డాయి. [40] 7 జూలై 1961 న, కొత్తగా నామకరణం చేసిన BAC 221 పూర్తయింది. [40] మార్పిడి సమయంల"&amp;"ో వివిధ సమస్యలు ఎదురయ్యాయి. కొత్తగా పొడవుగా ఉన్న ల్యాండింగ్ గేర్‌కు ఎక్కువ హైడ్రాలిక్ ద్రవం అవసరం, దీనికి పెద్ద రిజర్వాయర్ అవసరం, దీనిని వ్యవస్థ ద్వారా త్వరగా తరలించడానికి అధిక సామర్థ్యం గల పంపు, మరియు హైడ్రాలిక్ వ్యవస్థ ద్వారా. [40] రెక్కల క్రింద తీసుకోవ"&amp;"డం క్రింద తీసుకోవడం అంటే అవి కంప్రెసర్ ముఖంతో ఇకపై లైన్ కావు కాబట్టి ఇంజిన్‌కు డక్టింగ్ పైకి వంగడం రెక్క ఎగువ ఉపరితలంపై గుర్తించదగిన ఉబ్బెత్తును ఇస్తుంది. వేరియబుల్ తీసుకోవడం సరిపోయే ప్రయత్నం చేయలేదు. [41] అధిక థొరెటల్ సెట్టింగుల వద్ద, ఇన్లెట్స్‌లో గణనీయమ"&amp;"ైన చూషణ ఉత్పత్తి చేయబడింది; పైలట్ చేత అకస్మాత్తుగా డౌన్-థొరెటల్ మోషన్ సంభవించినప్పుడు, తీసుకోవడం నుండి గాలి ""చిమ్ముతుంది"", ఇది ఒక ఆందోళన కలిగిస్తుంది ఎందుకంటే ఇది రెక్క పైన ప్రవహిస్తుంది మరియు సుడిగుండం అంతరాయం కలిగిస్తుంది. దీనిని నివారించడంలో సహాయపడటా"&amp;"నికి చిన్న పెదవులు తీసుకోవడంలో చేర్చబడ్డాయి, కానీ ఇది తీసుకోవడం సందడి చేస్తుంది. రోల్స్ రాయిస్ సహాయంతో నాళాలకు మార్పులు ఈ సమస్యను పరిష్కరించాయి. [41] కొత్త డిజైన్ యొక్క ఒక ప్రధాన ప్రయోజనం దాని పెద్ద ఇంధన సామర్థ్యం, ​​ఇది అసలు FD2 కి పెద్ద సమస్యగా ఉంది. [4"&amp;"2] డెల్టా 2 తరచుగా వేగవంతం అయితే ఇంధనం తక్కువగా నడుస్తుంది, తద్వారా దాని పూర్తి పనితీరును ఎప్పుడూ చేరుకోలేదు. 221 యొక్క మార్పులు అంటే అదే స్థాయి పనితీరును కలిగి ఉండవు; అయినప్పటికీ, మాక్ 1.6 యొక్క వేగం దాని పరీక్ష విమానాలలో సాధించబడింది. మొత్తంగా, BAC 221 "&amp;"లో కొత్త వింగ్, ఇంజిన్ ఇన్లెట్ కాన్ఫిగరేషన్, రోల్స్ రాయిస్ అవాన్ RA.28, సవరించిన నిలువు స్టెబిలైజర్ మరియు మైదానంలో కాంకోర్డ్ యొక్క వైఖరిని అనుకరించటానికి పొడవైన అండర్ క్యారేజ్ ఉన్నాయి. ఇది మొదట 1 మే 1964 న ప్రయాణించింది. [43] [40] ఏకైక 221 1964 నుండి 1973"&amp;" వరకు వైవిధ్యమైన విమాన పరీక్ష కోసం ఉపయోగించబడింది, ఆ తరువాత అది బహిరంగ ప్రదర్శనలో ఉంచబడింది. [44] ఫైరీ డెల్టా 2 మిడ్-వింగ్ టైలెస్ డెల్టా మోనోప్లేన్. ఇది రిహీట్‌తో ఒకే రోల్స్ రాయిస్ అవాన్ రా .14 ఆర్ టర్బోజెట్ ఇంజిన్ ద్వారా శక్తిని పొందింది. [7] [45] ఇంజిన్"&amp;" గాలి తీసుకోవడం ద్వారా తినిపించింది, వీటిని రెక్కల మూలాలలో మిళితం చేసి, కనురెప్పల-రకం నాజిల్ కలిగి ఉంది. [8] నాజిల్ ముందు ఉన్నది రేక-రకం ఎయిర్ బ్రేక్‌లు. [8] డెల్టా 2 లో స్థూపాకార క్రాస్-సెక్షన్ ఫ్యూజ్‌లేజ్ ఉంది, ఇది అవాన్ ఇంజిన్‌కు దగ్గరగా అమర్చబడి, పొడవ"&amp;"ైన దెబ్బతిన్న ముక్కులోకి సజావుగా ప్రవహించింది. [8] పొడవైన ముక్కు సాధారణంగా ల్యాండింగ్, టేక్-ఆఫ్ మరియు మైదానంలో కదలిక సమయంలో పైలట్ యొక్క ముందుకు దృష్టిని అస్పష్టం చేస్తుంది; కాబట్టి, తగినంత దృశ్యమానతను అందించడానికి ముక్కుకు ముక్కు అమర్చారు; కాక్‌పిట్‌తో సహ"&amp;"ా ముక్కు విభాగం, హైడ్రాలిక్-యాక్చుయేటెడ్ మెకానిజమ్‌ను ఉపయోగించి 10 ° ను తగ్గించవచ్చు, తరువాత కాంకోర్డ్‌లో ఉపయోగించిన దానితో సమానంగా ఉంటుంది. [7] [12] డెల్టా 2 పైలట్ కోసం సాపేక్షంగా చిన్న కాక్‌పిట్‌ను కలిగి ఉంది, ఇది అదనపు పరికరాల సంస్థాపనకు తక్కువ గదిని వ"&amp;"దిలివేసింది. [40] అన్ని శక్తితో కూడిన నియంత్రణలను ఉపయోగించి ఎగురుతున్న మొట్టమొదటి బ్రిటిష్ విమానం డెల్టా. ఈ నియంత్రణలు, ఫెయిరీ రూపొందించిన మరియు ఉత్పత్తి చేసేవి పూర్తిగా నకిలీ చేయబడ్డాయి. [3] [11] ఫ్లైట్ కంట్రోల్ సిస్టమ్ హైడ్రాలిక్‌గా నిర్వహించబడుతుంది మర"&amp;"ియు యాంత్రిక బ్యాకప్ కలిగి లేదు. ఫైరీ ఇటీవల కొత్త అధిక పీడన హైడ్రాలిక్ వ్యవస్థను అభివృద్ధి చేసింది మరియు ఇది డిజైన్‌లో ఉపయోగించబడింది. హైడ్రాలిక్స్ పైలట్ యొక్క నియంత్రణలకు ఎటువంటి అభిప్రాయాన్ని లేదా ""అనుభూతి"" ఇవ్వలేదు, కాబట్టి కృత్రిమ అనుభూతిని అందించే "&amp;"మరొక వ్యవస్థ అవసరం. [16] వింగ్ ప్రముఖ అంచు యొక్క 60 ° స్వీప్‌ను కలిగి ఉంది మరియు చాలా సన్నగా ఉంది, కేవలం 4% మందం-తీగ నిష్పత్తిలో, డెల్టా 2 యొక్క రెక్కను ఆ సమయంలో తెలిసిన సన్నని వాటిలో ఒకటిగా నిలిచింది. [8] అంతర్గత స్థలం రెక్కలో ప్రధాన అండర్ క్యారేజ్ మరియు"&amp;" మొత్తం నాలుగు ఇంధన ట్యాంకులు రెండింటినీ కలిగి ఉంది, అయితే నాలుగు స్పార్స్ గణనీయమైన నిర్మాణ బలానికి అందించబడ్డాయి. గణనీయమైన కొమ్ము-సమతుల్య ఐలెరాన్లు మరియు ఇన్బోర్డ్ ఎలివేటర్లు డెల్టా 2 కి అధిక స్థాయి యుక్తిని ఇచ్చాయి. [8] ఇలస్ట్రేటెడ్ ఎన్సైక్లోపీడియా ఆఫ్ "&amp;"ఎయిర్క్రాఫ్ట్ నుండి డేటా [46] సాధారణ లక్షణాలు పనితీరు సంబంధిత అభివృద్ధి అభివృద్ధి విమానం పోల్చదగిన పాత్ర, కాన్ఫిగరేషన్ మరియు ERA సంబంధిత జాబితాలు")</f>
        <v>ఫెయిరీ డెల్టా 2 లేదా ఎఫ్‌డి 2 (ఫెయిరీలోని అంతర్గత హోదా రకం V) అనేది ఫ్లైట్ మరియు కంట్రోల్ ఎట్ ట్రాన్సోనిక్ మరియు నియంత్రణలో పరిశోధనలు నిర్వహించడానికి ఒక ప్రత్యేక విమానం కోసం సరఫరా మంత్రిత్వ శాఖ నుండి ఒక స్పెసిఫికేషన్ నుండి ఒక స్పెసిఫికేషన్‌కు ప్రతిస్పందనగా ఫైరీ ఏవియేషన్ కంపెనీ నిర్మించిన బ్రిటిష్ సూపర్సోనిక్ పరిశోధన విమానం, సూపర్సోనిక్ వేగం. ఫీచర్లు డెల్టా వింగ్ మరియు డూప్డ్ నోస్ ఉన్నాయి. 6 అక్టోబర్ 1954 న, డెల్టా 2 తన తొలి విమానంలో ప్రయాణించింది, ఫైరీ టెస్ట్ పైలట్ పీటర్ ట్విస్ చేత ఎగిరింది; రెండు విమానాలు ఉత్పత్తి చేయబడతాయి. డెల్టా 2 అనేది స్వతంత్ర తయారీదారుగా ఫెయిరీ నిర్మించిన చివరి విమానం. [1] ఫెయిరీ డెల్టా 2 మొదటి జెట్ విమానం గంటకు 1,000 మైళ్ళు (గంటకు 1,600 కి.మీ) మట్టమైన విమానంలో. [2] 10 మార్చి 1956 న, ఇది 1,132 mph (1,822 కిమీ/గం) యొక్క కొత్త ప్రపంచ వేగ రికార్డును నెలకొల్పింది, ఇది మునుపటి అధికారిక రికార్డును 310 mph (500 కిమీ/గం) మించిపోయింది. [గమనిక 1] డెల్టా 2 సంపూర్ణ ప్రపంచ గాలి వేగాన్ని కలిగి ఉంది ఒక సంవత్సరానికి పైగా రికార్డ్. ఇది విమాన పరీక్ష కోసం ఉపయోగించబడుతోంది మరియు 1958 లో రాయల్ ఎయిర్క్రాఫ్ట్ ఎస్టాబ్లిష్మెంట్ (RAE) కు కేటాయించబడింది. కాంకోర్డ్ "ఓగీ డెల్టా" వింగ్ డిజైన్ కోసం డిజైన్ లెక్కలు మరియు విండ్ టన్నెల్ ఫలితాలను ధృవీకరించడానికి ఒక టెస్ట్‌బెడ్ విమానం అవసరం కాబట్టి విమానంలో ఒకటి BAC 221 గా విస్తృతంగా పునర్నిర్మించబడింది. 1 మే 1964 న, సవరించిన విమానం దాని మొదటి విమానాన్ని ప్రదర్శించింది. అధునాతన ఆల్-వెదర్ ఇంటర్‌సెప్టర్ డిజైన్ల కోసం ఫైరీ యొక్క సమర్పణలకు FD2 కూడా ఉపయోగించబడింది, F.155 స్పెసిఫికేషన్‌కు అనుగుణంగా ప్రతిపాదిత ఫైరీ డెల్టా 3 లో ముగుస్తుంది; అయితే, FD3 డ్రాయింగ్-బోర్డు దశను దాటలేదు. 1940 ల చివరలో, బ్రిటిష్ విమాన తయారీదారు ఫెయిరీ ఏవియేషన్ డెల్టా వింగ్ టెక్నాలజీపై ఆసక్తి చూపింది మరియు డెల్టా వింగ్ కాన్సెప్ట్ ఆధారంగా బహుళ సమర్పణలను సరఫరా మంత్రిత్వ శాఖకు సమర్పించడానికి ముందుకు వచ్చింది. [3] ఈ ప్రతిపాదనలపై ఆసక్తి ఉన్న మంత్రిత్వ శాఖ, vision హించిన డెల్టా వింగ్‌ను పరీక్షించడానికి మోడళ్ల కోసం ఆదేశాలు జారీ చేసింది, వీటిలో మొదటిది 1947 లో నిర్మించబడింది; రాయల్ ఎయిర్క్రాఫ్ట్ ఎస్టాబ్లిష్మెంట్ (RAE) చేత పరీక్షలు జరిగాయి. ఈ కార్యక్రమం అనేకసార్లు విజయవంతమైంది, సంభావ్య VTOL కార్యకలాపాలపై దర్యాప్తుతో సహా, కార్డిగాన్ బే, వేల్స్ మరియు వూమెరా, ఆస్ట్రేలియాలో డెల్టా వింగ్ మోడళ్ల యొక్క మరింత విమాన పరీక్షలకు దారితీసింది. [4] 1947 లో, ఎయిర్ మినిస్ట్రీ స్పెసిఫికేషన్ E.10/47 పూర్తి స్థాయి పైలట్ డెల్టా వింగ్ విమానం కోసం జారీ చేయబడింది, దీని ఫలితంగా ఫైరీ డెల్టా 1 వచ్చింది, ఇది 12 మార్చి 1951 న RAF బోస్కోంబే వద్ద తొలి విమానాన్ని నిర్వహించింది. [5] ఇంతలో, 1950 ల ప్రారంభ మరియు మధ్యలో, రాయల్ ఎయిర్ ఫోర్స్ (RAF) వారి విమానం యొక్క పనితీరును ముందుకు తీసుకురావడానికి తీవ్రమైన కోరికను పెంచుకుంది; ప్రత్యేకించి, ఈ సేవ కొత్త ఫైటర్ విమానాలను కోరింది, ఇది చాలా ఎక్కువ వేగంతో మరియు అధిక ఎత్తులో ఎగురుతూ ఉంటుంది, ఇది సుమారు 700 మొదటి తరం జెట్ ఫైటర్ల యొక్క ప్రస్తుత జాబితాకు దీర్ఘకాలిక పున ment స్థాపనగా ఉంటుంది. [6] ఆ సమయంలో, సూపర్సోనిక్ విమాన రూపకల్పనలో బ్రిటన్ వెనుకబడి ఉందని ఒక అవగాహన ఉంది, మరియు దీనిని సరిదిద్దడానికి ఒత్తిడి ఉంది. [7] [8] కొరియన్ యుద్ధం మరియు బ్రిటిష్ విమాన పరిశ్రమల సూపర్సోనిక్ ఏరోడైనమిక్స్, స్ట్రక్చర్స్ మరియు ఏరో ఇంజిన్ల రంగాలలో వేగవంతమైన పురోగతి వంటి సంఘటనలు పెరుగుతున్న డిమాండ్ మరియు కొత్త యోధుల సంభావ్య సామర్థ్యాలను కలిగి ఉన్నాయి. హాకర్ హంటర్ మరియు గ్లోస్టర్ జావెలిన్ వంటి ఇప్పటికే ఉన్న మరియు అభివృద్ధి చెందుతున్న యోధుల మెరుగైన సంస్కరణలను అభివృద్ధి చేయడంతో పాటు, పూర్తిగా కొత్త విమానాలకు మరింత ఆశాజనకంగా ఆకలి ఉంది. [9] డెల్టా 1 నుండి అనుసరించి, ట్రాన్సోనిక్ పరిశోధనల ప్రయోజనం కోసం ఫెయిరీ మరింత మోడల్ ప్రోగ్రామ్‌ను నిర్వహించాలని సరఫరా మంత్రిత్వ శాఖ అభ్యర్థించింది. [5] ఏదేమైనా, ఫైరీ ఈ ప్రతిపాదనను ఆకర్షణీయంగా కనుగొనలేదు, ఈ ప్రాజెక్ట్ ఏదైనా విలువైన డేటాను ఉత్పత్తి చేయాలంటే పైలట్ చేసిన విమానం తప్పనిసరి అని నమ్ముతారు. ఫెయిరీ అత్యంత తుడిచిపెట్టిన జంట-ఇంజిన్ విమానంలో పనిని ప్రారంభించాడు; ఏదేమైనా, మంత్రిత్వ శాఖకు జంట-ఇంజిన్ కాన్ఫిగరేషన్ కోసం ఉత్సాహం లేదు, ఎక్కువగా ట్విన్-ఇంజిన్ సూపర్సోనిక్ విమానాలను ఉత్పత్తి చేయడానికి ప్రస్తుతం ఉన్న ప్రత్యర్థి ప్రాజెక్ట్ కారణంగా-ఇది ఇంగ్లీష్ ఎలక్ట్రిక్ మెరుపుగా మారుతుంది. [8] ఫిబ్రవరి 1949 లో, ఫెయిరీ ఒకే-ఇంజిన్ ట్రాన్సోనిక్ విమానాల అవకాశాలను ప్రత్యామ్నాయంగా పరిశీలించాలని సూచించారు; ఈ సంవత్సరం చివరి నాటికి, సంస్థ వారి కొత్త ప్రాజెక్టును నిర్మించింది, వీటిలో ఫైరీ డెల్టా 2 (ఎఫ్‌డి 2) నేరుగా ఉద్భవించింది. దీని ప్రకారం, మంత్రిత్వ శాఖ ఎయిర్ మినిస్ట్రీ స్పెసిఫికేషన్ ER.103 ను ప్రాజెక్ట్ కోసం జారీ చేసింది, ఒక జత ప్రోటోటైప్ విమానాలను ఉత్పత్తి చేయాలని ఆదేశించింది. [8] ఆ సమయంలో, ఫెయిరీ ఎక్కువగా నావికాదళ విమానాలను ఉత్పత్తి చేయడానికి ప్రసిద్ది చెందాడు, ఫెయిరీ స్వోర్డ్ ఫిష్ బిప్‌లేన్ మరియు ఫెయిరీ ఫైర్‌ఫ్లై మోనోప్లేన్; డిజైన్ బృందానికి హై స్పీడ్ ప్రాజెక్టులతో అనుభవం లేదు. [8] దీనికి పరిష్కారంగా, అక్టోబర్ 1951 లో, హాకర్ విమానానికి చెందిన సర్ రాబర్ట్ లిక్లీని వెంటనే ఫైరీ యొక్క కొత్త చీఫ్ ఇంజనీర్‌గా నియమించారు మరియు ఈ కార్యక్రమం వెనుక ప్రధాన శక్తిగా మారింది. మునుపటి మోడల్ పని నుండి పొందిన డేటా ఫెయిరీ డెల్టా 2 కార్యక్రమానికి ఎంతో విలువైనదని నిరూపించబడింది. [11] ఎఫ్‌డి 2 పై ప్రారంభ అభివృద్ధి పనులు రెండు ప్రధాన కారకాలతో ఆటంకం కలిగిస్తాయి, రెక్క మరియు తీసుకోవడం రూపకల్పనపై అందుబాటులో ఉన్న సమాచారం లేకపోవడం మరియు ఫైరీ గానెట్‌ను బ్రిటిష్ ప్రభుత్వం 'సూపర్-ప్రాధాన్యత' గా ప్రకటించడం, ఇది ఆలస్యం అవసరం. [8 ] సెప్టెంబర్ 1952 లో, ఫైరీ డెల్టా 2 యొక్క సాంకేతిక డ్రాయింగ్‌లు జారీ చేయబడ్డాయి మరియు అభివృద్ధి సరైనది. [8] ప్రాజెక్ట్ ప్రారంభం నుండి, ఫైరీ FD2 యొక్క పారామితులను ఉద్దేశపూర్వకంగా మించిపోయేలా రూపొందించారు, ఇది మాక్ 1 ను సాధించటానికి మాత్రమే అవసరం. , తద్వారా ఇది ఒక యుద్ధ విమానంగా మారవచ్చు. [8] మొత్తంగా, ఒక జత ఫ్లైట్-సామర్థ్యం గల విమానాలు ఉత్పత్తి చేయబడ్డాయి: క్రమ సంఖ్యలు WG774 మరియు WG777. [1] WG777, తయారు చేయబడిన రెండవది, అండర్ వింగ్ ఫ్లాప్ సిస్టమ్ చేర్చబడలేదు తప్ప WG774 కు చాలా పోలి ఉంటుంది. పరికరాలు మరియు ఇన్స్ట్రుమెంటేషన్ పరంగా కొన్ని తేడాలు కూడా ఉన్నాయి. రెండు ఎగిరే విమానాలతో పాటు, ఒకే స్టాటిక్ టెస్ట్ ఎయిర్‌ఫ్రేమ్ కూడా పూర్తయింది. [1] 6 అక్టోబర్ 1954 న, WG774, పూర్తయిన మొదటి FD2, దాని తొలి విమానాన్ని నిర్వహించింది, ఫెయిరీ టెస్ట్ పైలట్ పీటర్ ట్విస్ చేత ఎగిరింది. [7] ఏవియేషన్ రచయిత డెరెక్ వుడ్ ప్రకారం, డెల్టా 2 "ప్రారంభం నుండి అసాధారణమైన విమానం అని నిరూపించబడింది". [12] 17 నవంబర్ 1954 న, WG774 తన 14 వ విమానంలో ఇంజిన్ మంటను ఎదుర్కొంది, అంతర్గత పీడన బిల్డ్-అప్ ఫ్యూజ్‌లేజ్ కలెక్టర్ ట్యాంక్‌ను కూలిపోయింది, ఇంజిన్‌కు ఇంధన సరఫరాను మూసివేసింది, అదే సమయంలో ఎయిర్‌ఫీల్డ్ నుండి 30,000 అడుగుల (9,100 మీ), 30 వద్ద వెళుతుంది RAF బోస్కోంబే నుండి బయలుదేరిన తరువాత MI (50 కి.మీ). [12] ట్విస్ ఎయిర్‌ఫీల్డ్‌లో అధిక వేగంతో డెడ్-స్టిక్ ల్యాండింగ్‌కు గ్లైడ్ చేయగలిగింది. ముక్కు గేర్ మాత్రమే మోహరించింది, మరియు విమానం ఎనిమిది నెలలు చర్య తీసుకోకుండా దెబ్బతింది. [13] అనుభవంతో కదిలిన కానీ గాయపడని ట్విస్, గాలిలో విలువైన సేవ కోసం రాణి ప్రశంసలను అందుకుంది. [14] క్రాష్ యొక్క ఒక ఫలితం పరీక్షా కార్యక్రమంలో తాత్కాలిక ఆగిపోయింది, ఇది ఆగస్టు 1955 వరకు తిరిగి ప్రారంభించలేదు. [15] ప్రారంభ విమాన పరీక్షల సమయంలో, దక్షిణ బ్రిటన్ పై పునరావృతమయ్యే సూపర్సోనిక్ పరీక్ష పరుగులు జరిగాయి; ఈ విమానాల ఫలితంగా, సూపర్సోనిక్ విజృంభణలకు వ్యతిరేకంగా నష్టాల కోసం అనేక వాదనలు వచ్చాయి. [16] డెల్టా 2 యొక్క తక్కువ-స్థాయి సూపర్సోనిక్ విమాన సామర్ధ్యం యొక్క పరీక్షలు తక్కువ ఎత్తులో విమానంలో ఉత్పత్తి చేయబడిన సూపర్సోనిక్ బూమ్స్ వల్ల కలిగే ప్రమాదం కారణంగా అంతరాయం కలిగింది; అందుకని, సరఫరా మంత్రిత్వ శాఖ ఈ పరీక్షను UK లో నిర్వహించడానికి నిరాకరించింది. [17] ఈ తిరస్కరణ ఉన్నప్పటికీ, ఫెయిరీ డెల్టా 2 ను తాత్కాలికంగా ఫ్రాన్స్‌లో మరియు తరువాత నార్వేలో ఆధారపడగలిగాడు, తద్వారా పరీక్షలు చేయవచ్చు. డ్యామేజ్ క్లెయిమ్‌లకు వ్యతిరేకంగా పరీక్షలు బీమా చేయాల్సిన అవసరం ఉంది; ఈ డిమాండ్ రెండు బ్రిటిష్ భీమా సంస్థలు ప్రతి విమానానికి సుమారు £ 1,000 ప్రీమియంను ఉటంకిస్తూ ఆమోదయోగ్యం కాదని నిరూపించబడింది; అయితే, ఒక ఫ్రెంచ్ సంస్థ వారికి £ 40 కు బీమా చేసింది. ఫ్రాన్స్ లేదా నార్వేలో ఎటువంటి వాదనలు రాలేదు. [16] [18] 15 ఫిబ్రవరి 1956 న, WG777, రెండవ డెల్టా 2, RAF బోస్కోంబే నుండి తన తొలి విమాన ప్రయాణాన్ని ప్రదర్శించింది; ట్విస్ చేత పైలట్ చేయబడిన ఈ మొదటి విమానంలో విమానం ట్రాన్సోనిక్ వేగంతో చేరుకుంది. [1] 14 ఏప్రిల్ 1956 న తుది కాంట్రాక్టర్ చెక్ ఫ్లైట్ తరువాత, WG777 అధికారికంగా అంగీకరించబడింది, దానిపై ఇది RAE యొక్క హై-స్పీడ్ రీసెర్చ్ ప్రోగ్రామ్‌కు కేటాయించబడింది, కొలత, స్థిరత్వం మరియు పరిశోధనలను నిర్వహించడం. సెప్టెంబర్ 1956 లో, రెండు విమానాలు హాంప్‌షైర్‌లోని ఫర్న్‌బరో ఎయిర్‌షోలో విమాన ప్రదర్శనలను ప్రదర్శించాయి. [1] డెల్టా 2 సాధారణంగా ఏరోడైనమిక్స్ లక్షణాలు, నిర్వహణ మరియు స్థిరత్వ పనితీరుతో సహా అనేక పరీక్షలను నిర్వహించడానికి ఉపయోగించబడింది. [1] డెల్టా 2 యొక్క పరీక్ష కొంతకాలం ఫ్రాన్స్‌లో జరిగింది, కొంతకాలం ఫ్రాన్స్ మరియు ఫ్రెంచ్ వైమానిక దళం యొక్క డసాల్ట్ ఏవియేషన్ తో ఫెయిరీ యొక్క మంచి సంబంధాల కారణంగా. [17] అక్టోబర్ మరియు నవంబర్ 1956 లో, ఫ్రాన్స్‌లోని బోర్డియక్స్, కాజాక్స్ ఎయిర్ బేస్ నుండి మొత్తం 47 తక్కువ-స్థాయి సూపర్సోనిక్ టెస్ట్ విమానాలు జరిగాయి; డసాల్ట్ ఇంజనీర్ల నిర్లిప్తత ఈ ట్రయల్స్ నిశితంగా గమనించింది, FD2 నుండి డెల్టా వింగ్ విమానం గురించి చాలా నేర్చుకుంటుంది. డసాల్ట్ MD.550 మిస్టేర్-డెల్టా డిజైన్‌ను ఉత్పత్తి చేయడానికి వెళ్ళాడు, ఇది వుడ్ FD2 కు "అద్భుతమైన పోలికను కలిగి ఉంది" అని పేర్కొంది; MD.550 డిజైన్ విజయవంతమైన డసాల్ట్ మిరాజ్ III ఫైటర్‌గా తయారవుతుంది. [18] వుడ్ డెల్టా 2 ను డసాల్ట్ యొక్క సిద్ధాంతాలను ధృవీకరించడానికి మరియు మిరాజ్ III యొక్క రూపకల్పన మరియు అభివృద్ధికి మద్దతుగా పేర్కొన్నట్లు ఘనత ఇచ్చాడు. [19] తయారీదారుల పరీక్ష పూర్తయిన తర్వాత, రెండు విమానాలను అధికారికంగా RAE కి అప్పగించారు. 1958 నుండి 60 °-స్వీప్ డెల్టా వింగ్ యొక్క లక్షణాలపై సంస్థకు ఉపయోగకరమైన సమాచారాన్ని అందించడంతో పాటు, ఎఫ్‌డి 2 విమానాలు వివిధ పరిశోధన ప్రాజెక్టులలో మరియు ఎగిరే పరీక్షలలో పాల్గొన్నాయి, వీటిలో ఎజెక్టర్-రకం ప్రొపల్సివ్ నాజిల్ పనితీరుపై దర్యాప్తుతో సహా. [[(చేర్చు మరింత పరిశోధనలో పాల్గొనడానికి విమానం యొక్క గణనీయమైన పునర్నిర్మాణం అదే సంవత్సరంలో కూడా మొదట రూపొందించబడింది. [20] దాని అసలు కాన్ఫిగరేషన్‌లో, డెల్టా 2 విమాన పరీక్షలను ప్రదర్శించింది, 1966 మధ్యకాలం వరకు నిల్వ కాలాలతో విభజించింది. [1] ఆగష్టు 1955 లో, టెస్టింగ్ షెడ్యూల్ ఆ సమయంలో దాని ఉపయోగం ఇంకా అవసరం లేనందున డెల్టా 2 దాని రీహీట్ ఉపయోగించకుండా సూపర్సోనిక్ వేగంతో ప్రయాణించింది. [16] వుడ్ ప్రకారం, అభివృద్ధి బృందంలోని చాలా మంది సభ్యులు ఎఫ్‌డి 2 భారీ వేగ సామర్థ్యాన్ని కలిగి ఉందని గుర్తించారు, ఆ సమయంలో ఉనికిలో ఉన్న ఇతర బ్రిటిష్ నిర్మించిన విమానాలకు మించి. [21] ప్రారంభ విమాన పరీక్ష సమయంలో, డెల్టా 2 గంటకు 1,000 మైళ్ళ (1,600 కిమీ/గం) వేగంతో ఉంటుంది మరియు ప్రస్తుత ఎయిర్ స్పీడ్ రికార్డును బద్దలు కొట్టే లక్ష్యంతో ఎగురవేయాలని ప్రతిపాదించింది, అది అప్పటికి ఉంది 1955 నుండి ఉత్తర అమెరికా ఎఫ్ -100 సూపర్ సాబెర్ చేత జరిగింది. [22] ఏదేమైనా, ఫెయిరీ సరఫరా మంత్రిత్వ శాఖకు మద్దతు లేనిది కనుగొన్నారు, మనుషుల సైనిక విమానాలను త్వరలో గైడెడ్ క్షిపణుల ద్వారా భర్తీ చేస్తారనేది ప్రస్తుత నమ్మకాన్ని స్వీకరించింది. ప్రయత్నానికి అనుమతి పొందడంలో ఫైరీకి చాలా ఇబ్బంది ఉంది. ట్విస్ ఈ పరిస్థితి అంచనాల నుండి "ఆసక్తికరంగా విలోమం" అని పేర్కొంది, జాతీయ ప్రతిష్టను పెంపొందించే సాధనంగా ప్రభుత్వ సంస్థలు రికార్డు స్థాయిలో విమాన ప్రయాణం కోసం ఉత్సాహంగా ఒత్తిడి చేస్తాయని expected హించిన తరువాత. [23] వుడ్ ప్రకారం, ఫెయిరీ హర్ మెజెస్టి యొక్క పౌర సేవ నుండి సంశయవాదం మరియు ఉదాసీనత కలయికతో ఎదుర్కొన్నాడు, ప్రభుత్వం ఈ ప్రయత్నాన్ని వ్యతిరేకిస్తున్నట్లు కనిపించినంతవరకు. [24] సరఫరా మంత్రిత్వ శాఖ స్పీడ్ రికార్డ్ బిడ్‌తో ఎటువంటి అనుబంధాన్ని నివారించడానికి ప్రయత్నించింది, అయితే ఎఫ్‌డి 2 యొక్క ఇంజిన్ తయారీదారు రోల్స్ రాయిస్ కూడా ఈ ప్రయత్నాన్ని తోసిపుచ్చారు, మాక్ 1.5 చుట్టూ వేగం కోసం గాలి తీసుకోవడం అనుచితమైనదని మరియు అవాన్ ఇంజిన్ విచ్ఛిన్నమవుతుందని పేర్కొంది ఇటువంటి వేగం, ఈ వాదనకు మద్దతు ఇవ్వడానికి ఆచరణాత్మక డేటా లేనప్పటికీ. ఈ వ్యతిరేకత ఉన్నప్పటికీ, ఫైరీ కొనసాగించడానికి ప్రయత్నించారు, మరియు కొనసాగడానికి అనుమతి ఇవ్వబడింది. [24] మంత్రిత్వ శాఖ ఎటువంటి ఆర్థిక సహాయాన్ని అందించలేదు, బదులుగా విమానం ఫెయిరీకి రుణం ఇవ్వడానికి మరియు RAE ఆస్తుల ఉపయోగం కోసం సంస్థను వసూలు చేయడానికి ఎంచుకుంది. ఫైరీ కూడా దాని స్వంత భీమాకు ఆర్థిక సహాయం చేయాల్సి వచ్చింది. [25] సంబంధం లేకుండా, ఫెయిరీ రికార్డు ప్రయత్నాన్ని కొనసాగించాలని ఎంచుకున్నాడు. [26] మరొక పోటీదారుని ఓడించే ప్రమాదాన్ని తగ్గించడానికి, తక్కువ వ్యవధిలో మరియు గొప్ప గోప్యతతో సన్నాహాలు నిర్వహించాల్సి వచ్చింది. [26] అటువంటి వేగంతో ఫ్లైట్ యొక్క ఖచ్చితమైన కొలతకు అనువైన పరికరాల అభివృద్ధి మరియు విస్తరణ ఒక సవాలు. ఈ ప్రయోజనం కోసం, చిచెస్టర్ వద్ద మరియు RNAS ఫోర్డ్ వద్ద వివిధ రకాల గ్రౌండ్ కొలత కెమెరాలు ఏర్పాటు చేయబడ్డాయి, వివిధ గ్రౌండ్ గుర్తులను పేర్కొన్న ప్రదేశాలలో వ్యవస్థాపించారు మరియు RNAS ఫోర్డ్ మరియు RAF సోప్లీ నుండి రాడార్ ట్రాకింగ్; క్రమాంకనం ప్రయోజనాల కోసం గ్లోస్టర్ ఉల్కలు మరియు డి హవిలాండ్ విషాల విమానాలు కూడా RAF చేత నిర్వహించబడ్డాయి. [26] పైలట్ మరియు గ్రౌండ్ సిబ్బంది రెండింటిపై కార్యాచరణ డిమాండ్లు తీవ్రంగా ఉన్నాయి మరియు చాలా పరుగులు ప్రయత్నించబడ్డాయి, కాని ఒక సాంకేతికత లేదా మరొక సాంకేతికతకు అర్హత సాధించడంలో విఫలమయ్యాయి. అందుబాటులో ఉన్న చివరి రోజున, మొదటి పరుగు కూడా విఫలమైంది; ఆ రోజు రెండవ మరియు చివరి పరుగు ప్రయత్నం ముగిసేలోపు మిగిలి ఉన్న ఏకైక అవకాశంగా మారింది. 10 మార్చి 1956 న, ఫైరీ డెల్టా 2 ప్రపంచ ఎయిర్ స్పీడ్ రికార్డును బద్దలు కొట్టి, దానిని 1,132 mph (1,811 కిమీ/గం) లేదా మాక్ 1.73 కు పెంచింది. [7] ఈ సాధన ముందస్తు రికార్డ్ చేసిన ఎయిర్‌స్పీడ్ రికార్డును 310 mph లేదా 37 శాతం మించిపోయింది; ఇంతకు ముందెన్నడూ రికార్డును ఇంత విస్తృతమైన తేడాతో పెంచలేదు. [22] [26] ఈ సాధించినది ఫైరీ డెల్టా 2 ను మొదటి జెట్ విమానం స్థాయి విమానంలో 1,000 mph (1,600 కిమీ/గం) మించిపోయింది. కొత్త ఎయిర్‌స్పీడ్ రికార్డ్ యొక్క వార్తలు త్వరగా వ్యాపించాయి మరియు అంతర్జాతీయ ఏరోనాటిక్స్ పరిశ్రమపై సమానంగా ప్రభావం చూపించాయి, విలక్షణమైన ప్రతిచర్యలు షాక్ మరియు సమీపంలో ఉన్నవి. [26] వుడ్ ప్రకారం, పరిణామాలు అమెరికా చేత FD2 ఎయిర్ఫ్రేమ్ యొక్క లోతైన అధ్యయనాలు మరియు ఫ్రాన్స్‌లో సైనిక విమాన కార్యక్రమాల యొక్క ప్రధాన పున hap రూపకల్పనను కలిగి ఉన్నాయి. ఫెయిరీ కూడా సాధించిన సాధనతో ఉల్లాసంగా ఉంది, దీనిని వారి రూపకల్పన యొక్క ఆచరణాత్మక ఆమోదంగా చూసింది మరియు సూపర్సోనిక్ యోధుల కుటుంబాన్ని దాని ప్రాతిపదికన స్థాపించాలనే సంస్థ యొక్క ఆశయాలకు ఆజ్యం పోసింది. [26] ఈ రికార్డు 12 డిసెంబర్ 1957 వరకు ఉంది, దీనిని అమెరికా వైమానిక దళానికి చెందిన మెక్‌డోనెల్ జెఎఫ్ -101 ఎ oood షూ ఓడించారు. [16] [27] ఫెయిరీ అనేక ప్రతిపాదనలను రూపొందించారు, ఇది డెల్టా 2 యొక్క మరింత అభివృద్ధిని కలిగి ఉంటుంది. వీటిలో మొదటిది మరొక ప్రయోగాత్మక విమానం, దీనిని ER.103/B గా నియమించారు, ఇది FD2 యొక్క రెక్కలను సవరించిన ఫ్యూజ్‌లేజ్‌తో జత చేస్తుంది, ఇది ఎక్కువ వ్యవధి మరియు పొడవును కలిగి ఉంది. [26] ER.103/B డి హవిలాండ్ గైరాన్ లేదా రోల్స్ రాయిస్ RB.122 చేత శక్తినివ్వింది మరియు విస్తరించిన ఓర్పు కోసం ఇంధన ట్యాంకుల అండర్ వింగ్ కలిగి ఉంటుంది. ఒక పోరాట ఫైటర్ మోడల్, ER.103/C కూడా ప్రతిపాదించబడింది, దానిపై రెక్కలు 50 శాతం పెరిగాయి, రాడికల్ ఏరోడైనమిక్ మార్పులు చేయలేదు. ఫెర్రాంటి-నిర్మించిన వాయుమార్గాన ఇంటర్‌సెప్షన్ రాడార్ 1495 మరియు డి హవిలాండ్ ఫైర్‌స్ట్రీక్ ఎయిర్-టు-ఎయిర్ క్షిపణులతో సహా పోరాట పరికరాలు అందించబడతాయి. [28] ER.103/C 55,000 అడుగుల (17,000 మీ) ఎత్తులో మాక్ 2.26 ను సాధించగలదని ఫైరీ పేర్కొన్నారు. [29] "మీరు బ్రిటన్లో వస్తువులను పరిష్కరించే వికృతమైన మార్గం కోసం కాకపోతే, మీరు మీరే మిరాజ్ ను తయారు చేసుకోవచ్చు." ఫెయిరీ యొక్క అంచనాల ప్రకారం, డసాల్ట్ ఏవియేషన్ వ్యవస్థాపకుడు మార్సెల్ డసాల్ట్ [30] నెలలు. [29] ప్రత్యేకించి, ఫెయిరీ కార్యాచరణ అవసరాన్ని అనుసరించాడు f.155, ఇది రాడార్ మరియు క్షిపణులతో కూడిన రెండు-సీట్ల ఫైటర్‌ను తగిన పనితీరుతో పిలుపునిచ్చింది, ఇది బయలుదేరిన ఆరు నిమిషాల్లో 60,000 అడుగుల (18,000 మీ) మరియు మాక్ 2 ఎత్తును సాధించడానికి; వారి రూపకల్పన పేర్కొన్న అవసరాలను తీర్చగలదని వారి రూపకల్పన పూర్తిగా సామర్థ్యం కలిగి ఉంటుందని సంస్థ భావించినప్పటికీ, పూర్తి ఆయుధ వ్యవస్థ 1962 వరకు పూర్తిగా అభివృద్ధి చేయబడదని నమ్ముతారు. అందువల్ల, ఎంచుకోబడితే, సరళమైన మధ్యంతర విమానం ఒక సరళమైన మధ్యంతర విమానం అని ఫెయిరీ ప్రతిపాదించారు , 1960 నాటికి లేదా అంతకుముందు అందుబాటులో ఉండవచ్చు. [31] మునుపటి ప్రతిపాదనల యొక్క గైరాన్ ఇంజిన్‌తో పాటు, ప్రతిపాదిత ఫైటర్‌ను వెనుక ఫ్యూజ్‌లేజ్‌లో ఫెయిరింగ్‌లలో అమర్చిన డి హవిలాండ్ స్పెక్టర్ రాకెట్ ఇంజిన్లను కలిగి ఉండాలి. [32] రాకెట్ ఇంజిన్ల కోసం హై-టెస్ట్ పెరాక్సైడ్ (హెచ్‌టిపి) ఇంధనాన్ని ట్యాంకుల్లో అండర్ వింగ్ ఫెయిరింగ్స్‌లో మరియు వింగ్ యొక్క ప్రముఖ అంచున, టర్బోజెట్ ఇంజిన్ యొక్క ఇంధన నిల్వ నుండి వేరుగా నిల్వ చేశారు. ఇందులో ఇద్దరు వ్యక్తుల సిబ్బంది, పైలట్ మరియు రాడార్ ఆపరేటర్/నావిగేషన్, పక్కపక్కనే కాన్ఫిగరేషన్‌లో కూర్చున్నారు. [32] పెద్ద దీర్ఘచతురస్రాకార వేరియబుల్ గాలి తీసుకోవడం స్వీకరించబడినప్పుడు ఫ్యూజ్‌లేజ్ పాలించబడింది. పేర్కొన్నట్లుగా, ఫైటర్ తాత్కాలికంగా వింగ్టిప్-మౌంటెడ్ డి హవిలాండ్ రెడ్ టాప్ ఎయిర్-టు-ఎయిర్ క్షిపణులతో సాయుధమైంది. [32] మరింత డిజైన్ పునర్విమర్శలు సింగిల్ గైరాన్ ఇంజిన్‌ను బదులుగా ఒక జత RB.122 ఇంజిన్‌లతో భర్తీ చేయబడ్డాయి మరియు రెడ్ డీన్ క్షిపణిని స్వీకరించడం, తీసుకోవడం మెరుగుదలలు మరియు అంతర్గత ఇంధన సామర్థ్యం పెరిగిన మెరుగుదలలతో పాటు. ఈ విమానం వివిధ ఎత్తులు, సమ్మె మరియు వైమానిక నిఘా మిషన్లలో ఇంటర్‌సెప్టర్ విధులకు సరిపోతుందని ఫైరీ పేర్కొన్నారు. [32] 1 ఏప్రిల్ 1957 న, ఫెయిరీని సరఫరా మంత్రిత్వ శాఖలోని అధికారులు తమ ప్రతిపాదనలు కార్యాచరణ అవసరాన్ని తీర్చడానికి ఇష్టమైనవి. [17] ఏదేమైనా, 4 ఏప్రిల్ 1957 న, రక్షణ మంత్రి డంకన్ శాండిస్, RAF కోసం దాదాపు అన్ని ఫైటర్ విమానాల అభివృద్ధిని సమర్థవంతంగా రద్దు చేస్తున్నట్లు ప్రకటించారు, తక్షణమే F.155 అవసరాన్ని తొలగిస్తుంది. [17] పశ్చిమ జర్మనీ యొక్క కొత్త జర్మన్ వైమానిక దళం కోసం 1950 ల చివరలో డెల్టా 2 ఉత్పన్నం ఉత్పత్తికి పురోగతి సాధించడానికి తుది ప్రయత్నం జరిగింది. [33] లాక్‌హీడ్ ఎఫ్ -104 జి స్టార్‌ఫైటర్‌తో పోటీ పడుతున్న అమెరికన్ బిడ్‌కు వ్యతిరేకంగా నడుస్తున్న ఫెయిరీ రోల్స్ రాయిస్ మరియు డసాల్ట్‌లతో కలిసి డెల్టా వింగ్ విమానాన్ని ఉత్పత్తి చేసే సహకార ప్రయత్నంలో చేరాడు, ఫైటర్ విమానాల కోసం జర్మన్ డిమాండ్‌ను తీర్చడానికి మాక్ 2 ను చేరుకోగల సామర్థ్యం కలిగి ఉన్నాడు. ఈ ప్రతిపాదన డసాల్ట్ రెక్కలను ఉత్పత్తి చేస్తుంది, ఫైరీ ఫ్యూజ్‌లేజ్‌ను తయారు చేస్తుంది మరియు రోల్స్ రాయిస్ ఇంజిన్‌ను అందిస్తుంది, ఇది రోల్స్ రాయిస్ స్పై ఇంజిన్‌గా రిహీట్‌తో ఉద్దేశించబడింది; ఈ కార్యక్రమంలో బెల్జియం కూడా పాత్ర పోషించింది. [34] ఏదేమైనా, అమెరికన్ లాబీ చాలా బలంగా ఉందని నిరూపించబడింది, తరువాత జర్మన్ నిర్ణయాధికారులను ప్రభావితం చేసిన లాక్‌హీడ్ లంచం కుంభకోణాల కారణంగా, మరియు బదులుగా F-104G ఎంపిక చేయబడింది. ఫైటర్ కాన్సెప్ట్‌గా FD2 కు ఇది ముగింపు; ఈ భావన ఉత్పత్తి విమానంగా ఏ ఉపయోగాన్ని ఎప్పుడూ చూడలేదు; వుడ్ వ్యవహారాల స్థితిని "పంటను సేకరించడానికి ఫ్రాన్స్‌కు వదిలివేసింది" అని సంక్షిప్తీకరించారు. [35] కాంకోర్డ్ డిజైన్ అప్పటి కొత్త రకం డెల్టా వింగ్‌ను ఉపయోగించింది, దీనిని ఓగీ లేదా ఓగివాల్ డెల్టా డిజైన్ అని పిలువబడే రే వద్ద అభివృద్ధి చేస్తున్నారు. ఈ రూపకల్పన రూట్ వద్ద అధిక ప్రముఖ-అంచు స్వీప్ మరియు తక్కువ మందం/తీగ నిష్పత్తితో సూపర్సోనిక్ వేవ్ డ్రాగ్ రెండింటినీ మెరుగుపరచడం లక్ష్యంగా పెట్టుకుంది, [36] వింగ్. సుడిగుండం కింద జోడించిన చూషణ లిఫ్ట్ [37] ను వోర్టెక్స్ లిఫ్ట్ అని పిలుస్తారు. వింగ్ రూట్ తీగ వీలైనంత ఎక్కువ కాలం ఉండాలి మరియు ఇది ఫార్వర్డ్ ఫ్యూజ్‌లేజ్‌ను కలిసే చోట బాగా తుడిచిపెట్టుకుపోతుంది. ఈ ప్రాథమిక భావన యొక్క నిరంతర అధ్యయనాలు ఓగీ లేఅవుట్కు దారితీశాయి మరియు చివరికి దాని ధ్రువీకరణకు పూర్తి స్థాయి విమాన పరీక్షల శ్రేణి అవసరమని చివరికి స్పష్టమైంది. [20] కాన్సెప్ట్ యొక్క తక్కువ-స్పీడ్ టెస్టింగ్ ఇప్పటికే హ్యాండ్లీ పేజీ HP.115 చేత అందించబడింది. హై-స్పీడ్ పనితీరు able హించదగినదిగా కనిపించినప్పటికీ, అంకితమైన టెస్ట్‌బెడ్ విమానం కావలసినది, ముఖ్యంగా డ్రాగ్ కొలతల కోసం. 1958 లోనే, రే మరియు ఫైరీ ఓగీ వింగ్‌కు మద్దతుగా డెల్టా 2 ప్రోటోటైప్‌లలో ఒకదాన్ని మార్చడం గురించి చర్చలు ప్రారంభించారు. [20] [38] సుదీర్ఘ ప్లాన్‌ఫార్మ్‌తో సరిపోలడానికి ఫ్యూజ్‌లేజ్‌ను మరో మూడు అడుగుల విస్తరణను ఫెయిరీ ప్రతిపాదించాడు, రెక్కలు ముక్కుకు విస్తరించి ఉన్నాయి. ఏదేమైనా, విస్తరించిన ప్లాన్‌ఫార్మ్ ఫలితంగా ఫార్వర్డ్ కదిలే సెంటర్ ఆఫ్ ప్రెజర్ (COP) ను ఎదుర్కోవటానికి ఈ పొడిగింపు గొప్పది కాదని లెక్కలు చూపించాయి మరియు ఓవర్-వింగ్ ఇంజిన్ తీసుకోవడం రెక్క పైన సుడిగుండం మింగేస్తుందని కూడా ఆందోళనలు ఉన్నాయి. [[ 20] 1960 లో, వెస్ట్‌ల్యాండ్ ఎయిర్‌క్రాఫ్ట్ ఫెయిరీని కొనుగోలు చేయడం ద్వారా మరింత అభివృద్ధి కార్యకలాపాలు దెబ్బతిన్నాయి, అతను మార్పిడి ప్రాజెక్టుపై వేట విమానాలకు తదుపరి పనిని కేటాయించాడు. [20] దీని ప్రకారం, జూలై 1960 లో, ఈ కార్యక్రమం బ్రిస్టల్‌కు మారింది మరియు ఇప్పుడు పెద్ద బ్రిటిష్ ఎయిర్‌క్రాఫ్ట్ కార్పొరేషన్ (BAC) లో భాగం. బ్రిస్టల్ రెండు మార్గాలను ముందుకు సూచించింది, ఉప-ఆప్టిమల్ వింగ్‌తో కనీస మార్పిడి, కానీ ఇతర పెద్ద మార్పులు లేవు, లేదా ఫ్యూజ్‌లేజ్‌కు పెద్ద ఆరు అడుగుల పొడిగింపుతో "గరిష్ట" మార్పిడి మరియు చాలా పొడవుగా ఉన్న ల్యాండింగ్ గేర్‌పై ఎక్కువ విలక్షణమైనది కాంకోర్డ్. రెండూ కొత్త ఇలియట్ బ్రదర్స్ స్టెబిలైజేషన్ సిస్టమ్‌ను కలిగి ఉంటాయి మరియు ఇంజిన్ తీసుకోవడం రెక్క కింద కదిలింది. కనీస మార్పిడి 'రాజీ'గా పరిగణించబడింది, తక్కువ సన్నగా ఉంటుంది మరియు గరిష్ట ఎంపిక అందించిన అదనపు ఇంధన సామర్థ్యం లేదు. [39] సెప్టెంబర్ 1960 ప్రారంభంలో, "గరిష్ట" మార్పిడి కొనసాగుతుందని అంగీకరించారు; అదే సంవత్సరం సెప్టెంబర్ 5 న, WG774 ను బ్రిస్టల్ యొక్క ఫిల్టన్ సదుపాయానికి తరలించారు. [40] వివరణాత్మక రూపకల్పన పని యొక్క కాలం తరువాత, తిరిగి తయారుచేసే ప్రక్రియ ఏప్రిల్ 1961 లో ప్రారంభమైంది. గణనీయమైన ఖర్చు తగ్గించే చర్యలు మరియు పెర్ట్ వంటి నిర్వహణ వ్యూహాలు BAC చేత స్వీకరించబడ్డాయి, అది జారీ చేయబడిన స్థిర-ధర ఒప్పందంపై అధిగమించకుండా ఉండటానికి BAC చేత స్వీకరించబడింది పని కోసం; కొంతమంది ఇంజనీర్లు దీనితో విసుగు చెందారు, ఎందుకంటే మరింత మెరుగుదల యొక్క స్పష్టమైన మార్గాలు కొట్టివేయబడ్డాయి. [40] 7 జూలై 1961 న, కొత్తగా నామకరణం చేసిన BAC 221 పూర్తయింది. [40] మార్పిడి సమయంలో వివిధ సమస్యలు ఎదురయ్యాయి. కొత్తగా పొడవుగా ఉన్న ల్యాండింగ్ గేర్‌కు ఎక్కువ హైడ్రాలిక్ ద్రవం అవసరం, దీనికి పెద్ద రిజర్వాయర్ అవసరం, దీనిని వ్యవస్థ ద్వారా త్వరగా తరలించడానికి అధిక సామర్థ్యం గల పంపు, మరియు హైడ్రాలిక్ వ్యవస్థ ద్వారా. [40] రెక్కల క్రింద తీసుకోవడం క్రింద తీసుకోవడం అంటే అవి కంప్రెసర్ ముఖంతో ఇకపై లైన్ కావు కాబట్టి ఇంజిన్‌కు డక్టింగ్ పైకి వంగడం రెక్క ఎగువ ఉపరితలంపై గుర్తించదగిన ఉబ్బెత్తును ఇస్తుంది. వేరియబుల్ తీసుకోవడం సరిపోయే ప్రయత్నం చేయలేదు. [41] అధిక థొరెటల్ సెట్టింగుల వద్ద, ఇన్లెట్స్‌లో గణనీయమైన చూషణ ఉత్పత్తి చేయబడింది; పైలట్ చేత అకస్మాత్తుగా డౌన్-థొరెటల్ మోషన్ సంభవించినప్పుడు, తీసుకోవడం నుండి గాలి "చిమ్ముతుంది", ఇది ఒక ఆందోళన కలిగిస్తుంది ఎందుకంటే ఇది రెక్క పైన ప్రవహిస్తుంది మరియు సుడిగుండం అంతరాయం కలిగిస్తుంది. దీనిని నివారించడంలో సహాయపడటానికి చిన్న పెదవులు తీసుకోవడంలో చేర్చబడ్డాయి, కానీ ఇది తీసుకోవడం సందడి చేస్తుంది. రోల్స్ రాయిస్ సహాయంతో నాళాలకు మార్పులు ఈ సమస్యను పరిష్కరించాయి. [41] కొత్త డిజైన్ యొక్క ఒక ప్రధాన ప్రయోజనం దాని పెద్ద ఇంధన సామర్థ్యం, ​​ఇది అసలు FD2 కి పెద్ద సమస్యగా ఉంది. [42] డెల్టా 2 తరచుగా వేగవంతం అయితే ఇంధనం తక్కువగా నడుస్తుంది, తద్వారా దాని పూర్తి పనితీరును ఎప్పుడూ చేరుకోలేదు. 221 యొక్క మార్పులు అంటే అదే స్థాయి పనితీరును కలిగి ఉండవు; అయినప్పటికీ, మాక్ 1.6 యొక్క వేగం దాని పరీక్ష విమానాలలో సాధించబడింది. మొత్తంగా, BAC 221 లో కొత్త వింగ్, ఇంజిన్ ఇన్లెట్ కాన్ఫిగరేషన్, రోల్స్ రాయిస్ అవాన్ RA.28, సవరించిన నిలువు స్టెబిలైజర్ మరియు మైదానంలో కాంకోర్డ్ యొక్క వైఖరిని అనుకరించటానికి పొడవైన అండర్ క్యారేజ్ ఉన్నాయి. ఇది మొదట 1 మే 1964 న ప్రయాణించింది. [43] [40] ఏకైక 221 1964 నుండి 1973 వరకు వైవిధ్యమైన విమాన పరీక్ష కోసం ఉపయోగించబడింది, ఆ తరువాత అది బహిరంగ ప్రదర్శనలో ఉంచబడింది. [44] ఫైరీ డెల్టా 2 మిడ్-వింగ్ టైలెస్ డెల్టా మోనోప్లేన్. ఇది రిహీట్‌తో ఒకే రోల్స్ రాయిస్ అవాన్ రా .14 ఆర్ టర్బోజెట్ ఇంజిన్ ద్వారా శక్తిని పొందింది. [7] [45] ఇంజిన్ గాలి తీసుకోవడం ద్వారా తినిపించింది, వీటిని రెక్కల మూలాలలో మిళితం చేసి, కనురెప్పల-రకం నాజిల్ కలిగి ఉంది. [8] నాజిల్ ముందు ఉన్నది రేక-రకం ఎయిర్ బ్రేక్‌లు. [8] డెల్టా 2 లో స్థూపాకార క్రాస్-సెక్షన్ ఫ్యూజ్‌లేజ్ ఉంది, ఇది అవాన్ ఇంజిన్‌కు దగ్గరగా అమర్చబడి, పొడవైన దెబ్బతిన్న ముక్కులోకి సజావుగా ప్రవహించింది. [8] పొడవైన ముక్కు సాధారణంగా ల్యాండింగ్, టేక్-ఆఫ్ మరియు మైదానంలో కదలిక సమయంలో పైలట్ యొక్క ముందుకు దృష్టిని అస్పష్టం చేస్తుంది; కాబట్టి, తగినంత దృశ్యమానతను అందించడానికి ముక్కుకు ముక్కు అమర్చారు; కాక్‌పిట్‌తో సహా ముక్కు విభాగం, హైడ్రాలిక్-యాక్చుయేటెడ్ మెకానిజమ్‌ను ఉపయోగించి 10 ° ను తగ్గించవచ్చు, తరువాత కాంకోర్డ్‌లో ఉపయోగించిన దానితో సమానంగా ఉంటుంది. [7] [12] డెల్టా 2 పైలట్ కోసం సాపేక్షంగా చిన్న కాక్‌పిట్‌ను కలిగి ఉంది, ఇది అదనపు పరికరాల సంస్థాపనకు తక్కువ గదిని వదిలివేసింది. [40] అన్ని శక్తితో కూడిన నియంత్రణలను ఉపయోగించి ఎగురుతున్న మొట్టమొదటి బ్రిటిష్ విమానం డెల్టా. ఈ నియంత్రణలు, ఫెయిరీ రూపొందించిన మరియు ఉత్పత్తి చేసేవి పూర్తిగా నకిలీ చేయబడ్డాయి. [3] [11] ఫ్లైట్ కంట్రోల్ సిస్టమ్ హైడ్రాలిక్‌గా నిర్వహించబడుతుంది మరియు యాంత్రిక బ్యాకప్ కలిగి లేదు. ఫైరీ ఇటీవల కొత్త అధిక పీడన హైడ్రాలిక్ వ్యవస్థను అభివృద్ధి చేసింది మరియు ఇది డిజైన్‌లో ఉపయోగించబడింది. హైడ్రాలిక్స్ పైలట్ యొక్క నియంత్రణలకు ఎటువంటి అభిప్రాయాన్ని లేదా "అనుభూతి" ఇవ్వలేదు, కాబట్టి కృత్రిమ అనుభూతిని అందించే మరొక వ్యవస్థ అవసరం. [16] వింగ్ ప్రముఖ అంచు యొక్క 60 ° స్వీప్‌ను కలిగి ఉంది మరియు చాలా సన్నగా ఉంది, కేవలం 4% మందం-తీగ నిష్పత్తిలో, డెల్టా 2 యొక్క రెక్కను ఆ సమయంలో తెలిసిన సన్నని వాటిలో ఒకటిగా నిలిచింది. [8] అంతర్గత స్థలం రెక్కలో ప్రధాన అండర్ క్యారేజ్ మరియు మొత్తం నాలుగు ఇంధన ట్యాంకులు రెండింటినీ కలిగి ఉంది, అయితే నాలుగు స్పార్స్ గణనీయమైన నిర్మాణ బలానికి అందించబడ్డాయి. గణనీయమైన కొమ్ము-సమతుల్య ఐలెరాన్లు మరియు ఇన్బోర్డ్ ఎలివేటర్లు డెల్టా 2 కి అధిక స్థాయి యుక్తిని ఇచ్చాయి. [8] ఇలస్ట్రేటెడ్ ఎన్సైక్లోపీడియా ఆఫ్ ఎయిర్క్రాఫ్ట్ నుండి డేటా [46] సాధారణ లక్షణాలు పనితీరు సంబంధిత అభివృద్ధి అభివృద్ధి విమానం పోల్చదగిన పాత్ర, కాన్ఫిగరేషన్ మరియు ERA సంబంధిత జాబితాలు</v>
      </c>
      <c r="E37" s="1" t="s">
        <v>962</v>
      </c>
      <c r="F37" s="1" t="s">
        <v>963</v>
      </c>
      <c r="G37" s="1" t="str">
        <f>IFERROR(__xludf.DUMMYFUNCTION("GOOGLETRANSLATE(F:F, ""en"", ""te"")"),"హై-స్పీడ్ రీసెర్చ్ విమానం")</f>
        <v>హై-స్పీడ్ రీసెర్చ్ విమానం</v>
      </c>
      <c r="I37" s="1" t="s">
        <v>964</v>
      </c>
      <c r="J37" s="1" t="str">
        <f>IFERROR(__xludf.DUMMYFUNCTION("GOOGLETRANSLATE(I:I, ""en"", ""te"")"),"యునైటెడ్ కింగ్‌డమ్")</f>
        <v>యునైటెడ్ కింగ్‌డమ్</v>
      </c>
      <c r="L37" s="1" t="s">
        <v>965</v>
      </c>
      <c r="M37" s="1" t="str">
        <f>IFERROR(__xludf.DUMMYFUNCTION("GOOGLETRANSLATE(L:L, ""en"", ""te"")"),"ఫైరీ ఏవియేషన్ కంపెనీ")</f>
        <v>ఫైరీ ఏవియేషన్ కంపెనీ</v>
      </c>
      <c r="N37" s="1" t="s">
        <v>966</v>
      </c>
      <c r="R37" s="4">
        <v>20003.0</v>
      </c>
      <c r="S37" s="1">
        <v>2.0</v>
      </c>
      <c r="V37" s="1">
        <v>1.0</v>
      </c>
      <c r="W37" s="1" t="s">
        <v>967</v>
      </c>
      <c r="X37" s="1" t="s">
        <v>968</v>
      </c>
      <c r="Y37" s="1" t="s">
        <v>969</v>
      </c>
      <c r="Z37" s="1" t="s">
        <v>970</v>
      </c>
      <c r="AG37" s="1" t="s">
        <v>971</v>
      </c>
      <c r="AH37" s="1" t="s">
        <v>972</v>
      </c>
      <c r="AO37" s="1" t="s">
        <v>684</v>
      </c>
      <c r="AQ37" s="1" t="s">
        <v>973</v>
      </c>
      <c r="AX37" s="1" t="s">
        <v>974</v>
      </c>
      <c r="AY37" s="1" t="str">
        <f>IFERROR(__xludf.DUMMYFUNCTION("GOOGLETRANSLATE(AX:AX, ""en"", ""te"")"),"1 × రోల్స్ రాయిస్ అవాన్ RA.14R ఒకే రీహీట్ సెట్టింగ్‌తో, తరువాత స్పీడ్ రికార్డ్ [47], 10,000 LBF (44 kN) థ్రస్ట్ కోసం ఉపయోగించిన విధంగా RA.28 తో భర్తీ చేయబడింది")</f>
        <v>1 × రోల్స్ రాయిస్ అవాన్ RA.14R ఒకే రీహీట్ సెట్టింగ్‌తో, తరువాత స్పీడ్ రికార్డ్ [47], 10,000 LBF (44 kN) థ్రస్ట్ కోసం ఉపయోగించిన విధంగా RA.28 తో భర్తీ చేయబడింది</v>
      </c>
      <c r="BB37" s="1" t="s">
        <v>975</v>
      </c>
      <c r="BF37" s="1" t="s">
        <v>976</v>
      </c>
      <c r="BG37" s="2" t="str">
        <f>IFERROR(__xludf.DUMMYFUNCTION("GOOGLETRANSLATE(BF:BF, ""en"", ""te"")"),"రాయల్ ఎయిర్క్రాఫ్ట్ స్థాపన")</f>
        <v>రాయల్ ఎయిర్క్రాఫ్ట్ స్థాపన</v>
      </c>
      <c r="BH37" s="1" t="s">
        <v>977</v>
      </c>
      <c r="BT37" s="1" t="s">
        <v>978</v>
      </c>
      <c r="BU37" s="1" t="s">
        <v>979</v>
      </c>
      <c r="BV37" s="1" t="str">
        <f>IFERROR(__xludf.DUMMYFUNCTION("GOOGLETRANSLATE(BU:BU, ""en"", ""te"")"),"బహిరంగ ప్రదర్శనలో")</f>
        <v>బహిరంగ ప్రదర్శనలో</v>
      </c>
    </row>
    <row r="38">
      <c r="A38" s="1" t="s">
        <v>980</v>
      </c>
      <c r="B38" s="1" t="str">
        <f>IFERROR(__xludf.DUMMYFUNCTION("GOOGLETRANSLATE(A:A, ""en"", ""te"")"),"అదనపు EA-400")</f>
        <v>అదనపు EA-400</v>
      </c>
      <c r="C38" s="1" t="s">
        <v>981</v>
      </c>
      <c r="D38" s="1" t="str">
        <f>IFERROR(__xludf.DUMMYFUNCTION("GOOGLETRANSLATE(C:C, ""en"", ""te"")"),"అదనపు EA-400 ఆరు-సీట్ల, సింగిల్-ఇంజిన్, హై-వింగ్ మోనోప్లేన్, అదనపు ఫ్లూగ్జీగ్బావ్ GMBH. EA-400 లిక్విడ్-కూల్డ్ కాంటినెంటల్ వాయేజర్ టర్బోచార్జ్డ్ పిస్టన్ ఇంజిన్ చేత శక్తినిస్తుంది. వాల్టర్ ఎక్స్‌ట్రా ప్రారంభించిన సంస్థ ఏరోబాటిక్ విమానాలను దాదాపుగా ప్రత్యేక"&amp;"ంగా తయారు చేస్తుంది, వారి తాజా ఉత్పత్తులు అదనపు EA-300 సిరీస్. కార్బన్ ఫైబర్ నిర్మాణం, కాంటిలివెర్డ్ హై వింగ్ మరియు వాటర్-కూల్డ్ టెలిడిన్ కాంటినెంటల్ సియోల్ 550 సి ఇంజిన్‌తో సహా అనేక ప్రత్యేకమైన లక్షణాలతో క్రాస్ కంట్రీ ప్రెజరైజ్డ్ విమానం EA-400 ప్రవేశపెట్"&amp;"టడంతో ఇది మారిపోయింది. ఈ అన్యదేశ ఇంజిన్ ఏకకాలంలో గొప్ప ఆస్తి మరియు అదనపు 400 కు సవాలు: ఇది అవరోహణల సమయంలో షాక్ శీతలీకరణకు రోగనిరోధక శక్తిని కలిగి ఉంటుంది, కానీ సమస్యాత్మకమైనది మరియు ఖరీదైనది, ముఖ్యంగా వేడి వాతావరణంలో. [సైటేషన్ అవసరం] ఎయిర్ఫ్రేమ్ ఇంజనీరింగ"&amp;"్ సహాయంతో రూపొందించబడింది. ప్రొఫెసర్ ఎగ్బర్ట్ టోరెన్‌బీక్ నుండి నాయకత్వంలో హాలండ్‌లోని టెక్నికల్ యూనివర్శిటీ డెల్ఫ్ట్ మరియు ఎయిర్‌ఫాయిల్ డిజైన్ కోసం మిస్టర్ లోక్ బోయర్మన్స్ రచనలతో. విమానం యొక్క ఫౌలర్ ఫ్లాప్‌లు పూర్తిగా తగ్గించబడిన యంత్రాంగాన్ని కలిగి ఉంటా"&amp;"యి మరియు గరిష్ట టేకాఫ్ బరువు వద్ద ల్యాండింగ్ కాన్ఫిగరేషన్‌లో స్టాల్ వేగాన్ని 76 నుండి 58 నాట్ల వరకు గణనీయంగా తగ్గించాయి. ల్యాండింగ్ గేర్‌ను జర్మనీలో గోమోల్జిగ్ రూపొందించారు మరియు తయారు చేశారు. ఇది దాని జ్యామితిలో అసాధారణమైనది, చాలా బలంగా నిర్మించబడింది మర"&amp;"ియు ఉపసంహరించుకున్న తర్వాత పెద్ద కార్బన్ ఫైబర్ తలుపుల వెనుక పూర్తిగా మూసివేయబడుతుంది. దీని సంక్లిష్టతకు పరిజ్ఞానం గల నిర్వహణ సిబ్బంది అవసరం మరియు విమానం యొక్క అధిక నిర్వహణ ఖర్చులకు కూడా దోహదం చేస్తుంది. ఐచ్ఛిక వాతావరణ రాడార్ పాడ్‌ను సజావుగా ఎడమ వింగ్ చిట్"&amp;"కాలో మిళితం చేస్తారు. అన్ని అదనపు 400 విమానాలు విమానంతో తెలిసిన ఐసింగ్ సవరణలోకి తిరిగి వచ్చాయి. డీసింగ్ పరికరాలలో టెఫ్లాన్ బూట్లు, వేడిచేసిన ఆసరా, వేడిచేసిన పైలట్ సైడ్ విండ్‌స్క్రీన్, ద్వంద్వ వేడిచేసిన పిటోట్ గొట్టాలు మరియు స్టాటిక్ పోర్టులు మరియు ఆటోపైలట"&amp;"్‌కు అనుసంధానించబడిన వేడిచేసిన స్టాల్ సెన్సార్ ఉంటాయి. డీసింగ్ పరికరాలు ఒక జత పెద్ద ఆల్టర్నేటర్లు (100 మరియు 85 ఆంప్స్) చేత శక్తిని పొందుతాయి, ఇవి తోకలో ఉన్న ఎసి కంప్రెషర్‌కు కూడా ఆహారం ఇస్తాయి. కాక్‌పిట్ అసాధారణంగా వెడల్పుగా మరియు మంచి ఫార్వర్డ్ మరియు పా"&amp;"ర్శ్వ దృశ్యమానతతో సౌకర్యవంతంగా ఉంటుంది. ఏవియానిక్స్ సంప్రదాయంగా ఉన్నాయి, ప్రతి ఇద్దరు సిబ్బందికి పూర్తి పరికరాలు మరియు సెంట్రల్ స్టాక్. ఆధునిక GPS నావిగేటర్లు మరియు ""గ్లాస్ కాక్‌పిట్"" డిస్ప్లేలకు నవీకరణల కోసం STC లు అందుబాటులో ఉన్నాయి, అయితే ఆటోపైలట్ ధృ"&amp;"వీకరించబడిన ఏకైక STEC 55X. ""B"" రకం బ్లేడ్‌లతో మెరుగైన ప్రొపెల్లర్ MT- ప్రొపెల్లర్ నుండి FAA ఫారం 337 ప్రధాన సవరణ కింద లభిస్తుంది. ఇది ఆరోహణ పనితీరు మరియు క్రూయిజ్ వేగాన్ని పెంచుతుంది. FL200 కి ఎక్కే సమయం 20 నిమిషాలు మరియు క్రూయిజ్ స్పీడ్ 75% శక్తి 200 న"&amp;"ాట్ల నుండి 16'000 అడుగుల నుండి గరిష్టంగా 220 నాట్ల వరకు FL 250 (MTOW వద్ద మరియు ISA పరిస్థితులలో). ప్రయాణీకుల క్యాబిన్ ఎయిర్ కండిషన్డ్ మరియు క్లబ్ అమరికలో నాలుగు సీట్లను మడత పట్టికతో అందిస్తుంది. ఇది ఈ విమాన వర్గంలో ఒకటి ఆశించిన దానికంటే చాలా గది మరియు ఎక"&amp;"్లిప్స్ 550 వంటి చిన్న జెట్‌ల పరిమాణంలో సమానంగా ఉంటుంది. సింగిల్-స్కిన్ ప్రెజరైజ్డ్ నౌక చాలా కఠినమైనది క్యాబిన్. అదనపు 400 తయారీకి చాలా ఖరీదైనది, 16'000 గంటల శ్రమ అవసరం, మరియు ధర $ 1 మిలియన్ల ధరను కలిగి ఉంది. విమానం యొక్క లక్షణాలు ఉన్నప్పటికీ, సంస్థ ఆర్థి"&amp;"క ఇబ్బందుల్లో పడకముందే 27 మాత్రమే నిర్మించబడ్డాయి. అదనపు EA-400 ప్రామాణిక స్పెసిఫికేషన్, పైలట్ల ఇన్ఫర్మేషన్ మాన్యువల్ [6] [7] సాధారణ లక్షణాలు పనితీరు సంబంధిత అభివృద్ధి")</f>
        <v>అదనపు EA-400 ఆరు-సీట్ల, సింగిల్-ఇంజిన్, హై-వింగ్ మోనోప్లేన్, అదనపు ఫ్లూగ్జీగ్బావ్ GMBH. EA-400 లిక్విడ్-కూల్డ్ కాంటినెంటల్ వాయేజర్ టర్బోచార్జ్డ్ పిస్టన్ ఇంజిన్ చేత శక్తినిస్తుంది. వాల్టర్ ఎక్స్‌ట్రా ప్రారంభించిన సంస్థ ఏరోబాటిక్ విమానాలను దాదాపుగా ప్రత్యేకంగా తయారు చేస్తుంది, వారి తాజా ఉత్పత్తులు అదనపు EA-300 సిరీస్. కార్బన్ ఫైబర్ నిర్మాణం, కాంటిలివెర్డ్ హై వింగ్ మరియు వాటర్-కూల్డ్ టెలిడిన్ కాంటినెంటల్ సియోల్ 550 సి ఇంజిన్‌తో సహా అనేక ప్రత్యేకమైన లక్షణాలతో క్రాస్ కంట్రీ ప్రెజరైజ్డ్ విమానం EA-400 ప్రవేశపెట్టడంతో ఇది మారిపోయింది. ఈ అన్యదేశ ఇంజిన్ ఏకకాలంలో గొప్ప ఆస్తి మరియు అదనపు 400 కు సవాలు: ఇది అవరోహణల సమయంలో షాక్ శీతలీకరణకు రోగనిరోధక శక్తిని కలిగి ఉంటుంది, కానీ సమస్యాత్మకమైనది మరియు ఖరీదైనది, ముఖ్యంగా వేడి వాతావరణంలో. [సైటేషన్ అవసరం] ఎయిర్ఫ్రేమ్ ఇంజనీరింగ్ సహాయంతో రూపొందించబడింది. ప్రొఫెసర్ ఎగ్బర్ట్ టోరెన్‌బీక్ నుండి నాయకత్వంలో హాలండ్‌లోని టెక్నికల్ యూనివర్శిటీ డెల్ఫ్ట్ మరియు ఎయిర్‌ఫాయిల్ డిజైన్ కోసం మిస్టర్ లోక్ బోయర్మన్స్ రచనలతో. విమానం యొక్క ఫౌలర్ ఫ్లాప్‌లు పూర్తిగా తగ్గించబడిన యంత్రాంగాన్ని కలిగి ఉంటాయి మరియు గరిష్ట టేకాఫ్ బరువు వద్ద ల్యాండింగ్ కాన్ఫిగరేషన్‌లో స్టాల్ వేగాన్ని 76 నుండి 58 నాట్ల వరకు గణనీయంగా తగ్గించాయి. ల్యాండింగ్ గేర్‌ను జర్మనీలో గోమోల్జిగ్ రూపొందించారు మరియు తయారు చేశారు. ఇది దాని జ్యామితిలో అసాధారణమైనది, చాలా బలంగా నిర్మించబడింది మరియు ఉపసంహరించుకున్న తర్వాత పెద్ద కార్బన్ ఫైబర్ తలుపుల వెనుక పూర్తిగా మూసివేయబడుతుంది. దీని సంక్లిష్టతకు పరిజ్ఞానం గల నిర్వహణ సిబ్బంది అవసరం మరియు విమానం యొక్క అధిక నిర్వహణ ఖర్చులకు కూడా దోహదం చేస్తుంది. ఐచ్ఛిక వాతావరణ రాడార్ పాడ్‌ను సజావుగా ఎడమ వింగ్ చిట్కాలో మిళితం చేస్తారు. అన్ని అదనపు 400 విమానాలు విమానంతో తెలిసిన ఐసింగ్ సవరణలోకి తిరిగి వచ్చాయి. డీసింగ్ పరికరాలలో టెఫ్లాన్ బూట్లు, వేడిచేసిన ఆసరా, వేడిచేసిన పైలట్ సైడ్ విండ్‌స్క్రీన్, ద్వంద్వ వేడిచేసిన పిటోట్ గొట్టాలు మరియు స్టాటిక్ పోర్టులు మరియు ఆటోపైలట్‌కు అనుసంధానించబడిన వేడిచేసిన స్టాల్ సెన్సార్ ఉంటాయి. డీసింగ్ పరికరాలు ఒక జత పెద్ద ఆల్టర్నేటర్లు (100 మరియు 85 ఆంప్స్) చేత శక్తిని పొందుతాయి, ఇవి తోకలో ఉన్న ఎసి కంప్రెషర్‌కు కూడా ఆహారం ఇస్తాయి. కాక్‌పిట్ అసాధారణంగా వెడల్పుగా మరియు మంచి ఫార్వర్డ్ మరియు పార్శ్వ దృశ్యమానతతో సౌకర్యవంతంగా ఉంటుంది. ఏవియానిక్స్ సంప్రదాయంగా ఉన్నాయి, ప్రతి ఇద్దరు సిబ్బందికి పూర్తి పరికరాలు మరియు సెంట్రల్ స్టాక్. ఆధునిక GPS నావిగేటర్లు మరియు "గ్లాస్ కాక్‌పిట్" డిస్ప్లేలకు నవీకరణల కోసం STC లు అందుబాటులో ఉన్నాయి, అయితే ఆటోపైలట్ ధృవీకరించబడిన ఏకైక STEC 55X. "B" రకం బ్లేడ్‌లతో మెరుగైన ప్రొపెల్లర్ MT- ప్రొపెల్లర్ నుండి FAA ఫారం 337 ప్రధాన సవరణ కింద లభిస్తుంది. ఇది ఆరోహణ పనితీరు మరియు క్రూయిజ్ వేగాన్ని పెంచుతుంది. FL200 కి ఎక్కే సమయం 20 నిమిషాలు మరియు క్రూయిజ్ స్పీడ్ 75% శక్తి 200 నాట్ల నుండి 16'000 అడుగుల నుండి గరిష్టంగా 220 నాట్ల వరకు FL 250 (MTOW వద్ద మరియు ISA పరిస్థితులలో). ప్రయాణీకుల క్యాబిన్ ఎయిర్ కండిషన్డ్ మరియు క్లబ్ అమరికలో నాలుగు సీట్లను మడత పట్టికతో అందిస్తుంది. ఇది ఈ విమాన వర్గంలో ఒకటి ఆశించిన దానికంటే చాలా గది మరియు ఎక్లిప్స్ 550 వంటి చిన్న జెట్‌ల పరిమాణంలో సమానంగా ఉంటుంది. సింగిల్-స్కిన్ ప్రెజరైజ్డ్ నౌక చాలా కఠినమైనది క్యాబిన్. అదనపు 400 తయారీకి చాలా ఖరీదైనది, 16'000 గంటల శ్రమ అవసరం, మరియు ధర $ 1 మిలియన్ల ధరను కలిగి ఉంది. విమానం యొక్క లక్షణాలు ఉన్నప్పటికీ, సంస్థ ఆర్థిక ఇబ్బందుల్లో పడకముందే 27 మాత్రమే నిర్మించబడ్డాయి. అదనపు EA-400 ప్రామాణిక స్పెసిఫికేషన్, పైలట్ల ఇన్ఫర్మేషన్ మాన్యువల్ [6] [7] సాధారణ లక్షణాలు పనితీరు సంబంధిత అభివృద్ధి</v>
      </c>
      <c r="E38" s="1" t="s">
        <v>982</v>
      </c>
      <c r="F38" s="1" t="s">
        <v>983</v>
      </c>
      <c r="G38" s="1" t="str">
        <f>IFERROR(__xludf.DUMMYFUNCTION("GOOGLETRANSLATE(F:F, ""en"", ""te"")"),"ఆరు-సీట్ల యుటిలిటీ విమానం")</f>
        <v>ఆరు-సీట్ల యుటిలిటీ విమానం</v>
      </c>
      <c r="I38" s="1" t="s">
        <v>185</v>
      </c>
      <c r="J38" s="1" t="str">
        <f>IFERROR(__xludf.DUMMYFUNCTION("GOOGLETRANSLATE(I:I, ""en"", ""te"")"),"జర్మనీ")</f>
        <v>జర్మనీ</v>
      </c>
      <c r="K38" s="3" t="s">
        <v>186</v>
      </c>
      <c r="L38" s="1" t="s">
        <v>984</v>
      </c>
      <c r="M38" s="1" t="str">
        <f>IFERROR(__xludf.DUMMYFUNCTION("GOOGLETRANSLATE(L:L, ""en"", ""te"")"),"అదనపు ఫ్లూగ్జీగ్బావ్ Gmbh")</f>
        <v>అదనపు ఫ్లూగ్జీగ్బావ్ Gmbh</v>
      </c>
      <c r="N38" s="1" t="s">
        <v>985</v>
      </c>
      <c r="R38" s="4">
        <v>35178.0</v>
      </c>
      <c r="V38" s="1">
        <v>1.0</v>
      </c>
      <c r="W38" s="1" t="s">
        <v>986</v>
      </c>
      <c r="X38" s="1" t="s">
        <v>987</v>
      </c>
      <c r="Y38" s="1" t="s">
        <v>988</v>
      </c>
      <c r="AG38" s="1" t="s">
        <v>989</v>
      </c>
      <c r="AI38" s="1" t="s">
        <v>990</v>
      </c>
      <c r="AO38" s="1">
        <v>1998.0</v>
      </c>
      <c r="AV38" s="1" t="s">
        <v>991</v>
      </c>
      <c r="AX38" s="1" t="s">
        <v>992</v>
      </c>
      <c r="AY38" s="1" t="str">
        <f>IFERROR(__xludf.DUMMYFUNCTION("GOOGLETRANSLATE(AX:AX, ""en"", ""te"")"),"1 × కాంటినెంటల్ సియోల్ -550-సి వాయేజర్")</f>
        <v>1 × కాంటినెంటల్ సియోల్ -550-సి వాయేజర్</v>
      </c>
      <c r="BC38" s="1" t="s">
        <v>993</v>
      </c>
      <c r="BD38" s="1" t="s">
        <v>994</v>
      </c>
      <c r="BG38" s="2"/>
      <c r="BS38" s="1" t="s">
        <v>995</v>
      </c>
      <c r="BT38" s="1" t="s">
        <v>996</v>
      </c>
      <c r="BU38" s="1" t="s">
        <v>997</v>
      </c>
      <c r="BV38" s="1" t="str">
        <f>IFERROR(__xludf.DUMMYFUNCTION("GOOGLETRANSLATE(BU:BU, ""en"", ""te"")"),"ప్రైవేట్ సేవలో")</f>
        <v>ప్రైవేట్ సేవలో</v>
      </c>
      <c r="BX38" s="1"/>
      <c r="BY38" s="1" t="s">
        <v>998</v>
      </c>
    </row>
    <row r="39">
      <c r="A39" s="1" t="s">
        <v>999</v>
      </c>
      <c r="B39" s="1" t="str">
        <f>IFERROR(__xludf.DUMMYFUNCTION("GOOGLETRANSLATE(A:A, ""en"", ""te"")"),"ఫైరీ p.4/34")</f>
        <v>ఫైరీ p.4/34</v>
      </c>
      <c r="C39" s="1" t="s">
        <v>1000</v>
      </c>
      <c r="D39" s="1" t="str">
        <f>IFERROR(__xludf.DUMMYFUNCTION("GOOGLETRANSLATE(C:C, ""en"", ""te"")"),"రాయల్ వైమానిక దళంతో పనిచేయడానికి లైట్ బాంబర్ కోసం ఒక ఆర్డర్ కోసం ఫైరీ p.4/34 పోటీదారు. ఆ రూపంలో ఉత్పత్తి చేయనప్పటికీ, ఇది ఫ్లీట్ ఎయిర్ ఆర్మ్ కోసం ఫుల్మార్ దీర్ఘ-శ్రేణి క్యారియర్-ఆధారిత ఫైటర్‌కు ఆధారం. 1934 లో, వైమానిక మంత్రిత్వ శాఖ స్పెసిఫికేషన్ p.4/34 ను"&amp;" విడుదల చేసింది, ఇది తేలికపాటి బాంబర్ కోసం పిలుపునిచ్చింది, ఇది దగ్గరి మద్దతు పాత్రలో కూడా ఉపయోగించబడుతుంది. ఫైరీ, గ్లోస్టర్ మరియు హాకర్ ప్రతిపాదనలు; హాకర్ మరియు ఫైరీ డిజైన్ల ఉదాహరణల నిర్మాణానికి ఒప్పందాలు జారీ చేయబడ్డాయి. P.4/34 తక్కువ-వింగ్ ఆల్-మెటల్ మో"&amp;"నోప్లేన్, ఇది రోల్స్ రాయిస్ మెర్లిన్ ఇంజిన్ చేత శక్తినిస్తుంది, ఇద్దరు సిబ్బంది సుదీర్ఘ-మెరుస్తున్న పందిరి కింద కలిసి ఉన్నారు. దీని లేఅవుట్ మునుపటి ఫైరీ బాటిల్ బాంబర్ మాదిరిగానే ఉంది, కానీ p.4/34 చిన్నది మరియు విస్తృత ట్రాక్ కలిగి ఉంది, లోపలికి-తిరిగి వచ్"&amp;"చే అండర్ క్యారేజ్. ఈ విమానం డైవ్ బాంబు దాడుల కోసం నొక్కి చెప్పబడింది, స్పెసిఫికేషన్ ప్రకారం మరియు దాని రెండు 250 ఎల్బి (110 కిలోల) బాంబుల లోడ్ను అండర్వింగ్ చేసింది (పోటీ హాకర్ విమానం అంతర్గత బాంబు బే కలిగి ఉంది). 13 జనవరి 1937 న మొదటి (సీరియల్ K5099) ఎగుర"&amp;"ుతున్న రెండు ఫైరీ P.4/34 లు ఆదేశించబడ్డాయి. [1] ప్రోటోటైప్ హాకర్ హెన్లీ 10 మార్చి 1937 న జరిగింది. హాకర్ ఉన్నతమైనదిగా భావించారు, కాని తేలికపాటి బాంబర్ కోసం డిమాండ్ మారిపోయింది మరియు ఇది టార్గెట్ టగ్‌గా సేవలోకి ప్రవేశించింది. రాయల్ డానిష్ నావికాదళం కోపెన్‌"&amp;"హాగన్‌లోని డానిష్ నావల్ షిప్‌యార్డ్ (ఓర్లాగ్స్‌వార్ఫ్టెట్) వద్ద ఏర్పాటు చేసిన p.4/34 మరియు ఉత్పత్తి శ్రేణిని నిర్మించడానికి లైసెన్స్ కొనుగోలు చేసింది. 1940 లో డెన్మార్క్‌పై జర్మన్ దండయాత్ర అయిన ఆపరేషన్ వెసెరాబంగ్ సమయానికి ఆదేశించిన పన్నెండు విమానాలలో ఏదీ "&amp;"పూర్తి కాలేదు. [2] P.4/34 రెండు-సీట్ల, సుదూర, క్యారియర్-ఆధారిత ఫైటర్ ఫ్లీట్ ఎయిర్ ఆర్మ్‌కు ప్రాతిపదికగా ఉపయోగపడుతుంది. రెండవ ప్రోటోటైప్ P.4/34 (సీరియల్ K7555) ఇతర విషయాలతోపాటు, తగ్గిన-స్పాన్ వింగ్ మరియు ఫుల్మార్ కోసం ఏరోడైనమిక్ ప్రోటోటైప్‌గా టెయిల్‌ప్లేన్"&amp;"‌ను తగ్గించింది. ఇది తరువాత ఉపసంహరించదగిన ఫైరీ-యంగ్మాన్ ఫ్లాప్‌లను పరీక్షించడానికి ఉపయోగించబడింది, ఫైరీ ఫైర్‌ఫ్లై ఫైటర్‌లో ఉపయోగించబడుతుంది. [3] ఇంతలో, 1938 నాటికి, మొదటి ప్రోటోటైప్ పి 4 రే ఫర్న్‌బరోకు బదిలీ చేయబడింది, ఇక్కడ ఇది బ్యారేజ్ బెలూన్ల ప్రభావాలన"&amp;"ు పరీక్షించడానికి ఉపయోగించబడింది - ఉద్దేశపూర్వకంగా వెయిటెడ్ కేబుల్‌లోకి ఎగురుతూ (అసలు టెథర్ కేబుల్ కాదు). ప్రారంభంలో RAF లాకెన్‌హీత్ మీదుగా పరీక్షలు జరిగాయి, సెప్టెంబర్ 1939 లో RAF పావ్లెట్ హామ్స్‌కు బదిలీ చేయబడ్డాయి. ఫలితాలను చిత్రీకరించడానికి RAF మిల్డె"&amp;"న్‌హాల్‌కు చెందిన యుద్ధం ‘చేజ్ విమానం’ అందించబడింది. తరువాత పి 4 మరొక యుద్ధం ద్వారా చేరింది: అయినప్పటికీ రెండూ ఎయిర్‌ఫ్రేమ్‌కు తీవ్రమైన నష్టాన్ని తట్టుకునేలా బలోపేతం చేసినప్పటికీ. చాలా విమానాలను జానీ కెంట్ (ఎంచుకున్న అసలు పైలట్, ఎ. ఇ. క్లౌస్టన్, లండన్ - న"&amp;"్యూజిలాండ్ స్పీడ్ రికార్డ్ కోసం సెలవు తీసుకున్నారు) - 300 కి పైగా ఘర్షణలను సేకరించి అతని ప్రయత్నాలకు వైమానిక దళం క్రాస్ ఇచ్చారు. పి 4 కెంట్ ""స్పిన్ మినహా అన్ని విన్యాసాల ద్వారా సంతోషకరమైన విమానం నిజంగా దుర్మార్గంగా ఉంది ..."" [4] [5] 1914 నుండి బ్రిటిష్ "&amp;"బాంబర్ నుండి వచ్చిన డేటా, [1] 1915 నుండి ఫైరీ విమానం [6] సాధారణ లక్షణాలు పోల్చదగిన పాత్ర, కాన్ఫిగరేషన్ మరియు యుగం యొక్క పనితీరు ఆయుధ సంబంధిత అభివృద్ధి విమానం")</f>
        <v>రాయల్ వైమానిక దళంతో పనిచేయడానికి లైట్ బాంబర్ కోసం ఒక ఆర్డర్ కోసం ఫైరీ p.4/34 పోటీదారు. ఆ రూపంలో ఉత్పత్తి చేయనప్పటికీ, ఇది ఫ్లీట్ ఎయిర్ ఆర్మ్ కోసం ఫుల్మార్ దీర్ఘ-శ్రేణి క్యారియర్-ఆధారిత ఫైటర్‌కు ఆధారం. 1934 లో, వైమానిక మంత్రిత్వ శాఖ స్పెసిఫికేషన్ p.4/34 ను విడుదల చేసింది, ఇది తేలికపాటి బాంబర్ కోసం పిలుపునిచ్చింది, ఇది దగ్గరి మద్దతు పాత్రలో కూడా ఉపయోగించబడుతుంది. ఫైరీ, గ్లోస్టర్ మరియు హాకర్ ప్రతిపాదనలు; హాకర్ మరియు ఫైరీ డిజైన్ల ఉదాహరణల నిర్మాణానికి ఒప్పందాలు జారీ చేయబడ్డాయి. P.4/34 తక్కువ-వింగ్ ఆల్-మెటల్ మోనోప్లేన్, ఇది రోల్స్ రాయిస్ మెర్లిన్ ఇంజిన్ చేత శక్తినిస్తుంది, ఇద్దరు సిబ్బంది సుదీర్ఘ-మెరుస్తున్న పందిరి కింద కలిసి ఉన్నారు. దీని లేఅవుట్ మునుపటి ఫైరీ బాటిల్ బాంబర్ మాదిరిగానే ఉంది, కానీ p.4/34 చిన్నది మరియు విస్తృత ట్రాక్ కలిగి ఉంది, లోపలికి-తిరిగి వచ్చే అండర్ క్యారేజ్. ఈ విమానం డైవ్ బాంబు దాడుల కోసం నొక్కి చెప్పబడింది, స్పెసిఫికేషన్ ప్రకారం మరియు దాని రెండు 250 ఎల్బి (110 కిలోల) బాంబుల లోడ్ను అండర్వింగ్ చేసింది (పోటీ హాకర్ విమానం అంతర్గత బాంబు బే కలిగి ఉంది). 13 జనవరి 1937 న మొదటి (సీరియల్ K5099) ఎగురుతున్న రెండు ఫైరీ P.4/34 లు ఆదేశించబడ్డాయి. [1] ప్రోటోటైప్ హాకర్ హెన్లీ 10 మార్చి 1937 న జరిగింది. హాకర్ ఉన్నతమైనదిగా భావించారు, కాని తేలికపాటి బాంబర్ కోసం డిమాండ్ మారిపోయింది మరియు ఇది టార్గెట్ టగ్‌గా సేవలోకి ప్రవేశించింది. రాయల్ డానిష్ నావికాదళం కోపెన్‌హాగన్‌లోని డానిష్ నావల్ షిప్‌యార్డ్ (ఓర్లాగ్స్‌వార్ఫ్టెట్) వద్ద ఏర్పాటు చేసిన p.4/34 మరియు ఉత్పత్తి శ్రేణిని నిర్మించడానికి లైసెన్స్ కొనుగోలు చేసింది. 1940 లో డెన్మార్క్‌పై జర్మన్ దండయాత్ర అయిన ఆపరేషన్ వెసెరాబంగ్ సమయానికి ఆదేశించిన పన్నెండు విమానాలలో ఏదీ పూర్తి కాలేదు. [2] P.4/34 రెండు-సీట్ల, సుదూర, క్యారియర్-ఆధారిత ఫైటర్ ఫ్లీట్ ఎయిర్ ఆర్మ్‌కు ప్రాతిపదికగా ఉపయోగపడుతుంది. రెండవ ప్రోటోటైప్ P.4/34 (సీరియల్ K7555) ఇతర విషయాలతోపాటు, తగ్గిన-స్పాన్ వింగ్ మరియు ఫుల్మార్ కోసం ఏరోడైనమిక్ ప్రోటోటైప్‌గా టెయిల్‌ప్లేన్‌ను తగ్గించింది. ఇది తరువాత ఉపసంహరించదగిన ఫైరీ-యంగ్మాన్ ఫ్లాప్‌లను పరీక్షించడానికి ఉపయోగించబడింది, ఫైరీ ఫైర్‌ఫ్లై ఫైటర్‌లో ఉపయోగించబడుతుంది. [3] ఇంతలో, 1938 నాటికి, మొదటి ప్రోటోటైప్ పి 4 రే ఫర్న్‌బరోకు బదిలీ చేయబడింది, ఇక్కడ ఇది బ్యారేజ్ బెలూన్ల ప్రభావాలను పరీక్షించడానికి ఉపయోగించబడింది - ఉద్దేశపూర్వకంగా వెయిటెడ్ కేబుల్‌లోకి ఎగురుతూ (అసలు టెథర్ కేబుల్ కాదు). ప్రారంభంలో RAF లాకెన్‌హీత్ మీదుగా పరీక్షలు జరిగాయి, సెప్టెంబర్ 1939 లో RAF పావ్లెట్ హామ్స్‌కు బదిలీ చేయబడ్డాయి. ఫలితాలను చిత్రీకరించడానికి RAF మిల్డెన్‌హాల్‌కు చెందిన యుద్ధం ‘చేజ్ విమానం’ అందించబడింది. తరువాత పి 4 మరొక యుద్ధం ద్వారా చేరింది: అయినప్పటికీ రెండూ ఎయిర్‌ఫ్రేమ్‌కు తీవ్రమైన నష్టాన్ని తట్టుకునేలా బలోపేతం చేసినప్పటికీ. చాలా విమానాలను జానీ కెంట్ (ఎంచుకున్న అసలు పైలట్, ఎ. ఇ. క్లౌస్టన్, లండన్ - న్యూజిలాండ్ స్పీడ్ రికార్డ్ కోసం సెలవు తీసుకున్నారు) - 300 కి పైగా ఘర్షణలను సేకరించి అతని ప్రయత్నాలకు వైమానిక దళం క్రాస్ ఇచ్చారు. పి 4 కెంట్ "స్పిన్ మినహా అన్ని విన్యాసాల ద్వారా సంతోషకరమైన విమానం నిజంగా దుర్మార్గంగా ఉంది ..." [4] [5] 1914 నుండి బ్రిటిష్ బాంబర్ నుండి వచ్చిన డేటా, [1] 1915 నుండి ఫైరీ విమానం [6] సాధారణ లక్షణాలు పోల్చదగిన పాత్ర, కాన్ఫిగరేషన్ మరియు యుగం యొక్క పనితీరు ఆయుధ సంబంధిత అభివృద్ధి విమానం</v>
      </c>
      <c r="F39" s="1" t="s">
        <v>1001</v>
      </c>
      <c r="G39" s="1" t="str">
        <f>IFERROR(__xludf.DUMMYFUNCTION("GOOGLETRANSLATE(F:F, ""en"", ""te"")"),"లైట్ బాంబర్")</f>
        <v>లైట్ బాంబర్</v>
      </c>
      <c r="I39" s="1" t="s">
        <v>964</v>
      </c>
      <c r="J39" s="1" t="str">
        <f>IFERROR(__xludf.DUMMYFUNCTION("GOOGLETRANSLATE(I:I, ""en"", ""te"")"),"యునైటెడ్ కింగ్‌డమ్")</f>
        <v>యునైటెడ్ కింగ్‌డమ్</v>
      </c>
      <c r="L39" s="1" t="s">
        <v>1002</v>
      </c>
      <c r="M39" s="1" t="str">
        <f>IFERROR(__xludf.DUMMYFUNCTION("GOOGLETRANSLATE(L:L, ""en"", ""te"")"),"ఫైరీ ఏవియేషన్")</f>
        <v>ఫైరీ ఏవియేషన్</v>
      </c>
      <c r="N39" s="1" t="s">
        <v>1003</v>
      </c>
      <c r="O39" s="1" t="s">
        <v>1004</v>
      </c>
      <c r="P39" s="1" t="str">
        <f>IFERROR(__xludf.DUMMYFUNCTION("GOOGLETRANSLATE(O:O, ""en"", ""te"")"),"మార్సెల్ లోబెల్లె")</f>
        <v>మార్సెల్ లోబెల్లె</v>
      </c>
      <c r="Q39" s="1" t="s">
        <v>1005</v>
      </c>
      <c r="R39" s="4">
        <v>13528.0</v>
      </c>
      <c r="S39" s="1">
        <v>2.0</v>
      </c>
      <c r="BG39" s="2"/>
      <c r="CR39" s="1" t="s">
        <v>1006</v>
      </c>
      <c r="CS39" s="1" t="s">
        <v>1007</v>
      </c>
    </row>
    <row r="40">
      <c r="A40" s="1" t="s">
        <v>1008</v>
      </c>
      <c r="B40" s="1" t="str">
        <f>IFERROR(__xludf.DUMMYFUNCTION("GOOGLETRANSLATE(A:A, ""en"", ""te"")"),"ఫెయిరీ స్పియర్ ఫిష్")</f>
        <v>ఫెయిరీ స్పియర్ ఫిష్</v>
      </c>
      <c r="C40" s="1" t="s">
        <v>1009</v>
      </c>
      <c r="D40" s="1" t="str">
        <f>IFERROR(__xludf.DUMMYFUNCTION("GOOGLETRANSLATE(C:C, ""en"", ""te"")"),"ఫెయిరీ స్పియర్ ఫిష్ ఒక బ్రిటిష్ క్యారియర్ ఆధారిత, సింగిల్-ఇంజిన్, టార్పెడో బాంబర్/డైవ్ బాంబర్, ఇది రెండవ ప్రపంచ యుద్ధంలో ఫ్లీట్ ఎయిర్ ఆర్మ్ కోసం ఫెయిరీ ఏవియేషన్ నుండి ఆదేశించబడింది. యుద్ధ సమయంలో రూపొందించబడిన, ప్రోటోటైప్ జూలై 1945 వరకు ఎగరలేదు. మునుపటి నా"&amp;"వికా బాంబర్ల కంటే చాలా పెద్దది, ఇది యుద్ధం తరువాత రద్దు చేయబడిన పెద్ద మాల్టా-క్లాస్ విమాన వాహక నౌకలలో ఉపయోగం కోసం రూపొందించబడింది మరియు ఆ తర్వాత కూడా రద్దు చేయబడింది. ఏడు ప్రోటోటైప్‌లను ఆదేశించారు, కాని ఐదు మాత్రమే నిర్మించబడ్డాయి, వాటిలో నలుగురు వాస్తవాన"&amp;"ికి ఎగిరిపోయారు. 1952 లో చివరి విమానం రద్దు చేయబడినంత వరకు అవి ఎక్కువగా ప్రయోగాత్మక పని కోసం ఉపయోగించబడ్డాయి. టార్పెడో/డైవ్ బాంబర్ పాత్రలో ఫెయిరీ బార్రాకుడాకు ప్రత్యామ్నాయంగా స్పియర్ ఫిష్ ను అడ్మిరల్టీ స్పెసిఫికేషన్ O.5/43 కు ఫెయిరీ ఏవియేషన్ రూపొందించింది"&amp;". [1] బార్రాకుడాతో పోల్చితే, స్పియర్ ఫిష్ చాలా శక్తివంతమైన ఇంజిన్, అంతర్గత ఆయుధాల బే మరియు ముడుచుకునే ASV MK.XV ఉపరితల-సెర్చ్ రాడార్ బాంబు బే వెనుక అమర్చారు. [2] స్పియర్ ఫిష్ బార్రాకుడా వలె మళ్లీ సగం పెద్దది, ఎందుకంటే ఇది 45,000 పొడవైన-టన్నుల (46,000 టి) "&amp;"మాల్టా-క్లాస్ విమానాల క్యారియర్‌ల నుండి నిర్వహించడానికి రూపొందించబడింది. అప్పుడు అభివృద్ధిలో ఉంది. [3] ఆగష్టు 1943 లో, స్పెసిఫికేషన్ O.5/43 కు వ్యతిరేకంగా నిర్మించాలన్న మూడు ప్రోటోటైప్‌లను కంపెనీ ఒక ఆర్డర్‌ను అందుకుంది మరియు మొదటి నమూనా, సీరియల్ నంబర్ RA3"&amp;"56, ఫెయిరీ యొక్క హేస్ ఫ్యాక్టరీలో నిర్మించబడింది మరియు మొదటి జూలై 1945 న హెస్టన్ ఏరోడ్రోమ్ నుండి ప్రయాణించారు; మిగిలిన రెండు 1947 వరకు ఎగరలేదు. నవంబర్ 1943 లో, డ్యూయల్ కంట్రోల్ డైవ్-బాంబింగ్ ట్రైనర్ వేరియంట్‌ను స్పెసిఫికేషన్ T.21/43 కు వ్యతిరేకంగా నిర్మిం"&amp;"చాలని కంపెనీ ఆదేశించబడింది మరియు ఇది హీటన్ చాపెల్ ఫ్యాక్టరీ వద్ద నిర్మించబడింది మరియు సమావేశమై రింగ్‌వే వద్ద ఎగిరింది 20 జూన్ 1946. మరో మూడు అభివృద్ధి విమానాలను మే 1944 లో హీటన్ చాపెల్‌లో నిర్మించాలని ఆదేశించారు, చివరి రెండు రోల్స్ రాయిస్ పెన్నైన్ ఇంజిన్‌"&amp;"తో అమర్చబడి ఉంటాయి; మొదటి శతాబ్దం-ఇంజిన్ విమానం మాత్రమే నిర్మించబడింది, కానీ ఎప్పుడూ ఎగరలేదు. [4] 150 విమానాల ఉత్పత్తి ఆర్డర్‌లను హీటన్ చాపెల్‌లో నిర్మించారు; మొదటి పది విమానాలు 2,600-హార్స్‌పవర్ (1,900 కిలోవాట్) బ్రిస్టల్ సెంటారస్ రేడియల్ ఇంజిన్, తరువాతి"&amp;" 22 న సెంటారస్ 59 ఇంజన్లు మరియు మిగిలిన సెంటారస్ 60 లను ఉపయోగించాలని ఉద్దేశించారు. [5] అదనంగా, ఫ్లాప్‌లను విస్తరించాలి మరియు చిన్న ""ఫీలర్"" ఐలెరాన్‌లతో స్పాయిలర్లు పార్శ్వ నియంత్రణను అందించాలి. [6] మాల్టా-క్లాస్ క్యారియర్‌లను రద్దు చేయడంతో, ఫ్లీట్ ఎయిర్ "&amp;"ఆర్మ్‌కు కొత్త టార్పెడో బాంబర్లకు అవసరం లేదు మరియు ప్రోగ్రామ్ రద్దు చేయబడింది. [3] కాంట్రాక్టు రద్దు చేసిన తరువాత హేస్ వద్ద నిర్మించిన మరో రెండు ప్రోటోటైప్‌లపై పని కొనసాగింది, చాలా నెమ్మదిగా ఉన్నప్పటికీ. [7] టెస్ట్ పైలట్ మరియు నావల్ ఏవియేటర్ కెప్టెన్ ఎరిక"&amp;"్ బ్రౌన్ మొదటి నమూనాను అంచనా వేశారు మరియు ""క్రూజింగ్ ఫ్లైట్లో నియంత్రణలు చాలా భారీగా ఉన్నాయి మరియు వాస్తవానికి, పార్శ్వ నియంత్రణ చాలా దృ solid ంగా ఉంది, నేను 130 నాట్ల వద్ద ఒక చేత్తో ఐలెరాన్‌లను కదిలించలేను (240 కిమీ/ h; 150 mph). తరువాతి ప్రోటోటైప్‌లు ఒ"&amp;"క వసంత నుండి కర్రకు హైడ్రాలిక్ శక్తి మరియు కృత్రిమ అనుభూతి ద్వారా పెంచబడిన ఐలెరాన్‌లను కలిగి ఉన్నాయి, కానీ బ్రౌన్ కనుగొన్నాడు, కాని బ్రౌన్ కనుగొన్నాడు ""రెండవ నమూనా తటస్థంగా ఇరువైపులా వేటాడటం మరియు అక్కడ ఉన్నందున రెండవ నమూనా ఎగరడానికి ఆహ్లాదకరమైన విమానం చ"&amp;"ాలా తక్కువ మరియు ఉంది వేగంతో పెరుగుదలతో స్టిక్ ఫోర్స్‌ను నిర్మించలేదు. ""[7] స్పియర్ ఫిష్‌కు ఎలాంటి స్టాల్ హెచ్చరిక లేదు, ఇది కార్యాచరణ ఉపయోగంలో సమస్యగా ఉండేది, ఎందుకంటే స్టాల్ మరియు అప్రోచ్ స్పీడ్‌లు చాలా దగ్గరగా ఉన్నాయి. ల్యాండింగ్ కోసం, విమానం చాలా నిశ"&amp;"్శబ్దంగా నిరూపించబడింది. [9] మొదటి నమూనాను తరువాత సంస్థ యొక్క ఇన్-ఐసింగ్ సిస్టమ్స్ యొక్క ట్రయల్స్ కోసం ల్యూటన్ వద్ద నేపియర్ &amp; సన్ ఉపయోగించారు. ఇది 30 ఏప్రిల్ 1952 నుండి ప్రారంభమయ్యే గ్రౌండ్-ట్రైనింగ్ ప్రయోజనాల కోసం క్లుప్తంగా ఉపయోగించబడింది, ఇది కొంతకాలం "&amp;"తర్వాత స్క్రాప్ అయ్యే వరకు. రెండవ ప్రోటోటైప్‌ను సస్సెక్స్‌లోని ఆర్‌ఎన్‌ఎఎస్ ఫోర్డ్ వద్ద రాయల్ నేవీ క్యారియర్ ట్రయల్స్ యూనిట్ సెప్టెంబర్ 15 న స్క్రాప్ కోసం విక్రయించే వరకు ఉపయోగించబడింది. మూడవ నమూనా ASV MK.XV రాడార్ ట్రయల్స్ నిర్వహించింది, కాని 1 సెప్టెంబర"&amp;"్ 1949 న భారీ ల్యాండింగ్‌లో దెబ్బతింది మరియు 1950 ఆగస్టు 22 న స్క్రాప్ కోసం విక్రయించబడింది. నాల్గవ నమూనా ఎప్పుడూ ఎగరలేదు మరియు ఇది విడిభాగాల మూలంగా ఉపయోగించబడింది. ఏకైక హీటన్ చాపెల్-నిర్మించిన విమానం ప్రణాళికాబద్ధమైన ఉత్పత్తి కాన్ఫిగరేషన్‌కు దగ్గరగా ఉంది"&amp;" మరియు ఇది 24 జూలై 1951 న ఛార్జీని కొట్టే వరకు ఇంజిన్-కూలింగ్ మరియు పవర్-అసిస్టెడ్ ఫ్లయింగ్-కంట్రోల్ ట్రయల్స్ కోసం ఉపయోగించబడింది. [10] ఫాలో-అప్‌లో, రెండు-సీట్ల సమ్మె ఫైటర్ కోసం స్పెసిఫికేషన్ O.21/44 ను తీర్చడానికి, స్పియర్ ఫిష్ జంట-కపుల్డ్ రోల్స్ రాయిస్ "&amp;"మెర్లిన్ ఇంజిన్ మరియు కాంట్రా-రొటేటింగ్ ప్రొపెల్లర్లను ఉంచడానికి పున es రూపకల్పన చేయబడింది. అనేక ఇతర ఇంజిన్లు పరిగణించబడ్డాయి మరియు 1944 లో మూడు ఉదాహరణల కోసం ఉత్పత్తి ఉత్తర్వును ఉంచినప్పటికీ, ఈ కార్యక్రమం చివరికి నిలిపివేయబడింది, ఇది నెరవేరని కాగితపు ప్రా"&amp;"జెక్టుగా మిగిలిపోయింది. [11] స్పియర్ ఫిష్ ఒక కాంటిలివర్, మిడ్-వింగ్ మోనోప్లేన్, ఆల్-మెటల్, మోనోకోక్ ఫ్యూజ్‌లేజ్‌తో. సెంటర్ వింగ్ విభాగం ఫ్యూజ్‌లేజ్‌తో సమగ్రంగా నిర్మించబడింది మరియు క్యారియర్ కార్యకలాపాల కోసం బాహ్య వింగ్ ప్యానెల్లు హైడ్రాలిక్‌గా ముడుచుకోవచ"&amp;"్చు. రెక్క యొక్క ప్రత్యేక లక్షణం పెద్ద ఫైరీ-యంగ్మాన్ ఫ్లాప్స్, ఇది రెక్క యొక్క వెనుకంజలో 73.5% విస్తరించింది. స్పియర్ ఫిష్ టెయిల్‌వీల్‌తో బాహ్యంగా తిరిగి వచ్చే సాంప్రదాయిక ల్యాండింగ్ గేర్‌ను కలిగి ఉంది. రెక్కలు 183-సామ్రాజ్య-గాలన్ (830 ఎల్; 220 యుఎస్ గాల్"&amp;") ఇంధన ట్యాంకులు, అంతేకాకుండా 43-ఇంపీరియల్-గాలన్ (200 ఎల్; 52 యుఎస్ గాల్) ట్యాంక్ మొత్తం స్టార్‌బోర్డ్ వింగ్ యొక్క ప్రముఖ అంచున ఉన్నాయి 409 ఇంపీరియల్ గ్యాలన్లు (1,860 ఎల్; 491 యుఎస్ గాల్) ఇంధనం. ఇద్దరు వ్యక్తుల టెన్డం కాక్‌పిట్‌లో హైడ్రాలిక్ ఆపరేటెడ్ పంది"&amp;"రిని కలిగి ఉంది. [12] పెద్ద అంతర్గత ఆయుధాల బే ప్రత్యామ్నాయంగా నాలుగు 500-పౌండ్ల (230 కిలోల) బాంబులు, నాలుగు లోతు ఛార్జీలు, టార్పెడో లేదా 180-సామ్రాజ్య-గాలన్ (820 ఎల్; 220 యుఎస్ గాల్) సహాయక ఇంధన ట్యాంక్‌ను తీసుకెళ్లగలదు. స్పియర్ ఫిష్ నాలుగు 0.5-అంగుళాల (12"&amp;".7 మిమీ) ఎం 2 బ్రౌనింగ్ మెషిన్ గన్స్, రెండు రిమోట్-కంట్రోల్డ్ ఫ్రేజర్-నాష్ ఎఫ్ఎన్ 95 బార్బెట్‌లో కాక్‌పిట్ వెనుక మరియు రెక్కలలో రెండు మోయడానికి ఉద్దేశించబడింది. బాహ్య ప్రమాదకర ఆయుధాలు 16 RP-3 రాకెట్లు, వీటిని బయటి వింగ్ ప్యానెళ్ల క్రింద తీసుకెళ్లవచ్చు. [2"&amp;"] 1915 నుండి ఫెయిరీ విమానం నుండి వచ్చిన డేటా [13] &amp; ది స్పియర్ ఫిష్ ... తప్పుగా భావించిన వెల్టర్‌వెయిట్ [14] సాధారణ లక్షణాలు పనితీరు ఆయుధాలు పోల్చదగిన పాత్ర, కాన్ఫిగరేషన్ మరియు యుగం సంబంధిత జాబితాల విమానం")</f>
        <v>ఫెయిరీ స్పియర్ ఫిష్ ఒక బ్రిటిష్ క్యారియర్ ఆధారిత, సింగిల్-ఇంజిన్, టార్పెడో బాంబర్/డైవ్ బాంబర్, ఇది రెండవ ప్రపంచ యుద్ధంలో ఫ్లీట్ ఎయిర్ ఆర్మ్ కోసం ఫెయిరీ ఏవియేషన్ నుండి ఆదేశించబడింది. యుద్ధ సమయంలో రూపొందించబడిన, ప్రోటోటైప్ జూలై 1945 వరకు ఎగరలేదు. మునుపటి నావికా బాంబర్ల కంటే చాలా పెద్దది, ఇది యుద్ధం తరువాత రద్దు చేయబడిన పెద్ద మాల్టా-క్లాస్ విమాన వాహక నౌకలలో ఉపయోగం కోసం రూపొందించబడింది మరియు ఆ తర్వాత కూడా రద్దు చేయబడింది. ఏడు ప్రోటోటైప్‌లను ఆదేశించారు, కాని ఐదు మాత్రమే నిర్మించబడ్డాయి, వాటిలో నలుగురు వాస్తవానికి ఎగిరిపోయారు. 1952 లో చివరి విమానం రద్దు చేయబడినంత వరకు అవి ఎక్కువగా ప్రయోగాత్మక పని కోసం ఉపయోగించబడ్డాయి. టార్పెడో/డైవ్ బాంబర్ పాత్రలో ఫెయిరీ బార్రాకుడాకు ప్రత్యామ్నాయంగా స్పియర్ ఫిష్ ను అడ్మిరల్టీ స్పెసిఫికేషన్ O.5/43 కు ఫెయిరీ ఏవియేషన్ రూపొందించింది. [1] బార్రాకుడాతో పోల్చితే, స్పియర్ ఫిష్ చాలా శక్తివంతమైన ఇంజిన్, అంతర్గత ఆయుధాల బే మరియు ముడుచుకునే ASV MK.XV ఉపరితల-సెర్చ్ రాడార్ బాంబు బే వెనుక అమర్చారు. [2] స్పియర్ ఫిష్ బార్రాకుడా వలె మళ్లీ సగం పెద్దది, ఎందుకంటే ఇది 45,000 పొడవైన-టన్నుల (46,000 టి) మాల్టా-క్లాస్ విమానాల క్యారియర్‌ల నుండి నిర్వహించడానికి రూపొందించబడింది. అప్పుడు అభివృద్ధిలో ఉంది. [3] ఆగష్టు 1943 లో, స్పెసిఫికేషన్ O.5/43 కు వ్యతిరేకంగా నిర్మించాలన్న మూడు ప్రోటోటైప్‌లను కంపెనీ ఒక ఆర్డర్‌ను అందుకుంది మరియు మొదటి నమూనా, సీరియల్ నంబర్ RA356, ఫెయిరీ యొక్క హేస్ ఫ్యాక్టరీలో నిర్మించబడింది మరియు మొదటి జూలై 1945 న హెస్టన్ ఏరోడ్రోమ్ నుండి ప్రయాణించారు; మిగిలిన రెండు 1947 వరకు ఎగరలేదు. నవంబర్ 1943 లో, డ్యూయల్ కంట్రోల్ డైవ్-బాంబింగ్ ట్రైనర్ వేరియంట్‌ను స్పెసిఫికేషన్ T.21/43 కు వ్యతిరేకంగా నిర్మించాలని కంపెనీ ఆదేశించబడింది మరియు ఇది హీటన్ చాపెల్ ఫ్యాక్టరీ వద్ద నిర్మించబడింది మరియు సమావేశమై రింగ్‌వే వద్ద ఎగిరింది 20 జూన్ 1946. మరో మూడు అభివృద్ధి విమానాలను మే 1944 లో హీటన్ చాపెల్‌లో నిర్మించాలని ఆదేశించారు, చివరి రెండు రోల్స్ రాయిస్ పెన్నైన్ ఇంజిన్‌తో అమర్చబడి ఉంటాయి; మొదటి శతాబ్దం-ఇంజిన్ విమానం మాత్రమే నిర్మించబడింది, కానీ ఎప్పుడూ ఎగరలేదు. [4] 150 విమానాల ఉత్పత్తి ఆర్డర్‌లను హీటన్ చాపెల్‌లో నిర్మించారు; మొదటి పది విమానాలు 2,600-హార్స్‌పవర్ (1,900 కిలోవాట్) బ్రిస్టల్ సెంటారస్ రేడియల్ ఇంజిన్, తరువాతి 22 న సెంటారస్ 59 ఇంజన్లు మరియు మిగిలిన సెంటారస్ 60 లను ఉపయోగించాలని ఉద్దేశించారు. [5] అదనంగా, ఫ్లాప్‌లను విస్తరించాలి మరియు చిన్న "ఫీలర్" ఐలెరాన్‌లతో స్పాయిలర్లు పార్శ్వ నియంత్రణను అందించాలి. [6] మాల్టా-క్లాస్ క్యారియర్‌లను రద్దు చేయడంతో, ఫ్లీట్ ఎయిర్ ఆర్మ్‌కు కొత్త టార్పెడో బాంబర్లకు అవసరం లేదు మరియు ప్రోగ్రామ్ రద్దు చేయబడింది. [3] కాంట్రాక్టు రద్దు చేసిన తరువాత హేస్ వద్ద నిర్మించిన మరో రెండు ప్రోటోటైప్‌లపై పని కొనసాగింది, చాలా నెమ్మదిగా ఉన్నప్పటికీ. [7] టెస్ట్ పైలట్ మరియు నావల్ ఏవియేటర్ కెప్టెన్ ఎరిక్ బ్రౌన్ మొదటి నమూనాను అంచనా వేశారు మరియు "క్రూజింగ్ ఫ్లైట్లో నియంత్రణలు చాలా భారీగా ఉన్నాయి మరియు వాస్తవానికి, పార్శ్వ నియంత్రణ చాలా దృ solid ంగా ఉంది, నేను 130 నాట్ల వద్ద ఒక చేత్తో ఐలెరాన్‌లను కదిలించలేను (240 కిమీ/ h; 150 mph). తరువాతి ప్రోటోటైప్‌లు ఒక వసంత నుండి కర్రకు హైడ్రాలిక్ శక్తి మరియు కృత్రిమ అనుభూతి ద్వారా పెంచబడిన ఐలెరాన్‌లను కలిగి ఉన్నాయి, కానీ బ్రౌన్ కనుగొన్నాడు, కాని బ్రౌన్ కనుగొన్నాడు "రెండవ నమూనా తటస్థంగా ఇరువైపులా వేటాడటం మరియు అక్కడ ఉన్నందున రెండవ నమూనా ఎగరడానికి ఆహ్లాదకరమైన విమానం చాలా తక్కువ మరియు ఉంది వేగంతో పెరుగుదలతో స్టిక్ ఫోర్స్‌ను నిర్మించలేదు. "[7] స్పియర్ ఫిష్‌కు ఎలాంటి స్టాల్ హెచ్చరిక లేదు, ఇది కార్యాచరణ ఉపయోగంలో సమస్యగా ఉండేది, ఎందుకంటే స్టాల్ మరియు అప్రోచ్ స్పీడ్‌లు చాలా దగ్గరగా ఉన్నాయి. ల్యాండింగ్ కోసం, విమానం చాలా నిశ్శబ్దంగా నిరూపించబడింది. [9] మొదటి నమూనాను తరువాత సంస్థ యొక్క ఇన్-ఐసింగ్ సిస్టమ్స్ యొక్క ట్రయల్స్ కోసం ల్యూటన్ వద్ద నేపియర్ &amp; సన్ ఉపయోగించారు. ఇది 30 ఏప్రిల్ 1952 నుండి ప్రారంభమయ్యే గ్రౌండ్-ట్రైనింగ్ ప్రయోజనాల కోసం క్లుప్తంగా ఉపయోగించబడింది, ఇది కొంతకాలం తర్వాత స్క్రాప్ అయ్యే వరకు. రెండవ ప్రోటోటైప్‌ను సస్సెక్స్‌లోని ఆర్‌ఎన్‌ఎఎస్ ఫోర్డ్ వద్ద రాయల్ నేవీ క్యారియర్ ట్రయల్స్ యూనిట్ సెప్టెంబర్ 15 న స్క్రాప్ కోసం విక్రయించే వరకు ఉపయోగించబడింది. మూడవ నమూనా ASV MK.XV రాడార్ ట్రయల్స్ నిర్వహించింది, కాని 1 సెప్టెంబర్ 1949 న భారీ ల్యాండింగ్‌లో దెబ్బతింది మరియు 1950 ఆగస్టు 22 న స్క్రాప్ కోసం విక్రయించబడింది. నాల్గవ నమూనా ఎప్పుడూ ఎగరలేదు మరియు ఇది విడిభాగాల మూలంగా ఉపయోగించబడింది. ఏకైక హీటన్ చాపెల్-నిర్మించిన విమానం ప్రణాళికాబద్ధమైన ఉత్పత్తి కాన్ఫిగరేషన్‌కు దగ్గరగా ఉంది మరియు ఇది 24 జూలై 1951 న ఛార్జీని కొట్టే వరకు ఇంజిన్-కూలింగ్ మరియు పవర్-అసిస్టెడ్ ఫ్లయింగ్-కంట్రోల్ ట్రయల్స్ కోసం ఉపయోగించబడింది. [10] ఫాలో-అప్‌లో, రెండు-సీట్ల సమ్మె ఫైటర్ కోసం స్పెసిఫికేషన్ O.21/44 ను తీర్చడానికి, స్పియర్ ఫిష్ జంట-కపుల్డ్ రోల్స్ రాయిస్ మెర్లిన్ ఇంజిన్ మరియు కాంట్రా-రొటేటింగ్ ప్రొపెల్లర్లను ఉంచడానికి పున es రూపకల్పన చేయబడింది. అనేక ఇతర ఇంజిన్లు పరిగణించబడ్డాయి మరియు 1944 లో మూడు ఉదాహరణల కోసం ఉత్పత్తి ఉత్తర్వును ఉంచినప్పటికీ, ఈ కార్యక్రమం చివరికి నిలిపివేయబడింది, ఇది నెరవేరని కాగితపు ప్రాజెక్టుగా మిగిలిపోయింది. [11] స్పియర్ ఫిష్ ఒక కాంటిలివర్, మిడ్-వింగ్ మోనోప్లేన్, ఆల్-మెటల్, మోనోకోక్ ఫ్యూజ్‌లేజ్‌తో. సెంటర్ వింగ్ విభాగం ఫ్యూజ్‌లేజ్‌తో సమగ్రంగా నిర్మించబడింది మరియు క్యారియర్ కార్యకలాపాల కోసం బాహ్య వింగ్ ప్యానెల్లు హైడ్రాలిక్‌గా ముడుచుకోవచ్చు. రెక్క యొక్క ప్రత్యేక లక్షణం పెద్ద ఫైరీ-యంగ్మాన్ ఫ్లాప్స్, ఇది రెక్క యొక్క వెనుకంజలో 73.5% విస్తరించింది. స్పియర్ ఫిష్ టెయిల్‌వీల్‌తో బాహ్యంగా తిరిగి వచ్చే సాంప్రదాయిక ల్యాండింగ్ గేర్‌ను కలిగి ఉంది. రెక్కలు 183-సామ్రాజ్య-గాలన్ (830 ఎల్; 220 యుఎస్ గాల్) ఇంధన ట్యాంకులు, అంతేకాకుండా 43-ఇంపీరియల్-గాలన్ (200 ఎల్; 52 యుఎస్ గాల్) ట్యాంక్ మొత్తం స్టార్‌బోర్డ్ వింగ్ యొక్క ప్రముఖ అంచున ఉన్నాయి 409 ఇంపీరియల్ గ్యాలన్లు (1,860 ఎల్; 491 యుఎస్ గాల్) ఇంధనం. ఇద్దరు వ్యక్తుల టెన్డం కాక్‌పిట్‌లో హైడ్రాలిక్ ఆపరేటెడ్ పందిరిని కలిగి ఉంది. [12] పెద్ద అంతర్గత ఆయుధాల బే ప్రత్యామ్నాయంగా నాలుగు 500-పౌండ్ల (230 కిలోల) బాంబులు, నాలుగు లోతు ఛార్జీలు, టార్పెడో లేదా 180-సామ్రాజ్య-గాలన్ (820 ఎల్; 220 యుఎస్ గాల్) సహాయక ఇంధన ట్యాంక్‌ను తీసుకెళ్లగలదు. స్పియర్ ఫిష్ నాలుగు 0.5-అంగుళాల (12.7 మిమీ) ఎం 2 బ్రౌనింగ్ మెషిన్ గన్స్, రెండు రిమోట్-కంట్రోల్డ్ ఫ్రేజర్-నాష్ ఎఫ్ఎన్ 95 బార్బెట్‌లో కాక్‌పిట్ వెనుక మరియు రెక్కలలో రెండు మోయడానికి ఉద్దేశించబడింది. బాహ్య ప్రమాదకర ఆయుధాలు 16 RP-3 రాకెట్లు, వీటిని బయటి వింగ్ ప్యానెళ్ల క్రింద తీసుకెళ్లవచ్చు. [2] 1915 నుండి ఫెయిరీ విమానం నుండి వచ్చిన డేటా [13] &amp; ది స్పియర్ ఫిష్ ... తప్పుగా భావించిన వెల్టర్‌వెయిట్ [14] సాధారణ లక్షణాలు పనితీరు ఆయుధాలు పోల్చదగిన పాత్ర, కాన్ఫిగరేషన్ మరియు యుగం సంబంధిత జాబితాల విమానం</v>
      </c>
      <c r="E40" s="1" t="s">
        <v>1010</v>
      </c>
      <c r="F40" s="1" t="s">
        <v>1011</v>
      </c>
      <c r="G40" s="1" t="str">
        <f>IFERROR(__xludf.DUMMYFUNCTION("GOOGLETRANSLATE(F:F, ""en"", ""te"")"),"టార్పెడో బాంబర్/డైవ్ బాంబర్")</f>
        <v>టార్పెడో బాంబర్/డైవ్ బాంబర్</v>
      </c>
      <c r="H40" s="1" t="s">
        <v>1012</v>
      </c>
      <c r="I40" s="1" t="s">
        <v>964</v>
      </c>
      <c r="J40" s="1" t="str">
        <f>IFERROR(__xludf.DUMMYFUNCTION("GOOGLETRANSLATE(I:I, ""en"", ""te"")"),"యునైటెడ్ కింగ్‌డమ్")</f>
        <v>యునైటెడ్ కింగ్‌డమ్</v>
      </c>
      <c r="L40" s="1" t="s">
        <v>1002</v>
      </c>
      <c r="M40" s="1" t="str">
        <f>IFERROR(__xludf.DUMMYFUNCTION("GOOGLETRANSLATE(L:L, ""en"", ""te"")"),"ఫైరీ ఏవియేషన్")</f>
        <v>ఫైరీ ఏవియేషన్</v>
      </c>
      <c r="N40" s="1" t="s">
        <v>1003</v>
      </c>
      <c r="R40" s="4">
        <v>16623.0</v>
      </c>
      <c r="S40" s="1">
        <v>5.0</v>
      </c>
      <c r="V40" s="1" t="s">
        <v>428</v>
      </c>
      <c r="W40" s="1" t="s">
        <v>1013</v>
      </c>
      <c r="X40" s="1" t="s">
        <v>1014</v>
      </c>
      <c r="Y40" s="1" t="s">
        <v>1015</v>
      </c>
      <c r="AG40" s="1" t="s">
        <v>1016</v>
      </c>
      <c r="AH40" s="1" t="s">
        <v>1017</v>
      </c>
      <c r="AW40" s="1" t="s">
        <v>1018</v>
      </c>
      <c r="AX40" s="1" t="s">
        <v>1019</v>
      </c>
      <c r="AY40" s="1" t="str">
        <f>IFERROR(__xludf.DUMMYFUNCTION("GOOGLETRANSLATE(AX:AX, ""en"", ""te"")"),"1 × బ్రిస్టల్ సెంటారస్ 57 18-సిలిండర్ రేడియల్ ఇంజిన్, 2,825 హెచ్‌పి (2,107 కిలోవాట్)")</f>
        <v>1 × బ్రిస్టల్ సెంటారస్ 57 18-సిలిండర్ రేడియల్ ఇంజిన్, 2,825 హెచ్‌పి (2,107 కిలోవాట్)</v>
      </c>
      <c r="AZ40" s="1" t="s">
        <v>1020</v>
      </c>
      <c r="BA40" s="1" t="str">
        <f>IFERROR(__xludf.DUMMYFUNCTION("GOOGLETRANSLATE(AZ:AZ, ""en"", ""te"")"),"5-బ్లేడెడ్ రోటోల్ VH 65, 14 అడుగులు (4.3 మీ) వ్యాసం")</f>
        <v>5-బ్లేడెడ్ రోటోల్ VH 65, 14 అడుగులు (4.3 మీ) వ్యాసం</v>
      </c>
      <c r="BB40" s="1" t="s">
        <v>1021</v>
      </c>
      <c r="BC40" s="1" t="s">
        <v>1022</v>
      </c>
      <c r="BD40" s="1" t="s">
        <v>1023</v>
      </c>
      <c r="BF40" s="1" t="s">
        <v>1024</v>
      </c>
      <c r="BG40" s="2" t="str">
        <f>IFERROR(__xludf.DUMMYFUNCTION("GOOGLETRANSLATE(BF:BF, ""en"", ""te"")"),"ఫ్లీట్ ఎయిర్ ఆర్మ్")</f>
        <v>ఫ్లీట్ ఎయిర్ ఆర్మ్</v>
      </c>
      <c r="BH40" s="1" t="s">
        <v>1025</v>
      </c>
      <c r="BT40" s="1" t="s">
        <v>1026</v>
      </c>
      <c r="BU40" s="1" t="s">
        <v>958</v>
      </c>
      <c r="BV40" s="1" t="str">
        <f>IFERROR(__xludf.DUMMYFUNCTION("GOOGLETRANSLATE(BU:BU, ""en"", ""te"")"),"రద్దు")</f>
        <v>రద్దు</v>
      </c>
      <c r="BX40" s="1"/>
      <c r="BY40" s="1" t="s">
        <v>1027</v>
      </c>
      <c r="CB40" s="1" t="s">
        <v>1028</v>
      </c>
      <c r="CC40" s="1" t="s">
        <v>1029</v>
      </c>
      <c r="CD40" s="1" t="str">
        <f>IFERROR(__xludf.DUMMYFUNCTION("GOOGLETRANSLATE(CC:CC, ""en"", ""te"")"),"4 × .50 ఇన్ (12.7 మిమీ) ఎం 2 బ్రౌనింగ్ మెషిన్ గన్స్, రెక్కలలో రెండు మరియు రెండు ఫ్రేజర్-నాష్ ఎఫ్ఎన్ 95 రిమోట్-కంట్రోల్డ్ డోర్సల్ బార్బెట్")</f>
        <v>4 × .50 ఇన్ (12.7 మిమీ) ఎం 2 బ్రౌనింగ్ మెషిన్ గన్స్, రెక్కలలో రెండు మరియు రెండు ఫ్రేజర్-నాష్ ఎఫ్ఎన్ 95 రిమోట్-కంట్రోల్డ్ డోర్సల్ బార్బెట్</v>
      </c>
      <c r="CE40" s="1" t="s">
        <v>1030</v>
      </c>
      <c r="CF40" s="1" t="str">
        <f>IFERROR(__xludf.DUMMYFUNCTION("GOOGLETRANSLATE(CE:CE, ""en"", ""te"")"),"అంతర్గత ఆయుధాల బేలో తీసుకువెళ్లారు; గాని")</f>
        <v>అంతర్గత ఆయుధాల బేలో తీసుకువెళ్లారు; గాని</v>
      </c>
      <c r="DJ40" s="1" t="s">
        <v>1031</v>
      </c>
      <c r="DK40" s="1" t="s">
        <v>1032</v>
      </c>
    </row>
    <row r="41">
      <c r="A41" s="1" t="s">
        <v>1033</v>
      </c>
      <c r="B41" s="1" t="str">
        <f>IFERROR(__xludf.DUMMYFUNCTION("GOOGLETRANSLATE(A:A, ""en"", ""te"")"),"ఫైరీ ఫాన్")</f>
        <v>ఫైరీ ఫాన్</v>
      </c>
      <c r="C41" s="1" t="s">
        <v>1034</v>
      </c>
      <c r="D41" s="1" t="str">
        <f>IFERROR(__xludf.DUMMYFUNCTION("GOOGLETRANSLATE(C:C, ""en"", ""te"")"),"ఫెయిరీ ఫాన్ 1920 లలో బ్రిటిష్ సింగిల్-ఇంజిన్ లైట్ బాంబర్. ఇది ఎయిర్కో DH.9A కి ప్రత్యామ్నాయంగా రూపొందించబడింది మరియు 1924 మరియు 1929 మధ్య రాయల్ వైమానిక దళంతో పనిచేసింది. ఫెయిరీ ఫాన్ ను ఫెయిరీ ఏవియేషన్ యొక్క ఎఫ్ డంకన్సన్ లైట్ డే-బాంబర్లో ఎయిర్కో DH.9A గా ర"&amp;"ూపొందించారు. పాత్ర, నిఘా మరియు సైన్యం సహకార విధుల కోసం విమానం కోసం స్పెసిఫికేషన్ 5/21 యొక్క అవసరాలను తీర్చడం. ఇది ఒక నేపియర్ లయన్ ఇంజిన్ చేత శక్తినిచ్చే ఫైరీ పింటైల్ ఫ్లోట్ ప్లేన్ యొక్క అభివృద్ధి. మూడు ప్రోటోటైప్‌లలో మొదటిది 8 మార్చి 1923 న ఎగిరింది. [1] "&amp;"రెండవ మరియు మూడవ ప్రోటోటైప్‌లు స్థిరత్వాన్ని మెరుగుపరచడానికి పొడవైన ఫ్యూజ్‌లేజ్‌లతో అమర్చబడ్డాయి మరియు ఇది ఉత్పత్తి సంస్కరణకు అనుగుణంగా ఉంది. [2] ఎయిర్ మంత్రిత్వ శాఖ భద్రతా అవసరాలను తీర్చడానికి ఫాన్ టాప్ వింగ్ పైన ఇంధన ట్యాంకులతో అమర్చారు. ఈ ట్యాంకులు ల్య"&amp;"ాండింగ్‌లో విమానం తారుమారు చేస్తే పైలట్‌లకు ప్రమాదం ఉంది. సవరించిన స్పెసిఫికేషన్ 20/23 జారీ చేయబడింది, ఇది బాంబర్ పాత్రను జోడించింది. RAF యొక్క ఇంటి ఆధారిత DH.9A స్క్వాడ్రన్లను తిరిగి సమకూర్చడానికి రెండు ప్రోటోటైప్స్ మరియు 48 ప్రొడక్షన్ ఫాన్ MK II విమానాల"&amp;"ను ఆగస్టు 1923 లో కొత్త స్పెసిఫికేషన్‌కు వ్యతిరేకంగా ఆదేశించారు, అయినప్పటికీ మొదటి రెండు ఉత్పత్తి విమానాలు చిన్న ఫ్యూజ్‌లేజ్ ఫాన్ MK గా పూర్తయ్యాయి. ఈ ఆర్డర్ యొక్క మిగిలిన భాగం పూర్తి ఉత్పత్తి లాంగ్ ఫ్యూజ్‌లేజ్ ఫాన్ MK IIS. [2] ఫాన్ MK III మరింత శక్తివంతమ"&amp;"ైన 468 HP (350 kW) లయన్ V ఇంజిన్‌తో అమర్చబడి ఉండగా, ఫాన్ MK IV ను సూపర్ఛార్జ్డ్ లయన్ VI ఇంజిన్‌తో అమర్చారు. ఈ ఫాన్ మార్చి 1924 లో 12 స్క్వాడ్రన్‌తో సేవలోకి ప్రవేశించింది, మరో రెండు రెగ్యులర్ స్క్వాడ్రన్లు, 11 స్క్వాడ్రన్ మరియు 100 స్క్వాడ్రన్. [3] ఫాన్ మొ"&amp;"దట ఇంటి ఆధారిత DH.9A స్క్వాడ్రన్లన్నింటినీ భర్తీ చేయడానికి ఉద్దేశించినప్పటికీ, మరో నాలుగు స్క్వాడ్రన్లు ఇతర రకాలుగా భర్తీ చేయడానికి ముందు చాలా సంవత్సరాలు DH.9A తో అమర్చబడి ఉన్నాయి. ఫాన్ RAF సేవలో ఒక ప్రసిద్ధ విమానం కాదు, అది భర్తీ చేసిన విమానం కంటే మెరుగై"&amp;"న పనితీరును కలిగి ఉంది మరియు స్థూలమైన సింహం ఇంజిన్ కారణంగా పైలట్ కోసం పేలవమైన దృశ్యం కలిగి ఉంది. [4] 1926 లో ఈ ఫాన్ మూడు రెగ్యులర్ స్క్వాడ్రన్లలో హాకర్ హార్స్లీ మరియు ఫైరీ ఫాక్స్ చేత భర్తీ చేయబడింది. విముక్తి పొందిన విమానం రెండు ప్రత్యేక రిజర్వ్ మరియు సహా"&amp;"యక ఎయిర్ ఫోర్స్ స్క్వాడ్రన్లను సన్నద్ధం చేయడానికి ఉపయోగించబడింది, ఇవి 1929 వరకు సేవలో ఉన్నాయి. [5] 1914 నుండి బ్రిటిష్ బాంబర్ నుండి వచ్చిన డేటా [7] సాధారణ లక్షణాలు పనితీరు ఆయుధాల సంబంధిత అభివృద్ధి విమానం పోల్చదగిన పాత్ర, కాన్ఫిగరేషన్ మరియు ERA సంబంధిత జాబ"&amp;"ితాలు")</f>
        <v>ఫెయిరీ ఫాన్ 1920 లలో బ్రిటిష్ సింగిల్-ఇంజిన్ లైట్ బాంబర్. ఇది ఎయిర్కో DH.9A కి ప్రత్యామ్నాయంగా రూపొందించబడింది మరియు 1924 మరియు 1929 మధ్య రాయల్ వైమానిక దళంతో పనిచేసింది. ఫెయిరీ ఫాన్ ను ఫెయిరీ ఏవియేషన్ యొక్క ఎఫ్ డంకన్సన్ లైట్ డే-బాంబర్లో ఎయిర్కో DH.9A గా రూపొందించారు. పాత్ర, నిఘా మరియు సైన్యం సహకార విధుల కోసం విమానం కోసం స్పెసిఫికేషన్ 5/21 యొక్క అవసరాలను తీర్చడం. ఇది ఒక నేపియర్ లయన్ ఇంజిన్ చేత శక్తినిచ్చే ఫైరీ పింటైల్ ఫ్లోట్ ప్లేన్ యొక్క అభివృద్ధి. మూడు ప్రోటోటైప్‌లలో మొదటిది 8 మార్చి 1923 న ఎగిరింది. [1] రెండవ మరియు మూడవ ప్రోటోటైప్‌లు స్థిరత్వాన్ని మెరుగుపరచడానికి పొడవైన ఫ్యూజ్‌లేజ్‌లతో అమర్చబడ్డాయి మరియు ఇది ఉత్పత్తి సంస్కరణకు అనుగుణంగా ఉంది. [2] ఎయిర్ మంత్రిత్వ శాఖ భద్రతా అవసరాలను తీర్చడానికి ఫాన్ టాప్ వింగ్ పైన ఇంధన ట్యాంకులతో అమర్చారు. ఈ ట్యాంకులు ల్యాండింగ్‌లో విమానం తారుమారు చేస్తే పైలట్‌లకు ప్రమాదం ఉంది. సవరించిన స్పెసిఫికేషన్ 20/23 జారీ చేయబడింది, ఇది బాంబర్ పాత్రను జోడించింది. RAF యొక్క ఇంటి ఆధారిత DH.9A స్క్వాడ్రన్లను తిరిగి సమకూర్చడానికి రెండు ప్రోటోటైప్స్ మరియు 48 ప్రొడక్షన్ ఫాన్ MK II విమానాలను ఆగస్టు 1923 లో కొత్త స్పెసిఫికేషన్‌కు వ్యతిరేకంగా ఆదేశించారు, అయినప్పటికీ మొదటి రెండు ఉత్పత్తి విమానాలు చిన్న ఫ్యూజ్‌లేజ్ ఫాన్ MK గా పూర్తయ్యాయి. ఈ ఆర్డర్ యొక్క మిగిలిన భాగం పూర్తి ఉత్పత్తి లాంగ్ ఫ్యూజ్‌లేజ్ ఫాన్ MK IIS. [2] ఫాన్ MK III మరింత శక్తివంతమైన 468 HP (350 kW) లయన్ V ఇంజిన్‌తో అమర్చబడి ఉండగా, ఫాన్ MK IV ను సూపర్ఛార్జ్డ్ లయన్ VI ఇంజిన్‌తో అమర్చారు. ఈ ఫాన్ మార్చి 1924 లో 12 స్క్వాడ్రన్‌తో సేవలోకి ప్రవేశించింది, మరో రెండు రెగ్యులర్ స్క్వాడ్రన్లు, 11 స్క్వాడ్రన్ మరియు 100 స్క్వాడ్రన్. [3] ఫాన్ మొదట ఇంటి ఆధారిత DH.9A స్క్వాడ్రన్లన్నింటినీ భర్తీ చేయడానికి ఉద్దేశించినప్పటికీ, మరో నాలుగు స్క్వాడ్రన్లు ఇతర రకాలుగా భర్తీ చేయడానికి ముందు చాలా సంవత్సరాలు DH.9A తో అమర్చబడి ఉన్నాయి. ఫాన్ RAF సేవలో ఒక ప్రసిద్ధ విమానం కాదు, అది భర్తీ చేసిన విమానం కంటే మెరుగైన పనితీరును కలిగి ఉంది మరియు స్థూలమైన సింహం ఇంజిన్ కారణంగా పైలట్ కోసం పేలవమైన దృశ్యం కలిగి ఉంది. [4] 1926 లో ఈ ఫాన్ మూడు రెగ్యులర్ స్క్వాడ్రన్లలో హాకర్ హార్స్లీ మరియు ఫైరీ ఫాక్స్ చేత భర్తీ చేయబడింది. విముక్తి పొందిన విమానం రెండు ప్రత్యేక రిజర్వ్ మరియు సహాయక ఎయిర్ ఫోర్స్ స్క్వాడ్రన్లను సన్నద్ధం చేయడానికి ఉపయోగించబడింది, ఇవి 1929 వరకు సేవలో ఉన్నాయి. [5] 1914 నుండి బ్రిటిష్ బాంబర్ నుండి వచ్చిన డేటా [7] సాధారణ లక్షణాలు పనితీరు ఆయుధాల సంబంధిత అభివృద్ధి విమానం పోల్చదగిన పాత్ర, కాన్ఫిగరేషన్ మరియు ERA సంబంధిత జాబితాలు</v>
      </c>
      <c r="E41" s="1" t="s">
        <v>1035</v>
      </c>
      <c r="F41" s="1" t="s">
        <v>1036</v>
      </c>
      <c r="G41" s="1" t="str">
        <f>IFERROR(__xludf.DUMMYFUNCTION("GOOGLETRANSLATE(F:F, ""en"", ""te"")"),"రెండు-సీట్ల డే లైట్ బాంబర్")</f>
        <v>రెండు-సీట్ల డే లైట్ బాంబర్</v>
      </c>
      <c r="H41" s="1" t="s">
        <v>1037</v>
      </c>
      <c r="I41" s="1" t="s">
        <v>964</v>
      </c>
      <c r="J41" s="1" t="str">
        <f>IFERROR(__xludf.DUMMYFUNCTION("GOOGLETRANSLATE(I:I, ""en"", ""te"")"),"యునైటెడ్ కింగ్‌డమ్")</f>
        <v>యునైటెడ్ కింగ్‌డమ్</v>
      </c>
      <c r="L41" s="1" t="s">
        <v>1002</v>
      </c>
      <c r="M41" s="1" t="str">
        <f>IFERROR(__xludf.DUMMYFUNCTION("GOOGLETRANSLATE(L:L, ""en"", ""te"")"),"ఫైరీ ఏవియేషన్")</f>
        <v>ఫైరీ ఏవియేషన్</v>
      </c>
      <c r="N41" s="1" t="s">
        <v>1003</v>
      </c>
      <c r="O41" s="1" t="s">
        <v>1038</v>
      </c>
      <c r="P41" s="1" t="str">
        <f>IFERROR(__xludf.DUMMYFUNCTION("GOOGLETRANSLATE(O:O, ""en"", ""te"")"),"ఎఫ్ డంకన్సన్")</f>
        <v>ఎఫ్ డంకన్సన్</v>
      </c>
      <c r="R41" s="1">
        <v>1923.0</v>
      </c>
      <c r="S41" s="1">
        <v>75.0</v>
      </c>
      <c r="T41" s="1" t="s">
        <v>216</v>
      </c>
      <c r="V41" s="1" t="s">
        <v>1039</v>
      </c>
      <c r="W41" s="1" t="s">
        <v>1040</v>
      </c>
      <c r="X41" s="1" t="s">
        <v>1041</v>
      </c>
      <c r="Y41" s="1" t="s">
        <v>1042</v>
      </c>
      <c r="Z41" s="1" t="s">
        <v>1043</v>
      </c>
      <c r="AG41" s="1" t="s">
        <v>1044</v>
      </c>
      <c r="AH41" s="1" t="s">
        <v>1045</v>
      </c>
      <c r="AO41" s="1">
        <v>1924.0</v>
      </c>
      <c r="AQ41" s="1">
        <v>1929.0</v>
      </c>
      <c r="AX41" s="1" t="s">
        <v>1046</v>
      </c>
      <c r="AY41" s="1" t="str">
        <f>IFERROR(__xludf.DUMMYFUNCTION("GOOGLETRANSLATE(AX:AX, ""en"", ""te"")"),"1 × నేపియర్ సింహం 12-సిలిండర్, వాటర్-కూల్డ్ బ్రాడ్ బాణం ఇంజిన్, 468 హెచ్‌పి (349 కిలోవాట్)")</f>
        <v>1 × నేపియర్ సింహం 12-సిలిండర్, వాటర్-కూల్డ్ బ్రాడ్ బాణం ఇంజిన్, 468 హెచ్‌పి (349 కిలోవాట్)</v>
      </c>
      <c r="BB41" s="1" t="s">
        <v>1047</v>
      </c>
      <c r="BD41" s="1" t="s">
        <v>1048</v>
      </c>
      <c r="BF41" s="1" t="s">
        <v>610</v>
      </c>
      <c r="BG41" s="2" t="str">
        <f>IFERROR(__xludf.DUMMYFUNCTION("GOOGLETRANSLATE(BF:BF, ""en"", ""te"")"),"రాయల్ వైమానిక దళం")</f>
        <v>రాయల్ వైమానిక దళం</v>
      </c>
      <c r="BH41" s="1" t="s">
        <v>611</v>
      </c>
      <c r="BT41" s="1" t="s">
        <v>1049</v>
      </c>
      <c r="CB41" s="1" t="s">
        <v>1050</v>
      </c>
      <c r="CC41" s="1" t="s">
        <v>1051</v>
      </c>
      <c r="CD41" s="1" t="str">
        <f>IFERROR(__xludf.DUMMYFUNCTION("GOOGLETRANSLATE(CC:CC, ""en"", ""te"")"),"1 × స్థిర, ఫార్వర్డ్-ఫైరింగ్ .303 (7.7 మిమీ) విక్కర్స్ మెషిన్ గన్ 1 లేదా 2 × .303 (7.7 మిమీ) లూయిస్ గన్ వెనుక కాక్‌పిట్‌లో స్కార్ఫ్ రింగ్‌లో")</f>
        <v>1 × స్థిర, ఫార్వర్డ్-ఫైరింగ్ .303 (7.7 మిమీ) విక్కర్స్ మెషిన్ గన్ 1 లేదా 2 × .303 (7.7 మిమీ) లూయిస్ గన్ వెనుక కాక్‌పిట్‌లో స్కార్ఫ్ రింగ్‌లో</v>
      </c>
      <c r="CE41" s="1" t="s">
        <v>1052</v>
      </c>
      <c r="CF41" s="1" t="str">
        <f>IFERROR(__xludf.DUMMYFUNCTION("GOOGLETRANSLATE(CE:CE, ""en"", ""te"")"),"460 ఎల్బి (210 కిలోల) బాంబులు అండర్వింగ్ వరకు.")</f>
        <v>460 ఎల్బి (210 కిలోల) బాంబులు అండర్వింగ్ వరకు.</v>
      </c>
    </row>
    <row r="42">
      <c r="A42" s="1" t="s">
        <v>1053</v>
      </c>
      <c r="B42" s="1" t="str">
        <f>IFERROR(__xludf.DUMMYFUNCTION("GOOGLETRANSLATE(A:A, ""en"", ""te"")"),"ఫైరీ రోటోడిన్")</f>
        <v>ఫైరీ రోటోడిన్</v>
      </c>
      <c r="C42" s="1" t="s">
        <v>1054</v>
      </c>
      <c r="D42" s="1" t="str">
        <f>IFERROR(__xludf.DUMMYFUNCTION("GOOGLETRANSLATE(C:C, ""en"", ""te"")"),"ఫైరీ రోటోడిన్ 1950 ల బ్రిటిష్ సమ్మేళనం గైరోప్లేన్, ఇది ఫెయిరీ ఏవియేషన్ చేత రూపొందించబడింది మరియు వాణిజ్య మరియు సైనిక ఉపయోగాల కోసం ఉద్దేశించబడింది. [2] ప్రపంచ హెలికాప్టర్ స్పీడ్ రికార్డ్‌ను స్థాపించిన మునుపటి గైరోడిన్ యొక్క అభివృద్ధి, రోటోడిన్‌లో చిట్కా-జె"&amp;"ట్-శక్తితో పనిచేసే రోటర్‌ను కలిగి ఉంది, ఇది రెండు వింగ్-మౌంటెడ్ నేపియర్ ఎలాండ్ టర్బోప్రాప్‌ల నుండి రక్తస్రావం మరియు సంపీడన గాలి మిశ్రమాన్ని కాల్చివేసింది. రోటర్ నిలువు టేకాఫ్‌లు, ల్యాండింగ్‌లు మరియు హోవర్, అలాగే తక్కువ-స్పీడ్ ట్రాన్స్లేషనల్ ఫ్లైట్ కోసం నడ"&amp;"పబడింది, కాని క్రూయిజ్ ఫ్లైట్ సమయంలో ఆటోరోటేటెడ్ అన్ని ఇంజిన్ శక్తితో రెండు ప్రొపెల్లర్లకు వర్తించబడుతుంది. ఒక నమూనా నిర్మించబడింది. రోటోడిన్ కాన్సెప్ట్‌లో ఆశాజనకంగా మరియు ట్రయల్స్‌లో విజయవంతం అయినప్పటికీ, ఈ కార్యక్రమం చివరికి రద్దు చేయబడింది. ఏవైనా వాణిజ"&amp;"్య ఆర్డర్‌లను ఆకర్షించడంలో విఫలమైన రకానికి ఈ ముగింపు కారణమని చెప్పబడింది; విమానంలో ఉత్పత్తి చేయబడిన రోటర్ చిట్కా జెట్ శబ్దం యొక్క అధిక స్థాయిలో ఇది కొంతవరకు ఉంది. ఆర్డర్లు లేకపోవడంలో రాజకీయాలు కూడా ఒక పాత్ర పోషించాయి (ఈ ప్రాజెక్ట్ ప్రభుత్వ నిధులు), ఇది చి"&amp;"వరికి ఈ ప్రాజెక్టును విచారకరంగా ఉంది. 1930 ల చివరి నుండి, రోటరీ-వింగ్ విమానాల రూపంలో ఏరోనాటిక్స్ యొక్క పూర్తిగా కొత్త రంగంలో గణనీయమైన పురోగతి సాధించబడింది. [3] రెండవ ప్రపంచ యుద్ధం ప్రారంభమయ్యే ముందు బ్రిటన్లో కొంత పురోగతి సాధించినప్పటికీ, విమానయాన పరిశ్రమ"&amp;"పై ఉంచిన యుద్ధకాల ప్రాధాన్యతలు అంటే రోటర్‌క్రాఫ్ట్ మరియు హెలికాప్టర్లను అభివృద్ధి చేయడానికి బ్రిటిష్ కార్యక్రమాలు ఉత్తమంగా అట్టడుగున ఉన్నాయి. యుద్ధానంతర వాతావరణంలో, రాయల్ వైమానిక దళం (RAF) మరియు రాయల్ నేవీ అమెరికన్-అభివృద్ధి చెందిన హెలికాప్టర్లను సికోర్స్"&amp;"కీ R-4 మరియు సికోర్స్కీ R-6 రూపంలో సేకరించడానికి ఎన్నుకున్నారు, స్థానికంగా హోవర్‌ఫ్లై I మరియు హోవర్‌ఫ్లై II అని పిలుస్తారు . [[ ఈ రోటర్‌క్రాఫ్ట్ యొక్క ఆపరేషన్ నుండి అనుభవం, స్వాధీనం చేసుకున్న జర్మన్ హెలికాప్టర్ ప్రోటోటైప్‌లపై నిర్వహించిన విస్తృతమైన పరీక్ష"&amp;"తో పాటు, బ్రిటన్ యొక్క సొంత అధునాతన రోటర్‌క్రాఫ్ట్‌ను అభివృద్ధి చేయడంలో సాయుధ సేవలు మరియు పరిశ్రమలలో గణనీయమైన ఆసక్తిని ప్రేరేపించింది. [3] ఫైరీ ఏవియేషన్ అనేది రోటరీ-వింగ్ విమానం యొక్క సంభావ్యతతో ఆశ్చర్యపోయిన ఒక సంస్థ, మరియు స్పెసిఫికేషన్ E.16/47 ప్రకారం ఫ"&amp;"ైరీ FB-1 గైరోడిన్‌ను అభివృద్ధి చేయడానికి ముందుకు సాగింది. [4] గైరోడిన్ ఒక ప్రత్యేకమైన విమానం, ఇది ఆటోజీరో మరియు హెలికాప్టర్‌తో సహా మూడవ రకం రోటర్‌క్రాఫ్ట్‌ను నిర్వచించింది. తరువాతి రోటోడియాన్‌తో చాలా తక్కువగా ఉన్నందున, దాని ఆవిష్కర్త డాక్టర్ జాజ్ బెన్నెట్"&amp;", గతంలో రెండవ ప్రపంచ యుద్ధం సియర్వా ఆటోగిరో కంపెనీ యొక్క చీఫ్ టెక్నికల్ ఆఫీసర్ డాక్టర్ జాజ్ బెన్నెట్, ఆటోజీరో యొక్క భద్రత మరియు సరళతను మిళితం చేయడానికి రూపొందించిన ఇంటర్మీడియట్ విమానం వలె రూపొందించబడింది. పనితీరు. సామూహిక పిచ్ షాఫ్ట్ టార్క్ యొక్క ఆటోమేటిక"&amp;"్ ఫంక్షన్ కావడంతో దాని రోటర్ ఫ్లైట్ యొక్క అన్ని దశలలో నడపబడింది, సైడ్-మౌంటెడ్ ప్రొపెల్లర్ ఫార్వర్డ్ ఫ్లైట్ మరియు రోటర్ టార్క్ దిద్దుబాటు కోసం థ్రస్ట్ రెండింటినీ అందిస్తుంది. 28 జూన్ 1948 న, ప్రపంచ ఎయిర్‌స్పీడ్ రికార్డును సాధించినప్పుడు పరీక్ష విమానాల సమయం"&amp;"లో FB-1 దాని సామర్థ్యాన్ని నిరూపించింది, ఇది 124.3 mph (200.0 కిమీ/గం) నమోదు చేసిన వేగాన్ని సాధించింది. [5] అయితే ఈ కార్యక్రమం ఇబ్బంది లేనిది కాదు, రోటర్ బ్లేడ్ ఫ్లాపింగ్ లింక్ నిలుపుకునే గింజ యొక్క పేలవమైన మ్యాచింగ్ కారణంగా ఏప్రిల్ 1949 లో సంభవించే ప్రోట"&amp;"ోటైప్‌లలో ఒక ప్రాణాంతక ప్రమాదం. [5] ప్రతి స్టబ్ వింగ్ యొక్క కొన వద్ద అమర్చిన ప్రొపెల్లర్లు అందించిన ప్రొపల్షన్‌తో చిట్కా-జెట్ నడిచే రోటర్‌ను పరిశోధించడానికి రెండవ FB-1 సవరించబడింది, ఇది జెట్ గైరోడిన్ అని పేరు మార్చబడింది. [6] 1951 మరియు 1952 లలో, బ్రిటిష్"&amp;" యూరోపియన్ ఎయిర్‌వేస్ (BEA) ప్రయాణీకుల మోగిన రోటర్‌క్రాఫ్ట్ కోసం అంతర్గతంగా దాని స్వంత అవసరాన్ని రూపొందించింది, దీనిని సాధారణంగా బీలిన్-బస్ లేదా బీ బస్సును సూచిస్తారు. [7] ఇది షార్ట్-హాల్ విమానాల వలె పనిచేయగల బహుళ-ఇంజిన్ రోటర్‌క్రాఫ్ట్, BEA ఈ రకాన్ని సాధా"&amp;"రణంగా ప్రధాన నగరాల మధ్య ఎగురవేయడం మరియు ఆర్థికంగా ఉండటానికి కనీసం 30 మంది ప్రయాణీకులను మోసుకెళ్ళేలా ed హించాడు; చొరవకు మద్దతుగా, సరఫరా మంత్రిత్వ శాఖ BEA అవసరానికి మద్దతుగా నిర్వహించడానికి వరుస డిజైన్ అధ్యయనాలను స్పాన్సర్ చేయడానికి ముందుకు సాగింది. పౌర మరి"&amp;"యు ప్రభుత్వ సంస్థలు రెండూ అటువంటి రోటర్‌క్రాఫ్ట్ యొక్క అవసరాన్ని have హించాయి మరియు బ్రిటన్ యొక్క రవాణా నెట్‌వర్క్‌లో అవి సర్వసాధారణంగా మారడానికి ముందే అది కొంత సమయం మాత్రమే అని భావించారు. [7] BEA బస్సు అవసరాన్ని వివిధ రకాల ఫ్యూచరిస్టిక్ ప్రతిపాదనలతో తీర్"&amp;"చారు; ఆచరణాత్మక మరియు అసాధ్యమైన అసాధ్యమైన సమర్పణలు అనేక మంది తయారీదారులు చేశారు. [7] వీటిలో, ఫైరీ తన డిజైన్లను సమర్పించడానికి మరియు అవసరాన్ని తీర్చడానికి పాల్గొనడానికి ఎంచుకున్నారు; ఏవియేషన్ రచయిత డెరెక్ వుడ్ ప్రకారం: ""ఒక డిజైన్, ముఖ్యంగా, వాగ్దానం చూపిం"&amp;"చినట్లు అనిపించింది మరియు ఇది ఫైరీ రోటోర్డిన్"". [7] ఫెయిరీ విమానం కోసం బహుళ ఏర్పాట్లు మరియు కాన్ఫిగరేషన్లను ఉత్పత్తి చేసింది, సాధారణంగా ఉపయోగించిన పవర్‌ప్లాంట్లు మరియు అంతర్గత సామర్థ్యంలో మారుతూ ఉంటుంది; సంస్థ 26 జనవరి 1949 న మొదటి మంత్రిత్వ శాఖకు సమర్పి"&amp;"ంచింది. రెండు నెలల్లోనే, ఫైరీ మరో మూడు ప్రత్యామ్నాయ సమర్పణలను ఉత్పత్తి చేశాడు, రోల్స్ రాయిస్ డార్ట్ మరియు ఆర్మ్‌స్ట్రాంగ్ సిడ్లీ మాంబ వంటి ఇంజిన్ల వాడకంపై కేంద్రీకృతమై ఉంది. [7] అక్టోబర్ 1950 లో, 16,000 పౌండ్ల అభివృద్ధికి ప్రారంభ ఒప్పందం, నాలుగు-బ్లేడెడ్ "&amp;"రోటర్‌క్రాఫ్ట్ ఇవ్వబడింది. [8] సంవత్సరాలుగా గణనీయంగా సవరించబడిన ఫైరీ డిజైన్, దాని అభివృద్ధికి తోడ్పడటానికి ప్రభుత్వ నిధులను పొందింది. [9] అభివృద్ధి ప్రారంభంలో, ఫెయిరీ దాని రూపకల్పనకు శక్తినిచ్చే ఇంజిన్లకు ప్రాప్యతను పొందడం కష్టమని నిరూపించబడింది. [8] నవంబ"&amp;"ర్ 1950 లో, రోల్స్ రాయిస్ చైర్మన్ లార్డ్ హివ్స్ తన సంస్థ యొక్క డిజైన్ వనరులు బహుళ ప్రాజెక్టులలో చాలా సన్నగా విస్తరించి ఉన్నాయని నిరసించారు; దీని ప్రకారం, ప్రారంభంలో ఎంచుకున్న DART ఇంజిన్ ప్రత్యర్థి సంస్థ ఆర్మ్‌స్ట్రాంగ్ సిడ్లీ యొక్క మాంబా ఇంజిన్‌కు మార్చబ"&amp;"డింది. జూలై 1951 నాటికి, ఫెయిరీ రెండు మరియు మూడు-ఇంజిన్ లేఅవుట్లలో మాంబా ఇంజిన్‌ను ఉపయోగించి ప్రతిపాదనలను తిరిగి సమర్పించారు, వరుసగా 20,000 ఎల్బి (9.1 టి) మరియు 30,000 ఎల్బి (14 టి) బరువుకు మద్దతు ఇస్తుంది; మాంబా ఇంజిన్‌ను సహాయక కంప్రెషర్‌లకు జత చేసే స్వీ"&amp;"కరణ కాన్ఫిగరేషన్‌ను కోబ్రా అని పిలుస్తారు. [8] ఆర్మ్‌స్ట్రాంగ్ సిడ్లీ చేసిన ఫిర్యాదుల కారణంగా, దీనికి కూడా వనరులు లేవని, ఫెయిరీ డి హవిలాండ్ గోబ్లిన్ మరియు రోల్స్ రాయిస్ డెర్వెంట్ టర్బోజెట్ వంటి ఇంజిన్ల యొక్క ప్రత్యామ్నాయ వినియోగాన్ని కూడా ప్రతిపాదించాడు. "&amp;"ఫార్వర్డ్ ప్రొపెల్లర్లను నడపడానికి. [8] ఫెయిరీ డి హవిలాండ్‌తో సానుకూల సంబంధాన్ని ఆస్వాదించలేదు, తద్వారా ఏప్రిల్ 1953 లో డి. నేపియర్ &amp; సన్ మరియు దాని ఎలాండ్ టర్బోషాఫ్ట్ ఇంజిన్ వైపు తిరగడానికి ఎంచుకున్నారు. [8] ఎలాండ్ ఎంపిక తరువాత, రోటర్‌క్రాఫ్ట్ యొక్క ప్రా"&amp;"థమిక రూపకల్పన, రోటోడిన్ వై అని పిలుస్తారు, త్వరలోనే ఉద్భవించింది; ఇది ఒక జత ELAND N.EL.3 ఇంజన్లు సహాయక కంప్రెషర్లతో మరియు పెద్ద-విభాగం నాలుగు-బ్లేడ్ మెయిన్ రోటర్, 33,000 పౌండ్ల బరువుతో అంచనా వేయబడింది. [8] అదే సమయంలో, రోటోడిన్ Z గా నియమించబడిన విస్తరించిన"&amp;" సంస్కరణ, మరింత శక్తివంతమైన ఎలాండ్ N.El.7 ఇంజన్లు మరియు 39,000 lb యొక్క మొత్తం బరువుతో కూడినది, కూడా ప్రతిపాదించబడింది. [10] ఏప్రిల్ 1953 లో, సరఫరా మంత్రిత్వ శాఖ రోటోడిన్ వై యొక్క ఒకే నమూనాను నిర్మించడానికి ఒప్పందం కుదుర్చుకుంది, ఇది ELAND ఇంజిన్ చేత శక్త"&amp;"ినిస్తుంది, తరువాత పరిశోధన ప్రయోజనాల కోసం సీరియల్ నంబర్ XE521 తో నియమించబడింది. [6] ఒప్పందం కుదుర్చుకున్నట్లుగా, రోటోడిన్ దాని రోజులో అతిపెద్ద రవాణా హెలికాప్టర్, గరిష్టంగా 40 నుండి 50 మంది ప్రయాణికులను కలిగి ఉంటుంది, అదే సమయంలో 150 mph క్రూయిజ్ వేగం మరియు"&amp;" 250 నాటికల్ మైళ్ళ పరిధిని కలిగి ఉంది. అవార్డు సమయంలో, ఫైరీ 10 710,000 ఎయిర్‌ఫ్రేమ్‌ను ఉత్పత్తి చేసే ఖర్చులను భరిస్తుందని అంచనా వేశారు. [6] తక్కువ సమయంలో నియంత్రణ ఆమోదం పొందే విమానాన్ని దృష్టిలో ఉంచుకుని, ఫెయిరీ యొక్క డిజైనర్లు హెలికాప్టర్లు మరియు సారూప్య"&amp;"-పరిమాణ జంట-ఇంజిన్ విమానాల కోసం సివిల్ ఎయిర్‌వర్తెన్స్ అవసరాలను తీర్చడానికి పనిచేశారు. ఒక ఆరవ స్కేల్ రోటర్‌లెస్ మోడల్ స్థిర-వింగ్ పనితీరు కోసం విస్తృతంగా విండ్ టన్నెల్ పరీక్షించబడింది. పవర్డ్ రోటర్‌తో చిన్న (1/15 వ-స్కేల్) మోడల్ డౌన్‌వాష్ పరిశోధనల కోసం ఉప"&amp;"యోగించబడింది. [11] నమూనాను నిర్మిస్తున్నప్పుడు, కార్యక్రమానికి నిధులు సంక్షోభానికి చేరుకున్నాయి. రక్షణ వ్యయంలో కోతలు రక్షణ మంత్రిత్వ శాఖ తన మద్దతును ఉపసంహరించుకోవడానికి దారితీసింది, ఖర్చుల భారాన్ని ఏవైనా పౌర కస్టమర్‌కు నెట్టివేసింది. ఇతర అర్హతలతో, ఫైరీ మర"&amp;"ియు నేపియర్ (వారి పేరెంట్ ఇంగ్లీష్ ఎలక్ట్రిక్ ద్వారా) వరుసగా రోటోడిన్ మరియు ఎలాండ్ ఇంజిన్ అభివృద్ధి ఖర్చులకు దోహదపడితేనే, ఈ ప్రాజెక్టుకు నిధులను నిర్వహించడానికి ప్రభుత్వం అంగీకరించింది. విధాన విషయాలపై ఫైరీతో విభేదాల ఫలితంగా, డాక్టర్ బెన్నెట్ కాలిఫోర్నియాల"&amp;"ోని హిల్లర్ హెలికాప్టర్లలో చేరడానికి సంస్థను విడిచిపెట్టాడు; రోటోడిన్ యొక్క అభివృద్ధికి బాధ్యతను డాక్టర్ జార్జ్ ఎస్ హిస్లాప్ భావించారు, అతను సంస్థ యొక్క చీఫ్ ఇంజనీర్ అయ్యాడు. [6] పశ్చిమ లండన్‌లోని హిల్లింగ్‌డన్‌లోని హేస్‌లోని ఫెయిరీ యొక్క సౌకర్యం వద్ద ప్ర"&amp;"ోటోటైప్ యొక్క ఫ్యూజ్‌లేజ్, వింగ్స్ మరియు రోటర్ అసెంబ్లీ తయారీ జరిగింది, అయితే టైల్ అసెంబ్లీ నిర్మాణం స్టాక్‌పోర్ట్, గ్రేటర్ మాంచెస్టర్ మరియు ఫైనల్ అసెంబ్లీలోని స్టాక్‌పోర్ట్ లోని సంస్థ యొక్క కర్మాగారంలో జరిగింది. ఎయిర్ఫీల్డ్, మైడెన్‌హెడ్. [6] అదనంగా, ప్రో"&amp;"గ్రామ్‌కు మద్దతుగా RAF బోస్కోంబే వద్ద పూర్తి-స్థాయి స్టాటిక్ టెస్ట్ రిగ్ ఉత్పత్తి చేయబడింది; స్టాటిక్ రిగ్ పూర్తిగా కార్యాచరణ రోటర్ మరియు పవర్‌ప్లాంట్ అమరికను కలిగి ఉంది, ఇది మంత్రిత్వ శాఖకు 25 గంటల ఆమోదం పరీక్షతో సహా పలు సందర్భాల్లో ప్రదర్శించబడింది. [12"&amp;"] మొదటి నమూనా నిర్మాణం జరుగుతున్నప్పటికీ, రోటోడిన్ కోసం అవకాశాలు సానుకూలంగా కనిపించాయి; వుడ్ ప్రకారం, సివిల్ మరియు సైనిక క్వార్టర్స్ రెండింటి నుండి ఈ రకంలో ఆసక్తి ఉంది. [13] బీ ప్రోగ్రామ్ యొక్క పురోగతిని ఆసక్తితో పర్యవేక్షిస్తోంది; రోటర్‌క్రాఫ్ట్ యొక్క మి"&amp;"లిటరైజ్డ్ వెర్షన్ కోసం ఆర్డర్ ఇచ్చిన కొద్దిసేపటికే విమానయాన సంస్థ ఒక ఆర్డర్ ఇస్తుందని బాహ్యంగా expected హించబడింది. అమెరికన్ కంపెనీ కమాన్ హెలికాప్టర్లు కూడా ఈ ప్రాజెక్టుపై బలమైన ఆసక్తిని చూపించాయి మరియు పౌర మరియు సైనిక కస్టమర్లకు రోటోడిన్ యొక్క లైసెన్స్ ప"&amp;"ొందిన ఉత్పత్తికి సంస్థను సంస్థ పరిగణించినందున దీనిని దగ్గరగా అధ్యయనం చేసినట్లు తెలిసింది. [13] సైన్యం మరియు RAF ఆసక్తి కారణంగా, రోటోడిన్ అభివృద్ధికి కొంతకాలం రక్షణ బడ్జెట్ నుండి నిధులు సమకూర్చబడ్డాయి. [14] 1956 లో, డిఫెన్స్ రీసెర్చ్ పాలసీ కమిటీ ఈ రకంగా సై"&amp;"నిక ఆసక్తి లేదని ప్రకటించింది, ఇది రోటోడిన్ పౌర బడ్జెట్‌లపై కేవలం పరిశోధన/పౌర ప్రోటోటైప్ విమానంగా మాత్రమే ఆధారపడింది. [14] రాజకీయ వాదనలు, ప్రతిపాదనలు మరియు బేరసారాల వరుస తరువాత; డిసెంబర్ 1956 లో, హెచ్ఎమ్ ట్రెజరీ రోటోడిన్ మరియు ఎలాండ్ ఇంజిన్ రెండింటిపై సెప"&amp;"్టెంబర్ 1957 చివరి వరకు కొనసాగించడానికి అధికారం ఇచ్చింది. ట్రెజరీ చూపించిన డిమాండ్లలో ఈ విమానం సాంకేతిక విజయాన్ని సాధించవలసి ఉంది మరియు ఒక సంస్థను సంపాదించాల్సిన అవసరం ఉంది బీ నుండి ఆర్డర్; ఫెయిరీ మరియు ఇంగ్లీష్ ఎలక్ట్రిక్ (నేపియర్స్ మాతృ సంస్థ) రెండూ కూడ"&amp;"ా దాని అభివృద్ధికి ఖర్చులలో కొంత భాగాన్ని తీసుకోవలసి వచ్చింది. [15] 6 నవంబర్ 1957 న, ప్రోటోటైప్ తన తొలి విమానంలో ప్రదర్శించింది, దీనిని చీఫ్ హెలికాప్టర్ టెస్ట్ పైలట్ స్క్వాడ్రన్ నాయకుడు డబ్ల్యూ. రాన్ గెల్లాట్లీ మరియు అసిస్టెంట్ చీఫ్ హెలికాప్టర్ టెస్ట్ పైల"&amp;"ట్ లెఫ్టినెంట్ కమాండర్ జాన్ జి.పి. మోర్టన్ రెండవ పైలట్. [16] మొదటి ఫ్లైట్ మొదట 1956 లో జరుగుతుందని అంచనా వేయబడింది; ఏదేమైనా, రోటోడిన్ ఉపయోగించిన పూర్తిగా కొత్త భావనతో ఆలస్యం అనివార్యంగా చూడబడింది. [15] 10 ఏప్రిల్ 1958 న, రోటోడిన్ నిలువు నుండి క్షితిజ సమాం"&amp;"తరంగా మరియు తరువాత తిరిగి నిలువు విమానంలోకి ప్రవేశించింది. [15] [17] 5 జనవరి 1959 న, రోటోడిన్ కన్వర్టిప్లేన్ విభాగంలో, 60-మైళ్ల (100 కిమీ) క్లోజ్డ్ సర్క్యూట్ కంటే 190.9 mph (307.2 కిమీ/గం) వద్ద ప్రపంచ వేగవంతమైన రికార్డును సృష్టించింది. [18] [19] వేగంగా ఉం"&amp;"డటంతో పాటు, రోటర్‌క్రాఫ్ట్ భద్రతా లక్షణాన్ని కలిగి ఉంది: ఇది ఒక ఇంజిన్‌తో దాని ప్రొపెల్లర్ రెక్కలుతో మూసివేయబడుతుంది మరియు ప్రోటోటైప్ అనేక ల్యాండింగ్‌లను ఆటోజీరోగా ప్రదర్శించింది. ఈ నమూనా ఫర్న్‌బరో మరియు పారిస్ ఎయిర్ షోలలో చాలాసార్లు ప్రదర్శించబడింది, క్ర"&amp;"మం తప్పకుండా అద్భుతమైన చూపరులు. ఒక సందర్భంలో, ఇది 100 అడుగుల గిర్డర్ వంతెనను కూడా ఎత్తివేసింది. [20] రోటోడిన్ యొక్క చిట్కా డ్రైవ్ మరియు అన్‌లోడ్ చేసిన రోటర్ స్వచ్ఛమైన హెలికాప్టర్లు మరియు ఇతర రకాల ""కన్వర్టిప్లేన్‌లతో"" పోల్చినప్పుడు దాని పనితీరును చాలా మె"&amp;"రుగ్గా చేసింది. ఈ విమానం 175 kN (324 km/h) వద్ద ఎగరవచ్చు మరియు ఎటువంటి ప్రతికూల నిర్వహణ లక్షణాలను ప్రదర్శించకుండా నిటారుగా క్లైంబింగ్ మలుపులోకి లాగవచ్చు. ప్రపంచవ్యాప్తంగా, ప్రత్యక్ష నగరం నుండి సిటీ రవాణా యొక్క అవకాశంలో ఆసక్తి పెరుగుతోంది. రోటోడిన్ యొక్క మ"&amp;"ార్కెట్ మీడియం-హాల్ ""ఫ్లయింగ్ బస్సు"": ఇది లోపలి-నగర హెలిపోర్ట్ నుండి నిలువుగా పడుతుంది, అన్ని లిఫ్ట్ చిట్కా-జెట్ నడిచే రోటర్ నుండి వస్తుంది, ఆపై ఎయిర్‌స్పీడ్‌ను పెంచుతుంది, చివరికి అన్నింటికీ పెరుగుతుంది రోటర్ ఆటోరోటేటింగ్‌తో ప్రొపెల్లర్లకు బదిలీ చేయబడి"&amp;"న ఇంజిన్ల నుండి శక్తి. ఈ మోడ్‌లో, రోటర్ యొక్క సామూహిక పిచ్ మరియు అందువల్ల లాగడం తగ్గించవచ్చు, ఎందుకంటే రెక్కలు క్రాఫ్ట్ బరువులో సగం వరకు పడుతుంది. రోటోడిన్ అప్పుడు మరొక నగరానికి 150 kN (280 km/h) వేగంతో ప్రయాణిస్తుంది, ఉదా., లండన్ నుండి పారిస్, ఇక్కడ రోటర"&amp;"్ టిప్-జెట్ వ్యవస్థ నగర కేంద్రంలో నిలువుగా దిగడానికి పున ar ప్రారంభించబడుతుంది. రోటోడిన్ దిగి, రోటర్ కదలడం మానేసినప్పుడు, దాని బ్లేడ్లు హబ్ నుండి క్రిందికి పడిపోయాయి. స్టార్టప్‌లో నిలువు స్టెబిలైజర్‌లను కొట్టకుండా ఉండటానికి, ఈ రెక్కల చిట్కాలు క్షితిజ సమాం"&amp;"తరంగా కోణించబడ్డాయి. రోటర్ తిప్పిన తర్వాత అవి పెరిగాయి. జనవరి 1959 నాటికి, బ్రిటిష్ యూరోపియన్ ఎయిర్‌వేస్ (BEA) ఆరు విమానాల కొనుగోలుపై ఆసక్తి కలిగి ఉందని ప్రకటించింది, 20 వరకు అవకాశం ఉంది, మరియు శబ్ద స్థాయిలతో సహా అన్ని అవసరాలు అనే షరతుపై, అలాంటి ఉద్దేశ్య "&amp;"లేఖను జారీ చేసింది. , కలుసుకున్నారు. [21] రాయల్ వైమానిక దళం (RAF) 12 సైనిక రవాణా సంస్కరణలకు కూడా ఒక ఉత్తర్వు ఇచ్చింది. న్యూయార్క్ ఎయిర్‌వేస్ ఒక్కొక్కటి $ 2 మిలియన్లకు ఐదు గంటలకు కొనుగోలు చేయడానికి ఒక లేఖపై సంతకం చేసింది, అర్హతలతో ఇంకా 15 మంది ఎంపికతో, పెద"&amp;"్ద రోటోడిన్ హెలికాప్టర్ల సగం సీటు మైలు ఖర్చుతో పనిచేయగలదని లెక్కించిన తరువాత; [21] [22 ] అయినప్పటికీ, 10 నుండి 50 మైళ్ళ దూరంలో యూనిట్ ఖర్చులు చాలా ఎక్కువగా పరిగణించబడ్డాయి, మరియు సివిల్ ఏరోనాటిక్స్ బోర్డు రోటర్‌క్రాఫ్ట్‌ను సుదీర్ఘ మార్గాల్లో స్థిర-వింగ్‌త"&amp;"ో పోటీ పడటానికి వ్యతిరేకం చేసింది. [23] రోటోడిన్ ప్రోటోటైప్‌ను అంచనా వేయడానికి బ్రిటన్‌కు ఒక బృందాన్ని పంపిన జపాన్ ఎయిర్ లైన్స్, టోక్యో విమానాశ్రయం మరియు నగరానికి మధ్య రోటోడియాన్‌తో ప్రయోగాలు చేస్తామని పేర్కొంది మరియు టోక్యో-ఒసాకా మార్గంలో కూడా దీనిని ఉపయ"&amp;"ోగించటానికి ఆసక్తి కలిగి ఉంది. [15] [15] [15] [15] [15] [15] [15] [15] [15] [15] [15] [15] [15] [15] [15] 24] పుకార్ల ప్రకారం, యు.ఎస్. సైన్యం 200 రోటోడైన్స్ కొనడానికి కూడా ఆసక్తి చూపింది. [25] ఫెయిరీ అమెరికన్ మ్యూచువల్ ఎయిడ్ ప్రోగ్రాం నుండి నిధులు సమకూర్చ"&amp;"డానికి ఆసక్తి చూపించాడు, కాని అవసరమైన 25 రోటర్‌క్రాఫ్ట్‌ను ఆర్డర్ చేయడానికి RAF ని ఒప్పించలేకపోయాడు; ఒకానొక సమయంలో, సంస్థ తూర్పు విమానయాన సంస్థలకు ఒకే రోటోడిన్‌ను అందించాలని కూడా భావించింది, ఫెయిరీ యొక్క యు.ఎస్. యుఎస్ కస్టమర్ల కోసం ఉద్దేశించిన అన్ని రోటోడ"&amp;"ిస్‌ను కనెక్టికట్‌లోని బ్లూమ్‌ఫీల్డ్‌లో కమాన్ తయారు చేశారు. [26] BEA నుండి సంస్థ ఉత్తర్వులు పొందవచ్చని ప్రభుత్వం నుండి ఫైనాన్సింగ్ మళ్ళీ భద్రపరచబడింది. పౌర ఆదేశాలు శబ్దం సమస్యలపై సంతృప్తికరంగా నెరవేర్చడంపై ఆధారపడి ఉన్నాయి; ఈ కారకం యొక్క ప్రాముఖ్యత 1955 నా"&amp;"టికి ఫెయిరీ 40 వేర్వేరు శబ్దం సప్రెజర్లను అభివృద్ధి చేయడానికి దారితీసింది. [27] డిసెంబర్ 1955 లో, డాక్టర్ హిస్లాప్ శబ్దం సమస్యను 'తొలగించవచ్చని' తనకు ఖచ్చితంగా తెలుసు. వుడ్ ప్రకారం, విమాన పరీక్ష సమయంలో రోటోడియ్‌తో వెల్లడైన రెండు తీవ్రమైన సమస్యలు శబ్దం సమస"&amp;"్య మరియు రోటర్ వ్యవస్థ యొక్క బరువు, రెండోది 3,270 పౌండ్ల అసలు ప్రొజెక్షన్ కంటే 2,233 పౌండ్లు. [13] 1959 లో, బ్రిటిష్ ప్రభుత్వం, ఖర్చులను తగ్గించాలని కోరుతూ, విమాన సంస్థల సంఖ్యను తగ్గించాలని మరియు ఎయిర్ఫ్రేమ్ మరియు ఏరో-ఇంజిన్ కంపెనీలలో విలీనాల కోసం తన అంచన"&amp;"ాలను నిర్దేశించాలని నిర్ణయించింది. రక్షణ ఒప్పందాలకు ప్రాప్యతను ఆలస్యం చేయడం లేదా నిలిపివేయడం ద్వారా, బ్రిటిష్ సంస్థలు విలీనాలలోకి బలవంతం చేయబడతాయి; విమానయాన మంత్రి డంకన్ శాండిస్ ఈ విధానాన్ని ఫెయిరీకి వ్యక్తం చేశారు మరియు రోటోడిన్ కోసం నిరంతర ప్రభుత్వ మద్ద"&amp;"తు యొక్క ధర ఫెయిరీ విమానయాన రంగంలోని అన్ని ఇతర కార్యక్రమాల నుండి వాస్తవంగా ఉపసంహరించుకోవడం అని తెలిసింది. [25] అంతిమంగా, సాండర్స్-రో మరియు బ్రిస్టల్ యొక్క హెలికాప్టర్ విభాగం వెస్ట్‌ల్యాండ్‌తో కలిసిపోయాయి; మే 1960 లో, ఫైరీ ఏవియేషన్‌ను వెస్ట్‌ల్యాండ్ కూడా స"&amp;"్వాధీనం చేసుకుంది. ఈ సమయానికి, రోటోడిన్ 350 విమానాలలో 120 గంటలు దాదాపు 1,000 మందికి ఎగిరింది మరియు హెలికాప్టర్ మరియు ఆటోగిరో మధ్య మొత్తం 230 పరివర్తనాలను నిర్వహించింది - ప్రమాదాలు లేకుండా. [25] [28] 1958 నాటికి, ట్రెజరీ అప్పటికే ఈ కార్యక్రమానికి మరింత ఫైన"&amp;"ాన్సింగ్ కోసం తన వ్యతిరేకతను వ్యక్తం చేస్తోంది. [15] 6 జూన్ 1958 న సరఫరా మంత్రి ఆబ్రే జోన్స్‌కు రాసిన అప్పటి ప్రధానమంత్రి హెరాల్డ్ మాక్మిలన్‌కు ఈ విషయం పెరిగింది, ""ఈ ప్రాజెక్ట్ చనిపోవడానికి అనుమతించకూడదు"" అని పేర్కొంది. జారీ మరియు ఆర్డర్ ద్వారా రోటోడిన్"&amp;"‌కు మద్దతు ఇచ్చే BEA పై గణనీయమైన ప్రాముఖ్యత ఉంచబడింది; ఏదేమైనా, దాని పనితీరు, ఆర్థిక వ్యవస్థ మరియు శబ్దం ప్రమాణాలపై హామీలు ఇవ్వబడిందని సంతృప్తి చెందే వరకు విమానయాన సంస్థ విమానాన్ని సేకరించడానికి నిరాకరించింది. [15] వెస్ట్‌ల్యాండ్‌తో ఫెయిరీ విలీనం అయిన కొద"&amp;"్దికాలానికే, రెండోది రోటోడిన్ కోసం million 4 మిలియన్ల అభివృద్ధి ఒప్పందంతో జారీ చేయబడింది, ఇది BEA తో టైప్ ఎంటర్ సేవను చూడటానికి ఉద్దేశించబడింది. [25] రోటోడిన్ ప్రోటోటైప్‌తో విమాన పరీక్షలు కొనసాగుతున్నందున, ఫైరీ నేపియర్ మరియు ఎలాండ్ ఇంజిన్‌లతో ఎక్కువగా అసం"&amp;"తృప్తి చెందాడు, ఎందుకంటే రెండోదాన్ని మెరుగుపరిచే పురోగతి expected హించిన దానికంటే తక్కువగా ఉంది. [15] రోటోడిన్ యొక్క విస్తరించిన 48-సీట్ల మోడల్ సాధించటానికి, UPRATED 3,500 EHP ELAND N.E1.7 అవసరం; పెద్ద విమానాలను ఉత్పత్తి చేయడానికి అవసరమైన million 7 మిలియన"&amp;"్లలో, million 3 మిలియన్లు దాని ఇంజిన్ల కోసం ఉంటాయి. బీ ముఖ్యంగా పెద్ద విమానానికి మద్దతుగా ఉంది, 66 మంది ప్రయాణీకులకు కూర్చునే అవకాశం ఉంది, దీనికి ఇంకా ఎక్కువ మొత్తంలో డబ్బు అవసరం. [15] ఫెయిరీ అప్పటికే ఎలాండ్ ఇంజిన్ యొక్క పనితీరును సాధించడానికి కష్టపడుతున్"&amp;"నాడు మరియు అవసరమైన శక్తిని పొందడానికి ధనిక ఇంధన మిశ్రమాన్ని అవలంబించడాన్ని ఆశ్రయించాడు, దీని యొక్క దుష్ప్రభావం ఏమిటంటే, గుర్తించదగిన శబ్దం సమస్యను మరింత తీవ్రతరం చేయడం మరియు ఇంధన సామర్థ్యాన్ని తగ్గించడం. [29 ] ELAND తో సమస్యలను పరిష్కరించలేకపోతున్న ఫలితంగ"&amp;"ా, ఫెయిరీ ప్రత్యర్థి రోల్స్ రాయిస్ టైన్ టర్బోప్రాప్ ఇంజిన్‌ను బదులుగా పెద్ద రోటోడిన్ Z ని శక్తివంతం చేయడానికి ఎంచుకున్నాడు. [26] 57 నుండి 75 మంది ప్రయాణీకులను తీసుకోవడానికి పెద్ద రోటోడిన్ Z డిజైన్‌ను అభివృద్ధి చేయవచ్చు మరియు టైన్ ఇంజన్లు (5,250 SHP/3,910 "&amp;"kW) కలిగి ఉన్నప్పుడు, 200 kN (370 km/h) క్రూజింగ్ వేగం కలిగి ఉంటుంది. ఇది దాదాపు 8 టన్నుల (7 టన్నులు) సరుకు రవాణా చేయగలదు; సరుకులలో కొన్ని బ్రిటిష్ ఆర్మీ వాహనాలు మరియు కొన్ని ఫైటర్ విమానాల చెక్కుచెదరకుండా ఉండే ఫ్యూజ్‌లేజ్ కూడా దాని ఫ్యూజ్‌లేజ్‌కు సరిపోతుం"&amp;"ది. [30] ఇది వాహనాలు మరియు మొత్తం విమానాలతో సహా పెద్ద సరుకులను బాహ్యంగా వైమానిక క్రేన్‌గా తీసుకెళ్లగలిగింది. తరువాతి ప్రతిపాదనల ప్రకారం, రోటోడిన్ Z లో 58,500 పౌండ్ల స్థూల బరువు, 109 అడుగుల విస్తరించిన రోటర్ వ్యాసం మరియు 75 అడుగుల వ్యవధిలో దెబ్బతిన్న రెక్క"&amp;". [31] ఏదేమైనా, టైన్ ఇంజన్లు కూడా పెద్ద డిజైన్ కోసం తక్కువ శక్తిగా కనిపించడం ప్రారంభించాయి. రోటోడిన్ Z రెండింటికి మరియు టైన్ ఇంజిన్ యొక్క నమూనాకు శక్తివంతం కావడానికి 50 శాతం అభివృద్ధి ఖర్చులకు సరఫరా మంత్రిత్వ శాఖ ప్రతిజ్ఞ చేసింది. [25] ఫెయిరీ తన మద్దతును "&amp;"సాధించడానికి కఠినమైన ప్రయత్నాలు చేసినప్పటికీ, RAF నుండి ఆశించిన క్రమం కార్యరూపం దాల్చలేదు - ఆ సమయంలో, ఈ సేవకు డిజైన్ పట్ల ప్రత్యేక ఆసక్తి లేదు, అణు నిరోధకత సమస్యను సమర్థవంతంగా పరిష్కరించడంపై ఎక్కువ దృష్టి పెట్టారు. [31] పరీక్షలు కొనసాగుతున్నప్పుడు, అనుబంధ"&amp;" ఖర్చులు మరియు రోటోడిన్ యొక్క బరువు రెండూ పెరుగుతూనే ఉన్నాయి; వుడ్ ప్రకారం శబ్దం సమస్య కొనసాగుతూనే ఉంది: ""సైలెన్సర్లు తరువాత దానిని ఆమోదయోగ్యమైన స్థాయికి తగ్గిస్తారని సంకేతాలు ఉన్నాయి"". [31] అభివృద్ధి ఖర్చులు వెస్ట్‌ల్యాండ్ మరియు ప్రభుత్వాల మధ్య సగం మరి"&amp;"యు సగం పంచుకున్నప్పటికీ, అభివృద్ధిని పూర్తి చేయడానికి మరియు ఉత్పత్తి-సిద్ధంగా ఉన్న స్థితిని సాధించడానికి ఇంకా million 9 మిలియన్లను అందించాల్సిన అవసరం ఉందని సంస్థ నిర్ణయించింది. [31] 18 ప్రొడక్షన్ రోటోడైన్స్ కోసం బ్రిటిష్ ప్రభుత్వానికి అభ్యర్థించిన కొటేషన్"&amp;" జారీ చేసిన తరువాత, RAF కోసం 12 మరియు BEA కోసం 6, ఆర్థిక కారణాల వల్ల ఈ ప్రాజెక్టుకు తదుపరి మద్దతు జారీ చేయబడదని ప్రభుత్వం స్పందించింది. దీని ప్రకారం, 26 ఫిబ్రవరి 1962 న, రోటోడిన్ కోసం అధికారిక నిధులు 1962 ప్రారంభంలో ముగించబడ్డాయి. [9] [32] రోటోడిన్ కోసం బ"&amp;"ీ తన సొంత క్రమాన్ని ఉంచడాన్ని నిరాకరించినప్పుడు ప్రాజెక్ట్ యొక్క చివరి ముగింపు వచ్చింది, ప్రధానంగా హై-ప్రొఫైల్ చిట్కా-జెట్ శబ్దం సమస్యకు సంబంధించి దాని ఆందోళనల కారణంగా. వెస్ట్‌ల్యాండ్‌లోని కార్పొరేట్ నిర్వహణ ఉత్పత్తి స్థితి వైపు రోటోడిన్ యొక్క మరింత అభివృ"&amp;"ద్ధికి అవసరమైన పెట్టుబడికి విలువైనది కాదని నిర్ణయించింది. [33] ఈ విధంగా ప్రపంచంలోని మొట్టమొదటి నిలువు టేకాఫ్ మిలిటరీ/సివిల్ ట్రాన్స్‌పోర్ట్ రోటర్‌క్రాఫ్ట్‌పై అన్ని పనులను ముగించారు. [34] ఈ కార్యక్రమం ముగిసిన తరువాత, ప్రభుత్వ ఆస్తి అయిన రోటోడిన్ అనే ప్రోటో"&amp;"టైప్, బ్రిస్టల్ బ్రబజోన్‌ను గుర్తుచేసే పద్ధతిలో కూల్చివేయబడింది మరియు ఎక్కువగా నాశనం చేయబడింది. ఒకే ఫ్యూజ్‌లేజ్ బే, చిత్రంగా, ప్లస్ రోటర్లు మరియు రోటర్‌హెడ్ మాస్టీ నుండి బయటపడ్డారు మరియు వెస్టన్-సూపర్-మేరేలోని హెలికాప్టర్ మ్యూజియంలో ప్రదర్శనలో ఉన్నాయి. రో"&amp;"టోడిన్ యొక్క గొప్ప విమర్శ జెట్ చేసిన చిట్కా శబ్దం; ఏది ఏమయినప్పటికీ, బయలుదేరే మరియు ల్యాండింగ్ సమయంలో జెట్‌లు నిమిషాల వ్యవధిలో పూర్తి శక్తితో నడుస్తున్నాయి మరియు వాస్తవానికి, టెస్ట్ పైలట్ రాన్ గెలాట్లీ సెంట్రల్ లండన్ మీదుగా రెండు విమానాలు మరియు బాటర్సీ హె"&amp;"లిపోర్ట్ వద్ద అనేక ల్యాండింగ్‌లు మరియు నిష్క్రమణలు ఎటువంటి ఫిర్యాదులు నమోదు చేయబడలేదు, [35 ] హాకర్ సిడ్లీ హారియర్ యొక్క చీఫ్ టెస్ట్ పైలట్ జాన్ ఫర్లే తరువాత ఇలా వ్యాఖ్యానించినప్పటికీ: రెండు మైళ్ళ దూరంలో నుండి ఇది సంభాషణను ఆపివేస్తుంది. నా ఉద్దేశ్యం, రోటర్ "&amp;"యొక్క చిట్కాలపై ఆ చిన్న జెట్ల శబ్దం వర్ణించలేనిది. కాబట్టి మనకు ఏమి వచ్చింది? ప్రపంచం ఇంకా వచ్చిన ధ్వనించే వాహనం మరియు మీరు దానిని ఒక నగరం మధ్యలో అంటుకోబోతున్నారా? [36] శబ్దం స్థాయిని 113 డిబి నుండి తగ్గించగలిగింది, ఇది శబ్దం-తగ్గింపు కార్యక్రమం జరిగింది."&amp;" 600 అడుగుల (180 మీ) దూరంలో 96 డిబి యొక్క కావలసిన స్థాయికి, లండన్ భూగర్భ రైలు చేసిన శబ్దం కంటే తక్కువ, మరియు రద్దు చేసే సమయంలో, సైలెన్సర్లు అభివృద్ధిలో ఉన్నారు, ఇది శబ్దాన్ని మరింత తగ్గించేది - 95 తో DB 200 అడుగుల ""fore హించండి"", [37] పరిమితి రోటర్ సృష్"&amp;"టించిన శబ్దం. [38] అయితే, ఈ ప్రయత్నం BEA కి సరిపోదు, ఇది ఛైర్మన్ షోల్టో డగ్లస్ వ్యక్తం చేసినట్లుగా, ""శబ్దం కారణంగా ఆపరేట్ చేయలేని విమానాన్ని కొనుగోలు చేయదు"", మరియు విమానయాన సంస్థ రోటోడిన్‌ను ఆర్డర్ చేయడానికి నిరాకరించింది, ఇది పతనానికి దారితీసింది ప్రాజ"&amp;"ెక్ట్ యొక్క. అగస్టావెస్ట్‌ల్యాండ్ AW609 మరియు కార్టర్‌కాప్టర్/PAV వంటి విమానాలతో ప్రత్యక్ష నగరం నుండి సిటీ రవాణాలో వడ్డీని తిరిగి స్థాపించారు. 2010 యూరోకాప్టర్ X3 ప్రయోగాత్మక హెలికాప్టర్ రోటోడిన్ యొక్క సాధారణ ఆకృతీకరణను పంచుకుంటుంది, కానీ ఇది చాలా చిన్నది"&amp;". భవిష్యత్ అభివృద్ధికి అనేక వినూత్న గైరోడిన్ నమూనాలు ఇప్పటికీ పరిగణించబడుతున్నాయి. [39] ఫైరీ రోటోడిన్ ఒక పెద్ద హైబ్రిడ్ రోటర్‌క్రాఫ్ట్, దీనిని సమ్మేళనం గైరోప్లేన్ లేదా గైరోడిన్ అని పిలుస్తారు. వుడ్ ప్రకారం, ఇది ""దాని రోజులో అతిపెద్ద రవాణా హెలికాప్టర్"". "&amp;"[6] ఇది 40 మరియు 50 మంది ప్రయాణీకుల మధ్య కూర్చునే సామర్థ్యం ఉన్న ఆవశ్యకకమైన దీర్ఘచతురస్రాకార ఫ్యూజ్‌లేజ్‌ను కలిగి ఉంది; ఒక జత డబుల్-క్లామ్‌షెల్ తలుపులు ప్రధాన క్యాబిన్ వెనుక భాగంలో ఉంచబడ్డాయి, తద్వారా సరుకు మరియు వాహనాలను కూడా లోడ్ చేసి అన్‌లోడ్ చేయవచ్చు."&amp;" [6] రోటోడిన్ పెద్ద, నాలుగు-బ్లేడెడ్ రోటర్ మరియు రెండు నేపియర్ ఎలాండ్ N.E.L.3 టర్బోప్రోప్స్ కలిగి ఉంది, ఒకటి ప్రతి స్థిర రెక్కల క్రింద అమర్చబడి ఉంటుంది. [6] రోటర్ బ్లేడ్లు లోడ్-బేరింగ్ స్పార్ చుట్టూ సుష్ట ఏరోఫాయిల్. గురుత్వాకర్షణ ఆందోళనల కేంద్రం కారణంగా ఏ"&amp;"రోఫాయిల్ ఉక్కు మరియు తేలికపాటి మిశ్రమంతో తయారు చేయబడింది. అదేవిధంగా, స్పార్ మందపాటి మెషిన్డ్ స్టీల్ బ్లాక్ నుండి ముందరి వరకు ఏర్పడింది మరియు మడతపెట్టిన మరియు రివర్టెడ్ స్టీల్ నుండి వెనుక వరకు ఏర్పడిన తేలికైన సన్నని విభాగం. సంపీడన గాలి బ్లేడ్ లోపల మూడు స్ట"&amp;"ీల్ గొట్టాల ద్వారా మార్చబడింది. [40] చిట్కా-జెట్ దహన గదులు నిమోనిక్ 80 తో కూడి ఉన్నాయి, ఇవి నిమోనిక్ 75 నుండి తయారైన లైనర్‌లతో పూర్తి చేయబడ్డాయి. టేకాఫ్ మరియు ల్యాండింగ్ కోసం, రోటర్ చిట్కా-జెట్స్ చేత నడపబడుతుంది. ప్రధాన ఇంజిన్ల నుండి ఒక క్లచ్ ద్వారా నడిచే"&amp;" కంప్రెషర్ల ద్వారా గాలిని ఉత్పత్తి చేసింది. ఇది రెక్కల ప్రముఖ అంచున మరియు రోటర్ హెడ్ వరకు డక్టింగ్ ద్వారా తినిపించబడింది. ప్రతి ఇంజిన్ ఒక జత వ్యతిరేక రోటర్లకు గాలిని సరఫరా చేసింది; సంపీడన గాలిని ఇంధనంతో కలిపి కాల్చారు. [41] టోర్క్‌లెస్ రోటర్ వ్యవస్థగా, యా"&amp;"ంటీ-టార్క్ దిద్దుబాటు వ్యవస్థ అవసరం లేదు, అయినప్పటికీ తక్కువ-స్పీడ్ యా కంట్రోల్ కోసం ప్రొపెల్లర్ పిచ్‌ను చుక్కాని పెడల్స్ నియంత్రించాయి. రోటర్ ఆటోరోటేటెడ్ అయితే ప్రొపెల్లర్లు అనువాద విమానానికి థ్రస్ట్ అందించాయి. సాంప్రదాయిక హెలికాప్టర్‌లో వలె కాక్‌పిట్ ని"&amp;"యంత్రణలలో చక్రీయ మరియు సామూహిక పిచ్ లివర్ ఉన్నాయి. [33] హెలికాప్టర్ మరియు ఫ్లైట్ యొక్క ఆటోజీరో మోడ్‌ల మధ్య పరివర్తన 60 mph, [35] (ఇతర వనరులు ఇది 110 నాట్ల చుట్టూ సంభవిస్తుందని పేర్కొంది [42]); చిట్కా-జెట్లను చల్లార్చడం ద్వారా పరివర్తన సాధించబడుతుంది. ఆటోగ"&amp;"్రెరో ఫ్లైట్ సమయంలో, రోటోక్రాఫ్ట్ యొక్క ఏరోడైనమిక్ లిఫ్ట్ యొక్క సగం వరకు రెక్కలు అందించబడ్డాయి, ఇది అధిక వేగాన్ని సాధించడానికి కూడా వీలు కల్పించింది. [35] 1915 నుండి ఫెయిరీ విమానం నుండి వచ్చిన డేటా, [43] గోబెల్ 2015, [44] గిబ్బింగ్స్ 2011, [45] జేన్ యొక్క"&amp;" ఆల్ ది వరల్డ్ విమానాలు 1958-59.")</f>
        <v>ఫైరీ రోటోడిన్ 1950 ల బ్రిటిష్ సమ్మేళనం గైరోప్లేన్, ఇది ఫెయిరీ ఏవియేషన్ చేత రూపొందించబడింది మరియు వాణిజ్య మరియు సైనిక ఉపయోగాల కోసం ఉద్దేశించబడింది. [2] ప్రపంచ హెలికాప్టర్ స్పీడ్ రికార్డ్‌ను స్థాపించిన మునుపటి గైరోడిన్ యొక్క అభివృద్ధి, రోటోడిన్‌లో చిట్కా-జెట్-శక్తితో పనిచేసే రోటర్‌ను కలిగి ఉంది, ఇది రెండు వింగ్-మౌంటెడ్ నేపియర్ ఎలాండ్ టర్బోప్రాప్‌ల నుండి రక్తస్రావం మరియు సంపీడన గాలి మిశ్రమాన్ని కాల్చివేసింది. రోటర్ నిలువు టేకాఫ్‌లు, ల్యాండింగ్‌లు మరియు హోవర్, అలాగే తక్కువ-స్పీడ్ ట్రాన్స్లేషనల్ ఫ్లైట్ కోసం నడపబడింది, కాని క్రూయిజ్ ఫ్లైట్ సమయంలో ఆటోరోటేటెడ్ అన్ని ఇంజిన్ శక్తితో రెండు ప్రొపెల్లర్లకు వర్తించబడుతుంది. ఒక నమూనా నిర్మించబడింది. రోటోడిన్ కాన్సెప్ట్‌లో ఆశాజనకంగా మరియు ట్రయల్స్‌లో విజయవంతం అయినప్పటికీ, ఈ కార్యక్రమం చివరికి రద్దు చేయబడింది. ఏవైనా వాణిజ్య ఆర్డర్‌లను ఆకర్షించడంలో విఫలమైన రకానికి ఈ ముగింపు కారణమని చెప్పబడింది; విమానంలో ఉత్పత్తి చేయబడిన రోటర్ చిట్కా జెట్ శబ్దం యొక్క అధిక స్థాయిలో ఇది కొంతవరకు ఉంది. ఆర్డర్లు లేకపోవడంలో రాజకీయాలు కూడా ఒక పాత్ర పోషించాయి (ఈ ప్రాజెక్ట్ ప్రభుత్వ నిధులు), ఇది చివరికి ఈ ప్రాజెక్టును విచారకరంగా ఉంది. 1930 ల చివరి నుండి, రోటరీ-వింగ్ విమానాల రూపంలో ఏరోనాటిక్స్ యొక్క పూర్తిగా కొత్త రంగంలో గణనీయమైన పురోగతి సాధించబడింది. [3] రెండవ ప్రపంచ యుద్ధం ప్రారంభమయ్యే ముందు బ్రిటన్లో కొంత పురోగతి సాధించినప్పటికీ, విమానయాన పరిశ్రమపై ఉంచిన యుద్ధకాల ప్రాధాన్యతలు అంటే రోటర్‌క్రాఫ్ట్ మరియు హెలికాప్టర్లను అభివృద్ధి చేయడానికి బ్రిటిష్ కార్యక్రమాలు ఉత్తమంగా అట్టడుగున ఉన్నాయి. యుద్ధానంతర వాతావరణంలో, రాయల్ వైమానిక దళం (RAF) మరియు రాయల్ నేవీ అమెరికన్-అభివృద్ధి చెందిన హెలికాప్టర్లను సికోర్స్కీ R-4 మరియు సికోర్స్కీ R-6 రూపంలో సేకరించడానికి ఎన్నుకున్నారు, స్థానికంగా హోవర్‌ఫ్లై I మరియు హోవర్‌ఫ్లై II అని పిలుస్తారు . [[ ఈ రోటర్‌క్రాఫ్ట్ యొక్క ఆపరేషన్ నుండి అనుభవం, స్వాధీనం చేసుకున్న జర్మన్ హెలికాప్టర్ ప్రోటోటైప్‌లపై నిర్వహించిన విస్తృతమైన పరీక్షతో పాటు, బ్రిటన్ యొక్క సొంత అధునాతన రోటర్‌క్రాఫ్ట్‌ను అభివృద్ధి చేయడంలో సాయుధ సేవలు మరియు పరిశ్రమలలో గణనీయమైన ఆసక్తిని ప్రేరేపించింది. [3] ఫైరీ ఏవియేషన్ అనేది రోటరీ-వింగ్ విమానం యొక్క సంభావ్యతతో ఆశ్చర్యపోయిన ఒక సంస్థ, మరియు స్పెసిఫికేషన్ E.16/47 ప్రకారం ఫైరీ FB-1 గైరోడిన్‌ను అభివృద్ధి చేయడానికి ముందుకు సాగింది. [4] గైరోడిన్ ఒక ప్రత్యేకమైన విమానం, ఇది ఆటోజీరో మరియు హెలికాప్టర్‌తో సహా మూడవ రకం రోటర్‌క్రాఫ్ట్‌ను నిర్వచించింది. తరువాతి రోటోడియాన్‌తో చాలా తక్కువగా ఉన్నందున, దాని ఆవిష్కర్త డాక్టర్ జాజ్ బెన్నెట్, గతంలో రెండవ ప్రపంచ యుద్ధం సియర్వా ఆటోగిరో కంపెనీ యొక్క చీఫ్ టెక్నికల్ ఆఫీసర్ డాక్టర్ జాజ్ బెన్నెట్, ఆటోజీరో యొక్క భద్రత మరియు సరళతను మిళితం చేయడానికి రూపొందించిన ఇంటర్మీడియట్ విమానం వలె రూపొందించబడింది. పనితీరు. సామూహిక పిచ్ షాఫ్ట్ టార్క్ యొక్క ఆటోమేటిక్ ఫంక్షన్ కావడంతో దాని రోటర్ ఫ్లైట్ యొక్క అన్ని దశలలో నడపబడింది, సైడ్-మౌంటెడ్ ప్రొపెల్లర్ ఫార్వర్డ్ ఫ్లైట్ మరియు రోటర్ టార్క్ దిద్దుబాటు కోసం థ్రస్ట్ రెండింటినీ అందిస్తుంది. 28 జూన్ 1948 న, ప్రపంచ ఎయిర్‌స్పీడ్ రికార్డును సాధించినప్పుడు పరీక్ష విమానాల సమయంలో FB-1 దాని సామర్థ్యాన్ని నిరూపించింది, ఇది 124.3 mph (200.0 కిమీ/గం) నమోదు చేసిన వేగాన్ని సాధించింది. [5] అయితే ఈ కార్యక్రమం ఇబ్బంది లేనిది కాదు, రోటర్ బ్లేడ్ ఫ్లాపింగ్ లింక్ నిలుపుకునే గింజ యొక్క పేలవమైన మ్యాచింగ్ కారణంగా ఏప్రిల్ 1949 లో సంభవించే ప్రోటోటైప్‌లలో ఒక ప్రాణాంతక ప్రమాదం. [5] ప్రతి స్టబ్ వింగ్ యొక్క కొన వద్ద అమర్చిన ప్రొపెల్లర్లు అందించిన ప్రొపల్షన్‌తో చిట్కా-జెట్ నడిచే రోటర్‌ను పరిశోధించడానికి రెండవ FB-1 సవరించబడింది, ఇది జెట్ గైరోడిన్ అని పేరు మార్చబడింది. [6] 1951 మరియు 1952 లలో, బ్రిటిష్ యూరోపియన్ ఎయిర్‌వేస్ (BEA) ప్రయాణీకుల మోగిన రోటర్‌క్రాఫ్ట్ కోసం అంతర్గతంగా దాని స్వంత అవసరాన్ని రూపొందించింది, దీనిని సాధారణంగా బీలిన్-బస్ లేదా బీ బస్సును సూచిస్తారు. [7] ఇది షార్ట్-హాల్ విమానాల వలె పనిచేయగల బహుళ-ఇంజిన్ రోటర్‌క్రాఫ్ట్, BEA ఈ రకాన్ని సాధారణంగా ప్రధాన నగరాల మధ్య ఎగురవేయడం మరియు ఆర్థికంగా ఉండటానికి కనీసం 30 మంది ప్రయాణీకులను మోసుకెళ్ళేలా ed హించాడు; చొరవకు మద్దతుగా, సరఫరా మంత్రిత్వ శాఖ BEA అవసరానికి మద్దతుగా నిర్వహించడానికి వరుస డిజైన్ అధ్యయనాలను స్పాన్సర్ చేయడానికి ముందుకు సాగింది. పౌర మరియు ప్రభుత్వ సంస్థలు రెండూ అటువంటి రోటర్‌క్రాఫ్ట్ యొక్క అవసరాన్ని have హించాయి మరియు బ్రిటన్ యొక్క రవాణా నెట్‌వర్క్‌లో అవి సర్వసాధారణంగా మారడానికి ముందే అది కొంత సమయం మాత్రమే అని భావించారు. [7] BEA బస్సు అవసరాన్ని వివిధ రకాల ఫ్యూచరిస్టిక్ ప్రతిపాదనలతో తీర్చారు; ఆచరణాత్మక మరియు అసాధ్యమైన అసాధ్యమైన సమర్పణలు అనేక మంది తయారీదారులు చేశారు. [7] వీటిలో, ఫైరీ తన డిజైన్లను సమర్పించడానికి మరియు అవసరాన్ని తీర్చడానికి పాల్గొనడానికి ఎంచుకున్నారు; ఏవియేషన్ రచయిత డెరెక్ వుడ్ ప్రకారం: "ఒక డిజైన్, ముఖ్యంగా, వాగ్దానం చూపించినట్లు అనిపించింది మరియు ఇది ఫైరీ రోటోర్డిన్". [7] ఫెయిరీ విమానం కోసం బహుళ ఏర్పాట్లు మరియు కాన్ఫిగరేషన్లను ఉత్పత్తి చేసింది, సాధారణంగా ఉపయోగించిన పవర్‌ప్లాంట్లు మరియు అంతర్గత సామర్థ్యంలో మారుతూ ఉంటుంది; సంస్థ 26 జనవరి 1949 న మొదటి మంత్రిత్వ శాఖకు సమర్పించింది. రెండు నెలల్లోనే, ఫైరీ మరో మూడు ప్రత్యామ్నాయ సమర్పణలను ఉత్పత్తి చేశాడు, రోల్స్ రాయిస్ డార్ట్ మరియు ఆర్మ్‌స్ట్రాంగ్ సిడ్లీ మాంబ వంటి ఇంజిన్ల వాడకంపై కేంద్రీకృతమై ఉంది. [7] అక్టోబర్ 1950 లో, 16,000 పౌండ్ల అభివృద్ధికి ప్రారంభ ఒప్పందం, నాలుగు-బ్లేడెడ్ రోటర్‌క్రాఫ్ట్ ఇవ్వబడింది. [8] సంవత్సరాలుగా గణనీయంగా సవరించబడిన ఫైరీ డిజైన్, దాని అభివృద్ధికి తోడ్పడటానికి ప్రభుత్వ నిధులను పొందింది. [9] అభివృద్ధి ప్రారంభంలో, ఫెయిరీ దాని రూపకల్పనకు శక్తినిచ్చే ఇంజిన్లకు ప్రాప్యతను పొందడం కష్టమని నిరూపించబడింది. [8] నవంబర్ 1950 లో, రోల్స్ రాయిస్ చైర్మన్ లార్డ్ హివ్స్ తన సంస్థ యొక్క డిజైన్ వనరులు బహుళ ప్రాజెక్టులలో చాలా సన్నగా విస్తరించి ఉన్నాయని నిరసించారు; దీని ప్రకారం, ప్రారంభంలో ఎంచుకున్న DART ఇంజిన్ ప్రత్యర్థి సంస్థ ఆర్మ్‌స్ట్రాంగ్ సిడ్లీ యొక్క మాంబా ఇంజిన్‌కు మార్చబడింది. జూలై 1951 నాటికి, ఫెయిరీ రెండు మరియు మూడు-ఇంజిన్ లేఅవుట్లలో మాంబా ఇంజిన్‌ను ఉపయోగించి ప్రతిపాదనలను తిరిగి సమర్పించారు, వరుసగా 20,000 ఎల్బి (9.1 టి) మరియు 30,000 ఎల్బి (14 టి) బరువుకు మద్దతు ఇస్తుంది; మాంబా ఇంజిన్‌ను సహాయక కంప్రెషర్‌లకు జత చేసే స్వీకరణ కాన్ఫిగరేషన్‌ను కోబ్రా అని పిలుస్తారు. [8] ఆర్మ్‌స్ట్రాంగ్ సిడ్లీ చేసిన ఫిర్యాదుల కారణంగా, దీనికి కూడా వనరులు లేవని, ఫెయిరీ డి హవిలాండ్ గోబ్లిన్ మరియు రోల్స్ రాయిస్ డెర్వెంట్ టర్బోజెట్ వంటి ఇంజిన్ల యొక్క ప్రత్యామ్నాయ వినియోగాన్ని కూడా ప్రతిపాదించాడు. ఫార్వర్డ్ ప్రొపెల్లర్లను నడపడానికి. [8] ఫెయిరీ డి హవిలాండ్‌తో సానుకూల సంబంధాన్ని ఆస్వాదించలేదు, తద్వారా ఏప్రిల్ 1953 లో డి. నేపియర్ &amp; సన్ మరియు దాని ఎలాండ్ టర్బోషాఫ్ట్ ఇంజిన్ వైపు తిరగడానికి ఎంచుకున్నారు. [8] ఎలాండ్ ఎంపిక తరువాత, రోటర్‌క్రాఫ్ట్ యొక్క ప్రాథమిక రూపకల్పన, రోటోడిన్ వై అని పిలుస్తారు, త్వరలోనే ఉద్భవించింది; ఇది ఒక జత ELAND N.EL.3 ఇంజన్లు సహాయక కంప్రెషర్లతో మరియు పెద్ద-విభాగం నాలుగు-బ్లేడ్ మెయిన్ రోటర్, 33,000 పౌండ్ల బరువుతో అంచనా వేయబడింది. [8] అదే సమయంలో, రోటోడిన్ Z గా నియమించబడిన విస్తరించిన సంస్కరణ, మరింత శక్తివంతమైన ఎలాండ్ N.El.7 ఇంజన్లు మరియు 39,000 lb యొక్క మొత్తం బరువుతో కూడినది, కూడా ప్రతిపాదించబడింది. [10] ఏప్రిల్ 1953 లో, సరఫరా మంత్రిత్వ శాఖ రోటోడిన్ వై యొక్క ఒకే నమూనాను నిర్మించడానికి ఒప్పందం కుదుర్చుకుంది, ఇది ELAND ఇంజిన్ చేత శక్తినిస్తుంది, తరువాత పరిశోధన ప్రయోజనాల కోసం సీరియల్ నంబర్ XE521 తో నియమించబడింది. [6] ఒప్పందం కుదుర్చుకున్నట్లుగా, రోటోడిన్ దాని రోజులో అతిపెద్ద రవాణా హెలికాప్టర్, గరిష్టంగా 40 నుండి 50 మంది ప్రయాణికులను కలిగి ఉంటుంది, అదే సమయంలో 150 mph క్రూయిజ్ వేగం మరియు 250 నాటికల్ మైళ్ళ పరిధిని కలిగి ఉంది. అవార్డు సమయంలో, ఫైరీ 10 710,000 ఎయిర్‌ఫ్రేమ్‌ను ఉత్పత్తి చేసే ఖర్చులను భరిస్తుందని అంచనా వేశారు. [6] తక్కువ సమయంలో నియంత్రణ ఆమోదం పొందే విమానాన్ని దృష్టిలో ఉంచుకుని, ఫెయిరీ యొక్క డిజైనర్లు హెలికాప్టర్లు మరియు సారూప్య-పరిమాణ జంట-ఇంజిన్ విమానాల కోసం సివిల్ ఎయిర్‌వర్తెన్స్ అవసరాలను తీర్చడానికి పనిచేశారు. ఒక ఆరవ స్కేల్ రోటర్‌లెస్ మోడల్ స్థిర-వింగ్ పనితీరు కోసం విస్తృతంగా విండ్ టన్నెల్ పరీక్షించబడింది. పవర్డ్ రోటర్‌తో చిన్న (1/15 వ-స్కేల్) మోడల్ డౌన్‌వాష్ పరిశోధనల కోసం ఉపయోగించబడింది. [11] నమూనాను నిర్మిస్తున్నప్పుడు, కార్యక్రమానికి నిధులు సంక్షోభానికి చేరుకున్నాయి. రక్షణ వ్యయంలో కోతలు రక్షణ మంత్రిత్వ శాఖ తన మద్దతును ఉపసంహరించుకోవడానికి దారితీసింది, ఖర్చుల భారాన్ని ఏవైనా పౌర కస్టమర్‌కు నెట్టివేసింది. ఇతర అర్హతలతో, ఫైరీ మరియు నేపియర్ (వారి పేరెంట్ ఇంగ్లీష్ ఎలక్ట్రిక్ ద్వారా) వరుసగా రోటోడిన్ మరియు ఎలాండ్ ఇంజిన్ అభివృద్ధి ఖర్చులకు దోహదపడితేనే, ఈ ప్రాజెక్టుకు నిధులను నిర్వహించడానికి ప్రభుత్వం అంగీకరించింది. విధాన విషయాలపై ఫైరీతో విభేదాల ఫలితంగా, డాక్టర్ బెన్నెట్ కాలిఫోర్నియాలోని హిల్లర్ హెలికాప్టర్లలో చేరడానికి సంస్థను విడిచిపెట్టాడు; రోటోడిన్ యొక్క అభివృద్ధికి బాధ్యతను డాక్టర్ జార్జ్ ఎస్ హిస్లాప్ భావించారు, అతను సంస్థ యొక్క చీఫ్ ఇంజనీర్ అయ్యాడు. [6] పశ్చిమ లండన్‌లోని హిల్లింగ్‌డన్‌లోని హేస్‌లోని ఫెయిరీ యొక్క సౌకర్యం వద్ద ప్రోటోటైప్ యొక్క ఫ్యూజ్‌లేజ్, వింగ్స్ మరియు రోటర్ అసెంబ్లీ తయారీ జరిగింది, అయితే టైల్ అసెంబ్లీ నిర్మాణం స్టాక్‌పోర్ట్, గ్రేటర్ మాంచెస్టర్ మరియు ఫైనల్ అసెంబ్లీలోని స్టాక్‌పోర్ట్ లోని సంస్థ యొక్క కర్మాగారంలో జరిగింది. ఎయిర్ఫీల్డ్, మైడెన్‌హెడ్. [6] అదనంగా, ప్రోగ్రామ్‌కు మద్దతుగా RAF బోస్కోంబే వద్ద పూర్తి-స్థాయి స్టాటిక్ టెస్ట్ రిగ్ ఉత్పత్తి చేయబడింది; స్టాటిక్ రిగ్ పూర్తిగా కార్యాచరణ రోటర్ మరియు పవర్‌ప్లాంట్ అమరికను కలిగి ఉంది, ఇది మంత్రిత్వ శాఖకు 25 గంటల ఆమోదం పరీక్షతో సహా పలు సందర్భాల్లో ప్రదర్శించబడింది. [12] మొదటి నమూనా నిర్మాణం జరుగుతున్నప్పటికీ, రోటోడిన్ కోసం అవకాశాలు సానుకూలంగా కనిపించాయి; వుడ్ ప్రకారం, సివిల్ మరియు సైనిక క్వార్టర్స్ రెండింటి నుండి ఈ రకంలో ఆసక్తి ఉంది. [13] బీ ప్రోగ్రామ్ యొక్క పురోగతిని ఆసక్తితో పర్యవేక్షిస్తోంది; రోటర్‌క్రాఫ్ట్ యొక్క మిలిటరైజ్డ్ వెర్షన్ కోసం ఆర్డర్ ఇచ్చిన కొద్దిసేపటికే విమానయాన సంస్థ ఒక ఆర్డర్ ఇస్తుందని బాహ్యంగా expected హించబడింది. అమెరికన్ కంపెనీ కమాన్ హెలికాప్టర్లు కూడా ఈ ప్రాజెక్టుపై బలమైన ఆసక్తిని చూపించాయి మరియు పౌర మరియు సైనిక కస్టమర్లకు రోటోడిన్ యొక్క లైసెన్స్ పొందిన ఉత్పత్తికి సంస్థను సంస్థ పరిగణించినందున దీనిని దగ్గరగా అధ్యయనం చేసినట్లు తెలిసింది. [13] సైన్యం మరియు RAF ఆసక్తి కారణంగా, రోటోడిన్ అభివృద్ధికి కొంతకాలం రక్షణ బడ్జెట్ నుండి నిధులు సమకూర్చబడ్డాయి. [14] 1956 లో, డిఫెన్స్ రీసెర్చ్ పాలసీ కమిటీ ఈ రకంగా సైనిక ఆసక్తి లేదని ప్రకటించింది, ఇది రోటోడిన్ పౌర బడ్జెట్‌లపై కేవలం పరిశోధన/పౌర ప్రోటోటైప్ విమానంగా మాత్రమే ఆధారపడింది. [14] రాజకీయ వాదనలు, ప్రతిపాదనలు మరియు బేరసారాల వరుస తరువాత; డిసెంబర్ 1956 లో, హెచ్ఎమ్ ట్రెజరీ రోటోడిన్ మరియు ఎలాండ్ ఇంజిన్ రెండింటిపై సెప్టెంబర్ 1957 చివరి వరకు కొనసాగించడానికి అధికారం ఇచ్చింది. ట్రెజరీ చూపించిన డిమాండ్లలో ఈ విమానం సాంకేతిక విజయాన్ని సాధించవలసి ఉంది మరియు ఒక సంస్థను సంపాదించాల్సిన అవసరం ఉంది బీ నుండి ఆర్డర్; ఫెయిరీ మరియు ఇంగ్లీష్ ఎలక్ట్రిక్ (నేపియర్స్ మాతృ సంస్థ) రెండూ కూడా దాని అభివృద్ధికి ఖర్చులలో కొంత భాగాన్ని తీసుకోవలసి వచ్చింది. [15] 6 నవంబర్ 1957 న, ప్రోటోటైప్ తన తొలి విమానంలో ప్రదర్శించింది, దీనిని చీఫ్ హెలికాప్టర్ టెస్ట్ పైలట్ స్క్వాడ్రన్ నాయకుడు డబ్ల్యూ. రాన్ గెల్లాట్లీ మరియు అసిస్టెంట్ చీఫ్ హెలికాప్టర్ టెస్ట్ పైలట్ లెఫ్టినెంట్ కమాండర్ జాన్ జి.పి. మోర్టన్ రెండవ పైలట్. [16] మొదటి ఫ్లైట్ మొదట 1956 లో జరుగుతుందని అంచనా వేయబడింది; ఏదేమైనా, రోటోడిన్ ఉపయోగించిన పూర్తిగా కొత్త భావనతో ఆలస్యం అనివార్యంగా చూడబడింది. [15] 10 ఏప్రిల్ 1958 న, రోటోడిన్ నిలువు నుండి క్షితిజ సమాంతరంగా మరియు తరువాత తిరిగి నిలువు విమానంలోకి ప్రవేశించింది. [15] [17] 5 జనవరి 1959 న, రోటోడిన్ కన్వర్టిప్లేన్ విభాగంలో, 60-మైళ్ల (100 కిమీ) క్లోజ్డ్ సర్క్యూట్ కంటే 190.9 mph (307.2 కిమీ/గం) వద్ద ప్రపంచ వేగవంతమైన రికార్డును సృష్టించింది. [18] [19] వేగంగా ఉండటంతో పాటు, రోటర్‌క్రాఫ్ట్ భద్రతా లక్షణాన్ని కలిగి ఉంది: ఇది ఒక ఇంజిన్‌తో దాని ప్రొపెల్లర్ రెక్కలుతో మూసివేయబడుతుంది మరియు ప్రోటోటైప్ అనేక ల్యాండింగ్‌లను ఆటోజీరోగా ప్రదర్శించింది. ఈ నమూనా ఫర్న్‌బరో మరియు పారిస్ ఎయిర్ షోలలో చాలాసార్లు ప్రదర్శించబడింది, క్రమం తప్పకుండా అద్భుతమైన చూపరులు. ఒక సందర్భంలో, ఇది 100 అడుగుల గిర్డర్ వంతెనను కూడా ఎత్తివేసింది. [20] రోటోడిన్ యొక్క చిట్కా డ్రైవ్ మరియు అన్‌లోడ్ చేసిన రోటర్ స్వచ్ఛమైన హెలికాప్టర్లు మరియు ఇతర రకాల "కన్వర్టిప్లేన్‌లతో" పోల్చినప్పుడు దాని పనితీరును చాలా మెరుగ్గా చేసింది. ఈ విమానం 175 kN (324 km/h) వద్ద ఎగరవచ్చు మరియు ఎటువంటి ప్రతికూల నిర్వహణ లక్షణాలను ప్రదర్శించకుండా నిటారుగా క్లైంబింగ్ మలుపులోకి లాగవచ్చు. ప్రపంచవ్యాప్తంగా, ప్రత్యక్ష నగరం నుండి సిటీ రవాణా యొక్క అవకాశంలో ఆసక్తి పెరుగుతోంది. రోటోడిన్ యొక్క మార్కెట్ మీడియం-హాల్ "ఫ్లయింగ్ బస్సు": ఇది లోపలి-నగర హెలిపోర్ట్ నుండి నిలువుగా పడుతుంది, అన్ని లిఫ్ట్ చిట్కా-జెట్ నడిచే రోటర్ నుండి వస్తుంది, ఆపై ఎయిర్‌స్పీడ్‌ను పెంచుతుంది, చివరికి అన్నింటికీ పెరుగుతుంది రోటర్ ఆటోరోటేటింగ్‌తో ప్రొపెల్లర్లకు బదిలీ చేయబడిన ఇంజిన్ల నుండి శక్తి. ఈ మోడ్‌లో, రోటర్ యొక్క సామూహిక పిచ్ మరియు అందువల్ల లాగడం తగ్గించవచ్చు, ఎందుకంటే రెక్కలు క్రాఫ్ట్ బరువులో సగం వరకు పడుతుంది. రోటోడిన్ అప్పుడు మరొక నగరానికి 150 kN (280 km/h) వేగంతో ప్రయాణిస్తుంది, ఉదా., లండన్ నుండి పారిస్, ఇక్కడ రోటర్ టిప్-జెట్ వ్యవస్థ నగర కేంద్రంలో నిలువుగా దిగడానికి పున ar ప్రారంభించబడుతుంది. రోటోడిన్ దిగి, రోటర్ కదలడం మానేసినప్పుడు, దాని బ్లేడ్లు హబ్ నుండి క్రిందికి పడిపోయాయి. స్టార్టప్‌లో నిలువు స్టెబిలైజర్‌లను కొట్టకుండా ఉండటానికి, ఈ రెక్కల చిట్కాలు క్షితిజ సమాంతరంగా కోణించబడ్డాయి. రోటర్ తిప్పిన తర్వాత అవి పెరిగాయి. జనవరి 1959 నాటికి, బ్రిటిష్ యూరోపియన్ ఎయిర్‌వేస్ (BEA) ఆరు విమానాల కొనుగోలుపై ఆసక్తి కలిగి ఉందని ప్రకటించింది, 20 వరకు అవకాశం ఉంది, మరియు శబ్ద స్థాయిలతో సహా అన్ని అవసరాలు అనే షరతుపై, అలాంటి ఉద్దేశ్య లేఖను జారీ చేసింది. , కలుసుకున్నారు. [21] రాయల్ వైమానిక దళం (RAF) 12 సైనిక రవాణా సంస్కరణలకు కూడా ఒక ఉత్తర్వు ఇచ్చింది. న్యూయార్క్ ఎయిర్‌వేస్ ఒక్కొక్కటి $ 2 మిలియన్లకు ఐదు గంటలకు కొనుగోలు చేయడానికి ఒక లేఖపై సంతకం చేసింది, అర్హతలతో ఇంకా 15 మంది ఎంపికతో, పెద్ద రోటోడిన్ హెలికాప్టర్ల సగం సీటు మైలు ఖర్చుతో పనిచేయగలదని లెక్కించిన తరువాత; [21] [22 ] అయినప్పటికీ, 10 నుండి 50 మైళ్ళ దూరంలో యూనిట్ ఖర్చులు చాలా ఎక్కువగా పరిగణించబడ్డాయి, మరియు సివిల్ ఏరోనాటిక్స్ బోర్డు రోటర్‌క్రాఫ్ట్‌ను సుదీర్ఘ మార్గాల్లో స్థిర-వింగ్‌తో పోటీ పడటానికి వ్యతిరేకం చేసింది. [23] రోటోడిన్ ప్రోటోటైప్‌ను అంచనా వేయడానికి బ్రిటన్‌కు ఒక బృందాన్ని పంపిన జపాన్ ఎయిర్ లైన్స్, టోక్యో విమానాశ్రయం మరియు నగరానికి మధ్య రోటోడియాన్‌తో ప్రయోగాలు చేస్తామని పేర్కొంది మరియు టోక్యో-ఒసాకా మార్గంలో కూడా దీనిని ఉపయోగించటానికి ఆసక్తి కలిగి ఉంది. [15] [15] [15] [15] [15] [15] [15] [15] [15] [15] [15] [15] [15] [15] [15] 24] పుకార్ల ప్రకారం, యు.ఎస్. సైన్యం 200 రోటోడైన్స్ కొనడానికి కూడా ఆసక్తి చూపింది. [25] ఫెయిరీ అమెరికన్ మ్యూచువల్ ఎయిడ్ ప్రోగ్రాం నుండి నిధులు సమకూర్చడానికి ఆసక్తి చూపించాడు, కాని అవసరమైన 25 రోటర్‌క్రాఫ్ట్‌ను ఆర్డర్ చేయడానికి RAF ని ఒప్పించలేకపోయాడు; ఒకానొక సమయంలో, సంస్థ తూర్పు విమానయాన సంస్థలకు ఒకే రోటోడిన్‌ను అందించాలని కూడా భావించింది, ఫెయిరీ యొక్క యు.ఎస్. యుఎస్ కస్టమర్ల కోసం ఉద్దేశించిన అన్ని రోటోడిస్‌ను కనెక్టికట్‌లోని బ్లూమ్‌ఫీల్డ్‌లో కమాన్ తయారు చేశారు. [26] BEA నుండి సంస్థ ఉత్తర్వులు పొందవచ్చని ప్రభుత్వం నుండి ఫైనాన్సింగ్ మళ్ళీ భద్రపరచబడింది. పౌర ఆదేశాలు శబ్దం సమస్యలపై సంతృప్తికరంగా నెరవేర్చడంపై ఆధారపడి ఉన్నాయి; ఈ కారకం యొక్క ప్రాముఖ్యత 1955 నాటికి ఫెయిరీ 40 వేర్వేరు శబ్దం సప్రెజర్లను అభివృద్ధి చేయడానికి దారితీసింది. [27] డిసెంబర్ 1955 లో, డాక్టర్ హిస్లాప్ శబ్దం సమస్యను 'తొలగించవచ్చని' తనకు ఖచ్చితంగా తెలుసు. వుడ్ ప్రకారం, విమాన పరీక్ష సమయంలో రోటోడియ్‌తో వెల్లడైన రెండు తీవ్రమైన సమస్యలు శబ్దం సమస్య మరియు రోటర్ వ్యవస్థ యొక్క బరువు, రెండోది 3,270 పౌండ్ల అసలు ప్రొజెక్షన్ కంటే 2,233 పౌండ్లు. [13] 1959 లో, బ్రిటిష్ ప్రభుత్వం, ఖర్చులను తగ్గించాలని కోరుతూ, విమాన సంస్థల సంఖ్యను తగ్గించాలని మరియు ఎయిర్ఫ్రేమ్ మరియు ఏరో-ఇంజిన్ కంపెనీలలో విలీనాల కోసం తన అంచనాలను నిర్దేశించాలని నిర్ణయించింది. రక్షణ ఒప్పందాలకు ప్రాప్యతను ఆలస్యం చేయడం లేదా నిలిపివేయడం ద్వారా, బ్రిటిష్ సంస్థలు విలీనాలలోకి బలవంతం చేయబడతాయి; విమానయాన మంత్రి డంకన్ శాండిస్ ఈ విధానాన్ని ఫెయిరీకి వ్యక్తం చేశారు మరియు రోటోడిన్ కోసం నిరంతర ప్రభుత్వ మద్దతు యొక్క ధర ఫెయిరీ విమానయాన రంగంలోని అన్ని ఇతర కార్యక్రమాల నుండి వాస్తవంగా ఉపసంహరించుకోవడం అని తెలిసింది. [25] అంతిమంగా, సాండర్స్-రో మరియు బ్రిస్టల్ యొక్క హెలికాప్టర్ విభాగం వెస్ట్‌ల్యాండ్‌తో కలిసిపోయాయి; మే 1960 లో, ఫైరీ ఏవియేషన్‌ను వెస్ట్‌ల్యాండ్ కూడా స్వాధీనం చేసుకుంది. ఈ సమయానికి, రోటోడిన్ 350 విమానాలలో 120 గంటలు దాదాపు 1,000 మందికి ఎగిరింది మరియు హెలికాప్టర్ మరియు ఆటోగిరో మధ్య మొత్తం 230 పరివర్తనాలను నిర్వహించింది - ప్రమాదాలు లేకుండా. [25] [28] 1958 నాటికి, ట్రెజరీ అప్పటికే ఈ కార్యక్రమానికి మరింత ఫైనాన్సింగ్ కోసం తన వ్యతిరేకతను వ్యక్తం చేస్తోంది. [15] 6 జూన్ 1958 న సరఫరా మంత్రి ఆబ్రే జోన్స్‌కు రాసిన అప్పటి ప్రధానమంత్రి హెరాల్డ్ మాక్మిలన్‌కు ఈ విషయం పెరిగింది, "ఈ ప్రాజెక్ట్ చనిపోవడానికి అనుమతించకూడదు" అని పేర్కొంది. జారీ మరియు ఆర్డర్ ద్వారా రోటోడిన్‌కు మద్దతు ఇచ్చే BEA పై గణనీయమైన ప్రాముఖ్యత ఉంచబడింది; ఏదేమైనా, దాని పనితీరు, ఆర్థిక వ్యవస్థ మరియు శబ్దం ప్రమాణాలపై హామీలు ఇవ్వబడిందని సంతృప్తి చెందే వరకు విమానయాన సంస్థ విమానాన్ని సేకరించడానికి నిరాకరించింది. [15] వెస్ట్‌ల్యాండ్‌తో ఫెయిరీ విలీనం అయిన కొద్దికాలానికే, రెండోది రోటోడిన్ కోసం million 4 మిలియన్ల అభివృద్ధి ఒప్పందంతో జారీ చేయబడింది, ఇది BEA తో టైప్ ఎంటర్ సేవను చూడటానికి ఉద్దేశించబడింది. [25] రోటోడిన్ ప్రోటోటైప్‌తో విమాన పరీక్షలు కొనసాగుతున్నందున, ఫైరీ నేపియర్ మరియు ఎలాండ్ ఇంజిన్‌లతో ఎక్కువగా అసంతృప్తి చెందాడు, ఎందుకంటే రెండోదాన్ని మెరుగుపరిచే పురోగతి expected హించిన దానికంటే తక్కువగా ఉంది. [15] రోటోడిన్ యొక్క విస్తరించిన 48-సీట్ల మోడల్ సాధించటానికి, UPRATED 3,500 EHP ELAND N.E1.7 అవసరం; పెద్ద విమానాలను ఉత్పత్తి చేయడానికి అవసరమైన million 7 మిలియన్లలో, million 3 మిలియన్లు దాని ఇంజిన్ల కోసం ఉంటాయి. బీ ముఖ్యంగా పెద్ద విమానానికి మద్దతుగా ఉంది, 66 మంది ప్రయాణీకులకు కూర్చునే అవకాశం ఉంది, దీనికి ఇంకా ఎక్కువ మొత్తంలో డబ్బు అవసరం. [15] ఫెయిరీ అప్పటికే ఎలాండ్ ఇంజిన్ యొక్క పనితీరును సాధించడానికి కష్టపడుతున్నాడు మరియు అవసరమైన శక్తిని పొందడానికి ధనిక ఇంధన మిశ్రమాన్ని అవలంబించడాన్ని ఆశ్రయించాడు, దీని యొక్క దుష్ప్రభావం ఏమిటంటే, గుర్తించదగిన శబ్దం సమస్యను మరింత తీవ్రతరం చేయడం మరియు ఇంధన సామర్థ్యాన్ని తగ్గించడం. [29 ] ELAND తో సమస్యలను పరిష్కరించలేకపోతున్న ఫలితంగా, ఫెయిరీ ప్రత్యర్థి రోల్స్ రాయిస్ టైన్ టర్బోప్రాప్ ఇంజిన్‌ను బదులుగా పెద్ద రోటోడిన్ Z ని శక్తివంతం చేయడానికి ఎంచుకున్నాడు. [26] 57 నుండి 75 మంది ప్రయాణీకులను తీసుకోవడానికి పెద్ద రోటోడిన్ Z డిజైన్‌ను అభివృద్ధి చేయవచ్చు మరియు టైన్ ఇంజన్లు (5,250 SHP/3,910 kW) కలిగి ఉన్నప్పుడు, 200 kN (370 km/h) క్రూజింగ్ వేగం కలిగి ఉంటుంది. ఇది దాదాపు 8 టన్నుల (7 టన్నులు) సరుకు రవాణా చేయగలదు; సరుకులలో కొన్ని బ్రిటిష్ ఆర్మీ వాహనాలు మరియు కొన్ని ఫైటర్ విమానాల చెక్కుచెదరకుండా ఉండే ఫ్యూజ్‌లేజ్ కూడా దాని ఫ్యూజ్‌లేజ్‌కు సరిపోతుంది. [30] ఇది వాహనాలు మరియు మొత్తం విమానాలతో సహా పెద్ద సరుకులను బాహ్యంగా వైమానిక క్రేన్‌గా తీసుకెళ్లగలిగింది. తరువాతి ప్రతిపాదనల ప్రకారం, రోటోడిన్ Z లో 58,500 పౌండ్ల స్థూల బరువు, 109 అడుగుల విస్తరించిన రోటర్ వ్యాసం మరియు 75 అడుగుల వ్యవధిలో దెబ్బతిన్న రెక్క. [31] ఏదేమైనా, టైన్ ఇంజన్లు కూడా పెద్ద డిజైన్ కోసం తక్కువ శక్తిగా కనిపించడం ప్రారంభించాయి. రోటోడిన్ Z రెండింటికి మరియు టైన్ ఇంజిన్ యొక్క నమూనాకు శక్తివంతం కావడానికి 50 శాతం అభివృద్ధి ఖర్చులకు సరఫరా మంత్రిత్వ శాఖ ప్రతిజ్ఞ చేసింది. [25] ఫెయిరీ తన మద్దతును సాధించడానికి కఠినమైన ప్రయత్నాలు చేసినప్పటికీ, RAF నుండి ఆశించిన క్రమం కార్యరూపం దాల్చలేదు - ఆ సమయంలో, ఈ సేవకు డిజైన్ పట్ల ప్రత్యేక ఆసక్తి లేదు, అణు నిరోధకత సమస్యను సమర్థవంతంగా పరిష్కరించడంపై ఎక్కువ దృష్టి పెట్టారు. [31] పరీక్షలు కొనసాగుతున్నప్పుడు, అనుబంధ ఖర్చులు మరియు రోటోడిన్ యొక్క బరువు రెండూ పెరుగుతూనే ఉన్నాయి; వుడ్ ప్రకారం శబ్దం సమస్య కొనసాగుతూనే ఉంది: "సైలెన్సర్లు తరువాత దానిని ఆమోదయోగ్యమైన స్థాయికి తగ్గిస్తారని సంకేతాలు ఉన్నాయి". [31] అభివృద్ధి ఖర్చులు వెస్ట్‌ల్యాండ్ మరియు ప్రభుత్వాల మధ్య సగం మరియు సగం పంచుకున్నప్పటికీ, అభివృద్ధిని పూర్తి చేయడానికి మరియు ఉత్పత్తి-సిద్ధంగా ఉన్న స్థితిని సాధించడానికి ఇంకా million 9 మిలియన్లను అందించాల్సిన అవసరం ఉందని సంస్థ నిర్ణయించింది. [31] 18 ప్రొడక్షన్ రోటోడైన్స్ కోసం బ్రిటిష్ ప్రభుత్వానికి అభ్యర్థించిన కొటేషన్ జారీ చేసిన తరువాత, RAF కోసం 12 మరియు BEA కోసం 6, ఆర్థిక కారణాల వల్ల ఈ ప్రాజెక్టుకు తదుపరి మద్దతు జారీ చేయబడదని ప్రభుత్వం స్పందించింది. దీని ప్రకారం, 26 ఫిబ్రవరి 1962 న, రోటోడిన్ కోసం అధికారిక నిధులు 1962 ప్రారంభంలో ముగించబడ్డాయి. [9] [32] రోటోడిన్ కోసం బీ తన సొంత క్రమాన్ని ఉంచడాన్ని నిరాకరించినప్పుడు ప్రాజెక్ట్ యొక్క చివరి ముగింపు వచ్చింది, ప్రధానంగా హై-ప్రొఫైల్ చిట్కా-జెట్ శబ్దం సమస్యకు సంబంధించి దాని ఆందోళనల కారణంగా. వెస్ట్‌ల్యాండ్‌లోని కార్పొరేట్ నిర్వహణ ఉత్పత్తి స్థితి వైపు రోటోడిన్ యొక్క మరింత అభివృద్ధికి అవసరమైన పెట్టుబడికి విలువైనది కాదని నిర్ణయించింది. [33] ఈ విధంగా ప్రపంచంలోని మొట్టమొదటి నిలువు టేకాఫ్ మిలిటరీ/సివిల్ ట్రాన్స్‌పోర్ట్ రోటర్‌క్రాఫ్ట్‌పై అన్ని పనులను ముగించారు. [34] ఈ కార్యక్రమం ముగిసిన తరువాత, ప్రభుత్వ ఆస్తి అయిన రోటోడిన్ అనే ప్రోటోటైప్, బ్రిస్టల్ బ్రబజోన్‌ను గుర్తుచేసే పద్ధతిలో కూల్చివేయబడింది మరియు ఎక్కువగా నాశనం చేయబడింది. ఒకే ఫ్యూజ్‌లేజ్ బే, చిత్రంగా, ప్లస్ రోటర్లు మరియు రోటర్‌హెడ్ మాస్టీ నుండి బయటపడ్డారు మరియు వెస్టన్-సూపర్-మేరేలోని హెలికాప్టర్ మ్యూజియంలో ప్రదర్శనలో ఉన్నాయి. రోటోడిన్ యొక్క గొప్ప విమర్శ జెట్ చేసిన చిట్కా శబ్దం; ఏది ఏమయినప్పటికీ, బయలుదేరే మరియు ల్యాండింగ్ సమయంలో జెట్‌లు నిమిషాల వ్యవధిలో పూర్తి శక్తితో నడుస్తున్నాయి మరియు వాస్తవానికి, టెస్ట్ పైలట్ రాన్ గెలాట్లీ సెంట్రల్ లండన్ మీదుగా రెండు విమానాలు మరియు బాటర్సీ హెలిపోర్ట్ వద్ద అనేక ల్యాండింగ్‌లు మరియు నిష్క్రమణలు ఎటువంటి ఫిర్యాదులు నమోదు చేయబడలేదు, [35 ] హాకర్ సిడ్లీ హారియర్ యొక్క చీఫ్ టెస్ట్ పైలట్ జాన్ ఫర్లే తరువాత ఇలా వ్యాఖ్యానించినప్పటికీ: రెండు మైళ్ళ దూరంలో నుండి ఇది సంభాషణను ఆపివేస్తుంది. నా ఉద్దేశ్యం, రోటర్ యొక్క చిట్కాలపై ఆ చిన్న జెట్ల శబ్దం వర్ణించలేనిది. కాబట్టి మనకు ఏమి వచ్చింది? ప్రపంచం ఇంకా వచ్చిన ధ్వనించే వాహనం మరియు మీరు దానిని ఒక నగరం మధ్యలో అంటుకోబోతున్నారా? [36] శబ్దం స్థాయిని 113 డిబి నుండి తగ్గించగలిగింది, ఇది శబ్దం-తగ్గింపు కార్యక్రమం జరిగింది. 600 అడుగుల (180 మీ) దూరంలో 96 డిబి యొక్క కావలసిన స్థాయికి, లండన్ భూగర్భ రైలు చేసిన శబ్దం కంటే తక్కువ, మరియు రద్దు చేసే సమయంలో, సైలెన్సర్లు అభివృద్ధిలో ఉన్నారు, ఇది శబ్దాన్ని మరింత తగ్గించేది - 95 తో DB 200 అడుగుల "fore హించండి", [37] పరిమితి రోటర్ సృష్టించిన శబ్దం. [38] అయితే, ఈ ప్రయత్నం BEA కి సరిపోదు, ఇది ఛైర్మన్ షోల్టో డగ్లస్ వ్యక్తం చేసినట్లుగా, "శబ్దం కారణంగా ఆపరేట్ చేయలేని విమానాన్ని కొనుగోలు చేయదు", మరియు విమానయాన సంస్థ రోటోడిన్‌ను ఆర్డర్ చేయడానికి నిరాకరించింది, ఇది పతనానికి దారితీసింది ప్రాజెక్ట్ యొక్క. అగస్టావెస్ట్‌ల్యాండ్ AW609 మరియు కార్టర్‌కాప్టర్/PAV వంటి విమానాలతో ప్రత్యక్ష నగరం నుండి సిటీ రవాణాలో వడ్డీని తిరిగి స్థాపించారు. 2010 యూరోకాప్టర్ X3 ప్రయోగాత్మక హెలికాప్టర్ రోటోడిన్ యొక్క సాధారణ ఆకృతీకరణను పంచుకుంటుంది, కానీ ఇది చాలా చిన్నది. భవిష్యత్ అభివృద్ధికి అనేక వినూత్న గైరోడిన్ నమూనాలు ఇప్పటికీ పరిగణించబడుతున్నాయి. [39] ఫైరీ రోటోడిన్ ఒక పెద్ద హైబ్రిడ్ రోటర్‌క్రాఫ్ట్, దీనిని సమ్మేళనం గైరోప్లేన్ లేదా గైరోడిన్ అని పిలుస్తారు. వుడ్ ప్రకారం, ఇది "దాని రోజులో అతిపెద్ద రవాణా హెలికాప్టర్". [6] ఇది 40 మరియు 50 మంది ప్రయాణీకుల మధ్య కూర్చునే సామర్థ్యం ఉన్న ఆవశ్యకకమైన దీర్ఘచతురస్రాకార ఫ్యూజ్‌లేజ్‌ను కలిగి ఉంది; ఒక జత డబుల్-క్లామ్‌షెల్ తలుపులు ప్రధాన క్యాబిన్ వెనుక భాగంలో ఉంచబడ్డాయి, తద్వారా సరుకు మరియు వాహనాలను కూడా లోడ్ చేసి అన్‌లోడ్ చేయవచ్చు. [6] రోటోడిన్ పెద్ద, నాలుగు-బ్లేడెడ్ రోటర్ మరియు రెండు నేపియర్ ఎలాండ్ N.E.L.3 టర్బోప్రోప్స్ కలిగి ఉంది, ఒకటి ప్రతి స్థిర రెక్కల క్రింద అమర్చబడి ఉంటుంది. [6] రోటర్ బ్లేడ్లు లోడ్-బేరింగ్ స్పార్ చుట్టూ సుష్ట ఏరోఫాయిల్. గురుత్వాకర్షణ ఆందోళనల కేంద్రం కారణంగా ఏరోఫాయిల్ ఉక్కు మరియు తేలికపాటి మిశ్రమంతో తయారు చేయబడింది. అదేవిధంగా, స్పార్ మందపాటి మెషిన్డ్ స్టీల్ బ్లాక్ నుండి ముందరి వరకు ఏర్పడింది మరియు మడతపెట్టిన మరియు రివర్టెడ్ స్టీల్ నుండి వెనుక వరకు ఏర్పడిన తేలికైన సన్నని విభాగం. సంపీడన గాలి బ్లేడ్ లోపల మూడు స్టీల్ గొట్టాల ద్వారా మార్చబడింది. [40] చిట్కా-జెట్ దహన గదులు నిమోనిక్ 80 తో కూడి ఉన్నాయి, ఇవి నిమోనిక్ 75 నుండి తయారైన లైనర్‌లతో పూర్తి చేయబడ్డాయి. టేకాఫ్ మరియు ల్యాండింగ్ కోసం, రోటర్ చిట్కా-జెట్స్ చేత నడపబడుతుంది. ప్రధాన ఇంజిన్ల నుండి ఒక క్లచ్ ద్వారా నడిచే కంప్రెషర్ల ద్వారా గాలిని ఉత్పత్తి చేసింది. ఇది రెక్కల ప్రముఖ అంచున మరియు రోటర్ హెడ్ వరకు డక్టింగ్ ద్వారా తినిపించబడింది. ప్రతి ఇంజిన్ ఒక జత వ్యతిరేక రోటర్లకు గాలిని సరఫరా చేసింది; సంపీడన గాలిని ఇంధనంతో కలిపి కాల్చారు. [41] టోర్క్‌లెస్ రోటర్ వ్యవస్థగా, యాంటీ-టార్క్ దిద్దుబాటు వ్యవస్థ అవసరం లేదు, అయినప్పటికీ తక్కువ-స్పీడ్ యా కంట్రోల్ కోసం ప్రొపెల్లర్ పిచ్‌ను చుక్కాని పెడల్స్ నియంత్రించాయి. రోటర్ ఆటోరోటేటెడ్ అయితే ప్రొపెల్లర్లు అనువాద విమానానికి థ్రస్ట్ అందించాయి. సాంప్రదాయిక హెలికాప్టర్‌లో వలె కాక్‌పిట్ నియంత్రణలలో చక్రీయ మరియు సామూహిక పిచ్ లివర్ ఉన్నాయి. [33] హెలికాప్టర్ మరియు ఫ్లైట్ యొక్క ఆటోజీరో మోడ్‌ల మధ్య పరివర్తన 60 mph, [35] (ఇతర వనరులు ఇది 110 నాట్ల చుట్టూ సంభవిస్తుందని పేర్కొంది [42]); చిట్కా-జెట్లను చల్లార్చడం ద్వారా పరివర్తన సాధించబడుతుంది. ఆటోగ్రెరో ఫ్లైట్ సమయంలో, రోటోక్రాఫ్ట్ యొక్క ఏరోడైనమిక్ లిఫ్ట్ యొక్క సగం వరకు రెక్కలు అందించబడ్డాయి, ఇది అధిక వేగాన్ని సాధించడానికి కూడా వీలు కల్పించింది. [35] 1915 నుండి ఫెయిరీ విమానం నుండి వచ్చిన డేటా, [43] గోబెల్ 2015, [44] గిబ్బింగ్స్ 2011, [45] జేన్ యొక్క ఆల్ ది వరల్డ్ విమానాలు 1958-59.</v>
      </c>
      <c r="E42" s="1" t="s">
        <v>884</v>
      </c>
      <c r="F42" s="1" t="s">
        <v>1055</v>
      </c>
      <c r="G42" s="1" t="str">
        <f>IFERROR(__xludf.DUMMYFUNCTION("GOOGLETRANSLATE(F:F, ""en"", ""te"")"),"సమ్మేళనం గైరోప్లేన్")</f>
        <v>సమ్మేళనం గైరోప్లేన్</v>
      </c>
      <c r="H42" s="1" t="s">
        <v>1056</v>
      </c>
      <c r="I42" s="1" t="s">
        <v>964</v>
      </c>
      <c r="J42" s="1" t="str">
        <f>IFERROR(__xludf.DUMMYFUNCTION("GOOGLETRANSLATE(I:I, ""en"", ""te"")"),"యునైటెడ్ కింగ్‌డమ్")</f>
        <v>యునైటెడ్ కింగ్‌డమ్</v>
      </c>
      <c r="L42" s="1" t="s">
        <v>1002</v>
      </c>
      <c r="M42" s="1" t="str">
        <f>IFERROR(__xludf.DUMMYFUNCTION("GOOGLETRANSLATE(L:L, ""en"", ""te"")"),"ఫైరీ ఏవియేషన్")</f>
        <v>ఫైరీ ఏవియేషన్</v>
      </c>
      <c r="N42" s="1" t="s">
        <v>1003</v>
      </c>
      <c r="R42" s="4">
        <v>21130.0</v>
      </c>
      <c r="S42" s="1">
        <v>1.0</v>
      </c>
      <c r="V42" s="1" t="s">
        <v>428</v>
      </c>
      <c r="W42" s="1" t="s">
        <v>1057</v>
      </c>
      <c r="X42" s="1" t="s">
        <v>1058</v>
      </c>
      <c r="Y42" s="1" t="s">
        <v>1059</v>
      </c>
      <c r="Z42" s="1" t="s">
        <v>1060</v>
      </c>
      <c r="AF42" s="1" t="s">
        <v>1061</v>
      </c>
      <c r="AG42" s="1" t="s">
        <v>1062</v>
      </c>
      <c r="AH42" s="1" t="s">
        <v>1063</v>
      </c>
      <c r="AV42" s="1" t="s">
        <v>1064</v>
      </c>
      <c r="AW42" s="1" t="s">
        <v>1065</v>
      </c>
      <c r="AX42" s="1" t="s">
        <v>1066</v>
      </c>
      <c r="AY42" s="1" t="str">
        <f>IFERROR(__xludf.DUMMYFUNCTION("GOOGLETRANSLATE(AX:AX, ""en"", ""te"")"),"4 × రోటర్ చిట్కా జెట్, 1,000 ఎల్బిఎఫ్ (4.4 కెఎన్) ప్రతి ఒక్కటి థ్రస్ట్ [50]")</f>
        <v>4 × రోటర్ చిట్కా జెట్, 1,000 ఎల్బిఎఫ్ (4.4 కెఎన్) ప్రతి ఒక్కటి థ్రస్ట్ [50]</v>
      </c>
      <c r="AZ42" s="1" t="s">
        <v>1067</v>
      </c>
      <c r="BA42" s="1" t="str">
        <f>IFERROR(__xludf.DUMMYFUNCTION("GOOGLETRANSLATE(AZ:AZ, ""en"", ""te"")"),"4-బ్లేడెడ్, 13 అడుగులు (4.0 మీ) వ్యాసం కలిగిన రోటోల్ ప్రొపెల్లర్లు")</f>
        <v>4-బ్లేడెడ్, 13 అడుగులు (4.0 మీ) వ్యాసం కలిగిన రోటోల్ ప్రొపెల్లర్లు</v>
      </c>
      <c r="BB42" s="1" t="s">
        <v>1068</v>
      </c>
      <c r="BC42" s="1" t="s">
        <v>1069</v>
      </c>
      <c r="BD42" s="1" t="s">
        <v>1070</v>
      </c>
      <c r="BG42" s="2"/>
      <c r="BI42" s="1" t="s">
        <v>1071</v>
      </c>
      <c r="BJ42" s="1" t="s">
        <v>1072</v>
      </c>
      <c r="BT42" s="1" t="s">
        <v>468</v>
      </c>
      <c r="BU42" s="1" t="s">
        <v>1073</v>
      </c>
      <c r="BV42" s="1" t="str">
        <f>IFERROR(__xludf.DUMMYFUNCTION("GOOGLETRANSLATE(BU:BU, ""en"", ""te"")"),"రద్దు చేయబడింది 1962")</f>
        <v>రద్దు చేయబడింది 1962</v>
      </c>
      <c r="DL42" s="1" t="s">
        <v>1074</v>
      </c>
      <c r="DM42" s="1" t="s">
        <v>1075</v>
      </c>
      <c r="DN42" s="1" t="s">
        <v>1076</v>
      </c>
      <c r="DO42" s="1" t="s">
        <v>1077</v>
      </c>
    </row>
    <row r="43">
      <c r="A43" s="1" t="s">
        <v>1078</v>
      </c>
      <c r="B43" s="1" t="str">
        <f>IFERROR(__xludf.DUMMYFUNCTION("GOOGLETRANSLATE(A:A, ""en"", ""te"")"),"ఫిషర్ ఎఫ్‌పి -202 కోలా")</f>
        <v>ఫిషర్ ఎఫ్‌పి -202 కోలా</v>
      </c>
      <c r="C43" s="1" t="s">
        <v>1079</v>
      </c>
      <c r="D43" s="1" t="str">
        <f>IFERROR(__xludf.DUMMYFUNCTION("GOOGLETRANSLATE(C:C, ""en"", ""te"")"),"ఫిషర్ ఎఫ్‌పి -202 కోలా కెనడియన్ సింగిల్-సీట్ హై వింగ్, సాంప్రదాయిక ల్యాండింగ్ గేర్, te త్సాహిక బిల్డర్ల నిర్మాణం కోసం రూపొందించిన సింగిల్ ఇంజిన్ లైట్ కిట్ విమానం. ఈ విమానం పైపర్ జె -3 పిల్ల రూపకల్పన ద్వారా ప్రేరణ పొందింది మరియు ఆ రూపకల్పనను గట్టిగా పోలి ఉ"&amp;"ంటుంది. [1] [2] [3] [4] [5] [6] ఫిషర్ ఫ్లయింగ్ ఉత్పత్తులు మొదట అమెరికాలోని నార్త్ డకోటాలోని ఎడ్గేలీలో ఉన్నాయి, అయితే ఈ సంస్థ ఇప్పుడు కెనడాలోని అంటారియోలోని డోర్చెస్టర్‌లో ఉంది. [2] [3] [4] [5] [6] FP-202 ను 1981 లో అమెరికాలో ఫిషర్ ఎయిర్క్రాఫ్ట్ రూపొందించి"&amp;"ంది మరియు యుఎస్ ఫార్ 103 అల్ట్రాలైట్ వెహికల్స్ కేటగిరీ యొక్క అవసరాలను తీర్చడానికి ఉద్దేశించబడింది, ఆ వర్గం యొక్క గరిష్ట 254 ఎల్బి (115 కిలోల) ఖాళీ బరువుతో సహా. ఇది యుఎస్ హోమ్‌బిల్ట్ ఎయిర్‌క్రాఫ్ట్ వర్గానికి 51% ఆమోదించబడిన కిట్. డిజైన్ లక్ష్యం అల్ట్రాలైట్"&amp;" పైలట్లకు ఒక విమానాన్ని అందించడం మరియు క్లాసిక్ పైపర్ కబ్ లాగా ఎగిరింది, ఒక రకం ధృవీకరించబడిన విమానాలను సొంతం చేసుకోవడంతో నియంత్రణ లేకుండా. FP-202 తేలికపాటి, రెండు-స్ట్రోక్ ఇంజిన్‌తో కూడిన 28 HP (21 kW) రోటాక్స్ 277 వంటి 250 lb (113 kg) ఖాళీ బరువును సాధిం"&amp;"చగలదు. [3] [5] [6] FP-202 నిర్మాణం దాని తరగతిలో విమానాలకు అసాధారణమైనది. విమానం యొక్క నిర్మాణం పూర్తిగా చెక్కతో తయారు చేయబడింది, చెక్క స్ట్రిప్స్ నుండి చెక్క ఫ్యూజ్‌లేజ్ జియోడెసిక్ రూపంలో అమర్చబడి ఉంటుంది, దీని ఫలితంగా పునరావృత లోడ్ మార్గాలతో చాలా బలమైన మర"&amp;"ియు తేలికపాటి విమానాలు ఉంటాయి. పిల్ల మాదిరిగానే, కోలాలోని రెక్కలు మరియు ఫ్యూజ్‌లేజ్ రెండూ డోప్డ్ ఎయిర్‌క్రాఫ్ట్ ఫాబ్రిక్‌తో కప్పబడి ఉంటాయి. రెక్కలు స్ట్రట్-బ్రేస్డ్ మరియు జ్యూరీ స్ట్రట్లను ఉపయోగించుకుంటాయి. ల్యాండింగ్ గేర్ బంగీ సస్పెండ్ చేయబడింది మరియు తో"&amp;"క చక్రం స్టీరబుల్. బ్రేక్‌లు ఐచ్ఛికం. FP-202 ను నిర్మించడానికి సగటు te త్సాహిక బిల్డర్ 250–500 గంటలు పడుతుందని కంపెనీ పేర్కొంది. [3] [5] [6] ఏరోక్రాఫ్టర్ మరియు కిట్‌ప్లాన్‌ల నుండి డేటా [3] [4] పోల్చదగిన పాత్ర, కాన్ఫిగరేషన్ మరియు ERA యొక్క సాధారణ లక్షణాల ప"&amp;"నితీరు సంబంధిత అభివృద్ధి విమానం")</f>
        <v>ఫిషర్ ఎఫ్‌పి -202 కోలా కెనడియన్ సింగిల్-సీట్ హై వింగ్, సాంప్రదాయిక ల్యాండింగ్ గేర్, te త్సాహిక బిల్డర్ల నిర్మాణం కోసం రూపొందించిన సింగిల్ ఇంజిన్ లైట్ కిట్ విమానం. ఈ విమానం పైపర్ జె -3 పిల్ల రూపకల్పన ద్వారా ప్రేరణ పొందింది మరియు ఆ రూపకల్పనను గట్టిగా పోలి ఉంటుంది. [1] [2] [3] [4] [5] [6] ఫిషర్ ఫ్లయింగ్ ఉత్పత్తులు మొదట అమెరికాలోని నార్త్ డకోటాలోని ఎడ్గేలీలో ఉన్నాయి, అయితే ఈ సంస్థ ఇప్పుడు కెనడాలోని అంటారియోలోని డోర్చెస్టర్‌లో ఉంది. [2] [3] [4] [5] [6] FP-202 ను 1981 లో అమెరికాలో ఫిషర్ ఎయిర్క్రాఫ్ట్ రూపొందించింది మరియు యుఎస్ ఫార్ 103 అల్ట్రాలైట్ వెహికల్స్ కేటగిరీ యొక్క అవసరాలను తీర్చడానికి ఉద్దేశించబడింది, ఆ వర్గం యొక్క గరిష్ట 254 ఎల్బి (115 కిలోల) ఖాళీ బరువుతో సహా. ఇది యుఎస్ హోమ్‌బిల్ట్ ఎయిర్‌క్రాఫ్ట్ వర్గానికి 51% ఆమోదించబడిన కిట్. డిజైన్ లక్ష్యం అల్ట్రాలైట్ పైలట్లకు ఒక విమానాన్ని అందించడం మరియు క్లాసిక్ పైపర్ కబ్ లాగా ఎగిరింది, ఒక రకం ధృవీకరించబడిన విమానాలను సొంతం చేసుకోవడంతో నియంత్రణ లేకుండా. FP-202 తేలికపాటి, రెండు-స్ట్రోక్ ఇంజిన్‌తో కూడిన 28 HP (21 kW) రోటాక్స్ 277 వంటి 250 lb (113 kg) ఖాళీ బరువును సాధించగలదు. [3] [5] [6] FP-202 నిర్మాణం దాని తరగతిలో విమానాలకు అసాధారణమైనది. విమానం యొక్క నిర్మాణం పూర్తిగా చెక్కతో తయారు చేయబడింది, చెక్క స్ట్రిప్స్ నుండి చెక్క ఫ్యూజ్‌లేజ్ జియోడెసిక్ రూపంలో అమర్చబడి ఉంటుంది, దీని ఫలితంగా పునరావృత లోడ్ మార్గాలతో చాలా బలమైన మరియు తేలికపాటి విమానాలు ఉంటాయి. పిల్ల మాదిరిగానే, కోలాలోని రెక్కలు మరియు ఫ్యూజ్‌లేజ్ రెండూ డోప్డ్ ఎయిర్‌క్రాఫ్ట్ ఫాబ్రిక్‌తో కప్పబడి ఉంటాయి. రెక్కలు స్ట్రట్-బ్రేస్డ్ మరియు జ్యూరీ స్ట్రట్లను ఉపయోగించుకుంటాయి. ల్యాండింగ్ గేర్ బంగీ సస్పెండ్ చేయబడింది మరియు తోక చక్రం స్టీరబుల్. బ్రేక్‌లు ఐచ్ఛికం. FP-202 ను నిర్మించడానికి సగటు te త్సాహిక బిల్డర్ 250–500 గంటలు పడుతుందని కంపెనీ పేర్కొంది. [3] [5] [6] ఏరోక్రాఫ్టర్ మరియు కిట్‌ప్లాన్‌ల నుండి డేటా [3] [4] పోల్చదగిన పాత్ర, కాన్ఫిగరేషన్ మరియు ERA యొక్క సాధారణ లక్షణాల పనితీరు సంబంధిత అభివృద్ధి విమానం</v>
      </c>
      <c r="E43" s="1" t="s">
        <v>1080</v>
      </c>
      <c r="F43" s="1" t="s">
        <v>1081</v>
      </c>
      <c r="G43" s="1" t="str">
        <f>IFERROR(__xludf.DUMMYFUNCTION("GOOGLETRANSLATE(F:F, ""en"", ""te"")"),"కిట్ విమానం")</f>
        <v>కిట్ విమానం</v>
      </c>
      <c r="H43" s="1" t="s">
        <v>1082</v>
      </c>
      <c r="I43" s="1" t="s">
        <v>1083</v>
      </c>
      <c r="J43" s="1" t="str">
        <f>IFERROR(__xludf.DUMMYFUNCTION("GOOGLETRANSLATE(I:I, ""en"", ""te"")"),"కెనడా")</f>
        <v>కెనడా</v>
      </c>
      <c r="K43" s="3" t="s">
        <v>1084</v>
      </c>
      <c r="L43" s="1" t="s">
        <v>1085</v>
      </c>
      <c r="M43" s="1" t="str">
        <f>IFERROR(__xludf.DUMMYFUNCTION("GOOGLETRANSLATE(L:L, ""en"", ""te"")"),"ఫిషర్ ఫ్లయింగ్ ప్రొడక్ట్స్")</f>
        <v>ఫిషర్ ఫ్లయింగ్ ప్రొడక్ట్స్</v>
      </c>
      <c r="N43" s="1" t="s">
        <v>1086</v>
      </c>
      <c r="R43" s="1">
        <v>1981.0</v>
      </c>
      <c r="S43" s="1" t="s">
        <v>1087</v>
      </c>
      <c r="V43" s="1" t="s">
        <v>518</v>
      </c>
      <c r="W43" s="1" t="s">
        <v>1088</v>
      </c>
      <c r="X43" s="1" t="s">
        <v>1089</v>
      </c>
      <c r="Y43" s="1" t="s">
        <v>1090</v>
      </c>
      <c r="Z43" s="1" t="s">
        <v>1091</v>
      </c>
      <c r="AG43" s="1" t="s">
        <v>1092</v>
      </c>
      <c r="AH43" s="1" t="s">
        <v>1093</v>
      </c>
      <c r="AW43" s="1" t="s">
        <v>1094</v>
      </c>
      <c r="AX43" s="1" t="s">
        <v>1095</v>
      </c>
      <c r="AY43" s="1" t="str">
        <f>IFERROR(__xludf.DUMMYFUNCTION("GOOGLETRANSLATE(AX:AX, ""en"", ""te"")"),"1 × రోటాక్స్ 277 సింగిల్ సిలిండర్, ఎయిర్-కూల్డ్, రెండు స్ట్రోక్ ఎయిర్క్రాఫ్ట్ ఇంజిన్, 28 హెచ్‌పి (21 కిలోవాట్)")</f>
        <v>1 × రోటాక్స్ 277 సింగిల్ సిలిండర్, ఎయిర్-కూల్డ్, రెండు స్ట్రోక్ ఎయిర్క్రాఫ్ట్ ఇంజిన్, 28 హెచ్‌పి (21 కిలోవాట్)</v>
      </c>
      <c r="AZ43" s="1" t="s">
        <v>1096</v>
      </c>
      <c r="BA43" s="1" t="str">
        <f>IFERROR(__xludf.DUMMYFUNCTION("GOOGLETRANSLATE(AZ:AZ, ""en"", ""te"")"),"2-బ్లేడెడ్ చెక్క, స్థిర పిచ్")</f>
        <v>2-బ్లేడెడ్ చెక్క, స్థిర పిచ్</v>
      </c>
      <c r="BB43" s="1" t="s">
        <v>1097</v>
      </c>
      <c r="BC43" s="1" t="s">
        <v>1098</v>
      </c>
      <c r="BD43" s="1" t="s">
        <v>1099</v>
      </c>
      <c r="BG43" s="2"/>
      <c r="BI43" s="1" t="s">
        <v>1100</v>
      </c>
      <c r="BJ43" s="1" t="s">
        <v>1101</v>
      </c>
      <c r="BR43" s="1" t="s">
        <v>1102</v>
      </c>
      <c r="BS43" s="1" t="s">
        <v>1103</v>
      </c>
      <c r="BT43" s="1" t="s">
        <v>1104</v>
      </c>
    </row>
    <row r="44">
      <c r="A44" s="1" t="s">
        <v>1105</v>
      </c>
      <c r="B44" s="1" t="str">
        <f>IFERROR(__xludf.DUMMYFUNCTION("GOOGLETRANSLATE(A:A, ""en"", ""te"")"),"Fma ia 36 cóndor")</f>
        <v>Fma ia 36 cóndor</v>
      </c>
      <c r="C44" s="1" t="s">
        <v>1106</v>
      </c>
      <c r="D44" s="1" t="str">
        <f>IFERROR(__xludf.DUMMYFUNCTION("GOOGLETRANSLATE(C:C, ""en"", ""te"")"),"IA 36 కోండోర్ (ఇంగ్లీష్: కాండోర్) అనేది అర్జెంటీనా జెట్ మిడ్-రేంజ్ వైమానిక సంస్థ, 1950 ల ప్రారంభంలో కర్ట్ ట్యాంక్ చేత “ఫాబ్రికా మిలిటార్ డి ఏవియోన్స్” కోసం రూపొందించబడింది. ఇది 1958 లో రద్దు చేయబడింది, ప్రోటోటైప్‌లు నిర్మించబడలేదు, కానీ పూర్తి పరిమాణ కలప "&amp;"మోకాప్. జర్మన్ ఇంజనీర్ కర్ట్ ట్యాంక్ నేతృత్వంలోని బృందం 1951 చివరలో ప్రారంభమైన IA 36 కోండోర్ ప్రాజెక్టు పని; ప్రాజెక్టులో భాగంగా 1:34 స్కేల్ విండ్ టన్నెల్ మోడల్ నిర్మించబడింది, అలాగే 1: 1 స్కేల్ చెక్క ఫ్యూజ్‌లేజ్ మాక్-అప్. ఈ ప్రాజెక్టును 1958 లో పెడ్రో యు"&amp;"జెనియో అరంబురు నేతృత్వంలోని ప్రభుత్వం రద్దు చేసింది, ఇది జువాన్ డొమింగో పెరోన్ తరువాత, 1955 లో ఇప్పుడు చాలా అప్రసిద్ధ రివాలూసియన్ లిబర్టాడోరా తిరుగుబాటు చేత తొలగించబడింది. [1] అంచనా వేసిన విమానం ఐదు రోల్స్ రాయిస్ ""నేనే II"" టర్బోజెట్స్ వెనుక ఫ్యూజ్‌లేజ్ "&amp;"చుట్టూ వార్షిక ఆకృతీకరణలో అమర్చబడి ఉండేది, మెసెర్స్చ్మిట్ p.1110 మరియు హీంకెల్ HE 211; అయినప్పటికీ, తరువాతి సంస్కరణల్లో తేలికైన మరియు మరింత శక్తివంతమైన ఇంజిన్లతో భర్తీ చేయడానికి ఇది ప్రణాళిక చేయబడింది. [2] ఈ డిజైన్ 32 నుండి 40 మంది ప్రయాణికులకు వసతి కల్పి"&amp;"స్తుంది; గరిష్ట వేగం గంటకు 950 కిమీ (590 mph) ఉంటుందని అంచనా; పోల్చితే, సమకాలీన డి హవిలాండ్ కామెట్ 3 గరిష్ట వేగం 780 కిమీ/గం (480 mph). పల్క్వి II ఫైటర్ ప్రోటోటైప్ వలె, ట్యాంక్ కూడా రూపొందించబడింది, IA 36 లో రెక్కలు తుడిచిపెట్టాయి, ఇది ఏరోడైనమిక్ సామర్థ్య"&amp;"ాన్ని పెంచింది. రెక్కలు 34 మీ (112 అడుగులు); మరియు అంచనా పరిధి 5,000 కిమీ (3,100 మైళ్ళు; 2,700 ఎన్ఎమ్ఐ). [1] [1] సాధారణ లక్షణాల నుండి డేటా పోల్చదగిన పాత్ర, కాన్ఫిగరేషన్ మరియు ERA సంబంధిత జాబితాల పనితీరు విమానం")</f>
        <v>IA 36 కోండోర్ (ఇంగ్లీష్: కాండోర్) అనేది అర్జెంటీనా జెట్ మిడ్-రేంజ్ వైమానిక సంస్థ, 1950 ల ప్రారంభంలో కర్ట్ ట్యాంక్ చేత “ఫాబ్రికా మిలిటార్ డి ఏవియోన్స్” కోసం రూపొందించబడింది. ఇది 1958 లో రద్దు చేయబడింది, ప్రోటోటైప్‌లు నిర్మించబడలేదు, కానీ పూర్తి పరిమాణ కలప మోకాప్. జర్మన్ ఇంజనీర్ కర్ట్ ట్యాంక్ నేతృత్వంలోని బృందం 1951 చివరలో ప్రారంభమైన IA 36 కోండోర్ ప్రాజెక్టు పని; ప్రాజెక్టులో భాగంగా 1:34 స్కేల్ విండ్ టన్నెల్ మోడల్ నిర్మించబడింది, అలాగే 1: 1 స్కేల్ చెక్క ఫ్యూజ్‌లేజ్ మాక్-అప్. ఈ ప్రాజెక్టును 1958 లో పెడ్రో యుజెనియో అరంబురు నేతృత్వంలోని ప్రభుత్వం రద్దు చేసింది, ఇది జువాన్ డొమింగో పెరోన్ తరువాత, 1955 లో ఇప్పుడు చాలా అప్రసిద్ధ రివాలూసియన్ లిబర్టాడోరా తిరుగుబాటు చేత తొలగించబడింది. [1] అంచనా వేసిన విమానం ఐదు రోల్స్ రాయిస్ "నేనే II" టర్బోజెట్స్ వెనుక ఫ్యూజ్‌లేజ్ చుట్టూ వార్షిక ఆకృతీకరణలో అమర్చబడి ఉండేది, మెసెర్స్చ్మిట్ p.1110 మరియు హీంకెల్ HE 211; అయినప్పటికీ, తరువాతి సంస్కరణల్లో తేలికైన మరియు మరింత శక్తివంతమైన ఇంజిన్లతో భర్తీ చేయడానికి ఇది ప్రణాళిక చేయబడింది. [2] ఈ డిజైన్ 32 నుండి 40 మంది ప్రయాణికులకు వసతి కల్పిస్తుంది; గరిష్ట వేగం గంటకు 950 కిమీ (590 mph) ఉంటుందని అంచనా; పోల్చితే, సమకాలీన డి హవిలాండ్ కామెట్ 3 గరిష్ట వేగం 780 కిమీ/గం (480 mph). పల్క్వి II ఫైటర్ ప్రోటోటైప్ వలె, ట్యాంక్ కూడా రూపొందించబడింది, IA 36 లో రెక్కలు తుడిచిపెట్టాయి, ఇది ఏరోడైనమిక్ సామర్థ్యాన్ని పెంచింది. రెక్కలు 34 మీ (112 అడుగులు); మరియు అంచనా పరిధి 5,000 కిమీ (3,100 మైళ్ళు; 2,700 ఎన్ఎమ్ఐ). [1] [1] సాధారణ లక్షణాల నుండి డేటా పోల్చదగిన పాత్ర, కాన్ఫిగరేషన్ మరియు ERA సంబంధిత జాబితాల పనితీరు విమానం</v>
      </c>
      <c r="E44" s="1" t="s">
        <v>1107</v>
      </c>
      <c r="F44" s="1" t="s">
        <v>1108</v>
      </c>
      <c r="G44" s="1" t="str">
        <f>IFERROR(__xludf.DUMMYFUNCTION("GOOGLETRANSLATE(F:F, ""en"", ""te"")"),"ఇరుకైన-బాడీ జెట్ విమానాలు")</f>
        <v>ఇరుకైన-బాడీ జెట్ విమానాలు</v>
      </c>
      <c r="H44" s="1" t="s">
        <v>1109</v>
      </c>
      <c r="L44" s="1" t="s">
        <v>1110</v>
      </c>
      <c r="M44" s="1" t="str">
        <f>IFERROR(__xludf.DUMMYFUNCTION("GOOGLETRANSLATE(L:L, ""en"", ""te"")"),"FMA/IAME")</f>
        <v>FMA/IAME</v>
      </c>
      <c r="N44" s="3" t="s">
        <v>1111</v>
      </c>
      <c r="O44" s="1" t="s">
        <v>398</v>
      </c>
      <c r="P44" s="1" t="str">
        <f>IFERROR(__xludf.DUMMYFUNCTION("GOOGLETRANSLATE(O:O, ""en"", ""te"")"),"కర్ట్ ట్యాంక్")</f>
        <v>కర్ట్ ట్యాంక్</v>
      </c>
      <c r="Q44" s="1" t="s">
        <v>399</v>
      </c>
      <c r="R44" s="1" t="s">
        <v>1112</v>
      </c>
      <c r="V44" s="7">
        <v>44624.0</v>
      </c>
      <c r="X44" s="1" t="s">
        <v>1113</v>
      </c>
      <c r="AV44" s="1" t="s">
        <v>1114</v>
      </c>
      <c r="AX44" s="1" t="s">
        <v>1115</v>
      </c>
      <c r="AY44" s="1" t="str">
        <f>IFERROR(__xludf.DUMMYFUNCTION("GOOGLETRANSLATE(AX:AX, ""en"", ""te"")"),"5 × రోల్స్ రాయిస్ నెనే సెంట్రిఫ్యూగల్-ఫ్లో టర్బోజెట్ ఇంజన్లు")</f>
        <v>5 × రోల్స్ రాయిస్ నెనే సెంట్రిఫ్యూగల్-ఫ్లో టర్బోజెట్ ఇంజన్లు</v>
      </c>
      <c r="BB44" s="1" t="s">
        <v>1116</v>
      </c>
      <c r="BG44" s="2"/>
      <c r="BT44" s="1" t="s">
        <v>304</v>
      </c>
      <c r="BU44" s="1" t="s">
        <v>958</v>
      </c>
      <c r="BV44" s="1" t="str">
        <f>IFERROR(__xludf.DUMMYFUNCTION("GOOGLETRANSLATE(BU:BU, ""en"", ""te"")"),"రద్దు")</f>
        <v>రద్దు</v>
      </c>
    </row>
    <row r="45">
      <c r="A45" s="1" t="s">
        <v>1117</v>
      </c>
      <c r="B45" s="1" t="str">
        <f>IFERROR(__xludf.DUMMYFUNCTION("GOOGLETRANSLATE(A:A, ""en"", ""te"")"),"స్కేల్డ్ మిశ్రమాలు ప్రోటీయస్")</f>
        <v>స్కేల్డ్ మిశ్రమాలు ప్రోటీయస్</v>
      </c>
      <c r="C45" s="1" t="s">
        <v>1118</v>
      </c>
      <c r="D45" s="1" t="str">
        <f>IFERROR(__xludf.DUMMYFUNCTION("GOOGLETRANSLATE(C:C, ""en"", ""te"")"),"స్కేల్డ్ కాంపోజిట్స్ మోడల్ 281 ​​ప్రోటీయస్ అనేది అధిక ఎత్తులో ఉన్న టెలికమ్యూనికేషన్ రిలేస్‌గా విమానాలను ఉపయోగించడాన్ని పరిశోధించడానికి బర్ట్ రుటాన్ రూపొందించిన ఒక టెన్డం-వింగ్ హై-ఎలిట్యూడ్ లాంగ్ ఎండ్యూరెన్స్ విమానం. ప్రోటీయస్ అనేది వెంట్రల్ పైలాన్‌పై వివి"&amp;"ధ పేలోడ్‌లను మోయగల బహుళ-మిషన్ వాహనం. ప్రోటీయస్ చాలా సమర్థవంతమైన డిజైన్‌ను కలిగి ఉంది మరియు 18 గంటలకు పైగా 19,800 మీ. ఇది ప్రస్తుతం నార్త్రోప్ గ్రుమ్మన్ సొంతం. ప్రోటీయస్ గ్రాఫైట్-ఎపోక్సీ శాండ్‌విచ్ నిర్మాణంతో ఆల్-కాంపోజిట్ ఎయిర్‌ఫ్రేమ్‌ను కలిగి ఉంది. దాని "&amp;"రెక్కలు 77 అడుగుల 7 అంగుళాలు (23.65 మీ) 92 అడుగుల (28 మీ) కు విస్తరించబడతాయి, తొలగించగల వింగ్‌టిప్‌లు వ్యవస్థాపించబడతాయి. ప్రోటీయస్ అనేది ""ఐచ్ఛికంగా పైలట్ చేయబడిన"" విమానం, సాధారణంగా ఇద్దరు పైలట్లు ఒత్తిడితో కూడిన క్యాబిన్‌లో ఎగురుతుంది. ఏదేమైనా, దాని మి"&amp;"షన్లను సెమీ-అటానమస్ గా లేదా భూమి నుండి రిమోట్గా ఎగరవేసే సామర్ధ్యం కూడా ఉంది. నాసా యొక్క ఎన్విరాన్‌మెంటల్ రీసెర్చ్ ఎయిర్‌క్రాఫ్ట్ ఎయిర్‌క్రాఫ్ట్ ఎయిర్‌క్రాఫ్ట్ అండ్ సెన్సార్ టెక్నాలజీ (ERAST) ప్రాజెక్ట్ కింద, నాసా యొక్క డ్రైడెన్ ఫ్లైట్ రీసెర్చ్ సెంటర్ అధున"&amp;"ాతన స్టేషన్-కీపింగ్ ఆటోపైలట్ సిస్టమ్ మరియు ఉపగ్రహ సమాచార మార్పిడి (SATCOM) ఆధారిత అప్లింక్-డౌన్‌లింక్ డేటా సిస్టమ్‌ను ప్రోటీస్ పనితీరు మరియు పేలోడ్ కోసం అభివృద్ధి చేయడంలో స్కేల్డ్ మిశ్రమాలకు సహాయపడింది. సమాచారం. మోడల్ 318 వైట్ నైట్ క్యారియర్ విమానంలో ప్రో"&amp;"టీయస్ వింగ్ ఉపయోగించబడింది, ఇది రుటాన్ యొక్క టైర్ వన్ స్పేస్‌క్రాఫ్ట్ మరియు DARPA X-37 లకు ప్రయోగ వ్యవస్థ. ప్రోటీయస్ యొక్క విమాన పరీక్ష జూలై 26, 1998 న మొజావే విమానాశ్రయంలో మొదటి విమానంతో ప్రారంభమైంది మరియు 1999 చివరి వరకు కొనసాగింది. జూన్లో, ప్రోటీయస్ మొ"&amp;"దటిసారి అంతర్జాతీయంగా మోహరించబడింది, పారిస్ ఎయిర్ షోలో ప్రారంభమైంది. ఇది బాంగోర్, మైనే నుండి పారిస్ వరకు నాన్-స్టాప్ నుండి ఎగిరింది. వారం రోజుల ప్రదర్శనలో, ఇది ప్రతిరోజూ ఎగిరింది, టెలికమ్యూనికేషన్ ప్లాట్‌ఫామ్‌గా దాని సామర్థ్యాలను ప్రదర్శిస్తుంది. నాసా డ్ర"&amp;"ైడెన్ సహకారంతో సెట్ చేయబడిన ఎత్తులో ఉన్న అనేక FAI ప్రపంచ రికార్డుల (తరగతి: C1-E: ల్యాండ్‌ప్లేన్లు 3,000–6,000 కిలోలు, గ్రూప్: 3, టర్బోజెట్) ప్రోటీయస్ ప్రస్తుత హోల్డర్. [1] అక్టోబర్ 2000 లో 63,245 అడుగులు (19,277 మీ) సాధించిన అత్యధిక ఎత్తు. టైమ్ మ్యాగజైన్,"&amp;" డిసెంబర్ 21, 1998 చే ""100 బెస్ట్ ఆఫ్ 1998 డిజైన్"" జాబితాలో ప్రోటీయస్ చేర్చబడింది. [2] విమానం యొక్క మల్టీమిషన్ స్వభావం కారణంగా, ఇది అనేక ముఖ్యమైన పరిశోధన ప్రాజెక్టులు మరియు మిషన్లలో పాల్గొంది. నార్త్రోప్ గ్రుమ్మన్ యొక్క పూర్తిగా యాజమాన్యంలోని స్కేల్డ్ మ"&amp;"ిశ్రమాలు, ఈ విమానాన్ని పరిశోధనా వేదికగా చురుకుగా మార్కెట్ చేస్తాయి మరియు ప్రతిపాదిత మిషన్ల ప్రణాళిక కోసం యూజర్ గైడ్‌ను ప్రచురించాయి. [3] ప్రోటీయస్ మొదట అధిక-ఎత్తు, పొడవైన ఆపరేషన్ (హాలో) టెలికమ్యూనికేషన్ ప్లాట్‌ఫామ్‌గా భావించబడింది. కొలరాడోలోని మాంట్రోస్ య"&amp;"ొక్క స్కేల్డ్ టెక్నాలజీ రచనలు నిర్మించిన విమానాలలో ప్రోటీయస్ మొదటిది (స్కేల్డ్ మిశ్రమాల ప్రతిపాదిత స్పిన్ఆఫ్, తరువాత రద్దు చేయబడింది). ఈ విమానం 14 అడుగుల (4.3 మీ) యాంటెన్నాను తీసుకువెళ్ళడానికి ఉద్దేశించబడింది, ఇది 1999 శరదృతువు మరియు 2000 వేసవిలో విమానంలో"&amp;" పరీక్షించబడింది, ఈ విమానం లాస్ ఏంజిల్స్‌పై కక్ష్యలో ఉన్నప్పుడు వీడియో కాన్ఫరెన్స్ యొక్క రిలేతో సహా. [4] అయితే, ఈ ప్రాజెక్ట్ ముందుకు సాగడంలో విఫలమైంది, అయితే, తరువాతి విమానాల శ్రేణి నిర్మించబడలేదు. నాసా యొక్క ERAST ప్రాజెక్ట్ కింద హైపర్‌స్పెక్ట్రల్ సైన్సె"&amp;"స్, ఇంక్ చేత అభివృద్ధి చేయబడిన ఒక చిన్న వాయుమార్గాన రియల్ టైమ్ ఇమేజింగ్ సిస్టమ్ (ఆర్టిస్) కెమెరా 1999 వేసవిలో నిరూపించబడింది, ఇది ప్రోటీయస్ నుండి దృశ్య మరియు సమీప-అనంతమైన ఫోటోలను తీసినప్పుడు అది అధికంగా ఎగురుతున్నప్పుడు విస్కాన్సిన్లోని ఓష్కోష్ వద్ద ప్రయో"&amp;"గాత్మక ఎయిర్క్రాఫ్ట్ అసోసియేషన్ యొక్క ఎయిర్‌వెంచర్ 99 ఎయిర్‌షో. చిత్రాలు కంప్యూటర్ మానిటర్‌లో ప్రదర్శించబడిన క్షణాల్లో మాత్రమే ప్రదర్శించబడ్డాయి. ప్రోటీయస్ యొక్క మొదటి సైన్స్ మిషన్ ఏమిటంటే, నేషనల్ ధ్రువ-కక్ష్య కార్యాచరణ పర్యావరణ ఉపగ్రహ వ్యవస్థ ఎయిర్బోర్న్"&amp;" సౌండర్ టెస్టెడ్-మార్చి 2000 లో ఎనర్జీ క్లౌడ్ మరియు రేడియేషన్ టెస్ట్‌బెడ్ (కార్ట్) విభాగంలో క్లౌడ్-ఇంటెన్సివ్ ఆపరేటింగ్ వ్యవధిలో ఇంటర్‌ఫెరోమీటర్ (నాస్ట్-ఐ) పరికరం. సైట్. ఓక్లహోమాలోని స్టిల్వెల్ నుండి ఆధారపడిన ఈ విమానాలు వారానికి ఒకటిన్నరలో 30 విమాన గంటలను"&amp;" కలిగి ఉన్నాయి, ఇది క్లౌడ్ లక్షణాలను వర్గీకరిస్తుంది మరియు పరికరాన్ని ధృవీకరిస్తుంది. [5] అప్పుడు, సెప్టెంబర్ మరియు అక్టోబర్ 2000 లో, నీటి-ఆవిరి ఇంటెన్సివ్ ఆపరేటింగ్ వ్యవధిలో, ప్రోటీయస్ మరియు నాస్ట్ ఎగువ ట్రోపోస్పిరిక్ వాటర్ ఆవిరిని అధ్యయనం చేసే ధ్రువీకరణ"&amp;" విమానాలను ఎగరారు మరియు టెర్రా ఉపగ్రహం యొక్క అండర్ఫ్లైట్లను ప్రదర్శిస్తారు. నవంబర్ -డిసెంబర్ 2000 లో, ప్రోటీయస్ DOE యొక్క వాతావరణ రేడియేషన్ కొలత (ARM) ప్రోగ్రామ్ మరియు వాటి నీటి ఆవిరి ప్రయోగాలలో భాగంగా ఎగిరింది. విమానాలు తప్పనిసరిగా నాస్ట్ వాటర్-ఆవిరి ఇంట"&amp;"ెన్సివ్ ఆపరేటింగ్ పీరియడ్ ధ్రువీకరణ విమానాల కోసం ఎగిరినట్లే. [6] ట్రేస్-పి (పసిఫిక్ పై రవాణా మరియు రసాయన పరిణామం) మిషన్‌లో భాగంగా, ప్రోటీయస్ మరోసారి మార్చి 2001 లో నాస్ట్ పాడ్‌ను తీసుకువెళ్ళింది. ఈ విమానం 126 విమాన గంటలను లాగిన్ చేసింది మరియు అలాస్కా, హవా"&amp;"యి మరియు జపాన్ నుండి విభిన్నంగా ఆధారపడింది, డేటాను సేకరించింది మార్చి 2001 లో ఉత్తర ధ్రువంపై గ్రౌండ్, బెలూన్ మరియు ఉపగ్రహ సెన్సార్ ప్యాకేజీలతో సమన్వయంతో. [7] [8] నాసా యొక్క వాలప్స్ ఫ్లైట్ ఫెసిలిటీ నుండి ఎగురుతూ, జూలై మరియు ఆగస్టు 2001 లో నాసా చెసాపీక్ లైట"&amp;"్హౌస్ &amp; ఎయిర్క్రాఫ్ట్ కొలతలు శాటిలైట్స్ (క్లామ్స్) కార్యక్రమంలో ప్రోటీయస్ పాల్గొంది. సముద్ర లక్షణాలను కొలిచే పద్ధతులను మరియు ఏరోసోల్స్ అంచనాలను అభివృద్ధి చేయడానికి ఈ ప్రాజెక్ట్ అనేక విమానాలను ఉపయోగించింది. [9] ఫిబ్రవరి 2002 లో, ప్రోటీయస్ 30 అడుగుల పొడవైన "&amp;"(9.1 మీ) పాడ్‌ను కలిగి ఉంది, ఇది బోయింగ్ YAL-1 వాయుమార్గాన లేజర్ వ్యవస్థ అభివృద్ధికి లక్ష్యంగా పనిచేసింది. ఈ పాడ్ లేజర్ వ్యవస్థను గుర్తించడానికి ఆప్టికల్ సెన్సార్లను కలిగి ఉన్న 2000 కి పైగా చిన్న రంధ్రాల శ్రేణిని కలిగి ఉంది. ఇతర ప్రోటీయస్ కస్టమర్లతో షెడ్య"&amp;"ూలింగ్ అడ్డంకుల కారణంగా, వాయుమార్గాన లేజర్ ప్రోటీయస్ లక్ష్య వ్యవస్థతో వాస్తవ విమాన పరీక్షను నిర్వహించలేదు. లక్ష్య వ్యవస్థ NKC-135 బిగ్ క్రో విమానాలలో రూపొందించబడింది మరియు విలీనం చేయబడింది మరియు వాయుమార్గాన లేజర్ పరీక్షలో ఎక్కువ భాగం ఉపయోగించబడింది. మార్చ"&amp;"ి 2002 లో, నాసా డ్రైడెన్, న్యూ మెక్సికో స్టేట్ యూనివర్శిటీ యొక్క టెక్నికల్ అనాలిసిస్ అండ్ అప్లికేషన్స్ సెంటర్ (TAAC) సహకారంతో, FAA మరియు అనేక ఇతర సంస్థలు, మానవరహితంగా సంభావ్య అనువర్తనం కోసం క్రియాశీల గుర్తింపు, చూడండి మరియు నివారించండి (DSA) వ్యవస్థ యొక్క"&amp;" విమాన ప్రదర్శనలను నిర్వహించాయి. న్యూ మెక్సికోలోని లాస్ క్రూసెస్ నుండి వైమానిక వాహనాలు (యుఎవి). ఇది నాసా ఎరాస్ట్ ప్రాజెక్టులో ఒక భాగం. టేకాఫ్ మరియు ల్యాండింగ్ మరియు ఏవైనా సంభావ్య అత్యవసర పరిస్థితులను నిర్వహించడానికి భద్రతా పైలట్లు మీదికి ఉన్నప్పటికీ, ప్రో"&amp;"టీస్‌ను భూమి నుండి రిమోట్‌గా నియంత్రించే సర్రోగేట్ యుఎవిగా ఎగురవేయబడింది. సాధారణ విమానయాన విమానాల నుండి నాసా ఎఫ్/ఎ -18 వరకు మరో మూడు విమానాలు ఆపరేటింగ్ ట్రాన్స్‌పాండర్‌తో ""సహకార"" లక్ష్య విమానంగా పనిచేశాయి. ప్రతి 18 వేర్వేరు దృశ్యాలలో, ప్రోటీస్‌లోని గుడ్"&amp;"రిచ్ స్కైవాచ్ హెచ్‌పి ట్రాఫిక్ అడ్వైజరీ సిస్టమ్ (టిఎఎస్) సంభావ్య ఘర్షణ కోర్సులపై వాయు ట్రాఫిక్‌ను సమీపిస్తున్నట్లు గుర్తించింది, వీటిలో అనేక దృశ్యాలు వేర్వేరు దిశల నుండి రెండు విమానాలతో ఉన్నాయి. రిమోట్ పైలట్ అప్పుడు ప్రోటీయస్ సంభావ్య ముప్పును నివారించడాని"&amp;"కి అవసరమైన విధంగా తిరగడానికి, ఎక్కడానికి లేదా దిగమని ఆదేశించాడు. ఏప్రిల్ 2003 లో, ""సహకారేతర"" విమానాలపై దృష్టి సారించే రెండవ విమాన ప్రదర్శనలు (ట్రాన్స్‌పాండర్లు లేనివి), కాలిఫోర్నియాలోని మొజావే సమీపంలో పరిమితం చేయబడిన గగనతలంలో నిర్వహించబడ్డాయి, మళ్ళీ ప్ర"&amp;"ోటీస్‌ను సర్రోగేట్ యుఎవిగా ఉపయోగించాయి. అనుకరణ ఘర్షణ కోర్సులపై సంభావ్య చొరబాటు విమానాలను గుర్తించడానికి ప్రోటీయస్ చిన్న యాంఫిటెక్ ఓసిస్ 35 GHz ప్రాధమిక రాడార్ వ్యవస్థను కలిగి ఉంది. రాడార్ డేటాను నేరుగా గ్రౌండ్ స్టేషన్తో పాటు ప్రోటీస్‌లో ఇన్‌స్టాల్ చేసిన ఇ"&amp;"న్మార్సాట్ ఉపగ్రహ వ్యవస్థ ద్వారా పంపారు. సెయిల్ ప్లేన్ నుండి హై-స్పీడ్ జెట్ వరకు ఏడు చొరబాటు విమానాల మిశ్రమం, నాలుగు రోజుల వ్యవధిలో 20 దృశ్యాలను, ఒకేసారి ఒకటి లేదా రెండు విమానాలు. ప్రతి సందర్భంలో, రాడార్ చొరబాటు విమానాలను 2.5 నుండి 6.5 మైళ్ళు (10.5 కిమీ) "&amp;"వరకు తీసుకుంది, ఇది చొరబాటుదారుడి రాడార్ సంతకాన్ని బట్టి. భూమిపై ప్రోటీయస్ యొక్క రిమోట్ పైలట్ అవసరమైతే తప్పించుకునే చర్య తీసుకోవడానికి ప్రోటీస్‌ను నిర్దేశించగలిగాడు. ఇంటర్నేషనల్ H2O ప్రాజెక్ట్ (IHOP 2002) అనేది ఒక క్షేత్ర ప్రయోగం, ఇది మే 13 నుండి జూన్ 25,"&amp;" 2002 వరకు అమెరికా యొక్క దక్షిణ గ్రేట్ మైదానంలో జరిగింది. IHOP 2002 యొక్క ప్రధాన లక్ష్యం నాలుగు డైమెన్షనల్ (4-D యొక్క మెరుగైన లక్షణం ) నీటి ఆవిరి పంపిణీ మరియు ఉష్ణప్రసరణ యొక్క అవగాహన మరియు అంచనాను మెరుగుపరచడానికి దాని అనువర్తనం. నాసా హోలోగ్రాఫిక్ వాయుమార్"&amp;"గాన తిరిగే లిడార్ ఇన్స్ట్రుమెంట్ ప్రయోగం ఈ ప్రాజెక్టులో భాగంగా ఎగురవేయబడింది. లాక్‌హీడ్ పి -3 మరియు డిసి -8 విమానాలతో సమన్వయంతో విమానాలు జరిగాయి. [10] [11] జూలై 2002 లో, ప్రోటీయస్ క్రిస్టల్-ఫేస్‌లో పాల్గొంది, ఉష్ణమండల సిరస్ మేఘాలను కొలుస్తుంది, ఫ్లోరిడాలో"&amp;"ని కీ వెస్ట్ నుండి పనిచేస్తుంది, బెలిజ్ వరకు దక్షిణాన ఎగురుతుంది. ప్రాజెక్ట్ యొక్క ఈ దశ కోసం, విమానం 10-అడుగుల (3.0 మీ) కానార్డ్స్ మరియు .MW- పార్సర్-అవుట్పుట్ .ఫ్రాక్ {వైట్-స్పేస్: నౌరాప్} .mw-Parser- అవుట్పుట్ .ఫ్రాక్ .నమ్, .MW- పార్సర్-అవుట్పుట్ .ఫ్రాక"&amp;"్ .డెన్ {ఫాంట్-సైజ్: 80%; లైన్-హైట్: 0; నిలువు-అమరిక: సూపర్} .mw- పార్సర్-అవుట్పుట్ .ఫ్రాక్ .డెన్ {నిలువు-అమరిక: ఉప} .mw- పార్సర్-అవుట్పుట్ .sr- మాత్రమే {సరిహద్దు: 0; క్లిప్: రెక్ట్ (0,0,0,0); ఎత్తు: 1px; మార్జిన్: -1px; ఓవర్‌ఫ్లో: దాచిన; పాడింగ్: 0; స్థా"&amp;"నం: సంపూర్ణ; వెడల్పు: 1px} 13+1 ⁄2-అడుగుల వింగ్టిప్ పొడిగింపులు. [12] [13] ఎగువ వాతావరణంలో సిరస్ మేఘాలను అధ్యయనం చేయడానికి DOE యొక్క వాతావరణ రేడియేషన్ కొలత కార్యక్రమం మరియు శాండియా నేషనల్ లాబొరేటరీస్ స్పాన్సర్ చేసిన ప్రాజెక్ట్‌లో భాగంగా ప్రోటీయస్ అనేక విస"&amp;"్తరణలలో ఉపయోగించబడింది. [14] ఈ విమానాల సమయంలో, ఈ విమానంలో విమానం యొక్క ఐదు భాగాలపై 20 కి పైగా సెన్సార్లు అమర్చబడి ఉన్నాయి. నవంబర్ 2002 లో, ప్రోటీయస్ ఈ ప్రాజెక్ట్ యొక్క మరొక దశలో పాల్గొంది, పోంకా సిటీ నుండి ఎగురుతోంది. అక్టోబర్ 2004 లో, ప్రోటీయస్ అలస్కాలోన"&amp;"ి ఫెయిర్‌బ్యాంక్స్ నుండి పనిచేసింది, [సైటేషన్ అవసరం] మరియు ఫిబ్రవరి 2006 లో, ఈ విమానం ఆస్ట్రేలియాలోని డార్విన్ కు మోహరించబడింది. మే మరియు జూన్ 2005 లో, ట్రాన్స్ఫార్మేషనల్ స్పేస్ కార్పొరేషన్, లేదా టి/స్పేస్, ఫ్లైట్ స్కేల్డ్ కాంపోజిట్స్ ప్రోటీస్‌ను ఉపయోగించ"&amp;"ి వారి రాకెట్ విడుదల భావనను పరీక్షించింది. మే 13 న క్యాప్టివ్-క్యారీ టెస్ట్ ఫ్లైట్ జరిగింది, మరియు రాకెట్ మోకాప్‌ను మే 24, జూన్ 7 మరియు జూన్ 14 న ఎడ్వర్డ్స్ AFB పై మూడుసార్లు తొలగించారు. మోకాప్ ప్రతిపాదిత నలుగురు వ్యక్తుల సిబ్బంది క్యాప్సూల్ (CXV అని పిలు"&amp;"స్తారు) మరియు దాని ఎయిర్లాంచ్ LLC- ఉత్పత్తి చేసిన క్విక్‌రీచ్ II బూస్టర్ యొక్క 23% స్కేల్ మోడల్. [15] ఈ ప్రత్యేక విమాన పరీక్షలు టి/స్పేస్ యొక్క ట్రాపెజీ/లాన్యార్డ్ (టిఎల్‌ఎడి) ఎయిర్ డ్రాప్ సిస్టమ్ యొక్క భావనను ప్రదర్శించడం. [16] నార్త్రోప్ గ్రుమ్మన్ కొత్త"&amp;" యుఎవి టెక్నాలజీలను పరిశోధించడానికి ప్రోటీస్‌ను ఉపయోగిస్తున్నాడు, ఎందుకంటే దీనిని కాక్‌పిట్, గ్రౌండ్ కంట్రోల్ స్టేషన్ నుండి నియంత్రించవచ్చు లేదా సెమీ అట్రోనమలుగా ఆపరేట్ చేయవచ్చు. స్కేల్డ్, నార్త్రోప్ గ్రుమ్మన్ భాగస్వామ్యంతో, యుఎస్ఎఎఫ్ హంటర్-కిల్లర్ పోటీకి"&amp;" పోటీలో భాగంగా మోడల్ 395 అని లేబుల్ చేయబడిన ప్రోటీయస్ యొక్క పూర్తిగా అన్‌ఫ్రూడ్ వెర్షన్‌ను అందిస్తోంది. ఎంపిక చేయబడితే, ఆ ఉత్పత్తి 2007 లో ఎగిరిపోయేది. [నవీకరణ అవసరం] ఫిబ్రవరి 24, 2005 న, నెవాడాలోని నెల్లిస్ ఎయిర్ ఫోర్స్ బేస్ పై జడ 500-పౌండ్ల ఆయుధాన్ని వి"&amp;"డుదల చేయడంతో ప్రోటీయస్ స్కేల్డ్ యొక్క మొదటి బాంబర్ అయింది. [17] ఏప్రిల్ 27, 2006 న, ప్రోటీయస్ ఫ్లైట్ మల్టీ-ప్లాట్‌ఫాం రాడార్ టెక్నాలజీ చొప్పించే ప్రోగ్రామ్ లేదా MP-RTIP యొక్క అభివృద్ధి సంస్కరణను ఉంచడానికి రూపొందించిన పెద్ద POD ని పరీక్షించింది. ఇది సుదూర,"&amp;" అధిక రిజల్యూషన్ ఎయిర్-టు-గ్రౌండ్ మరియు ఎయిర్-టు-ఎయిర్ సింథటిక్ ఎపర్చరు రాడార్ సిస్టమ్, RQ-4 గ్లోబల్ హాక్‌లో ఉపయోగం కోసం అభివృద్ధి చేయబడుతోంది. ఈ పాడ్ దాని పొడవు మరియు ఫ్రంటల్ ప్రాంతం యొక్క పనితీరు ద్వారా, ఈ రోజు వరకు ప్రోటీయస్ తీసుకువెళ్ళే అతిపెద్ద పేలోడ"&amp;"్లలో ఒకటి. MP-RTIP వ్యవస్థ యొక్క వాస్తవ విమాన పరీక్ష సెప్టెంబర్ 2006 చివరలో ప్రారంభమైంది, ప్రారంభ విమానం 100 నాట్లు (120 mph; 190 కిమీ/గం) మరియు 22,000 అడుగుల (6,700 మీ) ఎత్తుకు చేరుకుంది. [18] [19] FAI క్లాస్ C-1E (ల్యాండ్‌ప్లేన్లు: టేకాఫ్ బరువు 3,000 ను"&amp;"ండి 6,000 కిలోల (6,600 నుండి 13,200 పౌండ్లు)), గ్రూప్ 2, టర్బోజెట్, వీటితో సహా ప్రోటీయస్ అనేక ప్రపంచ ఎత్తు రికార్డులను నెలకొల్పింది: వీటిలో డేటా: జేన్ యొక్క అన్ని ప్రపంచ విమానాల నుండి డేటా 2003–2004 [21] సాధారణ లక్షణాలు పనితీరు సంబంధిత అభివృద్ధి")</f>
        <v>స్కేల్డ్ కాంపోజిట్స్ మోడల్ 281 ​​ప్రోటీయస్ అనేది అధిక ఎత్తులో ఉన్న టెలికమ్యూనికేషన్ రిలేస్‌గా విమానాలను ఉపయోగించడాన్ని పరిశోధించడానికి బర్ట్ రుటాన్ రూపొందించిన ఒక టెన్డం-వింగ్ హై-ఎలిట్యూడ్ లాంగ్ ఎండ్యూరెన్స్ విమానం. ప్రోటీయస్ అనేది వెంట్రల్ పైలాన్‌పై వివిధ పేలోడ్‌లను మోయగల బహుళ-మిషన్ వాహనం. ప్రోటీయస్ చాలా సమర్థవంతమైన డిజైన్‌ను కలిగి ఉంది మరియు 18 గంటలకు పైగా 19,800 మీ. ఇది ప్రస్తుతం నార్త్రోప్ గ్రుమ్మన్ సొంతం. ప్రోటీయస్ గ్రాఫైట్-ఎపోక్సీ శాండ్‌విచ్ నిర్మాణంతో ఆల్-కాంపోజిట్ ఎయిర్‌ఫ్రేమ్‌ను కలిగి ఉంది. దాని రెక్కలు 77 అడుగుల 7 అంగుళాలు (23.65 మీ) 92 అడుగుల (28 మీ) కు విస్తరించబడతాయి, తొలగించగల వింగ్‌టిప్‌లు వ్యవస్థాపించబడతాయి. ప్రోటీయస్ అనేది "ఐచ్ఛికంగా పైలట్ చేయబడిన" విమానం, సాధారణంగా ఇద్దరు పైలట్లు ఒత్తిడితో కూడిన క్యాబిన్‌లో ఎగురుతుంది. ఏదేమైనా, దాని మిషన్లను సెమీ-అటానమస్ గా లేదా భూమి నుండి రిమోట్గా ఎగరవేసే సామర్ధ్యం కూడా ఉంది. నాసా యొక్క ఎన్విరాన్‌మెంటల్ రీసెర్చ్ ఎయిర్‌క్రాఫ్ట్ ఎయిర్‌క్రాఫ్ట్ ఎయిర్‌క్రాఫ్ట్ అండ్ సెన్సార్ టెక్నాలజీ (ERAST) ప్రాజెక్ట్ కింద, నాసా యొక్క డ్రైడెన్ ఫ్లైట్ రీసెర్చ్ సెంటర్ అధునాతన స్టేషన్-కీపింగ్ ఆటోపైలట్ సిస్టమ్ మరియు ఉపగ్రహ సమాచార మార్పిడి (SATCOM) ఆధారిత అప్లింక్-డౌన్‌లింక్ డేటా సిస్టమ్‌ను ప్రోటీస్ పనితీరు మరియు పేలోడ్ కోసం అభివృద్ధి చేయడంలో స్కేల్డ్ మిశ్రమాలకు సహాయపడింది. సమాచారం. మోడల్ 318 వైట్ నైట్ క్యారియర్ విమానంలో ప్రోటీయస్ వింగ్ ఉపయోగించబడింది, ఇది రుటాన్ యొక్క టైర్ వన్ స్పేస్‌క్రాఫ్ట్ మరియు DARPA X-37 లకు ప్రయోగ వ్యవస్థ. ప్రోటీయస్ యొక్క విమాన పరీక్ష జూలై 26, 1998 న మొజావే విమానాశ్రయంలో మొదటి విమానంతో ప్రారంభమైంది మరియు 1999 చివరి వరకు కొనసాగింది. జూన్లో, ప్రోటీయస్ మొదటిసారి అంతర్జాతీయంగా మోహరించబడింది, పారిస్ ఎయిర్ షోలో ప్రారంభమైంది. ఇది బాంగోర్, మైనే నుండి పారిస్ వరకు నాన్-స్టాప్ నుండి ఎగిరింది. వారం రోజుల ప్రదర్శనలో, ఇది ప్రతిరోజూ ఎగిరింది, టెలికమ్యూనికేషన్ ప్లాట్‌ఫామ్‌గా దాని సామర్థ్యాలను ప్రదర్శిస్తుంది. నాసా డ్రైడెన్ సహకారంతో సెట్ చేయబడిన ఎత్తులో ఉన్న అనేక FAI ప్రపంచ రికార్డుల (తరగతి: C1-E: ల్యాండ్‌ప్లేన్లు 3,000–6,000 కిలోలు, గ్రూప్: 3, టర్బోజెట్) ప్రోటీయస్ ప్రస్తుత హోల్డర్. [1] అక్టోబర్ 2000 లో 63,245 అడుగులు (19,277 మీ) సాధించిన అత్యధిక ఎత్తు. టైమ్ మ్యాగజైన్, డిసెంబర్ 21, 1998 చే "100 బెస్ట్ ఆఫ్ 1998 డిజైన్" జాబితాలో ప్రోటీయస్ చేర్చబడింది. [2] విమానం యొక్క మల్టీమిషన్ స్వభావం కారణంగా, ఇది అనేక ముఖ్యమైన పరిశోధన ప్రాజెక్టులు మరియు మిషన్లలో పాల్గొంది. నార్త్రోప్ గ్రుమ్మన్ యొక్క పూర్తిగా యాజమాన్యంలోని స్కేల్డ్ మిశ్రమాలు, ఈ విమానాన్ని పరిశోధనా వేదికగా చురుకుగా మార్కెట్ చేస్తాయి మరియు ప్రతిపాదిత మిషన్ల ప్రణాళిక కోసం యూజర్ గైడ్‌ను ప్రచురించాయి. [3] ప్రోటీయస్ మొదట అధిక-ఎత్తు, పొడవైన ఆపరేషన్ (హాలో) టెలికమ్యూనికేషన్ ప్లాట్‌ఫామ్‌గా భావించబడింది. కొలరాడోలోని మాంట్రోస్ యొక్క స్కేల్డ్ టెక్నాలజీ రచనలు నిర్మించిన విమానాలలో ప్రోటీయస్ మొదటిది (స్కేల్డ్ మిశ్రమాల ప్రతిపాదిత స్పిన్ఆఫ్, తరువాత రద్దు చేయబడింది). ఈ విమానం 14 అడుగుల (4.3 మీ) యాంటెన్నాను తీసుకువెళ్ళడానికి ఉద్దేశించబడింది, ఇది 1999 శరదృతువు మరియు 2000 వేసవిలో విమానంలో పరీక్షించబడింది, ఈ విమానం లాస్ ఏంజిల్స్‌పై కక్ష్యలో ఉన్నప్పుడు వీడియో కాన్ఫరెన్స్ యొక్క రిలేతో సహా. [4] అయితే, ఈ ప్రాజెక్ట్ ముందుకు సాగడంలో విఫలమైంది, అయితే, తరువాతి విమానాల శ్రేణి నిర్మించబడలేదు. నాసా యొక్క ERAST ప్రాజెక్ట్ కింద హైపర్‌స్పెక్ట్రల్ సైన్సెస్, ఇంక్ చేత అభివృద్ధి చేయబడిన ఒక చిన్న వాయుమార్గాన రియల్ టైమ్ ఇమేజింగ్ సిస్టమ్ (ఆర్టిస్) కెమెరా 1999 వేసవిలో నిరూపించబడింది, ఇది ప్రోటీయస్ నుండి దృశ్య మరియు సమీప-అనంతమైన ఫోటోలను తీసినప్పుడు అది అధికంగా ఎగురుతున్నప్పుడు విస్కాన్సిన్లోని ఓష్కోష్ వద్ద ప్రయోగాత్మక ఎయిర్క్రాఫ్ట్ అసోసియేషన్ యొక్క ఎయిర్‌వెంచర్ 99 ఎయిర్‌షో. చిత్రాలు కంప్యూటర్ మానిటర్‌లో ప్రదర్శించబడిన క్షణాల్లో మాత్రమే ప్రదర్శించబడ్డాయి. ప్రోటీయస్ యొక్క మొదటి సైన్స్ మిషన్ ఏమిటంటే, నేషనల్ ధ్రువ-కక్ష్య కార్యాచరణ పర్యావరణ ఉపగ్రహ వ్యవస్థ ఎయిర్బోర్న్ సౌండర్ టెస్టెడ్-మార్చి 2000 లో ఎనర్జీ క్లౌడ్ మరియు రేడియేషన్ టెస్ట్‌బెడ్ (కార్ట్) విభాగంలో క్లౌడ్-ఇంటెన్సివ్ ఆపరేటింగ్ వ్యవధిలో ఇంటర్‌ఫెరోమీటర్ (నాస్ట్-ఐ) పరికరం. సైట్. ఓక్లహోమాలోని స్టిల్వెల్ నుండి ఆధారపడిన ఈ విమానాలు వారానికి ఒకటిన్నరలో 30 విమాన గంటలను కలిగి ఉన్నాయి, ఇది క్లౌడ్ లక్షణాలను వర్గీకరిస్తుంది మరియు పరికరాన్ని ధృవీకరిస్తుంది. [5] అప్పుడు, సెప్టెంబర్ మరియు అక్టోబర్ 2000 లో, నీటి-ఆవిరి ఇంటెన్సివ్ ఆపరేటింగ్ వ్యవధిలో, ప్రోటీయస్ మరియు నాస్ట్ ఎగువ ట్రోపోస్పిరిక్ వాటర్ ఆవిరిని అధ్యయనం చేసే ధ్రువీకరణ విమానాలను ఎగరారు మరియు టెర్రా ఉపగ్రహం యొక్క అండర్ఫ్లైట్లను ప్రదర్శిస్తారు. నవంబర్ -డిసెంబర్ 2000 లో, ప్రోటీయస్ DOE యొక్క వాతావరణ రేడియేషన్ కొలత (ARM) ప్రోగ్రామ్ మరియు వాటి నీటి ఆవిరి ప్రయోగాలలో భాగంగా ఎగిరింది. విమానాలు తప్పనిసరిగా నాస్ట్ వాటర్-ఆవిరి ఇంటెన్సివ్ ఆపరేటింగ్ పీరియడ్ ధ్రువీకరణ విమానాల కోసం ఎగిరినట్లే. [6] ట్రేస్-పి (పసిఫిక్ పై రవాణా మరియు రసాయన పరిణామం) మిషన్‌లో భాగంగా, ప్రోటీయస్ మరోసారి మార్చి 2001 లో నాస్ట్ పాడ్‌ను తీసుకువెళ్ళింది. ఈ విమానం 126 విమాన గంటలను లాగిన్ చేసింది మరియు అలాస్కా, హవాయి మరియు జపాన్ నుండి విభిన్నంగా ఆధారపడింది, డేటాను సేకరించింది మార్చి 2001 లో ఉత్తర ధ్రువంపై గ్రౌండ్, బెలూన్ మరియు ఉపగ్రహ సెన్సార్ ప్యాకేజీలతో సమన్వయంతో. [7] [8] నాసా యొక్క వాలప్స్ ఫ్లైట్ ఫెసిలిటీ నుండి ఎగురుతూ, జూలై మరియు ఆగస్టు 2001 లో నాసా చెసాపీక్ లైట్హౌస్ &amp; ఎయిర్క్రాఫ్ట్ కొలతలు శాటిలైట్స్ (క్లామ్స్) కార్యక్రమంలో ప్రోటీయస్ పాల్గొంది. సముద్ర లక్షణాలను కొలిచే పద్ధతులను మరియు ఏరోసోల్స్ అంచనాలను అభివృద్ధి చేయడానికి ఈ ప్రాజెక్ట్ అనేక విమానాలను ఉపయోగించింది. [9] ఫిబ్రవరి 2002 లో, ప్రోటీయస్ 30 అడుగుల పొడవైన (9.1 మీ) పాడ్‌ను కలిగి ఉంది, ఇది బోయింగ్ YAL-1 వాయుమార్గాన లేజర్ వ్యవస్థ అభివృద్ధికి లక్ష్యంగా పనిచేసింది. ఈ పాడ్ లేజర్ వ్యవస్థను గుర్తించడానికి ఆప్టికల్ సెన్సార్లను కలిగి ఉన్న 2000 కి పైగా చిన్న రంధ్రాల శ్రేణిని కలిగి ఉంది. ఇతర ప్రోటీయస్ కస్టమర్లతో షెడ్యూలింగ్ అడ్డంకుల కారణంగా, వాయుమార్గాన లేజర్ ప్రోటీయస్ లక్ష్య వ్యవస్థతో వాస్తవ విమాన పరీక్షను నిర్వహించలేదు. లక్ష్య వ్యవస్థ NKC-135 బిగ్ క్రో విమానాలలో రూపొందించబడింది మరియు విలీనం చేయబడింది మరియు వాయుమార్గాన లేజర్ పరీక్షలో ఎక్కువ భాగం ఉపయోగించబడింది. మార్చి 2002 లో, నాసా డ్రైడెన్, న్యూ మెక్సికో స్టేట్ యూనివర్శిటీ యొక్క టెక్నికల్ అనాలిసిస్ అండ్ అప్లికేషన్స్ సెంటర్ (TAAC) సహకారంతో, FAA మరియు అనేక ఇతర సంస్థలు, మానవరహితంగా సంభావ్య అనువర్తనం కోసం క్రియాశీల గుర్తింపు, చూడండి మరియు నివారించండి (DSA) వ్యవస్థ యొక్క విమాన ప్రదర్శనలను నిర్వహించాయి. న్యూ మెక్సికోలోని లాస్ క్రూసెస్ నుండి వైమానిక వాహనాలు (యుఎవి). ఇది నాసా ఎరాస్ట్ ప్రాజెక్టులో ఒక భాగం. టేకాఫ్ మరియు ల్యాండింగ్ మరియు ఏవైనా సంభావ్య అత్యవసర పరిస్థితులను నిర్వహించడానికి భద్రతా పైలట్లు మీదికి ఉన్నప్పటికీ, ప్రోటీస్‌ను భూమి నుండి రిమోట్‌గా నియంత్రించే సర్రోగేట్ యుఎవిగా ఎగురవేయబడింది. సాధారణ విమానయాన విమానాల నుండి నాసా ఎఫ్/ఎ -18 వరకు మరో మూడు విమానాలు ఆపరేటింగ్ ట్రాన్స్‌పాండర్‌తో "సహకార" లక్ష్య విమానంగా పనిచేశాయి. ప్రతి 18 వేర్వేరు దృశ్యాలలో, ప్రోటీస్‌లోని గుడ్రిచ్ స్కైవాచ్ హెచ్‌పి ట్రాఫిక్ అడ్వైజరీ సిస్టమ్ (టిఎఎస్) సంభావ్య ఘర్షణ కోర్సులపై వాయు ట్రాఫిక్‌ను సమీపిస్తున్నట్లు గుర్తించింది, వీటిలో అనేక దృశ్యాలు వేర్వేరు దిశల నుండి రెండు విమానాలతో ఉన్నాయి. రిమోట్ పైలట్ అప్పుడు ప్రోటీయస్ సంభావ్య ముప్పును నివారించడానికి అవసరమైన విధంగా తిరగడానికి, ఎక్కడానికి లేదా దిగమని ఆదేశించాడు. ఏప్రిల్ 2003 లో, "సహకారేతర" విమానాలపై దృష్టి సారించే రెండవ విమాన ప్రదర్శనలు (ట్రాన్స్‌పాండర్లు లేనివి), కాలిఫోర్నియాలోని మొజావే సమీపంలో పరిమితం చేయబడిన గగనతలంలో నిర్వహించబడ్డాయి, మళ్ళీ ప్రోటీస్‌ను సర్రోగేట్ యుఎవిగా ఉపయోగించాయి. అనుకరణ ఘర్షణ కోర్సులపై సంభావ్య చొరబాటు విమానాలను గుర్తించడానికి ప్రోటీయస్ చిన్న యాంఫిటెక్ ఓసిస్ 35 GHz ప్రాధమిక రాడార్ వ్యవస్థను కలిగి ఉంది. రాడార్ డేటాను నేరుగా గ్రౌండ్ స్టేషన్తో పాటు ప్రోటీస్‌లో ఇన్‌స్టాల్ చేసిన ఇన్మార్సాట్ ఉపగ్రహ వ్యవస్థ ద్వారా పంపారు. సెయిల్ ప్లేన్ నుండి హై-స్పీడ్ జెట్ వరకు ఏడు చొరబాటు విమానాల మిశ్రమం, నాలుగు రోజుల వ్యవధిలో 20 దృశ్యాలను, ఒకేసారి ఒకటి లేదా రెండు విమానాలు. ప్రతి సందర్భంలో, రాడార్ చొరబాటు విమానాలను 2.5 నుండి 6.5 మైళ్ళు (10.5 కిమీ) వరకు తీసుకుంది, ఇది చొరబాటుదారుడి రాడార్ సంతకాన్ని బట్టి. భూమిపై ప్రోటీయస్ యొక్క రిమోట్ పైలట్ అవసరమైతే తప్పించుకునే చర్య తీసుకోవడానికి ప్రోటీస్‌ను నిర్దేశించగలిగాడు. ఇంటర్నేషనల్ H2O ప్రాజెక్ట్ (IHOP 2002) అనేది ఒక క్షేత్ర ప్రయోగం, ఇది మే 13 నుండి జూన్ 25, 2002 వరకు అమెరికా యొక్క దక్షిణ గ్రేట్ మైదానంలో జరిగింది. IHOP 2002 యొక్క ప్రధాన లక్ష్యం నాలుగు డైమెన్షనల్ (4-D యొక్క మెరుగైన లక్షణం ) నీటి ఆవిరి పంపిణీ మరియు ఉష్ణప్రసరణ యొక్క అవగాహన మరియు అంచనాను మెరుగుపరచడానికి దాని అనువర్తనం. నాసా హోలోగ్రాఫిక్ వాయుమార్గాన తిరిగే లిడార్ ఇన్స్ట్రుమెంట్ ప్రయోగం ఈ ప్రాజెక్టులో భాగంగా ఎగురవేయబడింది. లాక్‌హీడ్ పి -3 మరియు డిసి -8 విమానాలతో సమన్వయంతో విమానాలు జరిగాయి. [10] [11] జూలై 2002 లో, ప్రోటీయస్ క్రిస్టల్-ఫేస్‌లో పాల్గొంది, ఉష్ణమండల సిరస్ మేఘాలను కొలుస్తుంది, ఫ్లోరిడాలోని కీ వెస్ట్ నుండి పనిచేస్తుంది, బెలిజ్ వరకు దక్షిణాన ఎగురుతుంది. ప్రాజెక్ట్ యొక్క ఈ దశ కోసం, విమానం 10-అడుగుల (3.0 మీ) కానార్డ్స్ మరియు .MW- పార్సర్-అవుట్పుట్ .ఫ్రాక్ {వైట్-స్పేస్: నౌరాప్} .mw-Parser- అవుట్పుట్ .ఫ్రాక్ .నమ్, .MW- పార్సర్-అవుట్పుట్ .ఫ్రాక్ .డెన్ {ఫాంట్-సైజ్: 80%; లైన్-హైట్: 0; నిలువు-అమరిక: సూపర్} .mw- పార్సర్-అవుట్పుట్ .ఫ్రాక్ .డెన్ {నిలువు-అమరిక: ఉప} .mw- పార్సర్-అవుట్పుట్ .sr- మాత్రమే {సరిహద్దు: 0; క్లిప్: రెక్ట్ (0,0,0,0); ఎత్తు: 1px; మార్జిన్: -1px; ఓవర్‌ఫ్లో: దాచిన; పాడింగ్: 0; స్థానం: సంపూర్ణ; వెడల్పు: 1px} 13+1 ⁄2-అడుగుల వింగ్టిప్ పొడిగింపులు. [12] [13] ఎగువ వాతావరణంలో సిరస్ మేఘాలను అధ్యయనం చేయడానికి DOE యొక్క వాతావరణ రేడియేషన్ కొలత కార్యక్రమం మరియు శాండియా నేషనల్ లాబొరేటరీస్ స్పాన్సర్ చేసిన ప్రాజెక్ట్‌లో భాగంగా ప్రోటీయస్ అనేక విస్తరణలలో ఉపయోగించబడింది. [14] ఈ విమానాల సమయంలో, ఈ విమానంలో విమానం యొక్క ఐదు భాగాలపై 20 కి పైగా సెన్సార్లు అమర్చబడి ఉన్నాయి. నవంబర్ 2002 లో, ప్రోటీయస్ ఈ ప్రాజెక్ట్ యొక్క మరొక దశలో పాల్గొంది, పోంకా సిటీ నుండి ఎగురుతోంది. అక్టోబర్ 2004 లో, ప్రోటీయస్ అలస్కాలోని ఫెయిర్‌బ్యాంక్స్ నుండి పనిచేసింది, [సైటేషన్ అవసరం] మరియు ఫిబ్రవరి 2006 లో, ఈ విమానం ఆస్ట్రేలియాలోని డార్విన్ కు మోహరించబడింది. మే మరియు జూన్ 2005 లో, ట్రాన్స్ఫార్మేషనల్ స్పేస్ కార్పొరేషన్, లేదా టి/స్పేస్, ఫ్లైట్ స్కేల్డ్ కాంపోజిట్స్ ప్రోటీస్‌ను ఉపయోగించి వారి రాకెట్ విడుదల భావనను పరీక్షించింది. మే 13 న క్యాప్టివ్-క్యారీ టెస్ట్ ఫ్లైట్ జరిగింది, మరియు రాకెట్ మోకాప్‌ను మే 24, జూన్ 7 మరియు జూన్ 14 న ఎడ్వర్డ్స్ AFB పై మూడుసార్లు తొలగించారు. మోకాప్ ప్రతిపాదిత నలుగురు వ్యక్తుల సిబ్బంది క్యాప్సూల్ (CXV అని పిలుస్తారు) మరియు దాని ఎయిర్లాంచ్ LLC- ఉత్పత్తి చేసిన క్విక్‌రీచ్ II బూస్టర్ యొక్క 23% స్కేల్ మోడల్. [15] ఈ ప్రత్యేక విమాన పరీక్షలు టి/స్పేస్ యొక్క ట్రాపెజీ/లాన్యార్డ్ (టిఎల్‌ఎడి) ఎయిర్ డ్రాప్ సిస్టమ్ యొక్క భావనను ప్రదర్శించడం. [16] నార్త్రోప్ గ్రుమ్మన్ కొత్త యుఎవి టెక్నాలజీలను పరిశోధించడానికి ప్రోటీస్‌ను ఉపయోగిస్తున్నాడు, ఎందుకంటే దీనిని కాక్‌పిట్, గ్రౌండ్ కంట్రోల్ స్టేషన్ నుండి నియంత్రించవచ్చు లేదా సెమీ అట్రోనమలుగా ఆపరేట్ చేయవచ్చు. స్కేల్డ్, నార్త్రోప్ గ్రుమ్మన్ భాగస్వామ్యంతో, యుఎస్ఎఎఫ్ హంటర్-కిల్లర్ పోటీకి పోటీలో భాగంగా మోడల్ 395 అని లేబుల్ చేయబడిన ప్రోటీయస్ యొక్క పూర్తిగా అన్‌ఫ్రూడ్ వెర్షన్‌ను అందిస్తోంది. ఎంపిక చేయబడితే, ఆ ఉత్పత్తి 2007 లో ఎగిరిపోయేది. [నవీకరణ అవసరం] ఫిబ్రవరి 24, 2005 న, నెవాడాలోని నెల్లిస్ ఎయిర్ ఫోర్స్ బేస్ పై జడ 500-పౌండ్ల ఆయుధాన్ని విడుదల చేయడంతో ప్రోటీయస్ స్కేల్డ్ యొక్క మొదటి బాంబర్ అయింది. [17] ఏప్రిల్ 27, 2006 న, ప్రోటీయస్ ఫ్లైట్ మల్టీ-ప్లాట్‌ఫాం రాడార్ టెక్నాలజీ చొప్పించే ప్రోగ్రామ్ లేదా MP-RTIP యొక్క అభివృద్ధి సంస్కరణను ఉంచడానికి రూపొందించిన పెద్ద POD ని పరీక్షించింది. ఇది సుదూర, అధిక రిజల్యూషన్ ఎయిర్-టు-గ్రౌండ్ మరియు ఎయిర్-టు-ఎయిర్ సింథటిక్ ఎపర్చరు రాడార్ సిస్టమ్, RQ-4 గ్లోబల్ హాక్‌లో ఉపయోగం కోసం అభివృద్ధి చేయబడుతోంది. ఈ పాడ్ దాని పొడవు మరియు ఫ్రంటల్ ప్రాంతం యొక్క పనితీరు ద్వారా, ఈ రోజు వరకు ప్రోటీయస్ తీసుకువెళ్ళే అతిపెద్ద పేలోడ్లలో ఒకటి. MP-RTIP వ్యవస్థ యొక్క వాస్తవ విమాన పరీక్ష సెప్టెంబర్ 2006 చివరలో ప్రారంభమైంది, ప్రారంభ విమానం 100 నాట్లు (120 mph; 190 కిమీ/గం) మరియు 22,000 అడుగుల (6,700 మీ) ఎత్తుకు చేరుకుంది. [18] [19] FAI క్లాస్ C-1E (ల్యాండ్‌ప్లేన్లు: టేకాఫ్ బరువు 3,000 నుండి 6,000 కిలోల (6,600 నుండి 13,200 పౌండ్లు)), గ్రూప్ 2, టర్బోజెట్, వీటితో సహా ప్రోటీయస్ అనేక ప్రపంచ ఎత్తు రికార్డులను నెలకొల్పింది: వీటిలో డేటా: జేన్ యొక్క అన్ని ప్రపంచ విమానాల నుండి డేటా 2003–2004 [21] సాధారణ లక్షణాలు పనితీరు సంబంధిత అభివృద్ధి</v>
      </c>
      <c r="E45" s="1" t="s">
        <v>1119</v>
      </c>
      <c r="F45" s="1" t="s">
        <v>1120</v>
      </c>
      <c r="G45" s="1" t="str">
        <f>IFERROR(__xludf.DUMMYFUNCTION("GOOGLETRANSLATE(F:F, ""en"", ""te"")"),"ప్రయోగాత్మక విమానం")</f>
        <v>ప్రయోగాత్మక విమానం</v>
      </c>
      <c r="H45" s="1" t="s">
        <v>1121</v>
      </c>
      <c r="L45" s="1" t="s">
        <v>1122</v>
      </c>
      <c r="M45" s="1" t="str">
        <f>IFERROR(__xludf.DUMMYFUNCTION("GOOGLETRANSLATE(L:L, ""en"", ""te"")"),"స్కేల్డ్ మిశ్రమాలు")</f>
        <v>స్కేల్డ్ మిశ్రమాలు</v>
      </c>
      <c r="N45" s="1" t="s">
        <v>1123</v>
      </c>
      <c r="O45" s="1" t="s">
        <v>1124</v>
      </c>
      <c r="P45" s="1" t="str">
        <f>IFERROR(__xludf.DUMMYFUNCTION("GOOGLETRANSLATE(O:O, ""en"", ""te"")"),"బర్ట్ రుటాన్")</f>
        <v>బర్ట్ రుటాన్</v>
      </c>
      <c r="Q45" s="1" t="s">
        <v>1125</v>
      </c>
      <c r="R45" s="6">
        <v>36002.0</v>
      </c>
      <c r="S45" s="1">
        <v>1.0</v>
      </c>
      <c r="V45" s="1" t="s">
        <v>1126</v>
      </c>
      <c r="W45" s="1" t="s">
        <v>1127</v>
      </c>
      <c r="X45" s="1" t="s">
        <v>1128</v>
      </c>
      <c r="Y45" s="1" t="s">
        <v>1129</v>
      </c>
      <c r="Z45" s="1" t="s">
        <v>1130</v>
      </c>
      <c r="AG45" s="1" t="s">
        <v>1131</v>
      </c>
      <c r="AX45" s="1" t="s">
        <v>1132</v>
      </c>
      <c r="AY45" s="1" t="str">
        <f>IFERROR(__xludf.DUMMYFUNCTION("GOOGLETRANSLATE(AX:AX, ""en"", ""te"")"),"2 × విలియమ్స్ FJ44-2 టర్బోఫాన్స్, 2,293 LBF (10.20 kN) ఒక్కొక్కటి థ్రస్ట్")</f>
        <v>2 × విలియమ్స్ FJ44-2 టర్బోఫాన్స్, 2,293 LBF (10.20 kN) ఒక్కొక్కటి థ్రస్ట్</v>
      </c>
      <c r="BB45" s="1" t="s">
        <v>1133</v>
      </c>
      <c r="BC45" s="1" t="s">
        <v>1134</v>
      </c>
      <c r="BD45" s="1" t="s">
        <v>1135</v>
      </c>
      <c r="BG45" s="2"/>
      <c r="BS45" s="1" t="s">
        <v>1136</v>
      </c>
      <c r="BU45" s="1" t="s">
        <v>148</v>
      </c>
      <c r="BV45" s="1" t="str">
        <f>IFERROR(__xludf.DUMMYFUNCTION("GOOGLETRANSLATE(BU:BU, ""en"", ""te"")"),"సేవలో")</f>
        <v>సేవలో</v>
      </c>
      <c r="BX45" s="1"/>
      <c r="BY45" s="1" t="s">
        <v>1137</v>
      </c>
      <c r="BZ45" s="1" t="s">
        <v>1138</v>
      </c>
      <c r="CR45" s="1" t="s">
        <v>1139</v>
      </c>
      <c r="CS45" s="1" t="s">
        <v>1140</v>
      </c>
    </row>
    <row r="46">
      <c r="A46" s="1" t="s">
        <v>1141</v>
      </c>
      <c r="B46" s="1" t="str">
        <f>IFERROR(__xludf.DUMMYFUNCTION("GOOGLETRANSLATE(A:A, ""en"", ""te"")"),"డున్నే డి .8")</f>
        <v>డున్నే డి .8</v>
      </c>
      <c r="C46" s="1" t="s">
        <v>1142</v>
      </c>
      <c r="D46" s="1" t="str">
        <f>IFERROR(__xludf.DUMMYFUNCTION("GOOGLETRANSLATE(C:C, ""en"", ""te"")"),"1912 యొక్క డున్నే డి. ఒక ఉదాహరణ రే ఫర్న్‌బరోకు సరఫరా చేయబడింది. లైసెన్స్-నిర్మించిన బర్గెస్-డన్ మోడళ్లను యుఎస్ సిగ్నల్ కార్ప్స్ మరియు అమెరికా నేవీ మరియు స్వల్పకాలిక కెనడియన్ ఏవియేషన్ కార్ప్స్ ఉపయోగించాయి. ఇది మొదటి మరియు ఏకైక యుద్ధ విమానం. జె. డబ్ల్యూ. ఫర"&amp;"్న్‌బరోను విడిచిపెట్టిన తరువాత, డున్నే ఒక ప్రైవేట్ సంస్థ, బ్లెయిర్ అథోల్ ఎయిర్‌ప్లేన్ సిండికేట్ లిమిటెడ్. దాని మొదటి విమానం డున్నే డి 5. [1] [2] ఇది 1911 లో క్రాష్ అయినప్పుడు దీనిని d.8 గా పునర్నిర్మించారు. [3] రెండు నమూనాలు చాలా సారూప్య రెక్కలు మరియు ఒకే"&amp;" ఇంజిన్‌ను పంచుకున్నాయి, కాని D.8 లో D.5 యొక్క గొలుసుతో నడిచే జతకి బదులుగా ఒకే పషర్ ప్రొపెల్లర్‌ను కలిగి ఉంది. వారి ఫ్యూజ్‌లేజ్‌లు మరియు అండర్ క్యారేజీలు కూడా భిన్నంగా ఉన్నాయి. D.8 ఒక టైలెస్ ఫోర్ బే అన్‌స్టాగర్డ్ బిప్‌లేన్, దాని రెక్కలు 32 at వద్ద కొట్టుక"&amp;"ుపోయాయి. దాని స్థిరమైన తీగ రెక్కలు రెండు స్ప్రూస్ స్పార్స్ చుట్టూ నిర్మించబడ్డాయి, ఫార్వర్డ్ ఒకటి ప్రముఖ అంచుని ఏర్పరుస్తుంది. స్థిరత్వాన్ని సాధించడంలో సహాయపడటానికి సంభవం మరియు ఇంటర్‌ప్లేన్ గ్యాప్ అవుట్‌బోర్డ్ తగ్గింది, పూర్వం ప్రతికూలంగా మారుతుంది. గురుత"&amp;"్వాకర్షణ కేంద్రం వెనుక ఉన్న చిట్కాలపై ఈ వాషౌట్ సాంప్రదాయిక టెయిల్‌ప్లేన్ మాదిరిగానే రేఖాంశ స్థిరత్వాన్ని అందించింది, ఇది రెక్కల కంటే తక్కువ సంభవం వద్ద సెట్ చేయబడింది. కాంబర్ బాహ్యంగా పెరిగింది. సరళమైన, సమాంతరంగా, ఇంటర్‌ప్లేన్ స్ట్రట్‌ల జతలు స్పార్స్‌లో చే"&amp;"రింది. బాహ్య ఇంటర్‌ప్లేన్ స్ట్రట్‌లను ఫాబ్రిక్‌తో కప్పారు, ఇది డైరెక్షనల్ (YAW) స్థిరత్వాన్ని అందించే స్థిర సైడ్ కర్టెన్లను ఏర్పరుస్తుంది. రెక్క చిట్కా ఎలివేన్లు నియంత్రణ కోసం ఉపయోగించబడ్డాయి, పైలట్ యొక్క ఇరువైపులా ఒక జత లివర్లచే నిర్వహించబడతాయి. డి. విమా"&amp;"నం యొక్క పెద్ద భాగాలను చిన్న సోదరులు నిర్మించారు. [4] డి. ప్రొపెల్లర్ స్థానం యొక్క పర్యవసానంగా, వెనుక భాగంలో ఫ్యూజ్‌లేజ్ తగ్గించబడింది; ఇది ముక్కులో కూడా విస్తరించింది. ఈ మొదటి D.8 దాని D.5 పూర్వీకుడు, [1] మిడ్ తీగ వద్ద కూర్చున్న పైలట్ వంటి సింగిల్-సీటర్."&amp;" అండర్ క్యారేజ్ సంక్లిష్టంగా ఉంది, ఇరుకైన ట్రాక్ జత మొలకెత్తిన చక్రాలు వింగ్టిప్ స్కిడ్లతో ఉంటాయి. ఇది అంకితభావం లేని, వ్యతిరేక వసంతం మరియు విస్తృతమైన యాంటీ-లొయోవర్ స్కిడ్‌ను కలిగి ఉంది. [5] ఆకుపచ్చ ఇంజిన్ తరువాత 80 హెచ్‌పి (60 కిలోవాట్) 7-సిలిండర్ గ్నోమ్"&amp;" రోటరీ ఇంజిన్ స్థానంలో ఉంది. [3] ఈ ఇంజిన్ రెండవ విమానానికి కూడా శక్తినిచ్చింది, ఇది రెక్కల ప్రముఖ అంచు కంటే కొంచెం ముందు ఉంచిన పైలట్‌తో రెండు సీట్లు మరియు వెనుకంజలో ఉన్న అంచు వద్ద ప్రయాణీకుడు (ద్వంద్వ నియంత్రణ కలిగి ఉన్నవారు). [5] ఇప్పుడు ఎగువ మరియు దిగువ"&amp;" రెక్కలపై నియంత్రణ ఉపరితలాలు ఉన్నాయి, సైడ్ కర్టెన్లు వాటిని తరలించడానికి ఒక జత దెబ్బతిన్న నోచెస్ కలిగి ఉంటాయి. ప్రతి ఎగువ రెక్కలు ఒక జత ఎలివన్లను తీసుకువెళ్ళాయి, నియంత్రణ ఉపరితల వైశాల్యాన్ని దాదాపు రెట్టింపు చేస్తాయి. [5] D.8 మొదటిది జూన్ 1912 లో ఈస్ట్‌చర"&amp;"్చ్‌లో ప్రయాణించింది, గ్రీన్ ఇంజిన్‌తో అమర్చబడింది. ఇది ఆగస్టు 1912 లో లార్‌క్రిల్ మిలిటరీ విచారణలో ఉంది, అయినప్పటికీ ఇది పోటీలో పాల్గొనలేదు. [3] D.8 యొక్క నియంత్రణల యొక్క రెండు చేతితో ఉన్నప్పటికీ, ఒక చేతిలో ఉన్న కెప్టెన్ A.D. కార్డెన్ జూన్ 1912 లో దానిపై"&amp;" తన రాయల్ ఏరో క్లబ్ ఏవియేటర్ యొక్క సర్టిఫికెట్‌ను పొందాడు. [6] 1913 లో డి .8 80 హెచ్‌పి గ్నోమ్ ఇంజిన్‌తో అమర్చబడింది, ఇది పనితీరు మరియు విశ్వసనీయతను బాగా మెరుగుపరిచింది. 1913. [3] ఆగష్టు 1913 లో కమాండెంట్ ఫెలిక్స్ ఈస్ట్‌చర్చ్ నుండి పారిస్‌లోని విల్లాకౌబ్ల"&amp;"ే వరకు ఇంగ్లీష్ ఛానల్ అంతటా D.8 ను పైలట్ చేశాడు. డి .8 ను నిర్మించడానికి న్యూపోర్ట్ లైసెన్స్ పొందాడు మరియు ఫెలిక్స్ వారి తరపున ఫ్రాన్స్‌లో ప్రదర్శన విమానాలను ఇచ్చారు. [6] డిసెంబర్ 1913 లో పారిస్ ఏరో సెలూన్లో ఒక న్యూపోర్ట్-నిర్మించిన డున్నే కనిపించాడు. రెం"&amp;"డవ డి. ఇది డబుల్ ఎగువ వింగ్ ఎలివేన్లను ఒకే ఉపరితలంతో కలిపి, చాలా గుండ్రని వెనుక వింగ్‌టిప్‌లను కలిగి ఉంది. [7] ఫ్యూజ్‌లేజ్ కొద్దిగా సవరించబడింది మరియు కలప కంటే ఉక్కు గొట్టాల చుట్టూ నిర్మించబడింది. ఇంటర్‌ప్లేన్ స్ట్రట్‌లు స్ట్రీమ్లైన్డ్ స్టీల్ ట్యూబ్‌లు. ఇ"&amp;"ది చాలా సరళీకృత అండర్ క్యారేజ్ కూడా కలిగి ఉంది. [8] ఆలస్యంగా డెలివరీ కారణంగా ఒకటి రద్దు చేయబడినప్పటికీ, డున్నే రెండు డి .8 ల కోసం యుద్ధ కార్యాలయ ఉత్తర్వులను పొందాడు. మరొకటి 3 మార్చి 1914 న ఫర్న్‌బరోకు పంపిణీ చేయబడింది, అక్కడ దీనికి RFC సంఖ్య 366 ఇవ్వబడింద"&amp;"ి. [3] ఇది మార్చి 11 న ఎన్. ఎస్. పెర్సివాల్ చేత పైలట్ చేయబడిన అనేక విమానాలు చేసింది, అతను ఈస్ట్‌చర్చ్‌లో మొదటి డి. సాధారణ తీర్పు ఏమిటంటే, స్థిరత్వం మరియు నియంత్రణ మధ్య సమతుల్యత కోసం అన్వేషణలో, డున్నే డిజైన్ మునుపటిదాన్ని ఎక్కువగా అంచనా వేసింది. బ్రూస్ 199"&amp;"2 నుండి డేటా వికీమీడియా కామన్స్ వద్ద డున్నే D.8 కు సంబంధించిన మీడియా పనితీరు సంబంధిత జాబితాలు")</f>
        <v>1912 యొక్క డున్నే డి. ఒక ఉదాహరణ రే ఫర్న్‌బరోకు సరఫరా చేయబడింది. లైసెన్స్-నిర్మించిన బర్గెస్-డన్ మోడళ్లను యుఎస్ సిగ్నల్ కార్ప్స్ మరియు అమెరికా నేవీ మరియు స్వల్పకాలిక కెనడియన్ ఏవియేషన్ కార్ప్స్ ఉపయోగించాయి. ఇది మొదటి మరియు ఏకైక యుద్ధ విమానం. జె. డబ్ల్యూ. ఫర్న్‌బరోను విడిచిపెట్టిన తరువాత, డున్నే ఒక ప్రైవేట్ సంస్థ, బ్లెయిర్ అథోల్ ఎయిర్‌ప్లేన్ సిండికేట్ లిమిటెడ్. దాని మొదటి విమానం డున్నే డి 5. [1] [2] ఇది 1911 లో క్రాష్ అయినప్పుడు దీనిని d.8 గా పునర్నిర్మించారు. [3] రెండు నమూనాలు చాలా సారూప్య రెక్కలు మరియు ఒకే ఇంజిన్‌ను పంచుకున్నాయి, కాని D.8 లో D.5 యొక్క గొలుసుతో నడిచే జతకి బదులుగా ఒకే పషర్ ప్రొపెల్లర్‌ను కలిగి ఉంది. వారి ఫ్యూజ్‌లేజ్‌లు మరియు అండర్ క్యారేజీలు కూడా భిన్నంగా ఉన్నాయి. D.8 ఒక టైలెస్ ఫోర్ బే అన్‌స్టాగర్డ్ బిప్‌లేన్, దాని రెక్కలు 32 at వద్ద కొట్టుకుపోయాయి. దాని స్థిరమైన తీగ రెక్కలు రెండు స్ప్రూస్ స్పార్స్ చుట్టూ నిర్మించబడ్డాయి, ఫార్వర్డ్ ఒకటి ప్రముఖ అంచుని ఏర్పరుస్తుంది. స్థిరత్వాన్ని సాధించడంలో సహాయపడటానికి సంభవం మరియు ఇంటర్‌ప్లేన్ గ్యాప్ అవుట్‌బోర్డ్ తగ్గింది, పూర్వం ప్రతికూలంగా మారుతుంది. గురుత్వాకర్షణ కేంద్రం వెనుక ఉన్న చిట్కాలపై ఈ వాషౌట్ సాంప్రదాయిక టెయిల్‌ప్లేన్ మాదిరిగానే రేఖాంశ స్థిరత్వాన్ని అందించింది, ఇది రెక్కల కంటే తక్కువ సంభవం వద్ద సెట్ చేయబడింది. కాంబర్ బాహ్యంగా పెరిగింది. సరళమైన, సమాంతరంగా, ఇంటర్‌ప్లేన్ స్ట్రట్‌ల జతలు స్పార్స్‌లో చేరింది. బాహ్య ఇంటర్‌ప్లేన్ స్ట్రట్‌లను ఫాబ్రిక్‌తో కప్పారు, ఇది డైరెక్షనల్ (YAW) స్థిరత్వాన్ని అందించే స్థిర సైడ్ కర్టెన్లను ఏర్పరుస్తుంది. రెక్క చిట్కా ఎలివేన్లు నియంత్రణ కోసం ఉపయోగించబడ్డాయి, పైలట్ యొక్క ఇరువైపులా ఒక జత లివర్లచే నిర్వహించబడతాయి. డి. విమానం యొక్క పెద్ద భాగాలను చిన్న సోదరులు నిర్మించారు. [4] డి. ప్రొపెల్లర్ స్థానం యొక్క పర్యవసానంగా, వెనుక భాగంలో ఫ్యూజ్‌లేజ్ తగ్గించబడింది; ఇది ముక్కులో కూడా విస్తరించింది. ఈ మొదటి D.8 దాని D.5 పూర్వీకుడు, [1] మిడ్ తీగ వద్ద కూర్చున్న పైలట్ వంటి సింగిల్-సీటర్. అండర్ క్యారేజ్ సంక్లిష్టంగా ఉంది, ఇరుకైన ట్రాక్ జత మొలకెత్తిన చక్రాలు వింగ్టిప్ స్కిడ్లతో ఉంటాయి. ఇది అంకితభావం లేని, వ్యతిరేక వసంతం మరియు విస్తృతమైన యాంటీ-లొయోవర్ స్కిడ్‌ను కలిగి ఉంది. [5] ఆకుపచ్చ ఇంజిన్ తరువాత 80 హెచ్‌పి (60 కిలోవాట్) 7-సిలిండర్ గ్నోమ్ రోటరీ ఇంజిన్ స్థానంలో ఉంది. [3] ఈ ఇంజిన్ రెండవ విమానానికి కూడా శక్తినిచ్చింది, ఇది రెక్కల ప్రముఖ అంచు కంటే కొంచెం ముందు ఉంచిన పైలట్‌తో రెండు సీట్లు మరియు వెనుకంజలో ఉన్న అంచు వద్ద ప్రయాణీకుడు (ద్వంద్వ నియంత్రణ కలిగి ఉన్నవారు). [5] ఇప్పుడు ఎగువ మరియు దిగువ రెక్కలపై నియంత్రణ ఉపరితలాలు ఉన్నాయి, సైడ్ కర్టెన్లు వాటిని తరలించడానికి ఒక జత దెబ్బతిన్న నోచెస్ కలిగి ఉంటాయి. ప్రతి ఎగువ రెక్కలు ఒక జత ఎలివన్లను తీసుకువెళ్ళాయి, నియంత్రణ ఉపరితల వైశాల్యాన్ని దాదాపు రెట్టింపు చేస్తాయి. [5] D.8 మొదటిది జూన్ 1912 లో ఈస్ట్‌చర్చ్‌లో ప్రయాణించింది, గ్రీన్ ఇంజిన్‌తో అమర్చబడింది. ఇది ఆగస్టు 1912 లో లార్‌క్రిల్ మిలిటరీ విచారణలో ఉంది, అయినప్పటికీ ఇది పోటీలో పాల్గొనలేదు. [3] D.8 యొక్క నియంత్రణల యొక్క రెండు చేతితో ఉన్నప్పటికీ, ఒక చేతిలో ఉన్న కెప్టెన్ A.D. కార్డెన్ జూన్ 1912 లో దానిపై తన రాయల్ ఏరో క్లబ్ ఏవియేటర్ యొక్క సర్టిఫికెట్‌ను పొందాడు. [6] 1913 లో డి .8 80 హెచ్‌పి గ్నోమ్ ఇంజిన్‌తో అమర్చబడింది, ఇది పనితీరు మరియు విశ్వసనీయతను బాగా మెరుగుపరిచింది. 1913. [3] ఆగష్టు 1913 లో కమాండెంట్ ఫెలిక్స్ ఈస్ట్‌చర్చ్ నుండి పారిస్‌లోని విల్లాకౌబ్లే వరకు ఇంగ్లీష్ ఛానల్ అంతటా D.8 ను పైలట్ చేశాడు. డి .8 ను నిర్మించడానికి న్యూపోర్ట్ లైసెన్స్ పొందాడు మరియు ఫెలిక్స్ వారి తరపున ఫ్రాన్స్‌లో ప్రదర్శన విమానాలను ఇచ్చారు. [6] డిసెంబర్ 1913 లో పారిస్ ఏరో సెలూన్లో ఒక న్యూపోర్ట్-నిర్మించిన డున్నే కనిపించాడు. రెండవ డి. ఇది డబుల్ ఎగువ వింగ్ ఎలివేన్లను ఒకే ఉపరితలంతో కలిపి, చాలా గుండ్రని వెనుక వింగ్‌టిప్‌లను కలిగి ఉంది. [7] ఫ్యూజ్‌లేజ్ కొద్దిగా సవరించబడింది మరియు కలప కంటే ఉక్కు గొట్టాల చుట్టూ నిర్మించబడింది. ఇంటర్‌ప్లేన్ స్ట్రట్‌లు స్ట్రీమ్లైన్డ్ స్టీల్ ట్యూబ్‌లు. ఇది చాలా సరళీకృత అండర్ క్యారేజ్ కూడా కలిగి ఉంది. [8] ఆలస్యంగా డెలివరీ కారణంగా ఒకటి రద్దు చేయబడినప్పటికీ, డున్నే రెండు డి .8 ల కోసం యుద్ధ కార్యాలయ ఉత్తర్వులను పొందాడు. మరొకటి 3 మార్చి 1914 న ఫర్న్‌బరోకు పంపిణీ చేయబడింది, అక్కడ దీనికి RFC సంఖ్య 366 ఇవ్వబడింది. [3] ఇది మార్చి 11 న ఎన్. ఎస్. పెర్సివాల్ చేత పైలట్ చేయబడిన అనేక విమానాలు చేసింది, అతను ఈస్ట్‌చర్చ్‌లో మొదటి డి. సాధారణ తీర్పు ఏమిటంటే, స్థిరత్వం మరియు నియంత్రణ మధ్య సమతుల్యత కోసం అన్వేషణలో, డున్నే డిజైన్ మునుపటిదాన్ని ఎక్కువగా అంచనా వేసింది. బ్రూస్ 1992 నుండి డేటా వికీమీడియా కామన్స్ వద్ద డున్నే D.8 కు సంబంధించిన మీడియా పనితీరు సంబంధిత జాబితాలు</v>
      </c>
      <c r="E46" s="1" t="s">
        <v>1143</v>
      </c>
      <c r="F46" s="1" t="s">
        <v>1120</v>
      </c>
      <c r="G46" s="1" t="str">
        <f>IFERROR(__xludf.DUMMYFUNCTION("GOOGLETRANSLATE(F:F, ""en"", ""te"")"),"ప్రయోగాత్మక విమానం")</f>
        <v>ప్రయోగాత్మక విమానం</v>
      </c>
      <c r="H46" s="1" t="s">
        <v>1121</v>
      </c>
      <c r="I46" s="1" t="s">
        <v>964</v>
      </c>
      <c r="J46" s="1" t="str">
        <f>IFERROR(__xludf.DUMMYFUNCTION("GOOGLETRANSLATE(I:I, ""en"", ""te"")"),"యునైటెడ్ కింగ్‌డమ్")</f>
        <v>యునైటెడ్ కింగ్‌డమ్</v>
      </c>
      <c r="K46" s="1" t="s">
        <v>1144</v>
      </c>
      <c r="L46" s="1" t="s">
        <v>1145</v>
      </c>
      <c r="M46" s="1" t="str">
        <f>IFERROR(__xludf.DUMMYFUNCTION("GOOGLETRANSLATE(L:L, ""en"", ""te"")"),"బ్లెయిర్-అథాల్ సిండికేట్ లిమిటెడ్, లండన్")</f>
        <v>బ్లెయిర్-అథాల్ సిండికేట్ లిమిటెడ్, లండన్</v>
      </c>
      <c r="O46" s="1" t="s">
        <v>1146</v>
      </c>
      <c r="P46" s="1" t="str">
        <f>IFERROR(__xludf.DUMMYFUNCTION("GOOGLETRANSLATE(O:O, ""en"", ""te"")"),"J. W. డున్నే")</f>
        <v>J. W. డున్నే</v>
      </c>
      <c r="Q46" s="1" t="s">
        <v>1147</v>
      </c>
      <c r="R46" s="5">
        <v>4536.0</v>
      </c>
      <c r="S46" s="1">
        <v>4.0</v>
      </c>
      <c r="T46" s="1" t="s">
        <v>1148</v>
      </c>
      <c r="V46" s="1">
        <v>1.0</v>
      </c>
      <c r="X46" s="1" t="s">
        <v>1149</v>
      </c>
      <c r="Z46" s="1" t="s">
        <v>1150</v>
      </c>
      <c r="AG46" s="1" t="s">
        <v>1151</v>
      </c>
      <c r="AH46" s="1" t="s">
        <v>1152</v>
      </c>
      <c r="AS46" s="1" t="s">
        <v>1153</v>
      </c>
      <c r="AT46" s="1"/>
      <c r="AU46" s="1" t="s">
        <v>1154</v>
      </c>
      <c r="AX46" s="1" t="s">
        <v>1155</v>
      </c>
      <c r="AY46" s="1" t="str">
        <f>IFERROR(__xludf.DUMMYFUNCTION("GOOGLETRANSLATE(AX:AX, ""en"", ""te"")"),"1 × గ్నోమ్ 7-సిలిండర్ రోటరీ, 80 హెచ్‌పి (60 కిలోవాట్)")</f>
        <v>1 × గ్నోమ్ 7-సిలిండర్ రోటరీ, 80 హెచ్‌పి (60 కిలోవాట్)</v>
      </c>
      <c r="BB46" s="1" t="s">
        <v>1156</v>
      </c>
      <c r="BG46" s="2"/>
      <c r="BI46" s="1" t="s">
        <v>1157</v>
      </c>
      <c r="BJ46" s="1" t="s">
        <v>1158</v>
      </c>
      <c r="BS46" s="1" t="s">
        <v>1159</v>
      </c>
    </row>
    <row r="47">
      <c r="A47" s="1" t="s">
        <v>1160</v>
      </c>
      <c r="B47" s="1" t="str">
        <f>IFERROR(__xludf.DUMMYFUNCTION("GOOGLETRANSLATE(A:A, ""en"", ""te"")"),"మైల్స్ మార్టినెట్")</f>
        <v>మైల్స్ మార్టినెట్</v>
      </c>
      <c r="C47" s="1" t="s">
        <v>1161</v>
      </c>
      <c r="D47" s="1" t="str">
        <f>IFERROR(__xludf.DUMMYFUNCTION("GOOGLETRANSLATE(C:C, ""en"", ""te"")"),"మైల్స్ M.25 మార్టినెట్ రాయల్ ఎయిర్ ఫోర్స్ (RAF) మరియు ఫ్లీట్ ఎయిర్ ఆర్మ్ (FAA) యొక్క టార్గెట్ టగ్ విమానం, ఇది రెండవ ప్రపంచ యుద్ధంలో సేవలో ఉంది. టార్గెట్ వెళ్ళుట కోసం ప్రత్యేకంగా రూపొందించిన మొట్టమొదటి బ్రిటిష్ విమానం ఇది. [2] టార్గెట్ టూవింగ్ విధుల కోసం R"&amp;"AF యొక్క వాడుకలో లేని ఫ్రంట్‌లైన్ విమానాల కొరతకు ప్రతిస్పందనగా మార్టినెట్‌లో పనులు ప్రారంభించబడ్డాయి. మైల్ యొక్క ఫలవంతమైన మాస్టర్ ట్రైనర్ యొక్క ఉత్పన్నం కావడం, ఇప్పటికే ఉన్న ఉత్పత్తి విమానాలకు సాధ్యమయ్యేంత సామాన్యతతో ఇది ఉద్దేశపూర్వకంగా రూపొందించబడింది. మ"&amp;"ొట్టమొదటి ప్రోటోటైప్ మార్టినెట్ తన తొలి విమానాలను 24 ఏప్రిల్ 1942 న నిర్వహించింది, తరువాత పరిమాణ ఉత్పత్తి వెంటనే ప్రారంభమైంది. మొత్తం 1,724 మార్టినెట్లను ఉత్పత్తి చేశారు, వీటిలో మెజారిటీని RAF లేదా FAA చేత నిర్వహించాయి, అయినప్పటికీ మైనారిటీని విదేశాలలో మర"&amp;"ియు పౌర ఆపరేటర్లు కూడా ఉపయోగించారు. Q.10/43 స్పెసిఫికేషన్ కు ప్రతిస్పందనగా మార్టినెట్ సాపేక్షంగా రహస్య విమానంగా అభివృద్ధి చేయబడింది, ఇది రేడియో-నియంత్రిత టార్గెట్ డ్రోన్ కోసం పిలుపునిచ్చింది. ఈ విమానం, M.50 క్వీన్ మార్టినెట్, తక్కువ సంఖ్యలో మాత్రమే ఉత్పత్"&amp;"తి చేయబడింది, మరియు దాని ఉనికి అనేక సంవత్సరాలుగా ఒక రాష్ట్ర రహస్యం, 1946 లో అధికారికంగా మాత్రమే అంగీకరించబడింది. బేస్ విమానాల యొక్క అనేక ఇతర ఉత్పన్నాలు కూడా ఉత్పత్తి చేయబడ్డాయి, వీటిలో అంకితమైన గ్లైడర్‌తో సహా టగ్ మరియు ట్రైనర్ వేరియంట్. 1941 కి ముందు, మాజ"&amp;"ీ ఫ్రంట్‌లైన్ విమానాలను తిరిగి ఉపయోగించడం ద్వారా టార్గెట్ టగ్ పాత్ర చారిత్రాత్మకంగా నెరవేర్చబడింది, అవి వాడుకలో లేవు లేదా అవసరాలకు మిగులుగా భావించబడ్డాయి. [3] ఏదేమైనా, బ్రిటన్ యొక్క కీలకమైన యుద్ధం జరుగుతుండగా మరియు అట్రిషన్ రేట్లు ఇరువైపులా ఎక్కువగా నడిపి"&amp;"ంచగా, RAF ఫ్రంట్‌లైన్ విమానాల కొరతతో కనుగొంది. టార్గెట్ టగ్స్‌గా ప్రదర్శించడానికి ఇప్పటికే ఉన్న పోరాట-సామర్థ్యం గల విమానాలను ఉపసంహరించుకోకుండా ఉండటానికి, వైమానిక మంత్రిత్వ శాఖ ఈ అవసరం కోసం ప్రత్యేకంగా కొత్త బిల్డ్ విమానాలను సేకరించాలని నిర్ణయించుకుంది, మై"&amp;"ల్స్ మాస్టర్ ట్రైనర్ ఆధారంగా ప్రత్యేకమైన టార్గెట్ టగ్ విమానాలను వేగంగా ఉత్పత్తి చేయాలనే అభ్యర్థనతో మైల్స్ ఎయిర్‌క్రాఫ్ట్ లిమిటెడ్‌కు చేరుకుంది. విమానం. [3] అవసరాలు మంత్రిత్వ శాఖ స్పెసిఫికేషన్ 12/41 గా లాంఛనప్రాయంగా ఉన్నాయి. [4] జాబితా చేయబడిన అవసరాలలో, సా"&amp;"ధ్యమైనంతవరకు తయారీని సరళీకృతం చేయడానికి, vision హించిన విమానం సాధ్యమైన చోట ప్రామాణిక భాగాల వాడకాన్ని పెంచాలి. [3] 24 ఏప్రిల్ 1942 న, మొట్టమొదటి నమూనా మార్టినెట్ వుడ్లీ ఏరోడ్రోమ్ నుండి చీఫ్ టెస్ట్ పైలట్ ఫ్లైట్ లెఫ్టినెంట్ థామస్ రోజ్ చేతిలో వుడ్లీ ఏరోడ్రోమ్"&amp;" నుండి తొలి విమానాన్ని నిర్వహించింది. [4] ఫలితాలు సంతృప్తికరంగా ఉన్నాయి, ఆ తర్వాత వెంటనే ఉత్పత్తి ప్రారంభమైంది, ఇది వుడ్లీ వద్ద మైల్స్ అసెంబ్లీ లైన్లలో మాస్టర్ II ని వేగంగా భర్తీ చేయడానికి మార్టినెట్‌కు దారితీసింది. [3] మొత్తంగా, 1,724 మార్టినెట్స్ ఉత్పత్"&amp;"తి చేయబడ్డాయి; వీటిలో ఎక్కువ భాగం RAF లేదా ఫ్లీట్ ఎయిర్ ఆర్మ్ (FAA) తో పనిచేశాయి, అయినప్పటికీ ఈ రకాన్ని మైనారిటీ విదేశీ ఆపరేటర్లు మరియు యుద్ధానంతర యుగంలో కూడా స్వీకరించారు. [5] మార్టినెట్ సంస్థ తదుపరి ప్రాజెక్టులకు ఆధారం అయ్యింది. 1943 లో, మార్టినెట్ యొక్"&amp;"క ఉత్పన్నాన్ని ఉత్పత్తి చేయాలని నిర్ణయించారు, ఇది రేడియో-నియంత్రిత టార్గెట్ డ్రోన్‌గా పనిచేసింది, స్పెసిఫికేషన్ Q.10/43 ను తీర్చడానికి. [4] ఈ వేరియంట్, M.50 క్వీన్ మార్టినెట్, త్వరగా ప్రోటోటైప్ చేయబడింది మరియు మైళ్ళకు నిరాడంబరమైన ఉత్పత్తి పరిచయం జారీ చేయబ"&amp;"డింది, ఇది 69 ఉదాహరణలను కొత్తగా నిర్మించగానే, ఉత్పత్తి మార్టినెట్ల మార్పిడి ద్వారా మరో 17 విమానం ఉత్పత్తి చేయబడింది. దాని అభివృద్ధి మరియు ప్రారంభ సంవత్సరాల ఆపరేషన్ సమయంలో, క్వీన్ మార్టినెట్ ఉనికిని వర్గీకరించారు మరియు ఈ కార్యక్రమం UK ప్రభుత్వ రహస్యాల జాబి"&amp;"తాలో జరిగింది; ఇది మొదట జూన్ 1946 లో ఫర్న్‌బరో ఎయిర్‌షోలో బహిరంగంగా ప్రదర్శించబడింది, అయినప్పటికీ ఈ రకం గురించి వివరాలు చాలా సంవత్సరాలుగా రక్షించబడ్డాయి. [5] 1941 నాటికి, అధికారులను మాస్టర్ ట్రైనర్ యొక్క ప్రతిపాదిత మెరుగైన నమూనాగా పరిగణించారు, కాని ఇటువంట"&amp;"ి ఆశయాలు ప్రామాణిక మార్టినెట్ నమూనాపై తయారీ వనరులను కేంద్రీకరించడానికి పక్కన పెట్టబడ్డాయి. [6] 1945 నాటికి, ఉత్పత్తి ఒత్తిళ్లు తీవ్రమైన పనులు ప్రారంభమయ్యే స్థాయికి తగ్గించబడ్డాయి, అందువల్ల మైల్స్ విమానం యొక్క ట్రైనర్ మోడల్‌ను అభివృద్ధి చేయడం గురించి, M.37"&amp;" మార్టినెట్ ట్రైనర్‌ను నియమించారు. ప్రారంభం నుండి, ఈ విమానం స్టాప్‌గ్యాప్ కొలతగా ఉద్దేశించబడింది, ఎందుకంటే ఎయిర్ మంత్రిత్వ శాఖ తన దీర్ఘకాలిక శిక్షకుడిని టర్బోప్రాప్ ప్రొపల్షన్‌ను ఉపయోగించుకోవటానికి was హించింది. [6] ఈ మార్పిడిలో అవుట్‌బోర్డ్ వింగ్ ఇంధన ట్"&amp;"యాంకులను తొలగించడం, ద్వంద్వ నియంత్రణలతో సవరించిన క్యాబిన్ యొక్క సంస్థాపన మరియు మొత్తం బరువు తగ్గడం వంటివి ఉన్నాయి. ఒక జత ప్రోటోటైప్‌లు నిర్మించబడ్డాయి, వీటిలో మొదటిది 11 ఏప్రిల్ 1946 న తొలి విమాన ప్రయాణం చేసింది. [7] ఏదేమైనా, పరిమాణ ఉత్పత్తికి సిద్ధంగా ఉన"&amp;"్న సమయానికి, అవ్రో ఎథీనా మరియు బౌల్టన్ పాల్ బల్లియోల్ వంటి మరింత అధునాతన శిక్షకులు కూడా అభివృద్ధి యొక్క అధునాతన దశకు చేరుకున్నారు, ఈ రకానికి ఎటువంటి ఉద్దేశ్యం లేదు మరియు దానికి ఎటువంటి ఉత్తర్వులు రాలేదు. [8 ] మార్టినెట్ యొక్క అనేక వైవిధ్యం గ్లైడర్‌ల కోసం "&amp;"టగ్‌గా పనిచేయడానికి రకం యొక్క అనుసరణ; ఇది మాస్టర్ II టగ్‌కు విస్తృత సారూప్యతలను పంచుకుంది, చుక్కాని దాని తక్కువ భాగాన్ని తొలగించడంతో పాటు బలమైన వెళ్ళుట ఉపకరణాల సంస్థాపన. [5] మైల్స్ మార్టినెట్ మైల్స్ మాస్టర్ II ట్రైనర్ విమానాలపై ఎక్కువగా ఆకర్షిస్తుంది. రెం"&amp;"డు విమానాలు సాపేక్షంగా అధిక స్థాయి సామాన్యతను పంచుకున్నప్పటికీ, ముఖ్యంగా భాగాల పరంగా, ప్రధాన తేడాలు కూడా ఉన్నాయి, వీటిలో లక్ష్య డ్రోగ్ను లాగడం యొక్క ఒత్తిడిని బాగా నిర్వహించడానికి ఎయిర్‌ఫ్రేమ్‌ను బలోపేతం చేయడం సహా. మాస్టర్ నుండి ఇతర తేడాలు పొడవైన ముక్కు, "&amp;"ఎక్కువ రెక్కలు మరియు అధిక కాక్‌పిట్లను కలిగి ఉన్నాయి, అయితే మాస్టర్ యొక్క ద్వంద్వ ఎగిరే నియంత్రణలు దాని కొత్త సామర్థ్యంలో అనవసరంగా తొలగించబడ్డాయి. [3] లక్ష్యాలు మరియు వెళ్ళుట గేర్ రెండూ ఫ్యూజ్‌లేజ్ క్రింద ఒక ఫెయిరింగ్‌లో ఉన్నాయి, వీటిని వించ్ చేత మోహరించవ"&amp;"చ్చు మరియు ఉపసంహరించుకోవచ్చు; ఈ ఉపకరణం యొక్క బహుళ అమలులు ఉపయోగించబడ్డాయి, వీటిలో ప్రత్యామ్నాయంగా ఎలక్ట్రిక్ మోటార్లు లేదా పవన శక్తి ద్వారా నడపబడుతుంది. [9] డిజైన్ మార్పుల ద్వారా విమానం యొక్క గురుత్వాకర్షణ కేంద్రం మార్చబడినందున, పరిహారం కోసం ఇంజిన్ కొద్దిగ"&amp;"ా ముందుకు తీసుకురాబడింది; మరింత హెవీ-డ్యూటీ శీతలీకరణ వ్యవస్థను కూడా వ్యవస్థాపించారు, ఇంజిన్‌కు సహాయపడటానికి ఎక్కువ విద్యుత్ ఉత్పత్తిని ఎదుర్కోవటానికి అవసరమైన ఎలివేటెడ్ డ్రాగ్‌ను ఆఫ్‌సెట్ చేయడానికి అవసరమైనవి. [9] రెండవ ప్రపంచ యుద్ధంలో అనేక RAF యూనిట్లు మార"&amp;"్టినెట్లను అందుకున్నాయి. ప్రత్యేకించి, ఈ రకం ఎయిర్ గన్నరీ పాఠశాలలు, కార్యాచరణ శిక్షణా యూనిట్లు, విమాన నిరోధక సహకార స్క్వాడ్రన్లు మరియు గాలి-సముద్ర నిఘా యూనిట్ల యొక్క ప్రధానమైనదిగా మారింది. [4] 1940 ల చివరలో మరియు 1950 ల ప్రారంభంలో, ఈ రకం బ్రిటన్ యొక్క సాయ"&amp;"ుధ దళాలలో క్రమంగా సేవ నుండి ఉపసంహరించబడింది. మొత్తం ఐదు మాజీ RAF మార్టినెట్‌లు పౌర రిజిస్ట్రేషన్లను అందుకున్నాయి మరియు బ్రిటన్ మరియు విదేశాలలో పౌరులు ఎగురవేశారు. [10] అదనపు పాత్రలను నెరవేర్చడానికి మిగులు మార్టినెట్‌ను ప్రోత్సహించే ప్రయత్నాలు జరిగాయి, అటువ"&amp;"ంటి ప్రతిపాదనలో ఫిరంగి మచ్చలు, సాధారణ పరిశీలన మరియు దగ్గరి వాయు మద్దతు వంటి మిషన్లను నిర్వహించడానికి రాయల్ హెలెనిక్ వైమానిక దళం రకాన్ని స్వీకరించడం జరిగింది. [11] నుండి డేటా: [13] 1925 నుండి మైల్స్ విమానాల నుండి డేటా, [12] ది హామ్లిన్ కాన్సైజ్ గైడ్ టు బ్ర"&amp;"ిటిష్ విమానానికి రెండవ ప్రపంచ యుద్ధం. [14] సాధారణ లక్షణాల పనితీరు ఒకే మార్టినెట్ మనుగడలో ఉంది; ఇది యునైటెడ్ కింగ్‌డమ్‌లోని మ్యూజియం ఆఫ్ బెర్క్‌షైర్ ఏవియేషన్ యాజమాన్యంలో ఉంది. ఈ విమానం (RAF సీరియల్ నంబర్ MS902) 1943 లో నిర్మించబడింది మరియు దాని కార్యాచరణ జ"&amp;"ీవితాన్ని ఐస్లాండ్‌లో RAF రేక్‌జావిక్‌లో గడిపింది. 1949 లో, MS902 ను అకురేరి ఫ్లయింగ్ క్లబ్‌కు విక్రయించారు మరియు ఐస్లాండిక్ సివిల్ రిజిస్ట్రేషన్ TF-SHC కి ఇచ్చారు. ఈశాన్య ఐస్లాండ్‌లోని కోపాస్కర్ సమీపంలో 1951 లో క్రాష్ అయ్యే వరకు క్లబ్ ఎగిరింది. శిధిలాలు "&amp;"1977 వరకు క్రాష్ సైట్ వద్ద ఉన్నాయి, దీనిని కోలుకొని, ఐస్లాండిక్ ఏవియేషన్ హిస్టారికల్ సొసైటీ చేత నిల్వ ఉంచారు. ఈ విమానం 1996 లో మ్యూజియం ఆఫ్ బెర్క్‌షైర్ ఏవియేషన్ చేత యునైటెడ్ కింగ్‌డమ్‌కు తిరిగి వచ్చింది మరియు అప్పటి నుండి సుదీర్ఘ పునరుద్ధరణ ప్రాజెక్టుకు స"&amp;"ంబంధించినది. [15] [16] సంబంధిత అభివృద్ధి సంబంధిత జాబితాలు")</f>
        <v>మైల్స్ M.25 మార్టినెట్ రాయల్ ఎయిర్ ఫోర్స్ (RAF) మరియు ఫ్లీట్ ఎయిర్ ఆర్మ్ (FAA) యొక్క టార్గెట్ టగ్ విమానం, ఇది రెండవ ప్రపంచ యుద్ధంలో సేవలో ఉంది. టార్గెట్ వెళ్ళుట కోసం ప్రత్యేకంగా రూపొందించిన మొట్టమొదటి బ్రిటిష్ విమానం ఇది. [2] టార్గెట్ టూవింగ్ విధుల కోసం RAF యొక్క వాడుకలో లేని ఫ్రంట్‌లైన్ విమానాల కొరతకు ప్రతిస్పందనగా మార్టినెట్‌లో పనులు ప్రారంభించబడ్డాయి. మైల్ యొక్క ఫలవంతమైన మాస్టర్ ట్రైనర్ యొక్క ఉత్పన్నం కావడం, ఇప్పటికే ఉన్న ఉత్పత్తి విమానాలకు సాధ్యమయ్యేంత సామాన్యతతో ఇది ఉద్దేశపూర్వకంగా రూపొందించబడింది. మొట్టమొదటి ప్రోటోటైప్ మార్టినెట్ తన తొలి విమానాలను 24 ఏప్రిల్ 1942 న నిర్వహించింది, తరువాత పరిమాణ ఉత్పత్తి వెంటనే ప్రారంభమైంది. మొత్తం 1,724 మార్టినెట్లను ఉత్పత్తి చేశారు, వీటిలో మెజారిటీని RAF లేదా FAA చేత నిర్వహించాయి, అయినప్పటికీ మైనారిటీని విదేశాలలో మరియు పౌర ఆపరేటర్లు కూడా ఉపయోగించారు. Q.10/43 స్పెసిఫికేషన్ కు ప్రతిస్పందనగా మార్టినెట్ సాపేక్షంగా రహస్య విమానంగా అభివృద్ధి చేయబడింది, ఇది రేడియో-నియంత్రిత టార్గెట్ డ్రోన్ కోసం పిలుపునిచ్చింది. ఈ విమానం, M.50 క్వీన్ మార్టినెట్, తక్కువ సంఖ్యలో మాత్రమే ఉత్పత్తి చేయబడింది, మరియు దాని ఉనికి అనేక సంవత్సరాలుగా ఒక రాష్ట్ర రహస్యం, 1946 లో అధికారికంగా మాత్రమే అంగీకరించబడింది. బేస్ విమానాల యొక్క అనేక ఇతర ఉత్పన్నాలు కూడా ఉత్పత్తి చేయబడ్డాయి, వీటిలో అంకితమైన గ్లైడర్‌తో సహా టగ్ మరియు ట్రైనర్ వేరియంట్. 1941 కి ముందు, మాజీ ఫ్రంట్‌లైన్ విమానాలను తిరిగి ఉపయోగించడం ద్వారా టార్గెట్ టగ్ పాత్ర చారిత్రాత్మకంగా నెరవేర్చబడింది, అవి వాడుకలో లేవు లేదా అవసరాలకు మిగులుగా భావించబడ్డాయి. [3] ఏదేమైనా, బ్రిటన్ యొక్క కీలకమైన యుద్ధం జరుగుతుండగా మరియు అట్రిషన్ రేట్లు ఇరువైపులా ఎక్కువగా నడిపించగా, RAF ఫ్రంట్‌లైన్ విమానాల కొరతతో కనుగొంది. టార్గెట్ టగ్స్‌గా ప్రదర్శించడానికి ఇప్పటికే ఉన్న పోరాట-సామర్థ్యం గల విమానాలను ఉపసంహరించుకోకుండా ఉండటానికి, వైమానిక మంత్రిత్వ శాఖ ఈ అవసరం కోసం ప్రత్యేకంగా కొత్త బిల్డ్ విమానాలను సేకరించాలని నిర్ణయించుకుంది, మైల్స్ మాస్టర్ ట్రైనర్ ఆధారంగా ప్రత్యేకమైన టార్గెట్ టగ్ విమానాలను వేగంగా ఉత్పత్తి చేయాలనే అభ్యర్థనతో మైల్స్ ఎయిర్‌క్రాఫ్ట్ లిమిటెడ్‌కు చేరుకుంది. విమానం. [3] అవసరాలు మంత్రిత్వ శాఖ స్పెసిఫికేషన్ 12/41 గా లాంఛనప్రాయంగా ఉన్నాయి. [4] జాబితా చేయబడిన అవసరాలలో, సాధ్యమైనంతవరకు తయారీని సరళీకృతం చేయడానికి, vision హించిన విమానం సాధ్యమైన చోట ప్రామాణిక భాగాల వాడకాన్ని పెంచాలి. [3] 24 ఏప్రిల్ 1942 న, మొట్టమొదటి నమూనా మార్టినెట్ వుడ్లీ ఏరోడ్రోమ్ నుండి చీఫ్ టెస్ట్ పైలట్ ఫ్లైట్ లెఫ్టినెంట్ థామస్ రోజ్ చేతిలో వుడ్లీ ఏరోడ్రోమ్ నుండి తొలి విమానాన్ని నిర్వహించింది. [4] ఫలితాలు సంతృప్తికరంగా ఉన్నాయి, ఆ తర్వాత వెంటనే ఉత్పత్తి ప్రారంభమైంది, ఇది వుడ్లీ వద్ద మైల్స్ అసెంబ్లీ లైన్లలో మాస్టర్ II ని వేగంగా భర్తీ చేయడానికి మార్టినెట్‌కు దారితీసింది. [3] మొత్తంగా, 1,724 మార్టినెట్స్ ఉత్పత్తి చేయబడ్డాయి; వీటిలో ఎక్కువ భాగం RAF లేదా ఫ్లీట్ ఎయిర్ ఆర్మ్ (FAA) తో పనిచేశాయి, అయినప్పటికీ ఈ రకాన్ని మైనారిటీ విదేశీ ఆపరేటర్లు మరియు యుద్ధానంతర యుగంలో కూడా స్వీకరించారు. [5] మార్టినెట్ సంస్థ తదుపరి ప్రాజెక్టులకు ఆధారం అయ్యింది. 1943 లో, మార్టినెట్ యొక్క ఉత్పన్నాన్ని ఉత్పత్తి చేయాలని నిర్ణయించారు, ఇది రేడియో-నియంత్రిత టార్గెట్ డ్రోన్‌గా పనిచేసింది, స్పెసిఫికేషన్ Q.10/43 ను తీర్చడానికి. [4] ఈ వేరియంట్, M.50 క్వీన్ మార్టినెట్, త్వరగా ప్రోటోటైప్ చేయబడింది మరియు మైళ్ళకు నిరాడంబరమైన ఉత్పత్తి పరిచయం జారీ చేయబడింది, ఇది 69 ఉదాహరణలను కొత్తగా నిర్మించగానే, ఉత్పత్తి మార్టినెట్ల మార్పిడి ద్వారా మరో 17 విమానం ఉత్పత్తి చేయబడింది. దాని అభివృద్ధి మరియు ప్రారంభ సంవత్సరాల ఆపరేషన్ సమయంలో, క్వీన్ మార్టినెట్ ఉనికిని వర్గీకరించారు మరియు ఈ కార్యక్రమం UK ప్రభుత్వ రహస్యాల జాబితాలో జరిగింది; ఇది మొదట జూన్ 1946 లో ఫర్న్‌బరో ఎయిర్‌షోలో బహిరంగంగా ప్రదర్శించబడింది, అయినప్పటికీ ఈ రకం గురించి వివరాలు చాలా సంవత్సరాలుగా రక్షించబడ్డాయి. [5] 1941 నాటికి, అధికారులను మాస్టర్ ట్రైనర్ యొక్క ప్రతిపాదిత మెరుగైన నమూనాగా పరిగణించారు, కాని ఇటువంటి ఆశయాలు ప్రామాణిక మార్టినెట్ నమూనాపై తయారీ వనరులను కేంద్రీకరించడానికి పక్కన పెట్టబడ్డాయి. [6] 1945 నాటికి, ఉత్పత్తి ఒత్తిళ్లు తీవ్రమైన పనులు ప్రారంభమయ్యే స్థాయికి తగ్గించబడ్డాయి, అందువల్ల మైల్స్ విమానం యొక్క ట్రైనర్ మోడల్‌ను అభివృద్ధి చేయడం గురించి, M.37 మార్టినెట్ ట్రైనర్‌ను నియమించారు. ప్రారంభం నుండి, ఈ విమానం స్టాప్‌గ్యాప్ కొలతగా ఉద్దేశించబడింది, ఎందుకంటే ఎయిర్ మంత్రిత్వ శాఖ తన దీర్ఘకాలిక శిక్షకుడిని టర్బోప్రాప్ ప్రొపల్షన్‌ను ఉపయోగించుకోవటానికి was హించింది. [6] ఈ మార్పిడిలో అవుట్‌బోర్డ్ వింగ్ ఇంధన ట్యాంకులను తొలగించడం, ద్వంద్వ నియంత్రణలతో సవరించిన క్యాబిన్ యొక్క సంస్థాపన మరియు మొత్తం బరువు తగ్గడం వంటివి ఉన్నాయి. ఒక జత ప్రోటోటైప్‌లు నిర్మించబడ్డాయి, వీటిలో మొదటిది 11 ఏప్రిల్ 1946 న తొలి విమాన ప్రయాణం చేసింది. [7] ఏదేమైనా, పరిమాణ ఉత్పత్తికి సిద్ధంగా ఉన్న సమయానికి, అవ్రో ఎథీనా మరియు బౌల్టన్ పాల్ బల్లియోల్ వంటి మరింత అధునాతన శిక్షకులు కూడా అభివృద్ధి యొక్క అధునాతన దశకు చేరుకున్నారు, ఈ రకానికి ఎటువంటి ఉద్దేశ్యం లేదు మరియు దానికి ఎటువంటి ఉత్తర్వులు రాలేదు. [8 ] మార్టినెట్ యొక్క అనేక వైవిధ్యం గ్లైడర్‌ల కోసం టగ్‌గా పనిచేయడానికి రకం యొక్క అనుసరణ; ఇది మాస్టర్ II టగ్‌కు విస్తృత సారూప్యతలను పంచుకుంది, చుక్కాని దాని తక్కువ భాగాన్ని తొలగించడంతో పాటు బలమైన వెళ్ళుట ఉపకరణాల సంస్థాపన. [5] మైల్స్ మార్టినెట్ మైల్స్ మాస్టర్ II ట్రైనర్ విమానాలపై ఎక్కువగా ఆకర్షిస్తుంది. రెండు విమానాలు సాపేక్షంగా అధిక స్థాయి సామాన్యతను పంచుకున్నప్పటికీ, ముఖ్యంగా భాగాల పరంగా, ప్రధాన తేడాలు కూడా ఉన్నాయి, వీటిలో లక్ష్య డ్రోగ్ను లాగడం యొక్క ఒత్తిడిని బాగా నిర్వహించడానికి ఎయిర్‌ఫ్రేమ్‌ను బలోపేతం చేయడం సహా. మాస్టర్ నుండి ఇతర తేడాలు పొడవైన ముక్కు, ఎక్కువ రెక్కలు మరియు అధిక కాక్‌పిట్లను కలిగి ఉన్నాయి, అయితే మాస్టర్ యొక్క ద్వంద్వ ఎగిరే నియంత్రణలు దాని కొత్త సామర్థ్యంలో అనవసరంగా తొలగించబడ్డాయి. [3] లక్ష్యాలు మరియు వెళ్ళుట గేర్ రెండూ ఫ్యూజ్‌లేజ్ క్రింద ఒక ఫెయిరింగ్‌లో ఉన్నాయి, వీటిని వించ్ చేత మోహరించవచ్చు మరియు ఉపసంహరించుకోవచ్చు; ఈ ఉపకరణం యొక్క బహుళ అమలులు ఉపయోగించబడ్డాయి, వీటిలో ప్రత్యామ్నాయంగా ఎలక్ట్రిక్ మోటార్లు లేదా పవన శక్తి ద్వారా నడపబడుతుంది. [9] డిజైన్ మార్పుల ద్వారా విమానం యొక్క గురుత్వాకర్షణ కేంద్రం మార్చబడినందున, పరిహారం కోసం ఇంజిన్ కొద్దిగా ముందుకు తీసుకురాబడింది; మరింత హెవీ-డ్యూటీ శీతలీకరణ వ్యవస్థను కూడా వ్యవస్థాపించారు, ఇంజిన్‌కు సహాయపడటానికి ఎక్కువ విద్యుత్ ఉత్పత్తిని ఎదుర్కోవటానికి అవసరమైన ఎలివేటెడ్ డ్రాగ్‌ను ఆఫ్‌సెట్ చేయడానికి అవసరమైనవి. [9] రెండవ ప్రపంచ యుద్ధంలో అనేక RAF యూనిట్లు మార్టినెట్లను అందుకున్నాయి. ప్రత్యేకించి, ఈ రకం ఎయిర్ గన్నరీ పాఠశాలలు, కార్యాచరణ శిక్షణా యూనిట్లు, విమాన నిరోధక సహకార స్క్వాడ్రన్లు మరియు గాలి-సముద్ర నిఘా యూనిట్ల యొక్క ప్రధానమైనదిగా మారింది. [4] 1940 ల చివరలో మరియు 1950 ల ప్రారంభంలో, ఈ రకం బ్రిటన్ యొక్క సాయుధ దళాలలో క్రమంగా సేవ నుండి ఉపసంహరించబడింది. మొత్తం ఐదు మాజీ RAF మార్టినెట్‌లు పౌర రిజిస్ట్రేషన్లను అందుకున్నాయి మరియు బ్రిటన్ మరియు విదేశాలలో పౌరులు ఎగురవేశారు. [10] అదనపు పాత్రలను నెరవేర్చడానికి మిగులు మార్టినెట్‌ను ప్రోత్సహించే ప్రయత్నాలు జరిగాయి, అటువంటి ప్రతిపాదనలో ఫిరంగి మచ్చలు, సాధారణ పరిశీలన మరియు దగ్గరి వాయు మద్దతు వంటి మిషన్లను నిర్వహించడానికి రాయల్ హెలెనిక్ వైమానిక దళం రకాన్ని స్వీకరించడం జరిగింది. [11] నుండి డేటా: [13] 1925 నుండి మైల్స్ విమానాల నుండి డేటా, [12] ది హామ్లిన్ కాన్సైజ్ గైడ్ టు బ్రిటిష్ విమానానికి రెండవ ప్రపంచ యుద్ధం. [14] సాధారణ లక్షణాల పనితీరు ఒకే మార్టినెట్ మనుగడలో ఉంది; ఇది యునైటెడ్ కింగ్‌డమ్‌లోని మ్యూజియం ఆఫ్ బెర్క్‌షైర్ ఏవియేషన్ యాజమాన్యంలో ఉంది. ఈ విమానం (RAF సీరియల్ నంబర్ MS902) 1943 లో నిర్మించబడింది మరియు దాని కార్యాచరణ జీవితాన్ని ఐస్లాండ్‌లో RAF రేక్‌జావిక్‌లో గడిపింది. 1949 లో, MS902 ను అకురేరి ఫ్లయింగ్ క్లబ్‌కు విక్రయించారు మరియు ఐస్లాండిక్ సివిల్ రిజిస్ట్రేషన్ TF-SHC కి ఇచ్చారు. ఈశాన్య ఐస్లాండ్‌లోని కోపాస్కర్ సమీపంలో 1951 లో క్రాష్ అయ్యే వరకు క్లబ్ ఎగిరింది. శిధిలాలు 1977 వరకు క్రాష్ సైట్ వద్ద ఉన్నాయి, దీనిని కోలుకొని, ఐస్లాండిక్ ఏవియేషన్ హిస్టారికల్ సొసైటీ చేత నిల్వ ఉంచారు. ఈ విమానం 1996 లో మ్యూజియం ఆఫ్ బెర్క్‌షైర్ ఏవియేషన్ చేత యునైటెడ్ కింగ్‌డమ్‌కు తిరిగి వచ్చింది మరియు అప్పటి నుండి సుదీర్ఘ పునరుద్ధరణ ప్రాజెక్టుకు సంబంధించినది. [15] [16] సంబంధిత అభివృద్ధి సంబంధిత జాబితాలు</v>
      </c>
      <c r="E47" s="1" t="s">
        <v>1162</v>
      </c>
      <c r="F47" s="1" t="s">
        <v>1163</v>
      </c>
      <c r="G47" s="1" t="str">
        <f>IFERROR(__xludf.DUMMYFUNCTION("GOOGLETRANSLATE(F:F, ""en"", ""te"")"),"టార్గెట్ టగ్")</f>
        <v>టార్గెట్ టగ్</v>
      </c>
      <c r="L47" s="1" t="s">
        <v>1164</v>
      </c>
      <c r="M47" s="1" t="str">
        <f>IFERROR(__xludf.DUMMYFUNCTION("GOOGLETRANSLATE(L:L, ""en"", ""te"")"),"మైల్స్ విమానం")</f>
        <v>మైల్స్ విమానం</v>
      </c>
      <c r="N47" s="1" t="s">
        <v>1165</v>
      </c>
      <c r="R47" s="4">
        <v>15455.0</v>
      </c>
      <c r="S47" s="1" t="s">
        <v>1166</v>
      </c>
      <c r="T47" s="1" t="s">
        <v>216</v>
      </c>
      <c r="V47" s="1">
        <v>2.0</v>
      </c>
      <c r="W47" s="1" t="s">
        <v>1167</v>
      </c>
      <c r="X47" s="1" t="s">
        <v>1168</v>
      </c>
      <c r="Y47" s="1" t="s">
        <v>1169</v>
      </c>
      <c r="Z47" s="1" t="s">
        <v>1170</v>
      </c>
      <c r="AE47" s="1">
        <v>6.3</v>
      </c>
      <c r="AF47" s="1" t="s">
        <v>247</v>
      </c>
      <c r="AG47" s="1" t="s">
        <v>1171</v>
      </c>
      <c r="AH47" s="1" t="s">
        <v>1172</v>
      </c>
      <c r="AI47" s="1" t="s">
        <v>1173</v>
      </c>
      <c r="AM47" s="1" t="s">
        <v>1174</v>
      </c>
      <c r="AS47" s="1" t="s">
        <v>1175</v>
      </c>
      <c r="AT47" s="1"/>
      <c r="AU47" s="1" t="s">
        <v>1176</v>
      </c>
      <c r="AX47" s="1" t="s">
        <v>1177</v>
      </c>
      <c r="AY47" s="1" t="str">
        <f>IFERROR(__xludf.DUMMYFUNCTION("GOOGLETRANSLATE(AX:AX, ""en"", ""te"")"),"1 × బ్రిస్టల్ మెర్క్యురీ xx లేదా మెర్క్యురీ 30 9-సిలిండర్ ఎయిర్-కూల్డ్ రేడియల్ పిస్టన్ ఇంజిన్, 870 హెచ్‌పి (650 కిలోవాట్)")</f>
        <v>1 × బ్రిస్టల్ మెర్క్యురీ xx లేదా మెర్క్యురీ 30 9-సిలిండర్ ఎయిర్-కూల్డ్ రేడియల్ పిస్టన్ ఇంజిన్, 870 హెచ్‌పి (650 కిలోవాట్)</v>
      </c>
      <c r="AZ47" s="1" t="s">
        <v>763</v>
      </c>
      <c r="BA47" s="1" t="str">
        <f>IFERROR(__xludf.DUMMYFUNCTION("GOOGLETRANSLATE(AZ:AZ, ""en"", ""te"")"),"3-బ్లేడెడ్ స్థిరమైన-స్పీడ్ ప్రొపెల్లర్")</f>
        <v>3-బ్లేడెడ్ స్థిరమైన-స్పీడ్ ప్రొపెల్లర్</v>
      </c>
      <c r="BB47" s="1" t="s">
        <v>1178</v>
      </c>
      <c r="BC47" s="1" t="s">
        <v>1179</v>
      </c>
      <c r="BE47" s="1" t="s">
        <v>1180</v>
      </c>
      <c r="BG47" s="2"/>
      <c r="BI47" s="1" t="s">
        <v>1181</v>
      </c>
      <c r="BJ47" s="1" t="s">
        <v>1182</v>
      </c>
      <c r="BR47" s="1" t="s">
        <v>1183</v>
      </c>
      <c r="BT47" s="1" t="s">
        <v>1184</v>
      </c>
      <c r="BU47" s="1" t="s">
        <v>1185</v>
      </c>
      <c r="BV47" s="1" t="str">
        <f>IFERROR(__xludf.DUMMYFUNCTION("GOOGLETRANSLATE(BU:BU, ""en"", ""te"")"),"సేవ నుండి, రిటైర్డ్")</f>
        <v>సేవ నుండి, రిటైర్డ్</v>
      </c>
      <c r="BW47" s="1" t="s">
        <v>1186</v>
      </c>
      <c r="BZ47" s="1" t="s">
        <v>749</v>
      </c>
      <c r="CB47" s="1" t="s">
        <v>1187</v>
      </c>
      <c r="DP47" s="1" t="s">
        <v>1188</v>
      </c>
      <c r="DQ47" s="1" t="s">
        <v>1189</v>
      </c>
      <c r="DR47" s="1" t="s">
        <v>1190</v>
      </c>
      <c r="DS47" s="1" t="s">
        <v>1191</v>
      </c>
    </row>
    <row r="48">
      <c r="A48" s="1" t="s">
        <v>1192</v>
      </c>
      <c r="B48" s="1" t="str">
        <f>IFERROR(__xludf.DUMMYFUNCTION("GOOGLETRANSLATE(A:A, ""en"", ""te"")"),"మిత్సుబిషి కె 3 ఎమ్")</f>
        <v>మిత్సుబిషి కె 3 ఎమ్</v>
      </c>
      <c r="C48" s="1" t="s">
        <v>1193</v>
      </c>
      <c r="D48" s="1" t="str">
        <f>IFERROR(__xludf.DUMMYFUNCTION("GOOGLETRANSLATE(C:C, ""en"", ""te"")"),"The Mitsubishi K3M (九〇式機上作業練習機, Kyūrei-shiki kijō sagyō renshūki) was a trainer built by Mitsubishi which was used by the Imperial Japanese Navy in an extremely wide variety of roles, including light transport, liaison aircraft, utility విమానం మరియు అప్పు"&amp;"డప్పుడు తేలికపాటి బాంబర్. దీని అనుబంధ రిపోర్టింగ్ పేరు పైన్. మిత్సుబిషి K3M ను బ్రిటిష్ ఏరోనాటికల్ ఇంజనీర్ మరియు ఎయిర్క్రాఫ్ట్ డిజైనర్ హెర్బర్ట్ స్మిత్ రూపొందించారు, సోప్విత్ నుండి జపాన్‌లో మిత్సుబిషి కోసం పనిచేస్తున్నారు. మిత్సుబిషి 4ms1 గా నియమించబడిన ప"&amp;"్రోటోటైప్ 1930 లో తన తొలి విమాన ప్రయాణం చేసింది. ఈ విమానం స్ట్రట్-బ్రెస్డ్ హై-వింగ్ క్యాబిన్ మోనోప్లేన్, స్థిర వైడ్-ట్రాక్ ల్యాండింగ్ గేర్‌తో, మరియు ఒకే 300 హెచ్‌పి (220 కిలోవాట్ పిస్టన్ ఇంజిన్. పైలట్ మరియు గన్నర్ ప్రత్యేక ఓపెన్ కాక్‌పిట్స్‌లో ఉన్నారు, ఫ్"&amp;"యూజ్‌లేజ్‌లోని పరివేష్టిత క్యాబిన్‌లో బోధకుడు మరియు ఇద్దరు విద్యార్థులు ఉన్నారు. తరువాత ప్రయాణీకుల వేరియంట్లు క్యాబిన్లో ఐదుగురు ప్రయాణికులను కూర్చున్నాయి. అన్ని సంస్కరణల మొత్తం ఉత్పత్తి 625 విమానాలలో ఉంది, ఉత్పత్తి ఎక్కువగా క్యుషు హికోకి కె.కె. మరియు ఐచి"&amp;" కోకుకి. ఉత్పత్తి 1941 వరకు కొనసాగింది, మరియు యుద్ధానంతర కాలంలో అనుసంధాన విమానాలుగా ఉదాహరణలు సేవల్లోకి ప్రవేశించబడ్డాయి, వివిధ రకాల జాతీయ గుర్తులలో కనుగొనబడ్డాయి. ఇంపీరియల్ జపనీస్ నేవీ ఎయిర్ సర్వీస్‌కు అందించే K3M యొక్క మొదటి సంస్కరణ స్థిరత్వ సమస్యలకు గుర"&amp;"ైంది, మరియు మరీ ముఖ్యంగా, నీటి-చల్లబడిన 340 హెచ్‌పి (250 కిలోవాట్) . మెరుగైన K3M2 హిటాచీ అమాకాజ్ 11 తొమ్మిది సిలిండర్ ఎయిర్-కూల్డ్ రేడియల్ ఇంజిన్‌ను ఉపయోగించింది, ఇది టేకాఫ్ కోసం 340 హెచ్‌పి (250 కిలోవాట్) మరియు సముద్ర మట్టంలో 300 హెచ్‌పి (220 కిలోవాట్) గ"&amp;"ా రేట్ చేయబడింది. మొదటి K3M2 ఉత్పత్తి ఉదాహరణలు 1932 లో నేవీ టైప్ 90 క్రూ ట్రైనర్‌గా సేవలోకి ప్రవేశించాయి. ఇది నాకాజిమా కోటోబుకి 460 హెచ్‌పి (340 కిలోవాట్) ఎయిర్-కూల్డ్ ఇంజిన్‌ను ఉపయోగించి K3M3 తో ఉత్పత్తిలో అధిగమించబడింది. నేవీ టైప్ 90 క్రూ ట్రైనర్ ప్రధాన"&amp;"ంగా భూమి ఆధారిత విమానం; అయితే, కొన్నింటిని ఫ్లోట్లతో అమర్చారు. ఇంపీరియల్ జపనీస్ ఆర్మీ వైమానిక దళం దాని ఆధునీకరణ కార్యక్రమంలో భాగంగా విమానంలో ఆసక్తిని కలిగి ఉంది మరియు నకాజిమా కి -6 కు సంభావ్య అనుబంధంగా ఉంది. రెండు ఉదాహరణలు సంపాదించబడ్డాయి మరియు పరీక్షించబ"&amp;"డ్డాయి మరియు ఎయిర్ఫ్రేమ్కు KI-7 యొక్క హోదా ఇవ్వబడింది. ఒక నమూనా 475 హెచ్‌పి (354 కిలోవాట్ల) మిత్సుబిషి టైప్ 92 తొమ్మిది సిలిండర్ ఎయిర్-కూల్డ్ రేడియల్ ఇంజిన్ మరియు మరొకటి 450 హెచ్‌పి (340 కిలోవాట్) నకాజిమా కోటోబుకి తొమ్మిదవ సిలిండర్ ఎయిర్-కూల్డ్ రేడియల్ ఇం"&amp;"జిన్‌ను ఉపయోగించింది. అయినప్పటికీ, IJAAF సంస్కరణను ఉత్పత్తికి ఆర్డర్ చేయకూడదని నిర్ణయించుకుంది. సివిల్ వెర్షన్‌ను వాణిజ్య ఆపరేటర్లకు 420 హెచ్‌పి (310 కిలోవాట్ల) నకాజిమా నిర్మించిన బ్రిస్టల్ బృహస్పతి VI తొమ్మిదవ సిలిండర్ ఎయిర్-కూల్డ్ రేడియల్ ఇంజిన్‌తో అంది"&amp;"ంచారు. మిత్సుబిషి కె 3 ఎమ్ పౌర మరియు సైనిక పాత్రల కోసం ఉపయోగించబడింది మరియు కొన్ని రెండవ ప్రపంచ యుద్ధం తరువాత వరకు అమలులో ఉన్నాయి. సాధారణ లక్షణాలు పనితీరు ఆయుధాలు 2 హైఫనేటెడ్ వెనుకంజలో ఉన్న లేఖ (-j, -k, -l, -n లేదా -s) ద్వితీయ పాత్ర కోసం సవరించిన డిజైన్‌న"&amp;"ు సూచిస్తుంది")</f>
        <v>The Mitsubishi K3M (九〇式機上作業練習機, Kyūrei-shiki kijō sagyō renshūki) was a trainer built by Mitsubishi which was used by the Imperial Japanese Navy in an extremely wide variety of roles, including light transport, liaison aircraft, utility విమానం మరియు అప్పుడప్పుడు తేలికపాటి బాంబర్. దీని అనుబంధ రిపోర్టింగ్ పేరు పైన్. మిత్సుబిషి K3M ను బ్రిటిష్ ఏరోనాటికల్ ఇంజనీర్ మరియు ఎయిర్క్రాఫ్ట్ డిజైనర్ హెర్బర్ట్ స్మిత్ రూపొందించారు, సోప్విత్ నుండి జపాన్‌లో మిత్సుబిషి కోసం పనిచేస్తున్నారు. మిత్సుబిషి 4ms1 గా నియమించబడిన ప్రోటోటైప్ 1930 లో తన తొలి విమాన ప్రయాణం చేసింది. ఈ విమానం స్ట్రట్-బ్రెస్డ్ హై-వింగ్ క్యాబిన్ మోనోప్లేన్, స్థిర వైడ్-ట్రాక్ ల్యాండింగ్ గేర్‌తో, మరియు ఒకే 300 హెచ్‌పి (220 కిలోవాట్ పిస్టన్ ఇంజిన్. పైలట్ మరియు గన్నర్ ప్రత్యేక ఓపెన్ కాక్‌పిట్స్‌లో ఉన్నారు, ఫ్యూజ్‌లేజ్‌లోని పరివేష్టిత క్యాబిన్‌లో బోధకుడు మరియు ఇద్దరు విద్యార్థులు ఉన్నారు. తరువాత ప్రయాణీకుల వేరియంట్లు క్యాబిన్లో ఐదుగురు ప్రయాణికులను కూర్చున్నాయి. అన్ని సంస్కరణల మొత్తం ఉత్పత్తి 625 విమానాలలో ఉంది, ఉత్పత్తి ఎక్కువగా క్యుషు హికోకి కె.కె. మరియు ఐచి కోకుకి. ఉత్పత్తి 1941 వరకు కొనసాగింది, మరియు యుద్ధానంతర కాలంలో అనుసంధాన విమానాలుగా ఉదాహరణలు సేవల్లోకి ప్రవేశించబడ్డాయి, వివిధ రకాల జాతీయ గుర్తులలో కనుగొనబడ్డాయి. ఇంపీరియల్ జపనీస్ నేవీ ఎయిర్ సర్వీస్‌కు అందించే K3M యొక్క మొదటి సంస్కరణ స్థిరత్వ సమస్యలకు గురైంది, మరియు మరీ ముఖ్యంగా, నీటి-చల్లబడిన 340 హెచ్‌పి (250 కిలోవాట్) . మెరుగైన K3M2 హిటాచీ అమాకాజ్ 11 తొమ్మిది సిలిండర్ ఎయిర్-కూల్డ్ రేడియల్ ఇంజిన్‌ను ఉపయోగించింది, ఇది టేకాఫ్ కోసం 340 హెచ్‌పి (250 కిలోవాట్) మరియు సముద్ర మట్టంలో 300 హెచ్‌పి (220 కిలోవాట్) గా రేట్ చేయబడింది. మొదటి K3M2 ఉత్పత్తి ఉదాహరణలు 1932 లో నేవీ టైప్ 90 క్రూ ట్రైనర్‌గా సేవలోకి ప్రవేశించాయి. ఇది నాకాజిమా కోటోబుకి 460 హెచ్‌పి (340 కిలోవాట్) ఎయిర్-కూల్డ్ ఇంజిన్‌ను ఉపయోగించి K3M3 తో ఉత్పత్తిలో అధిగమించబడింది. నేవీ టైప్ 90 క్రూ ట్రైనర్ ప్రధానంగా భూమి ఆధారిత విమానం; అయితే, కొన్నింటిని ఫ్లోట్లతో అమర్చారు. ఇంపీరియల్ జపనీస్ ఆర్మీ వైమానిక దళం దాని ఆధునీకరణ కార్యక్రమంలో భాగంగా విమానంలో ఆసక్తిని కలిగి ఉంది మరియు నకాజిమా కి -6 కు సంభావ్య అనుబంధంగా ఉంది. రెండు ఉదాహరణలు సంపాదించబడ్డాయి మరియు పరీక్షించబడ్డాయి మరియు ఎయిర్ఫ్రేమ్కు KI-7 యొక్క హోదా ఇవ్వబడింది. ఒక నమూనా 475 హెచ్‌పి (354 కిలోవాట్ల) మిత్సుబిషి టైప్ 92 తొమ్మిది సిలిండర్ ఎయిర్-కూల్డ్ రేడియల్ ఇంజిన్ మరియు మరొకటి 450 హెచ్‌పి (340 కిలోవాట్) నకాజిమా కోటోబుకి తొమ్మిదవ సిలిండర్ ఎయిర్-కూల్డ్ రేడియల్ ఇంజిన్‌ను ఉపయోగించింది. అయినప్పటికీ, IJAAF సంస్కరణను ఉత్పత్తికి ఆర్డర్ చేయకూడదని నిర్ణయించుకుంది. సివిల్ వెర్షన్‌ను వాణిజ్య ఆపరేటర్లకు 420 హెచ్‌పి (310 కిలోవాట్ల) నకాజిమా నిర్మించిన బ్రిస్టల్ బృహస్పతి VI తొమ్మిదవ సిలిండర్ ఎయిర్-కూల్డ్ రేడియల్ ఇంజిన్‌తో అందించారు. మిత్సుబిషి కె 3 ఎమ్ పౌర మరియు సైనిక పాత్రల కోసం ఉపయోగించబడింది మరియు కొన్ని రెండవ ప్రపంచ యుద్ధం తరువాత వరకు అమలులో ఉన్నాయి. సాధారణ లక్షణాలు పనితీరు ఆయుధాలు 2 హైఫనేటెడ్ వెనుకంజలో ఉన్న లేఖ (-j, -k, -l, -n లేదా -s) ద్వితీయ పాత్ర కోసం సవరించిన డిజైన్‌ను సూచిస్తుంది</v>
      </c>
      <c r="E48" s="1" t="s">
        <v>1194</v>
      </c>
      <c r="F48" s="1" t="s">
        <v>1195</v>
      </c>
      <c r="G48" s="1" t="str">
        <f>IFERROR(__xludf.DUMMYFUNCTION("GOOGLETRANSLATE(F:F, ""en"", ""te"")"),"శిక్షణా విమానం")</f>
        <v>శిక్షణా విమానం</v>
      </c>
      <c r="L48" s="1" t="s">
        <v>1196</v>
      </c>
      <c r="M48" s="1" t="str">
        <f>IFERROR(__xludf.DUMMYFUNCTION("GOOGLETRANSLATE(L:L, ""en"", ""te"")"),"మిత్సుబిషి")</f>
        <v>మిత్సుబిషి</v>
      </c>
      <c r="N48" s="3" t="s">
        <v>1197</v>
      </c>
      <c r="R48" s="1">
        <v>1930.0</v>
      </c>
      <c r="S48" s="1">
        <v>625.0</v>
      </c>
      <c r="T48" s="1" t="s">
        <v>216</v>
      </c>
      <c r="V48" s="1">
        <v>4.0</v>
      </c>
      <c r="W48" s="1" t="s">
        <v>1198</v>
      </c>
      <c r="X48" s="1" t="s">
        <v>1199</v>
      </c>
      <c r="Y48" s="1" t="s">
        <v>1200</v>
      </c>
      <c r="Z48" s="1" t="s">
        <v>1201</v>
      </c>
      <c r="AG48" s="1" t="s">
        <v>1202</v>
      </c>
      <c r="AH48" s="1" t="s">
        <v>1203</v>
      </c>
      <c r="AO48" s="1">
        <v>1931.0</v>
      </c>
      <c r="AV48" s="1">
        <v>6.0</v>
      </c>
      <c r="AX48" s="1" t="s">
        <v>1204</v>
      </c>
      <c r="AY48" s="1" t="str">
        <f>IFERROR(__xludf.DUMMYFUNCTION("GOOGLETRANSLATE(AX:AX, ""en"", ""te"")"),"1 × నకాజిమా కోటోబుకి -2, 435 కిలోవాట్ (580 హెచ్‌పి)")</f>
        <v>1 × నకాజిమా కోటోబుకి -2, 435 కిలోవాట్ (580 హెచ్‌పి)</v>
      </c>
      <c r="BB48" s="1" t="s">
        <v>1205</v>
      </c>
      <c r="BD48" s="1" t="s">
        <v>1206</v>
      </c>
      <c r="BF48" s="1" t="s">
        <v>1207</v>
      </c>
      <c r="BG48" s="2" t="str">
        <f>IFERROR(__xludf.DUMMYFUNCTION("GOOGLETRANSLATE(BF:BF, ""en"", ""te"")"),"ఇంపీరియల్ జపనీస్ నేవీ ఎయిర్ సర్వీస్")</f>
        <v>ఇంపీరియల్ జపనీస్ నేవీ ఎయిర్ సర్వీస్</v>
      </c>
      <c r="BH48" s="1" t="s">
        <v>1208</v>
      </c>
      <c r="BS48" s="1" t="s">
        <v>1209</v>
      </c>
      <c r="BT48" s="1" t="s">
        <v>1210</v>
      </c>
    </row>
    <row r="49">
      <c r="A49" s="1" t="s">
        <v>1211</v>
      </c>
      <c r="B49" s="1" t="str">
        <f>IFERROR(__xludf.DUMMYFUNCTION("GOOGLETRANSLATE(A:A, ""en"", ""te"")"),"హెన్షెల్ హెచ్ఎస్ 298")</f>
        <v>హెన్షెల్ హెచ్ఎస్ 298</v>
      </c>
      <c r="C49" s="1" t="s">
        <v>1212</v>
      </c>
      <c r="D49" s="1" t="str">
        <f>IFERROR(__xludf.DUMMYFUNCTION("GOOGLETRANSLATE(C:C, ""en"", ""te"")"),"హెన్షెల్ హెచ్ఎస్ 298 1940 లలో జర్మన్ రాకెట్-శక్తితో కూడిన గాలి నుండి గాలి నుండి గాలి నుండి గాలి నుండి గాలి నుండి గాలి నుండి గాలి నుండి ఎయిర్ క్షిపణి. అలైడ్ బాంబర్ విమానాలపై దాడి చేయడానికి HS 298 ప్రత్యేకంగా రూపొందించబడింది మరియు ఇది గాలి నుండి గాలి నుండి "&amp;"ఉపయోగం కోసం ప్రత్యేకంగా రూపొందించిన మొట్టమొదటి క్షిపణి. [1] దీనిని డోర్నియర్ డో 217 లు (ఐదు క్షిపణులు) లేదా ఫోకే-వుల్ఫ్ ఎఫ్‌డబ్ల్యు 190 లు (రెండు క్షిపణులు) ప్రత్యేక ప్రయోగ పట్టాలపై తీసుకువెళ్ళాలి మరియు 48 కిలోల (106 ఎల్బి) పేలుడు సంభవించింది, [1] 40.8 కి"&amp;"లోల వార్‌హెడ్‌ల కంటే కొంచెం ఎక్కువ 1943 వసంతకాలం నుండి అన్‌గైడెడ్ BR 21 హెవీ-క్యాలిబర్ ఎయిర్-లాంచ్ రాకెట్లు. HS 298 మిడ్-వింగ్ మోనోప్లేన్, ఇది వెనుకబడిన రెక్కలతో కూడిన రెక్కలతో మరియు ఇది జంట నిలువు రెక్కలతో ఒకే క్షితిజ సమాంతర స్టెబిలైజర్ కలిగి ఉంది. [1] ఇ"&amp;"ది ష్మిడింగ్ చేత నిర్మించిన హెన్షెల్-రూపొందించిన రాకెట్ మోటారుతో శక్తితో 109–543; ఇది రెండు దశలను కలిగి ఉంది, మొదటి అధిక వేగం దశ ప్రయోగ విమానాలను 938 కిమీ/గం (585 mph) వద్ద వదిలివేయడానికి రూపొందించబడింది, రెండవ దశలో వేగం గరిష్ట పరిధిని ఇవ్వడానికి 682 కిమీ"&amp;"/గం (425 mph) కు తిరిగి తీసుకురాబడింది సుమారు 1.5 కిమీ (0.93 మై). [1] ఇది కెహల్-స్ట్రాబర్గ్ MCLOS రేడియో గైడెన్స్ సిస్టమ్‌ను ఉపయోగించింది (లాంచింగ్ విమానంలో ఫంక్జెరాట్ ఫగ్ 203-సిరీస్ కెహెల్ ట్రాన్స్మిటర్, ఆర్డినెన్స్‌లో ఫగ్ 230 స్ట్రాస్బర్గ్ రిసీవర్) ప్రొ"&amp;"పెల్లర్-నడిచే (ముక్కు మీద అమర్చబడి) ఎలక్ట్రిక్ జనరేటర్. [1 ] క్షిపణికి దానిని నియంత్రించడానికి ప్రయోగ విమానంలో ఇద్దరు సిబ్బంది అవసరం, ఒక ఆపరేటర్ లక్ష్యాన్ని లక్ష్యంగా చేసుకోవడానికి రిఫ్లెక్టర్-రకం దృశ్యాన్ని ఉపయోగించాడు మరియు మరొకరు కెహల్ ట్రాన్స్మిటర్లో "&amp;"జాయ్‌స్టిక్‌ను ఉపయోగించి క్షిపణిని ఎగరారు, మరియు మరొక దృశ్యం మొదటిదానికి ఒక సర్వోతో జత చేయబడింది వ్యవస్థ. [1] 22 డిసెంబర్ 1944 న జంకర్స్ జు 88 జి తీసుకువెళ్ళిన మూడు క్షిపణులతో మాత్రమే తెలిసిన టెస్ట్ ఫైరింగ్‌లు జరిగాయి. [1] రెండు క్షిపణులు మాత్రమే లాంచ్ పట"&amp;"్టాలను విడిచిపెట్టాయి, ఒకటి విడుదల చేయడంలో విఫలమయ్యాయి, విడుదల చేసిన ఇద్దరిలో ఒకటి అకాలంగా పేలింది మరియు ముక్కు డైవ్ చేసింది. [1] ఇది జనవరి 1945 లో భారీ ఉత్పత్తిలో ప్రవేశించాలని ప్రణాళిక చేయబడింది, కాని ఈ ప్రాజెక్ట్ X-4 కి అనుకూలంగా వదిలివేయబడింది. [1] ఒక"&amp;" HS 298 రాయల్ ఎయిర్ ఫోర్స్ మ్యూజియం కాస్ఫోర్డ్ వద్ద ప్రదర్శనలో ఉంది. [1] స్మిత్సోనియన్ నేషనల్ ఎయిర్ అండ్ స్పేస్ మ్యూజియం స్టీవెన్ ఎఫ్. ఉడ్వర్-హేజీ సెంటర్‌లో వన్ హెచ్ఎస్ 298 ప్రదర్శనలో ఉంది.")</f>
        <v>హెన్షెల్ హెచ్ఎస్ 298 1940 లలో జర్మన్ రాకెట్-శక్తితో కూడిన గాలి నుండి గాలి నుండి గాలి నుండి గాలి నుండి గాలి నుండి గాలి నుండి గాలి నుండి ఎయిర్ క్షిపణి. అలైడ్ బాంబర్ విమానాలపై దాడి చేయడానికి HS 298 ప్రత్యేకంగా రూపొందించబడింది మరియు ఇది గాలి నుండి గాలి నుండి ఉపయోగం కోసం ప్రత్యేకంగా రూపొందించిన మొట్టమొదటి క్షిపణి. [1] దీనిని డోర్నియర్ డో 217 లు (ఐదు క్షిపణులు) లేదా ఫోకే-వుల్ఫ్ ఎఫ్‌డబ్ల్యు 190 లు (రెండు క్షిపణులు) ప్రత్యేక ప్రయోగ పట్టాలపై తీసుకువెళ్ళాలి మరియు 48 కిలోల (106 ఎల్బి) పేలుడు సంభవించింది, [1] 40.8 కిలోల వార్‌హెడ్‌ల కంటే కొంచెం ఎక్కువ 1943 వసంతకాలం నుండి అన్‌గైడెడ్ BR 21 హెవీ-క్యాలిబర్ ఎయిర్-లాంచ్ రాకెట్లు. HS 298 మిడ్-వింగ్ మోనోప్లేన్, ఇది వెనుకబడిన రెక్కలతో కూడిన రెక్కలతో మరియు ఇది జంట నిలువు రెక్కలతో ఒకే క్షితిజ సమాంతర స్టెబిలైజర్ కలిగి ఉంది. [1] ఇది ష్మిడింగ్ చేత నిర్మించిన హెన్షెల్-రూపొందించిన రాకెట్ మోటారుతో శక్తితో 109–543; ఇది రెండు దశలను కలిగి ఉంది, మొదటి అధిక వేగం దశ ప్రయోగ విమానాలను 938 కిమీ/గం (585 mph) వద్ద వదిలివేయడానికి రూపొందించబడింది, రెండవ దశలో వేగం గరిష్ట పరిధిని ఇవ్వడానికి 682 కిమీ/గం (425 mph) కు తిరిగి తీసుకురాబడింది సుమారు 1.5 కిమీ (0.93 మై). [1] ఇది కెహల్-స్ట్రాబర్గ్ MCLOS రేడియో గైడెన్స్ సిస్టమ్‌ను ఉపయోగించింది (లాంచింగ్ విమానంలో ఫంక్జెరాట్ ఫగ్ 203-సిరీస్ కెహెల్ ట్రాన్స్మిటర్, ఆర్డినెన్స్‌లో ఫగ్ 230 స్ట్రాస్బర్గ్ రిసీవర్) ప్రొపెల్లర్-నడిచే (ముక్కు మీద అమర్చబడి) ఎలక్ట్రిక్ జనరేటర్. [1 ] క్షిపణికి దానిని నియంత్రించడానికి ప్రయోగ విమానంలో ఇద్దరు సిబ్బంది అవసరం, ఒక ఆపరేటర్ లక్ష్యాన్ని లక్ష్యంగా చేసుకోవడానికి రిఫ్లెక్టర్-రకం దృశ్యాన్ని ఉపయోగించాడు మరియు మరొకరు కెహల్ ట్రాన్స్మిటర్లో జాయ్‌స్టిక్‌ను ఉపయోగించి క్షిపణిని ఎగరారు, మరియు మరొక దృశ్యం మొదటిదానికి ఒక సర్వోతో జత చేయబడింది వ్యవస్థ. [1] 22 డిసెంబర్ 1944 న జంకర్స్ జు 88 జి తీసుకువెళ్ళిన మూడు క్షిపణులతో మాత్రమే తెలిసిన టెస్ట్ ఫైరింగ్‌లు జరిగాయి. [1] రెండు క్షిపణులు మాత్రమే లాంచ్ పట్టాలను విడిచిపెట్టాయి, ఒకటి విడుదల చేయడంలో విఫలమయ్యాయి, విడుదల చేసిన ఇద్దరిలో ఒకటి అకాలంగా పేలింది మరియు ముక్కు డైవ్ చేసింది. [1] ఇది జనవరి 1945 లో భారీ ఉత్పత్తిలో ప్రవేశించాలని ప్రణాళిక చేయబడింది, కాని ఈ ప్రాజెక్ట్ X-4 కి అనుకూలంగా వదిలివేయబడింది. [1] ఒక HS 298 రాయల్ ఎయిర్ ఫోర్స్ మ్యూజియం కాస్ఫోర్డ్ వద్ద ప్రదర్శనలో ఉంది. [1] స్మిత్సోనియన్ నేషనల్ ఎయిర్ అండ్ స్పేస్ మ్యూజియం స్టీవెన్ ఎఫ్. ఉడ్వర్-హేజీ సెంటర్‌లో వన్ హెచ్ఎస్ 298 ప్రదర్శనలో ఉంది.</v>
      </c>
      <c r="E49" s="1" t="s">
        <v>1213</v>
      </c>
      <c r="F49" s="1" t="s">
        <v>1214</v>
      </c>
      <c r="G49" s="1" t="str">
        <f>IFERROR(__xludf.DUMMYFUNCTION("GOOGLETRANSLATE(F:F, ""en"", ""te"")"),"రాకెట్-శక్తితో కూడిన గాలి నుండి గాలికి క్షిపణి")</f>
        <v>రాకెట్-శక్తితో కూడిన గాలి నుండి గాలికి క్షిపణి</v>
      </c>
      <c r="I49" s="1" t="s">
        <v>185</v>
      </c>
      <c r="J49" s="1" t="str">
        <f>IFERROR(__xludf.DUMMYFUNCTION("GOOGLETRANSLATE(I:I, ""en"", ""te"")"),"జర్మనీ")</f>
        <v>జర్మనీ</v>
      </c>
      <c r="L49" s="1" t="s">
        <v>1215</v>
      </c>
      <c r="M49" s="1" t="str">
        <f>IFERROR(__xludf.DUMMYFUNCTION("GOOGLETRANSLATE(L:L, ""en"", ""te"")"),"హెన్షెల్")</f>
        <v>హెన్షెల్</v>
      </c>
      <c r="N49" s="3" t="s">
        <v>1216</v>
      </c>
      <c r="O49" s="1" t="s">
        <v>1217</v>
      </c>
      <c r="P49" s="1" t="str">
        <f>IFERROR(__xludf.DUMMYFUNCTION("GOOGLETRANSLATE(O:O, ""en"", ""te"")"),"హెర్బర్ట్ ఎ. వాగ్నెర్")</f>
        <v>హెర్బర్ట్ ఎ. వాగ్నెర్</v>
      </c>
      <c r="Q49" s="1" t="s">
        <v>1218</v>
      </c>
      <c r="R49" s="4">
        <v>16428.0</v>
      </c>
      <c r="BG49" s="2"/>
    </row>
    <row r="50">
      <c r="A50" s="1" t="s">
        <v>1219</v>
      </c>
      <c r="B50" s="1" t="str">
        <f>IFERROR(__xludf.DUMMYFUNCTION("GOOGLETRANSLATE(A:A, ""en"", ""te"")"),"హిస్పానో HA-100")</f>
        <v>హిస్పానో HA-100</v>
      </c>
      <c r="C50" s="1" t="s">
        <v>1220</v>
      </c>
      <c r="D50" s="1" t="str">
        <f>IFERROR(__xludf.DUMMYFUNCTION("GOOGLETRANSLATE(C:C, ""en"", ""te"")"),"హిస్పానో HA-100 ట్రయానా (హిస్పానో ఏవియాసియన్ ప్లాంట్ ఉన్న సెవిల్లె జిల్లాకు పేరు పెట్టబడింది) 1950 లలో స్పెయిన్లో అభివృద్ధి చేయబడిన సైనిక శిక్షకుల విమానం. రెండవ ప్రపంచ యుద్ధం తరువాత విల్లీ మెసెర్స్‌మిట్ రూపొందించిన మొట్టమొదటి విమానం, ఇది సాంప్రదాయిక, తక్క"&amp;"ువ-వింగ్ కాంటిలివర్ మోనోప్లేన్, ముడుచుకునే ట్రైసైకిల్ అండర్ క్యారేజీ. పైలట్ మరియు బోధకుడు కలిసి కూర్చున్నారు. 1951 లో స్పానిష్ ప్రభుత్వం హిస్పానో హెచ్ఎస్ -42 లు మరియు హెచ్‌ఏ -43 లకు బదులుగా సేవలో భర్తీ చేయడానికి ఒక అవసరాన్ని జారీ చేసినప్పుడు ఈ కార్యక్రమం "&amp;"ప్రారంభించబడింది. హిస్పానో వేర్వేరు ఇంజిన్ శక్తితో రెండు వెర్షన్లను ప్రతిపాదించాడు, HA-100E మరియు HA-100F, ప్రాథమిక శిక్షణకు పూర్వం, అధునాతన శిక్షణ కోసం రెండోది మరియు ప్రతి రెండు ప్రోటోటైప్‌ల నిర్మాణం చేపట్టారు. అభివృద్ధి సమస్యలతో నిండి ఉంది, ఎక్కువగా తగి"&amp;"న భాగాలను పొందడంలో మరియు ముఖ్యంగా ఇంజిన్‌లతో. ఎనిమాసా సిరియో మొదట HA-100E కోసం ఎంపిక చేయబడింది, కానీ ఇది అందుబాటులో లేదని నిరూపించబడినప్పుడు, ఎనిమాసా బీటా బదులుగా ఉపయోగించబడింది, ప్రాథమిక శిక్షకుడి కోసం కోరుకున్న దానికంటే భారీ మరియు శక్తివంతమైన ఇంజిన్. ఇద"&amp;"ి పరివర్తన చెందుతున్నప్పుడు, ఈ ఇంజిన్ యొక్క పనితీరు సంతృప్తికరంగా లేదు, మరియు రెండవ నమూనా ఫిబ్రవరి 1955 లో (మొదటి HA-100F) ప్రయాణించినప్పుడు, ఇది రైట్ R-1300 చేత శక్తిని పొందింది. విమాన పరీక్ష చాలా సానుకూలంగా ఉంది, మరియు అమెరికన్ టి -28 ట్రోజాన్‌కు వ్యతిర"&amp;"ేకంగా తులనాత్మక పరీక్షలలో HA-100 బాగా పనిచేసింది, ఇది 40 విమానాలకు ఒక ఒప్పందానికి దారితీసింది. ఏదేమైనా, ఇంజిన్లను పొందడం పొరపాటున ఉంది, స్పెయిన్ రైట్ ఇంజిన్‌ను పరిమాణంలో దిగుమతి చేసుకోలేకపోయింది. చివరికి, ఉత్పత్తిని నిలిపివేసింది, మరియు నిర్మాణంలో ఉన్న ఎయ"&amp;"ిర్‌ఫ్రేమ్‌లను స్క్రాప్ చేయడానికి నిర్ణయం తీసుకున్నారు, HA-200 ప్రాజెక్టులో ఉపయోగం కోసం రెక్కలు మరియు సామ్రాజ్యాలను మాత్రమే రక్షించారు. జేన్ యొక్క అన్ని ప్రపంచ విమానాల నుండి డేటా 1961-62 [2] సాధారణ లక్షణాల పనితీరు")</f>
        <v>హిస్పానో HA-100 ట్రయానా (హిస్పానో ఏవియాసియన్ ప్లాంట్ ఉన్న సెవిల్లె జిల్లాకు పేరు పెట్టబడింది) 1950 లలో స్పెయిన్లో అభివృద్ధి చేయబడిన సైనిక శిక్షకుల విమానం. రెండవ ప్రపంచ యుద్ధం తరువాత విల్లీ మెసెర్స్‌మిట్ రూపొందించిన మొట్టమొదటి విమానం, ఇది సాంప్రదాయిక, తక్కువ-వింగ్ కాంటిలివర్ మోనోప్లేన్, ముడుచుకునే ట్రైసైకిల్ అండర్ క్యారేజీ. పైలట్ మరియు బోధకుడు కలిసి కూర్చున్నారు. 1951 లో స్పానిష్ ప్రభుత్వం హిస్పానో హెచ్ఎస్ -42 లు మరియు హెచ్‌ఏ -43 లకు బదులుగా సేవలో భర్తీ చేయడానికి ఒక అవసరాన్ని జారీ చేసినప్పుడు ఈ కార్యక్రమం ప్రారంభించబడింది. హిస్పానో వేర్వేరు ఇంజిన్ శక్తితో రెండు వెర్షన్లను ప్రతిపాదించాడు, HA-100E మరియు HA-100F, ప్రాథమిక శిక్షణకు పూర్వం, అధునాతన శిక్షణ కోసం రెండోది మరియు ప్రతి రెండు ప్రోటోటైప్‌ల నిర్మాణం చేపట్టారు. అభివృద్ధి సమస్యలతో నిండి ఉంది, ఎక్కువగా తగిన భాగాలను పొందడంలో మరియు ముఖ్యంగా ఇంజిన్‌లతో. ఎనిమాసా సిరియో మొదట HA-100E కోసం ఎంపిక చేయబడింది, కానీ ఇది అందుబాటులో లేదని నిరూపించబడినప్పుడు, ఎనిమాసా బీటా బదులుగా ఉపయోగించబడింది, ప్రాథమిక శిక్షకుడి కోసం కోరుకున్న దానికంటే భారీ మరియు శక్తివంతమైన ఇంజిన్. ఇది పరివర్తన చెందుతున్నప్పుడు, ఈ ఇంజిన్ యొక్క పనితీరు సంతృప్తికరంగా లేదు, మరియు రెండవ నమూనా ఫిబ్రవరి 1955 లో (మొదటి HA-100F) ప్రయాణించినప్పుడు, ఇది రైట్ R-1300 చేత శక్తిని పొందింది. విమాన పరీక్ష చాలా సానుకూలంగా ఉంది, మరియు అమెరికన్ టి -28 ట్రోజాన్‌కు వ్యతిరేకంగా తులనాత్మక పరీక్షలలో HA-100 బాగా పనిచేసింది, ఇది 40 విమానాలకు ఒక ఒప్పందానికి దారితీసింది. ఏదేమైనా, ఇంజిన్లను పొందడం పొరపాటున ఉంది, స్పెయిన్ రైట్ ఇంజిన్‌ను పరిమాణంలో దిగుమతి చేసుకోలేకపోయింది. చివరికి, ఉత్పత్తిని నిలిపివేసింది, మరియు నిర్మాణంలో ఉన్న ఎయిర్‌ఫ్రేమ్‌లను స్క్రాప్ చేయడానికి నిర్ణయం తీసుకున్నారు, HA-200 ప్రాజెక్టులో ఉపయోగం కోసం రెక్కలు మరియు సామ్రాజ్యాలను మాత్రమే రక్షించారు. జేన్ యొక్క అన్ని ప్రపంచ విమానాల నుండి డేటా 1961-62 [2] సాధారణ లక్షణాల పనితీరు</v>
      </c>
      <c r="F50" s="1" t="s">
        <v>1221</v>
      </c>
      <c r="G50" s="1" t="str">
        <f>IFERROR(__xludf.DUMMYFUNCTION("GOOGLETRANSLATE(F:F, ""en"", ""te"")"),"మిలిటరీ ట్రైనర్")</f>
        <v>మిలిటరీ ట్రైనర్</v>
      </c>
      <c r="I50" s="1" t="s">
        <v>1222</v>
      </c>
      <c r="J50" s="1" t="str">
        <f>IFERROR(__xludf.DUMMYFUNCTION("GOOGLETRANSLATE(I:I, ""en"", ""te"")"),"స్పెయిన్")</f>
        <v>స్పెయిన్</v>
      </c>
      <c r="L50" s="1" t="s">
        <v>1223</v>
      </c>
      <c r="M50" s="1" t="str">
        <f>IFERROR(__xludf.DUMMYFUNCTION("GOOGLETRANSLATE(L:L, ""en"", ""te"")"),"హిస్పానో ఏవియాసియన్")</f>
        <v>హిస్పానో ఏవియాసియన్</v>
      </c>
      <c r="N50" s="1" t="s">
        <v>1224</v>
      </c>
      <c r="O50" s="1" t="s">
        <v>1225</v>
      </c>
      <c r="P50" s="1" t="str">
        <f>IFERROR(__xludf.DUMMYFUNCTION("GOOGLETRANSLATE(O:O, ""en"", ""te"")"),"విల్లీ మెసెర్స్చ్మిట్")</f>
        <v>విల్లీ మెసెర్స్చ్మిట్</v>
      </c>
      <c r="Q50" s="1" t="s">
        <v>1226</v>
      </c>
      <c r="R50" s="4">
        <v>20068.0</v>
      </c>
      <c r="S50" s="1">
        <v>2.0</v>
      </c>
      <c r="T50" s="1" t="s">
        <v>216</v>
      </c>
      <c r="V50" s="1">
        <v>2.0</v>
      </c>
      <c r="W50" s="1" t="s">
        <v>1227</v>
      </c>
      <c r="X50" s="1" t="s">
        <v>1228</v>
      </c>
      <c r="Y50" s="1" t="s">
        <v>1229</v>
      </c>
      <c r="Z50" s="1" t="s">
        <v>1230</v>
      </c>
      <c r="AF50" s="1">
        <v>6.25</v>
      </c>
      <c r="AG50" s="1" t="s">
        <v>1231</v>
      </c>
      <c r="AH50" s="1" t="s">
        <v>1232</v>
      </c>
      <c r="AW50" s="1" t="s">
        <v>1233</v>
      </c>
      <c r="AX50" s="1" t="s">
        <v>1234</v>
      </c>
      <c r="AY50" s="1" t="str">
        <f>IFERROR(__xludf.DUMMYFUNCTION("GOOGLETRANSLATE(AX:AX, ""en"", ""te"")"),"1 × ఎన్మాసా బి -4 బీటా 9-సిలిండర్ రేడియల్ ఇంజిన్, 563 కిలోవాట్ (755 హెచ్‌పి)")</f>
        <v>1 × ఎన్మాసా బి -4 బీటా 9-సిలిండర్ రేడియల్ ఇంజిన్, 563 కిలోవాట్ (755 హెచ్‌పి)</v>
      </c>
      <c r="BB50" s="1" t="s">
        <v>1235</v>
      </c>
      <c r="BC50" s="1" t="s">
        <v>1236</v>
      </c>
      <c r="BD50" s="1" t="s">
        <v>1237</v>
      </c>
      <c r="BF50" s="1" t="s">
        <v>1238</v>
      </c>
      <c r="BG50" s="2" t="str">
        <f>IFERROR(__xludf.DUMMYFUNCTION("GOOGLETRANSLATE(BF:BF, ""en"", ""te"")"),"స్పానిష్ వైమానిక దళం")</f>
        <v>స్పానిష్ వైమానిక దళం</v>
      </c>
      <c r="BH50" s="1" t="s">
        <v>1239</v>
      </c>
      <c r="BR50" s="1" t="s">
        <v>1240</v>
      </c>
      <c r="BS50" s="1" t="s">
        <v>1241</v>
      </c>
      <c r="BT50" s="1" t="s">
        <v>1242</v>
      </c>
    </row>
    <row r="51">
      <c r="A51" s="1" t="s">
        <v>1243</v>
      </c>
      <c r="B51" s="1" t="str">
        <f>IFERROR(__xludf.DUMMYFUNCTION("GOOGLETRANSLATE(A:A, ""en"", ""te"")"),"మిత్సుబిషి 2MB1")</f>
        <v>మిత్సుబిషి 2MB1</v>
      </c>
      <c r="C51" s="1" t="s">
        <v>1244</v>
      </c>
      <c r="D51" s="1" t="str">
        <f>IFERROR(__xludf.DUMMYFUNCTION("GOOGLETRANSLATE(C:C, ""en"", ""te"")"),"The Mitsubishi 2MB1 (service designation 八七式軽爆撃機, Army Type 87 Light Bomber) was a light bomber produced in Japan in the mid-1920s to equip the Imperial Japanese Army.[1][2] ఇది 2MB2 కు సమాంతరంగా అభివృద్ధి చేయబడింది, కానీ ఆ విమానం ఒక వినూత్న మరియు అసాధారణ"&amp;"మైన రూపకల్పనను కలిగి ఉన్నప్పటికీ, 2MB1 2MT క్యారియర్-ఆధారిత టార్పెడో బాంబర్ ఆధారంగా మరింత సాంప్రదాయిక విధానం, ఇది ఇప్పటికే ఇంపీరియల్ జపనీస్ నావికాదళానికి ఉత్పత్తిలో ఉంది. [2 ] 2MT మాదిరిగా, 2MB1 ఒక సాంప్రదాయిక రెండు-బే బైప్‌లేన్, ఇది టెన్డం మరియు స్థిర టె"&amp;"యిల్‌స్కిడ్ అండర్ క్యారేజీలో ఓపెన్ కాక్‌పిట్‌లతో ఉంటుంది. 2MT యొక్క నేపియర్ ఇంజిన్ మరియు సైడ్-మౌంటెడ్ రేడియేటర్లను హిస్పానో-సుయిజా ఇంజిన్ మరియు ఫ్రంటల్ రేడియేటర్ కోసం మార్పిడి చేశారు, మరియు మడత రెక్కలు వంటి నిర్దిష్ట నావికాదళ లక్షణాలు తొలగించబడ్డాయి. ఈ రక"&amp;"ం 1931 లో జపాన్ మంచూరియాపై దాడి చేసిన ప్రారంభ దశలో చర్యను చూసింది, కాని ఇది వాడుకలో లేదని కనుగొనబడింది మరియు త్వరలోనే శిక్షణా విధులకు పంపబడింది. ఇలస్ట్రేటెడ్ ఎన్సైక్లోపీడియా ఆఫ్ ఎయిర్‌క్రాఫ్ట్‌జెనరల్ క్యారెక్టరిస్టిక్స్ పనితీరు ఆయుధాల నుండి డేటా")</f>
        <v>The Mitsubishi 2MB1 (service designation 八七式軽爆撃機, Army Type 87 Light Bomber) was a light bomber produced in Japan in the mid-1920s to equip the Imperial Japanese Army.[1][2] ఇది 2MB2 కు సమాంతరంగా అభివృద్ధి చేయబడింది, కానీ ఆ విమానం ఒక వినూత్న మరియు అసాధారణమైన రూపకల్పనను కలిగి ఉన్నప్పటికీ, 2MB1 2MT క్యారియర్-ఆధారిత టార్పెడో బాంబర్ ఆధారంగా మరింత సాంప్రదాయిక విధానం, ఇది ఇప్పటికే ఇంపీరియల్ జపనీస్ నావికాదళానికి ఉత్పత్తిలో ఉంది. [2 ] 2MT మాదిరిగా, 2MB1 ఒక సాంప్రదాయిక రెండు-బే బైప్‌లేన్, ఇది టెన్డం మరియు స్థిర టెయిల్‌స్కిడ్ అండర్ క్యారేజీలో ఓపెన్ కాక్‌పిట్‌లతో ఉంటుంది. 2MT యొక్క నేపియర్ ఇంజిన్ మరియు సైడ్-మౌంటెడ్ రేడియేటర్లను హిస్పానో-సుయిజా ఇంజిన్ మరియు ఫ్రంటల్ రేడియేటర్ కోసం మార్పిడి చేశారు, మరియు మడత రెక్కలు వంటి నిర్దిష్ట నావికాదళ లక్షణాలు తొలగించబడ్డాయి. ఈ రకం 1931 లో జపాన్ మంచూరియాపై దాడి చేసిన ప్రారంభ దశలో చర్యను చూసింది, కాని ఇది వాడుకలో లేదని కనుగొనబడింది మరియు త్వరలోనే శిక్షణా విధులకు పంపబడింది. ఇలస్ట్రేటెడ్ ఎన్సైక్లోపీడియా ఆఫ్ ఎయిర్‌క్రాఫ్ట్‌జెనరల్ క్యారెక్టరిస్టిక్స్ పనితీరు ఆయుధాల నుండి డేటా</v>
      </c>
      <c r="E51" s="1" t="s">
        <v>1245</v>
      </c>
      <c r="F51" s="1" t="s">
        <v>1246</v>
      </c>
      <c r="G51" s="1" t="str">
        <f>IFERROR(__xludf.DUMMYFUNCTION("GOOGLETRANSLATE(F:F, ""en"", ""te"")"),"బాంబర్")</f>
        <v>బాంబర్</v>
      </c>
      <c r="I51" s="1" t="s">
        <v>581</v>
      </c>
      <c r="J51" s="1" t="str">
        <f>IFERROR(__xludf.DUMMYFUNCTION("GOOGLETRANSLATE(I:I, ""en"", ""te"")"),"జపాన్")</f>
        <v>జపాన్</v>
      </c>
      <c r="L51" s="1" t="s">
        <v>1196</v>
      </c>
      <c r="M51" s="1" t="str">
        <f>IFERROR(__xludf.DUMMYFUNCTION("GOOGLETRANSLATE(L:L, ""en"", ""te"")"),"మిత్సుబిషి")</f>
        <v>మిత్సుబిషి</v>
      </c>
      <c r="N51" s="3" t="s">
        <v>1197</v>
      </c>
      <c r="R51" s="1" t="s">
        <v>1247</v>
      </c>
      <c r="S51" s="1">
        <v>48.0</v>
      </c>
      <c r="V51" s="1" t="s">
        <v>1248</v>
      </c>
      <c r="W51" s="1" t="s">
        <v>1249</v>
      </c>
      <c r="X51" s="1" t="s">
        <v>1250</v>
      </c>
      <c r="Y51" s="1" t="s">
        <v>1251</v>
      </c>
      <c r="Z51" s="1" t="s">
        <v>1252</v>
      </c>
      <c r="AG51" s="1" t="s">
        <v>1253</v>
      </c>
      <c r="AH51" s="1" t="s">
        <v>1254</v>
      </c>
      <c r="AX51" s="1" t="s">
        <v>1255</v>
      </c>
      <c r="AY51" s="1" t="str">
        <f>IFERROR(__xludf.DUMMYFUNCTION("GOOGLETRANSLATE(AX:AX, ""en"", ""te"")"),"1 × హిస్పానో-సుయిజా, 336 kW (450 HP)")</f>
        <v>1 × హిస్పానో-సుయిజా, 336 kW (450 HP)</v>
      </c>
      <c r="BB51" s="1" t="s">
        <v>1256</v>
      </c>
      <c r="BF51" s="1" t="s">
        <v>1257</v>
      </c>
      <c r="BG51" s="2" t="str">
        <f>IFERROR(__xludf.DUMMYFUNCTION("GOOGLETRANSLATE(BF:BF, ""en"", ""te"")"),"ఇంపీరియల్ జపనీస్ సైన్యం")</f>
        <v>ఇంపీరియల్ జపనీస్ సైన్యం</v>
      </c>
      <c r="BH51" s="1" t="s">
        <v>1258</v>
      </c>
      <c r="BI51" s="1" t="s">
        <v>1259</v>
      </c>
      <c r="BJ51" s="1" t="s">
        <v>1260</v>
      </c>
    </row>
    <row r="52">
      <c r="A52" s="1" t="s">
        <v>1261</v>
      </c>
      <c r="B52" s="1" t="str">
        <f>IFERROR(__xludf.DUMMYFUNCTION("GOOGLETRANSLATE(A:A, ""en"", ""te"")"),"నకాజిమా కి -34")</f>
        <v>నకాజిమా కి -34</v>
      </c>
      <c r="C52" s="1" t="s">
        <v>1262</v>
      </c>
      <c r="D52" s="1" t="str">
        <f>IFERROR(__xludf.DUMMYFUNCTION("GOOGLETRANSLATE(C:C, ""en"", ""te"")"),"నకాజిమా కి -34 రెండవ ప్రపంచ యుద్ధం యొక్క జపనీస్ కాంతి రవాణా. ఇది జంట-ఇంజిన్, తక్కువ-వింగ్ మోనోప్లేన్; అండర్ క్యారేజ్ ముడుచుకునే ప్రధాన యూనిట్లతో టెయిల్‌వీల్ రకానికి చెందినది. పసిఫిక్ యుద్ధంలో, మిత్రరాజ్యాలు రిపోర్టింగ్ పేరు థోరాను కేటాయించారు. KI-34 మొదట "&amp;"పౌర రవాణాగా రూపొందించబడింది. డగ్లస్ డిసి -2 కు లైసెన్స్-ప్రొడక్షన్ హక్కులను కలిగి ఉన్న నకాజిమా ఎయిర్క్రాఫ్ట్ కంపెనీ, 1935 లో పెద్ద డిసి -2 వాడకాన్ని సమర్థించే సామర్థ్యం లేని మార్గాల కోసం చిన్న జంట ఇంజిన్ విమానాలపై డిజైన్ పనిని ప్రారంభించింది. ప్రారంభ రూపక"&amp;"ల్పన AT-1 వద్ద నియమించబడింది, మరియు అనేక డిజైన్ పునరావృతాల తరువాత, 12 సెప్టెంబర్ 1936 న -2 వద్ద నియమించబడిన ప్రోటోటైప్ గా ఎగిరింది. [1] ప్లైవుడ్ అయిన ఫ్లైట్ కంట్రోల్ ఉపరితలాలు మినహా డిజైన్ అన్ని లోహాలు. రెక్కలు మల్టీ-సెల్ కాంటిలివర్ డిజైన్‌ను ఉపయోగించాయి."&amp;" ఈ ప్రోటోటైప్‌ను 432 kW (580 HP) నకాజిమా కోటోబుకి 2-1 రేడియల్ ఇంజన్లతో స్థిర పిచ్ చెక్క ప్రొపెల్లర్లతో అమర్చారు, వీటిని కోటోబుకి -41 529 కిలోవాట్ (710 హెచ్‌పి) తొమ్మిది-సిలిండర్ రాడియల్ ఇంజన్లతో ఉత్పత్తి నమూనాలలో భర్తీ చేశారు, వేరియబుల్ పిచ్ మెటల్ ప్రొపెల"&amp;"్లర్లు. ఇంపీరియల్ జపనీస్ ఎయిర్‌వేస్ (డై నిప్పాన్ కోకు కెకె) మరియు మంచూకువో నేషనల్ ఎయిర్‌వేస్, [2] టోక్యో మరియు హ్సింకింగ్, టోక్యో మరియు టియాంజిన్ మరియు మంచూకువోలో షెడ్యూల్డ్ మార్గాల్లో పనిచేస్తున్నట్లు మొత్తం 32 ఎట్ -2 లు ఉత్పత్తి చేయబడ్డాయి. ఈ విమానాలు ఆ"&amp;"గస్టు 1945 లో జపాన్ లొంగిపోయే వరకు కార్యాచరణ సేవలో ఉన్నాయి. 1937 లో రెండవ చైనా-జపనీస్ యుద్ధం ప్రారంభమైన తరువాత సైనిక రవాణా సామర్ధ్యం పెరగడానికి అధిక డిమాండ్ ఉన్నందున, ఇంపీరియల్ జపనీస్ సైన్యం సైనిక ఉపయోగం కోసం AT-2 రూపకల్పనను అనుసరించింది. మరింత శక్తివంతమై"&amp;"న నకాజిమా HA-1B రేడియల్ ఇంజిన్లతో అమర్చడం ద్వారా మరియు ఆర్మీ టైప్ 97 ట్రాన్స్‌పోర్ట్ మరియు కి -34 గా విమానాన్ని తిరిగి నియమించడం ద్వారా. ప్రారంభ 19 విమానాలను నకాజిమా విమానం నిర్మించింది, మరో 299 విమానాలను తరువాత సైన్యం-అనుబంధ తచికావా హికోకి కె.కె. చివరి ఎ"&amp;"యిర్‌ఫ్రేమ్ 1942 లో పంపిణీ చేయబడింది. కార్యాచరణ సేవలో, KI-34 ను అనుసంధాన మరియు సమాచార విధుల కోసం మరియు పారాట్రూపర్ శిక్షణ మరియు ప్రత్యేక దళాల కార్యకలాపాల కోసం యుటిలిటీ విమానంగా ఉపయోగించారు. తరువాతి తేదీలో, కొన్ని విమానాలను ఇంపీరియల్ జపనీస్ నేవీకి బదిలీ చే"&amp;"శారు, అక్కడ వాటిని నేవీ టైప్ ఎట్ -2 ట్రాన్స్‌పోర్ట్ లేదా నకాజిమా ఎల్ 1 ఎన్ 1 అని పిలుస్తారు. 1942 లో జపనీస్ పప్పెట్ స్టేట్ ఆఫ్ చైనా-నాన్జింగ్ యొక్క వైమానిక దళానికి కూడా చాలా మంది బదిలీ చేయబడ్డారు. పసిఫిక్ యుద్ధం యొక్క జపనీస్ విమానాల నుండి డేటా, [2] వార్బర"&amp;"్డ్స్ రిసోర్స్ గ్రూప్ [3] సాధారణ లక్షణాల పనితీరు 2 హైఫనేటెడ్ వెనుకంజలో లేఖ (-J,-- K, -l, -n లేదా -s) ద్వితీయ పాత్ర కోసం సవరించిన డిజైన్‌ను సూచిస్తుంది")</f>
        <v>నకాజిమా కి -34 రెండవ ప్రపంచ యుద్ధం యొక్క జపనీస్ కాంతి రవాణా. ఇది జంట-ఇంజిన్, తక్కువ-వింగ్ మోనోప్లేన్; అండర్ క్యారేజ్ ముడుచుకునే ప్రధాన యూనిట్లతో టెయిల్‌వీల్ రకానికి చెందినది. పసిఫిక్ యుద్ధంలో, మిత్రరాజ్యాలు రిపోర్టింగ్ పేరు థోరాను కేటాయించారు. KI-34 మొదట పౌర రవాణాగా రూపొందించబడింది. డగ్లస్ డిసి -2 కు లైసెన్స్-ప్రొడక్షన్ హక్కులను కలిగి ఉన్న నకాజిమా ఎయిర్క్రాఫ్ట్ కంపెనీ, 1935 లో పెద్ద డిసి -2 వాడకాన్ని సమర్థించే సామర్థ్యం లేని మార్గాల కోసం చిన్న జంట ఇంజిన్ విమానాలపై డిజైన్ పనిని ప్రారంభించింది. ప్రారంభ రూపకల్పన AT-1 వద్ద నియమించబడింది, మరియు అనేక డిజైన్ పునరావృతాల తరువాత, 12 సెప్టెంబర్ 1936 న -2 వద్ద నియమించబడిన ప్రోటోటైప్ గా ఎగిరింది. [1] ప్లైవుడ్ అయిన ఫ్లైట్ కంట్రోల్ ఉపరితలాలు మినహా డిజైన్ అన్ని లోహాలు. రెక్కలు మల్టీ-సెల్ కాంటిలివర్ డిజైన్‌ను ఉపయోగించాయి. ఈ ప్రోటోటైప్‌ను 432 kW (580 HP) నకాజిమా కోటోబుకి 2-1 రేడియల్ ఇంజన్లతో స్థిర పిచ్ చెక్క ప్రొపెల్లర్లతో అమర్చారు, వీటిని కోటోబుకి -41 529 కిలోవాట్ (710 హెచ్‌పి) తొమ్మిది-సిలిండర్ రాడియల్ ఇంజన్లతో ఉత్పత్తి నమూనాలలో భర్తీ చేశారు, వేరియబుల్ పిచ్ మెటల్ ప్రొపెల్లర్లు. ఇంపీరియల్ జపనీస్ ఎయిర్‌వేస్ (డై నిప్పాన్ కోకు కెకె) మరియు మంచూకువో నేషనల్ ఎయిర్‌వేస్, [2] టోక్యో మరియు హ్సింకింగ్, టోక్యో మరియు టియాంజిన్ మరియు మంచూకువోలో షెడ్యూల్డ్ మార్గాల్లో పనిచేస్తున్నట్లు మొత్తం 32 ఎట్ -2 లు ఉత్పత్తి చేయబడ్డాయి. ఈ విమానాలు ఆగస్టు 1945 లో జపాన్ లొంగిపోయే వరకు కార్యాచరణ సేవలో ఉన్నాయి. 1937 లో రెండవ చైనా-జపనీస్ యుద్ధం ప్రారంభమైన తరువాత సైనిక రవాణా సామర్ధ్యం పెరగడానికి అధిక డిమాండ్ ఉన్నందున, ఇంపీరియల్ జపనీస్ సైన్యం సైనిక ఉపయోగం కోసం AT-2 రూపకల్పనను అనుసరించింది. మరింత శక్తివంతమైన నకాజిమా HA-1B రేడియల్ ఇంజిన్లతో అమర్చడం ద్వారా మరియు ఆర్మీ టైప్ 97 ట్రాన్స్‌పోర్ట్ మరియు కి -34 గా విమానాన్ని తిరిగి నియమించడం ద్వారా. ప్రారంభ 19 విమానాలను నకాజిమా విమానం నిర్మించింది, మరో 299 విమానాలను తరువాత సైన్యం-అనుబంధ తచికావా హికోకి కె.కె. చివరి ఎయిర్‌ఫ్రేమ్ 1942 లో పంపిణీ చేయబడింది. కార్యాచరణ సేవలో, KI-34 ను అనుసంధాన మరియు సమాచార విధుల కోసం మరియు పారాట్రూపర్ శిక్షణ మరియు ప్రత్యేక దళాల కార్యకలాపాల కోసం యుటిలిటీ విమానంగా ఉపయోగించారు. తరువాతి తేదీలో, కొన్ని విమానాలను ఇంపీరియల్ జపనీస్ నేవీకి బదిలీ చేశారు, అక్కడ వాటిని నేవీ టైప్ ఎట్ -2 ట్రాన్స్‌పోర్ట్ లేదా నకాజిమా ఎల్ 1 ఎన్ 1 అని పిలుస్తారు. 1942 లో జపనీస్ పప్పెట్ స్టేట్ ఆఫ్ చైనా-నాన్జింగ్ యొక్క వైమానిక దళానికి కూడా చాలా మంది బదిలీ చేయబడ్డారు. పసిఫిక్ యుద్ధం యొక్క జపనీస్ విమానాల నుండి డేటా, [2] వార్బర్డ్స్ రిసోర్స్ గ్రూప్ [3] సాధారణ లక్షణాల పనితీరు 2 హైఫనేటెడ్ వెనుకంజలో లేఖ (-J,-- K, -l, -n లేదా -s) ద్వితీయ పాత్ర కోసం సవరించిన డిజైన్‌ను సూచిస్తుంది</v>
      </c>
      <c r="E52" s="1" t="s">
        <v>1263</v>
      </c>
      <c r="F52" s="1" t="s">
        <v>1264</v>
      </c>
      <c r="G52" s="1" t="str">
        <f>IFERROR(__xludf.DUMMYFUNCTION("GOOGLETRANSLATE(F:F, ""en"", ""te"")"),"సివిల్ ఎయిర్లైనర్/లైట్ మిలిటరీ రవాణా విమానం")</f>
        <v>సివిల్ ఎయిర్లైనర్/లైట్ మిలిటరీ రవాణా విమానం</v>
      </c>
      <c r="H52" s="1" t="s">
        <v>1265</v>
      </c>
      <c r="L52" s="1" t="s">
        <v>364</v>
      </c>
      <c r="M52" s="1" t="str">
        <f>IFERROR(__xludf.DUMMYFUNCTION("GOOGLETRANSLATE(L:L, ""en"", ""te"")"),"నకాజిమా ఎయిర్క్రాఫ్ట్ కంపెనీ")</f>
        <v>నకాజిమా ఎయిర్క్రాఫ్ట్ కంపెనీ</v>
      </c>
      <c r="N52" s="1" t="s">
        <v>365</v>
      </c>
      <c r="R52" s="4">
        <v>13405.0</v>
      </c>
      <c r="S52" s="1">
        <v>351.0</v>
      </c>
      <c r="V52" s="1">
        <v>3.0</v>
      </c>
      <c r="W52" s="1" t="s">
        <v>1266</v>
      </c>
      <c r="X52" s="1" t="s">
        <v>1267</v>
      </c>
      <c r="Y52" s="1" t="s">
        <v>1268</v>
      </c>
      <c r="Z52" s="1" t="s">
        <v>1269</v>
      </c>
      <c r="AG52" s="1" t="s">
        <v>950</v>
      </c>
      <c r="AH52" s="1" t="s">
        <v>1270</v>
      </c>
      <c r="AM52" s="1" t="s">
        <v>1271</v>
      </c>
      <c r="AO52" s="1">
        <v>1937.0</v>
      </c>
      <c r="AP52" s="3" t="s">
        <v>1272</v>
      </c>
      <c r="AS52" s="1" t="s">
        <v>1273</v>
      </c>
      <c r="AT52" s="1"/>
      <c r="AU52" s="1" t="s">
        <v>1274</v>
      </c>
      <c r="AV52" s="1" t="s">
        <v>1275</v>
      </c>
      <c r="AX52" s="1" t="s">
        <v>1276</v>
      </c>
      <c r="AY52" s="1" t="str">
        <f>IFERROR(__xludf.DUMMYFUNCTION("GOOGLETRANSLATE(AX:AX, ""en"", ""te"")"),"2 × నకాజిమా కోటోబుకి 41 లేదా నకాజిమా హా -1 9-సిలిండర్ ఎయిర్-కూల్డ్ రేడియల్ పిస్టన్ ఇంజన్లు, టేకాఫ్ కోసం 530 kW (710 HP)")</f>
        <v>2 × నకాజిమా కోటోబుకి 41 లేదా నకాజిమా హా -1 9-సిలిండర్ ఎయిర్-కూల్డ్ రేడియల్ పిస్టన్ ఇంజన్లు, టేకాఫ్ కోసం 530 kW (710 HP)</v>
      </c>
      <c r="AZ52" s="1" t="s">
        <v>1277</v>
      </c>
      <c r="BA52" s="1" t="str">
        <f>IFERROR(__xludf.DUMMYFUNCTION("GOOGLETRANSLATE(AZ:AZ, ""en"", ""te"")"),"2-బ్లేడెడ్ వేరియబుల్-పిటిచ్ ​​ప్రొపెల్లర్లు")</f>
        <v>2-బ్లేడెడ్ వేరియబుల్-పిటిచ్ ​​ప్రొపెల్లర్లు</v>
      </c>
      <c r="BB52" s="1" t="s">
        <v>1278</v>
      </c>
      <c r="BC52" s="1" t="s">
        <v>1279</v>
      </c>
      <c r="BD52" s="1" t="s">
        <v>413</v>
      </c>
      <c r="BE52" s="1" t="s">
        <v>1280</v>
      </c>
      <c r="BG52" s="2"/>
      <c r="BT52" s="1" t="s">
        <v>1281</v>
      </c>
      <c r="CB52" s="1" t="s">
        <v>1282</v>
      </c>
    </row>
    <row r="53">
      <c r="A53" s="1" t="s">
        <v>1283</v>
      </c>
      <c r="B53" s="1" t="str">
        <f>IFERROR(__xludf.DUMMYFUNCTION("GOOGLETRANSLATE(A:A, ""en"", ""te"")"),"X-41 సాధారణ ఏరో వాహనం")</f>
        <v>X-41 సాధారణ ఏరో వాహనం</v>
      </c>
      <c r="C53" s="1" t="s">
        <v>1284</v>
      </c>
      <c r="D53" s="1" t="str">
        <f>IFERROR(__xludf.DUMMYFUNCTION("GOOGLETRANSLATE(C:C, ""en"", ""te"")"),"X-41 అనేది 2003 లో ప్రారంభించిన హోదా, ఇది ఇప్పటికీ వర్గీకృత యు.ఎస్. మిలిటరీ స్పేస్ ప్లేన్. X-41 ఇప్పుడు DARPA మరియు నాసా స్పాన్సర్ చేసిన ఫాల్కన్ (ఫోర్స్ అప్లికేషన్ అండ్ లాంచ్ ఫ్రమ్ కాంటినెంటల్ అమెరికా) కార్యక్రమంలో భాగం. X-41 ప్రోగ్రామ్ యొక్క లక్షణాలు లేద"&amp;"ా ఫోటోలు ప్రజలకు విడుదల చేయబడలేదు; అందువల్ల దాని లక్ష్యాల గురించి చాలా తక్కువగా తెలుసు. ఇది హైపర్సోనిక్ వేగంతో ఉప-కక్ష్య పథంలో 1,000-పౌండ్ల పేలోడ్‌ను రవాణా చేయగల మరియు ఆ పేలోడ్‌ను వాతావరణంలోకి విడుదల చేయగల ప్రయోగాత్మక యుక్తి రీఎంట్రీ వాహనంగా వర్ణించబడింది"&amp;". ""కామన్ ఏరో వెహికల్"" లోని ""ఏరో"" అనే పదం ""ఏరోషెల్"" కోసం ఉంది, ""ఏరోస్పేస్"" కాదు, ఎందుకంటే కావ్ వివిధ మరియు బహుళ పేలోడ్ల కోసం ఒక సాధారణ ఏరోథెర్మోడైనమిక్ షెల్. [1] X-41 కి అవసరమైన సాంకేతికత తెలియదు మరియు ఇంకా అభివృద్ధి చేయబడలేదు. ఏదేమైనా, ఇది మాక్ 7 "&amp;"ను మించి ఉండగల హైపర్సోనిక్ ప్రొపల్షన్ యొక్క కొత్త రూపం అని నమ్ముతారు, బహుశా మాక్ 9 (11,000 కిమీ/గం; 6,900 mph) కు చేరుకుంటుంది. 2000 ల విమానంలో ఈ వ్యాసం ఒక స్టబ్. మీరు వికీపీడియాను విస్తరించడం ద్వారా సహాయపడవచ్చు. అమెరికా యొక్క ఒకటి లేదా అంతకంటే ఎక్కువ అంత"&amp;"రిక్ష నౌక గురించి ఈ వ్యాసం ఒక స్టబ్. వికీపీడియా విస్తరించడం ద్వారా మీరు సహాయపడవచ్చు.")</f>
        <v>X-41 అనేది 2003 లో ప్రారంభించిన హోదా, ఇది ఇప్పటికీ వర్గీకృత యు.ఎస్. మిలిటరీ స్పేస్ ప్లేన్. X-41 ఇప్పుడు DARPA మరియు నాసా స్పాన్సర్ చేసిన ఫాల్కన్ (ఫోర్స్ అప్లికేషన్ అండ్ లాంచ్ ఫ్రమ్ కాంటినెంటల్ అమెరికా) కార్యక్రమంలో భాగం. X-41 ప్రోగ్రామ్ యొక్క లక్షణాలు లేదా ఫోటోలు ప్రజలకు విడుదల చేయబడలేదు; అందువల్ల దాని లక్ష్యాల గురించి చాలా తక్కువగా తెలుసు. ఇది హైపర్సోనిక్ వేగంతో ఉప-కక్ష్య పథంలో 1,000-పౌండ్ల పేలోడ్‌ను రవాణా చేయగల మరియు ఆ పేలోడ్‌ను వాతావరణంలోకి విడుదల చేయగల ప్రయోగాత్మక యుక్తి రీఎంట్రీ వాహనంగా వర్ణించబడింది. "కామన్ ఏరో వెహికల్" లోని "ఏరో" అనే పదం "ఏరోషెల్" కోసం ఉంది, "ఏరోస్పేస్" కాదు, ఎందుకంటే కావ్ వివిధ మరియు బహుళ పేలోడ్ల కోసం ఒక సాధారణ ఏరోథెర్మోడైనమిక్ షెల్. [1] X-41 కి అవసరమైన సాంకేతికత తెలియదు మరియు ఇంకా అభివృద్ధి చేయబడలేదు. ఏదేమైనా, ఇది మాక్ 7 ను మించి ఉండగల హైపర్సోనిక్ ప్రొపల్షన్ యొక్క కొత్త రూపం అని నమ్ముతారు, బహుశా మాక్ 9 (11,000 కిమీ/గం; 6,900 mph) కు చేరుకుంటుంది. 2000 ల విమానంలో ఈ వ్యాసం ఒక స్టబ్. మీరు వికీపీడియాను విస్తరించడం ద్వారా సహాయపడవచ్చు. అమెరికా యొక్క ఒకటి లేదా అంతకంటే ఎక్కువ అంతరిక్ష నౌక గురించి ఈ వ్యాసం ఒక స్టబ్. వికీపీడియా విస్తరించడం ద్వారా మీరు సహాయపడవచ్చు.</v>
      </c>
      <c r="F53" s="1" t="s">
        <v>1285</v>
      </c>
      <c r="G53" s="1" t="str">
        <f>IFERROR(__xludf.DUMMYFUNCTION("GOOGLETRANSLATE(F:F, ""en"", ""te"")"),"ప్రయోగాత్మక యుక్తి రీ-ఎంట్రీ వాహనం")</f>
        <v>ప్రయోగాత్మక యుక్తి రీ-ఎంట్రీ వాహనం</v>
      </c>
      <c r="H53" s="1" t="s">
        <v>1286</v>
      </c>
      <c r="I53" s="1" t="s">
        <v>447</v>
      </c>
      <c r="J53" s="1" t="str">
        <f>IFERROR(__xludf.DUMMYFUNCTION("GOOGLETRANSLATE(I:I, ""en"", ""te"")"),"అమెరికా")</f>
        <v>అమెరికా</v>
      </c>
      <c r="M53" s="1" t="str">
        <f>IFERROR(__xludf.DUMMYFUNCTION("GOOGLETRANSLATE(L:L, ""en"", ""te"")"),"#VALUE!")</f>
        <v>#VALUE!</v>
      </c>
      <c r="BF53" s="1" t="s">
        <v>1287</v>
      </c>
      <c r="BG53" s="2" t="str">
        <f>IFERROR(__xludf.DUMMYFUNCTION("GOOGLETRANSLATE(BF:BF, ""en"", ""te"")"),"DARPA")</f>
        <v>DARPA</v>
      </c>
      <c r="BH53" s="3" t="s">
        <v>1288</v>
      </c>
      <c r="BU53" s="1" t="s">
        <v>1289</v>
      </c>
      <c r="BV53" s="1" t="str">
        <f>IFERROR(__xludf.DUMMYFUNCTION("GOOGLETRANSLATE(BU:BU, ""en"", ""te"")"),"ప్రయోగాత్మక పరిశోధన కార్యక్రమం")</f>
        <v>ప్రయోగాత్మక పరిశోధన కార్యక్రమం</v>
      </c>
    </row>
    <row r="54">
      <c r="A54" s="1" t="s">
        <v>1290</v>
      </c>
      <c r="B54" s="1" t="str">
        <f>IFERROR(__xludf.DUMMYFUNCTION("GOOGLETRANSLATE(A:A, ""en"", ""te"")"),"అన్బో IV")</f>
        <v>అన్బో IV</v>
      </c>
      <c r="C54" s="1" t="s">
        <v>1291</v>
      </c>
      <c r="D54" s="1" t="str">
        <f>IFERROR(__xludf.DUMMYFUNCTION("GOOGLETRANSLATE(C:C, ""en"", ""te"")"),"అన్బో IV అనేది రెండవ ప్రపంచ యుద్ధంలో లిథువేనియన్ వైమానిక దళం ఉపయోగించే నిఘా విమానం, దీనిని లిథువేనియన్ విమాన డిజైనర్ అంటానాస్ గుస్టైటిస్ రూపొందించారు. లిథువేనియన్ అన్బో 41 ఆ కాలపు అత్యంత ఆధునిక విదేశీ నిఘా విమానం కంటే చాలా ముందుంది, మరియు ముఖ్యంగా వేగంతో "&amp;"మరియు పెరుగుతున్న సమయంలో. [1] రెండవ ప్రపంచ యుద్ధంలో అన్ని అన్బో 41 విమానాలు నాశనమయ్యాయి. [2] అన్బో IV అన్బో III ట్రైనర్ నుండి అభివృద్ధి చేయబడింది. ఈ రూపకల్పనను కల్నల్ అంటనాస్ గుస్టైటిస్ పర్యవేక్షించారు. మొదటి ఫ్లైట్ 14 జూలై 1932 న జరిగింది, ఈ నమూనా కందిరీ"&amp;"గ ఇంజిన్ చేత శక్తిని పొందింది. విజయవంతమైన ట్రయల్స్ తరువాత, సిరీస్ ఉత్పత్తి ప్రారంభమైంది. పదమూడు సిరీస్ నిర్మించిన విమానం బ్రిటిష్ బ్రిస్టల్ పెగాసాస్ ఇంజిన్లచే శక్తిని పొందింది మరియు వాటిని లిథువేనియన్ ఎయిర్క్రాఫ్ట్ స్టేట్ ఫ్యాక్టరీ తయారు చేసింది. ఇది రెండ"&amp;"ు జతల లైట్ మెషిన్ గన్లతో ఆయుధాలు కలిగి ఉంటుంది మరియు 200 కిలోల బాంబులను మోయగలదు. [3] అన్బో IV లను 1934 లో లిథువేనియన్ వైమానిక దళంలోకి ప్రవేశపెట్టారు మరియు కొంతకాలం ముందు కొన్ని విమానాలు కొన్ని యూరోపియన్ దేశాలలో ప్రదర్శన విమానాలను తయారు చేశాయి: ఫ్రాన్స్, య"&amp;"ునైటెడ్ కింగ్‌డమ్, సోవియట్ యూనియన్ మరియు చాలా స్కాండినేవియన్ దేశాలు. జూన్ 25 మరియు 29 జూలై 1934 మధ్య, కల్నల్ గుస్టైటిస్ నేతృత్వంలోని మూడు విమానాలు 10,000 కిమీ (6,200 మైళ్ళు) మార్గంలో ప్రయాణించాయి. 1940 వేసవిలో బాల్టిక్ స్టేట్స్ యొక్క సోవియట్ ఆక్రమణ సమయంలో"&amp;", లిథువేనియన్ వైమానిక దళంలో అన్బో IV మరియు ANBO 41 విమానాలు వరుసగా ఒకటి మరియు రెండు నిఘా స్క్వాడ్రన్లను కలిగి ఉన్నాయి. కనీసం ఒక అన్బో IV లేదా ANBO 41 ను ఒక ఫోటో చూపిస్తుంది. కాలం మరియు జర్మన్ ఆక్రమణ సమయంలో లుఫ్ట్‌వాఫ్ చేత నిర్వహించబడుతున్నాయి. కౌనాస్ (193"&amp;"7) లో మొదటి సీరియల్ ప్రొడక్షన్ యొక్క ANBO-41 No.671 (1937) రెండవ సిరీస్ యొక్క ANBO-IVM (1935) ANVO IV ఏరోడ్రోమ్ మూడు ANBO-41S ANBO 41 ప్రతిరూపంలో కౌనాస్ ఏరోడ్రోమ్ జనరల్ క్యారెక్టరిస్టిక్స్ పెర్ఫార్మెన్స్ ఆర్మేమెంట్ వద్ద కనుగొనబడింది")</f>
        <v>అన్బో IV అనేది రెండవ ప్రపంచ యుద్ధంలో లిథువేనియన్ వైమానిక దళం ఉపయోగించే నిఘా విమానం, దీనిని లిథువేనియన్ విమాన డిజైనర్ అంటానాస్ గుస్టైటిస్ రూపొందించారు. లిథువేనియన్ అన్బో 41 ఆ కాలపు అత్యంత ఆధునిక విదేశీ నిఘా విమానం కంటే చాలా ముందుంది, మరియు ముఖ్యంగా వేగంతో మరియు పెరుగుతున్న సమయంలో. [1] రెండవ ప్రపంచ యుద్ధంలో అన్ని అన్బో 41 విమానాలు నాశనమయ్యాయి. [2] అన్బో IV అన్బో III ట్రైనర్ నుండి అభివృద్ధి చేయబడింది. ఈ రూపకల్పనను కల్నల్ అంటనాస్ గుస్టైటిస్ పర్యవేక్షించారు. మొదటి ఫ్లైట్ 14 జూలై 1932 న జరిగింది, ఈ నమూనా కందిరీగ ఇంజిన్ చేత శక్తిని పొందింది. విజయవంతమైన ట్రయల్స్ తరువాత, సిరీస్ ఉత్పత్తి ప్రారంభమైంది. పదమూడు సిరీస్ నిర్మించిన విమానం బ్రిటిష్ బ్రిస్టల్ పెగాసాస్ ఇంజిన్లచే శక్తిని పొందింది మరియు వాటిని లిథువేనియన్ ఎయిర్క్రాఫ్ట్ స్టేట్ ఫ్యాక్టరీ తయారు చేసింది. ఇది రెండు జతల లైట్ మెషిన్ గన్లతో ఆయుధాలు కలిగి ఉంటుంది మరియు 200 కిలోల బాంబులను మోయగలదు. [3] అన్బో IV లను 1934 లో లిథువేనియన్ వైమానిక దళంలోకి ప్రవేశపెట్టారు మరియు కొంతకాలం ముందు కొన్ని విమానాలు కొన్ని యూరోపియన్ దేశాలలో ప్రదర్శన విమానాలను తయారు చేశాయి: ఫ్రాన్స్, యునైటెడ్ కింగ్‌డమ్, సోవియట్ యూనియన్ మరియు చాలా స్కాండినేవియన్ దేశాలు. జూన్ 25 మరియు 29 జూలై 1934 మధ్య, కల్నల్ గుస్టైటిస్ నేతృత్వంలోని మూడు విమానాలు 10,000 కిమీ (6,200 మైళ్ళు) మార్గంలో ప్రయాణించాయి. 1940 వేసవిలో బాల్టిక్ స్టేట్స్ యొక్క సోవియట్ ఆక్రమణ సమయంలో, లిథువేనియన్ వైమానిక దళంలో అన్బో IV మరియు ANBO 41 విమానాలు వరుసగా ఒకటి మరియు రెండు నిఘా స్క్వాడ్రన్లను కలిగి ఉన్నాయి. కనీసం ఒక అన్బో IV లేదా ANBO 41 ను ఒక ఫోటో చూపిస్తుంది. కాలం మరియు జర్మన్ ఆక్రమణ సమయంలో లుఫ్ట్‌వాఫ్ చేత నిర్వహించబడుతున్నాయి. కౌనాస్ (1937) లో మొదటి సీరియల్ ప్రొడక్షన్ యొక్క ANBO-41 No.671 (1937) రెండవ సిరీస్ యొక్క ANBO-IVM (1935) ANVO IV ఏరోడ్రోమ్ మూడు ANBO-41S ANBO 41 ప్రతిరూపంలో కౌనాస్ ఏరోడ్రోమ్ జనరల్ క్యారెక్టరిస్టిక్స్ పెర్ఫార్మెన్స్ ఆర్మేమెంట్ వద్ద కనుగొనబడింది</v>
      </c>
      <c r="E54" s="1" t="s">
        <v>643</v>
      </c>
      <c r="F54" s="1" t="s">
        <v>1292</v>
      </c>
      <c r="G54" s="1" t="str">
        <f>IFERROR(__xludf.DUMMYFUNCTION("GOOGLETRANSLATE(F:F, ""en"", ""te"")"),"నిఘా విమానం")</f>
        <v>నిఘా విమానం</v>
      </c>
      <c r="L54" s="1" t="s">
        <v>648</v>
      </c>
      <c r="M54" s="1" t="str">
        <f>IFERROR(__xludf.DUMMYFUNCTION("GOOGLETRANSLATE(L:L, ""en"", ""te"")"),"కరో ఏవియాసిజోస్ టైకిమో స్కైయస్")</f>
        <v>కరో ఏవియాసిజోస్ టైకిమో స్కైయస్</v>
      </c>
      <c r="N54" s="1" t="s">
        <v>649</v>
      </c>
      <c r="O54" s="1" t="s">
        <v>650</v>
      </c>
      <c r="P54" s="1" t="str">
        <f>IFERROR(__xludf.DUMMYFUNCTION("GOOGLETRANSLATE(O:O, ""en"", ""te"")"),"అంటనాస్ గుస్టైటిస్")</f>
        <v>అంటనాస్ గుస్టైటిస్</v>
      </c>
      <c r="Q54" s="1" t="s">
        <v>651</v>
      </c>
      <c r="R54" s="4">
        <v>11884.0</v>
      </c>
      <c r="S54" s="1" t="s">
        <v>1293</v>
      </c>
      <c r="T54" s="1" t="s">
        <v>1294</v>
      </c>
      <c r="V54" s="1" t="s">
        <v>1295</v>
      </c>
      <c r="W54" s="1" t="s">
        <v>1296</v>
      </c>
      <c r="X54" s="1" t="s">
        <v>1297</v>
      </c>
      <c r="Z54" s="1" t="s">
        <v>1298</v>
      </c>
      <c r="AG54" s="1" t="s">
        <v>1299</v>
      </c>
      <c r="AH54" s="1" t="s">
        <v>1300</v>
      </c>
      <c r="AN54" s="1" t="s">
        <v>1301</v>
      </c>
      <c r="AO54" s="1">
        <v>1934.0</v>
      </c>
      <c r="AP54" s="3" t="s">
        <v>1302</v>
      </c>
      <c r="AQ54" s="1" t="s">
        <v>1303</v>
      </c>
      <c r="AR54" s="1" t="s">
        <v>1304</v>
      </c>
      <c r="AX54" s="1" t="s">
        <v>1305</v>
      </c>
      <c r="AY54" s="1" t="str">
        <f>IFERROR(__xludf.DUMMYFUNCTION("GOOGLETRANSLATE(AX:AX, ""en"", ""te"")"),"1 × బ్రిస్టల్ పెగసాస్ XXIII, 750 kW (1,010 HP)")</f>
        <v>1 × బ్రిస్టల్ పెగసాస్ XXIII, 750 kW (1,010 HP)</v>
      </c>
      <c r="BB54" s="1" t="s">
        <v>1306</v>
      </c>
      <c r="BD54" s="1" t="s">
        <v>1307</v>
      </c>
      <c r="BG54" s="2"/>
      <c r="BI54" s="1" t="s">
        <v>1308</v>
      </c>
      <c r="BJ54" s="1" t="s">
        <v>1309</v>
      </c>
      <c r="BS54" s="1" t="s">
        <v>1310</v>
      </c>
      <c r="BT54" s="1" t="s">
        <v>378</v>
      </c>
    </row>
    <row r="55">
      <c r="A55" s="1" t="s">
        <v>1311</v>
      </c>
      <c r="B55" s="1" t="str">
        <f>IFERROR(__xludf.DUMMYFUNCTION("GOOGLETRANSLATE(A:A, ""en"", ""te"")"),"AVIA BH-22")</f>
        <v>AVIA BH-22</v>
      </c>
      <c r="C55" s="1" t="s">
        <v>1312</v>
      </c>
      <c r="D55" s="1" t="str">
        <f>IFERROR(__xludf.DUMMYFUNCTION("GOOGLETRANSLATE(C:C, ""en"", ""te"")"),"AVIA BH-22 BH-21 ఫైటర్ ఆధారంగా 1925 లో చెకోస్లోవేకియాలో నిర్మించిన ఒక శిక్షకుడు విమానం. ఒక చిన్న ఇంజిన్ ఉపయోగించబడింది మరియు ఆయుధాలు తొలగించబడ్డాయి. తేలికపాటి ఇంజిన్ రెక్కల అస్థిరత తగ్గించాల్సిన అవసరం ఉంది. ఎయిర్‌ఫ్రేమ్ నిర్మాణానికి గణనీయమైన మార్పులు చేయల"&amp;"ేదు, బరువు తగ్గడం అంతిమ లోడ్ కారకాన్ని మరింత పెంచుతుంది (BH-21 ను 12.5G గా రూపొందించారు). కొన్ని విమానాలు కెమెరా తుపాకీని తీసుకువెళ్ళాయి. ఈ రకం సుదీర్ఘ సేవను ప్రత్యేక ఏరోబాటిక్ ట్రైనర్‌గా చూసింది మరియు చివరికి అనేక ఉదాహరణలు చెకోస్లోవేకియా యొక్క ఏరో క్లబ్‌"&amp;"లలోకి ప్రవేశించాయి. సాధారణ లక్షణాలు పనితీరు సంబంధిత అభివృద్ధి")</f>
        <v>AVIA BH-22 BH-21 ఫైటర్ ఆధారంగా 1925 లో చెకోస్లోవేకియాలో నిర్మించిన ఒక శిక్షకుడు విమానం. ఒక చిన్న ఇంజిన్ ఉపయోగించబడింది మరియు ఆయుధాలు తొలగించబడ్డాయి. తేలికపాటి ఇంజిన్ రెక్కల అస్థిరత తగ్గించాల్సిన అవసరం ఉంది. ఎయిర్‌ఫ్రేమ్ నిర్మాణానికి గణనీయమైన మార్పులు చేయలేదు, బరువు తగ్గడం అంతిమ లోడ్ కారకాన్ని మరింత పెంచుతుంది (BH-21 ను 12.5G గా రూపొందించారు). కొన్ని విమానాలు కెమెరా తుపాకీని తీసుకువెళ్ళాయి. ఈ రకం సుదీర్ఘ సేవను ప్రత్యేక ఏరోబాటిక్ ట్రైనర్‌గా చూసింది మరియు చివరికి అనేక ఉదాహరణలు చెకోస్లోవేకియా యొక్క ఏరో క్లబ్‌లలోకి ప్రవేశించాయి. సాధారణ లక్షణాలు పనితీరు సంబంధిత అభివృద్ధి</v>
      </c>
      <c r="E55" s="1" t="s">
        <v>1313</v>
      </c>
      <c r="F55" s="1" t="s">
        <v>1221</v>
      </c>
      <c r="G55" s="1" t="str">
        <f>IFERROR(__xludf.DUMMYFUNCTION("GOOGLETRANSLATE(F:F, ""en"", ""te"")"),"మిలిటరీ ట్రైనర్")</f>
        <v>మిలిటరీ ట్రైనర్</v>
      </c>
      <c r="L55" s="1" t="s">
        <v>1314</v>
      </c>
      <c r="M55" s="1" t="str">
        <f>IFERROR(__xludf.DUMMYFUNCTION("GOOGLETRANSLATE(L:L, ""en"", ""te"")"),"ఏవియా")</f>
        <v>ఏవియా</v>
      </c>
      <c r="N55" s="3" t="s">
        <v>1315</v>
      </c>
      <c r="O55" s="1" t="s">
        <v>1316</v>
      </c>
      <c r="P55" s="1" t="str">
        <f>IFERROR(__xludf.DUMMYFUNCTION("GOOGLETRANSLATE(O:O, ""en"", ""te"")"),"పావెల్ బెనెస్ మరియు మిరోస్లావ్ హజ్న్")</f>
        <v>పావెల్ బెనెస్ మరియు మిరోస్లావ్ హజ్న్</v>
      </c>
      <c r="Q55" s="1" t="s">
        <v>1317</v>
      </c>
      <c r="R55" s="4">
        <v>9708.0</v>
      </c>
      <c r="S55" s="1">
        <v>30.0</v>
      </c>
      <c r="V55" s="1" t="s">
        <v>1318</v>
      </c>
      <c r="W55" s="1" t="s">
        <v>1319</v>
      </c>
      <c r="X55" s="1" t="s">
        <v>1320</v>
      </c>
      <c r="Z55" s="1" t="s">
        <v>1321</v>
      </c>
      <c r="AG55" s="1" t="s">
        <v>1322</v>
      </c>
      <c r="AH55" s="1" t="s">
        <v>1323</v>
      </c>
      <c r="AX55" s="1" t="s">
        <v>1324</v>
      </c>
      <c r="AY55" s="1" t="str">
        <f>IFERROR(__xludf.DUMMYFUNCTION("GOOGLETRANSLATE(AX:AX, ""en"", ""te"")"),"1 × స్కోడా నిర్మించిన హిస్పానో-సుజా 8AA, 134 kW (180 HP)")</f>
        <v>1 × స్కోడా నిర్మించిన హిస్పానో-సుజా 8AA, 134 kW (180 HP)</v>
      </c>
      <c r="BB55" s="1" t="s">
        <v>1325</v>
      </c>
      <c r="BD55" s="1" t="s">
        <v>1326</v>
      </c>
      <c r="BG55" s="2"/>
      <c r="BS55" s="1" t="s">
        <v>1327</v>
      </c>
    </row>
    <row r="56">
      <c r="A56" s="1" t="s">
        <v>1328</v>
      </c>
      <c r="B56" s="1" t="str">
        <f>IFERROR(__xludf.DUMMYFUNCTION("GOOGLETRANSLATE(A:A, ""en"", ""te"")"),"మిత్సుబిషి 1 ఎంటి")</f>
        <v>మిత్సుబిషి 1 ఎంటి</v>
      </c>
      <c r="C56" s="1" t="s">
        <v>1329</v>
      </c>
      <c r="D56" s="1" t="str">
        <f>IFERROR(__xludf.DUMMYFUNCTION("GOOGLETRANSLATE(C:C, ""en"", ""te"")"),"మిత్సుబిషి 1MT అనేది జపనీస్ సింగిల్-సీట్ల ట్రిప్లేన్ టార్పెడో బాంబర్, ఇది ఇంపీరియల్ జపనీస్ నేవీ ఎయిర్ సర్వీస్ కోసం మిత్సుబిషి నిర్మించింది. మాజీ సోప్‌తో డిజైనర్ హెర్బర్ట్ స్మిత్ రూపొందించినది జపనీస్ ఎయిర్క్రాఫ్ట్ క్యారియర్ హెషోలో ఉపయోగించడానికి ఉద్దేశించబ"&amp;"డింది. [1] 1MT1N ఆగస్టు 1922 లో మొదటిసారిగా ప్రయాణించింది మరియు ఇది నేవీ టైప్ 10 టార్పెడో బాంబర్ లేదా క్యారియర్ అటాకర్ [స్పష్టీకరణ అవసరం] గా సేవలోకి ప్రవేశించింది. 20 విమానాలు నిర్మించబడ్డాయి, కాని విమానం ఎగరడం కష్టం మరియు టార్పెడోను మోసేటప్పుడు విమాన క్య"&amp;"ారియర్ నుండి పనిచేయలేకపోయింది. రకం త్వరలో ఉపసంహరించుకుని రద్దు చేయబడింది. [1] జపనీస్ విమానం నుండి డేటా 1910-1941 [2] సాధారణ లక్షణాలు పనితీరు ఆయుధ సంబంధిత జాబితాలు")</f>
        <v>మిత్సుబిషి 1MT అనేది జపనీస్ సింగిల్-సీట్ల ట్రిప్లేన్ టార్పెడో బాంబర్, ఇది ఇంపీరియల్ జపనీస్ నేవీ ఎయిర్ సర్వీస్ కోసం మిత్సుబిషి నిర్మించింది. మాజీ సోప్‌తో డిజైనర్ హెర్బర్ట్ స్మిత్ రూపొందించినది జపనీస్ ఎయిర్క్రాఫ్ట్ క్యారియర్ హెషోలో ఉపయోగించడానికి ఉద్దేశించబడింది. [1] 1MT1N ఆగస్టు 1922 లో మొదటిసారిగా ప్రయాణించింది మరియు ఇది నేవీ టైప్ 10 టార్పెడో బాంబర్ లేదా క్యారియర్ అటాకర్ [స్పష్టీకరణ అవసరం] గా సేవలోకి ప్రవేశించింది. 20 విమానాలు నిర్మించబడ్డాయి, కాని విమానం ఎగరడం కష్టం మరియు టార్పెడోను మోసేటప్పుడు విమాన క్యారియర్ నుండి పనిచేయలేకపోయింది. రకం త్వరలో ఉపసంహరించుకుని రద్దు చేయబడింది. [1] జపనీస్ విమానం నుండి డేటా 1910-1941 [2] సాధారణ లక్షణాలు పనితీరు ఆయుధ సంబంధిత జాబితాలు</v>
      </c>
      <c r="E56" s="1" t="s">
        <v>1330</v>
      </c>
      <c r="F56" s="1" t="s">
        <v>1331</v>
      </c>
      <c r="G56" s="1" t="str">
        <f>IFERROR(__xludf.DUMMYFUNCTION("GOOGLETRANSLATE(F:F, ""en"", ""te"")"),"ట్రిప్లేన్ టార్పెడో బాంబర్")</f>
        <v>ట్రిప్లేన్ టార్పెడో బాంబర్</v>
      </c>
      <c r="H56" s="1" t="s">
        <v>1332</v>
      </c>
      <c r="I56" s="1" t="s">
        <v>581</v>
      </c>
      <c r="J56" s="1" t="str">
        <f>IFERROR(__xludf.DUMMYFUNCTION("GOOGLETRANSLATE(I:I, ""en"", ""te"")"),"జపాన్")</f>
        <v>జపాన్</v>
      </c>
      <c r="K56" s="3" t="s">
        <v>1333</v>
      </c>
      <c r="L56" s="1" t="s">
        <v>1196</v>
      </c>
      <c r="M56" s="1" t="str">
        <f>IFERROR(__xludf.DUMMYFUNCTION("GOOGLETRANSLATE(L:L, ""en"", ""te"")"),"మిత్సుబిషి")</f>
        <v>మిత్సుబిషి</v>
      </c>
      <c r="N56" s="3" t="s">
        <v>1197</v>
      </c>
      <c r="O56" s="1" t="s">
        <v>1334</v>
      </c>
      <c r="P56" s="1" t="str">
        <f>IFERROR(__xludf.DUMMYFUNCTION("GOOGLETRANSLATE(O:O, ""en"", ""te"")"),"హెర్బర్ట్ స్మిత్")</f>
        <v>హెర్బర్ట్ స్మిత్</v>
      </c>
      <c r="Q56" s="1" t="s">
        <v>1335</v>
      </c>
      <c r="R56" s="1">
        <v>1922.0</v>
      </c>
      <c r="S56" s="1">
        <v>20.0</v>
      </c>
      <c r="V56" s="1">
        <v>1.0</v>
      </c>
      <c r="W56" s="1" t="s">
        <v>1336</v>
      </c>
      <c r="X56" s="1" t="s">
        <v>1337</v>
      </c>
      <c r="Y56" s="1" t="s">
        <v>1338</v>
      </c>
      <c r="Z56" s="1" t="s">
        <v>1339</v>
      </c>
      <c r="AG56" s="1" t="s">
        <v>1340</v>
      </c>
      <c r="AH56" s="1" t="s">
        <v>1341</v>
      </c>
      <c r="AX56" s="1" t="s">
        <v>1342</v>
      </c>
      <c r="AY56" s="1" t="str">
        <f>IFERROR(__xludf.DUMMYFUNCTION("GOOGLETRANSLATE(AX:AX, ""en"", ""te"")"),"1 × నేపియర్ సింహం, 336 kW (450 HP)")</f>
        <v>1 × నేపియర్ సింహం, 336 kW (450 HP)</v>
      </c>
      <c r="BB56" s="1" t="s">
        <v>1343</v>
      </c>
      <c r="BD56" s="1" t="s">
        <v>1344</v>
      </c>
      <c r="BF56" s="1" t="s">
        <v>1207</v>
      </c>
      <c r="BG56" s="2" t="str">
        <f>IFERROR(__xludf.DUMMYFUNCTION("GOOGLETRANSLATE(BF:BF, ""en"", ""te"")"),"ఇంపీరియల్ జపనీస్ నేవీ ఎయిర్ సర్వీస్")</f>
        <v>ఇంపీరియల్ జపనీస్ నేవీ ఎయిర్ సర్వీస్</v>
      </c>
      <c r="BH56" s="1" t="s">
        <v>1208</v>
      </c>
    </row>
    <row r="57">
      <c r="A57" s="1" t="s">
        <v>1345</v>
      </c>
      <c r="B57" s="1" t="str">
        <f>IFERROR(__xludf.DUMMYFUNCTION("GOOGLETRANSLATE(A:A, ""en"", ""te"")"),"నార్డ్ నోరిక్రిన్")</f>
        <v>నార్డ్ నోరిక్రిన్</v>
      </c>
      <c r="C57" s="1" t="s">
        <v>1346</v>
      </c>
      <c r="D57" s="1" t="str">
        <f>IFERROR(__xludf.DUMMYFUNCTION("GOOGLETRANSLATE(C:C, ""en"", ""te"")"),"నార్డ్ 1200 నోరోక్రిన్ ఒక ఫ్రెంచ్ రెండు లేదా మూడు-సీట్ల (తరువాత నాలుగు-సీట్ల) క్యాబిన్ మోనోప్లేన్, ఇది నార్డ్ ఏవియేషన్ చేత రూపొందించబడింది మరియు నిర్మించబడింది. ఫ్రెంచ్ రవాణా స్పాన్సర్ చేసిన డిజైన్ పోటీని తీర్చడానికి నోరిక్రిన్ అభివృద్ధి చేయబడింది. నోరిక్"&amp;"రిన్ అనేది తక్కువ-వింగ్ కాంటిలివర్ మోనోప్లేన్, ఇది ముడుచుకునే ట్రైసైకిల్ ల్యాండింగ్ గేర్ మరియు ప్రోటోటైప్ (నార్డ్ 1200) ముక్కు-మౌంటెడ్ 75 కిలోవాట్ (100 హెచ్‌పి) మాథిస్ జి 4-ఆర్ పిస్టన్ ఇంజిన్‌ను స్వీకరించడానికి రూపొందించబడింది, కానీ 100 kW ( 140 హెచ్‌పి) "&amp;"రెనాల్ట్ 4 పిఇఐ (15 డిసెంబర్ 1945 న మొదటి విమానంలో జార్జెస్ డిటెర్ టెస్ట్ పైలట్‌గా). ఉత్పత్తి సంస్కరణ మూడు సీట్లని కలిగి ఉంది మరియు నార్డ్ 1201 నోరోక్రిన్ I గా నియమించబడింది. అనేక వైవిధ్యాలు వేర్వేరు ఇంజిన్లతో అమర్చబడ్డాయి. తరువాత వేరియంట్లు నాలుగు సీట్లన"&amp;"ి కలిగి ఉన్నాయి మరియు నార్డ్ 1203 నోరేక్రిన్ V మెషిన్-గన్స్ మరియు రాకెట్లతో రెండు సీట్ల సైనిక వేరియంట్. ఇది విజయవంతమైన డిజైన్ మరియు 378 విమానాలు నిర్మించబడ్డాయి. .MW-PARSER- అవుట్పుట్ CITE.CITATION {FONT- శైలి: వారసత్వం; పదం-RRAP: బ్రేక్-వర్డ్} .MW-PARSER"&amp;"-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.MW-PARS"&amp;"ER-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."&amp;"cs1-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{పాడింగ్-రైట్:"&amp;" 0.2EM} .MW-PARSER- అవుట్పుట్ .citation .mw-selflink {font-weight: wericeit} ఇలస్ట్రేటెడ్ ఎన్సైక్లోపీడియా ఆఫ్ ఎయిర్‌క్రాఫ్ట్ (పార్ట్ వర్క్ 1982 -1985). ఆర్బిస్ ​​పబ్లిషింగ్. పే. 2616. జనరల్ లక్షణాల పనితీరు")</f>
        <v>నార్డ్ 1200 నోరోక్రిన్ ఒక ఫ్రెంచ్ రెండు లేదా మూడు-సీట్ల (తరువాత నాలుగు-సీట్ల) క్యాబిన్ మోనోప్లేన్, ఇది నార్డ్ ఏవియేషన్ చేత రూపొందించబడింది మరియు నిర్మించబడింది. ఫ్రెంచ్ రవాణా స్పాన్సర్ చేసిన డిజైన్ పోటీని తీర్చడానికి నోరిక్రిన్ అభివృద్ధి చేయబడింది. నోరిక్రిన్ అనేది తక్కువ-వింగ్ కాంటిలివర్ మోనోప్లేన్, ఇది ముడుచుకునే ట్రైసైకిల్ ల్యాండింగ్ గేర్ మరియు ప్రోటోటైప్ (నార్డ్ 1200) ముక్కు-మౌంటెడ్ 75 కిలోవాట్ (100 హెచ్‌పి) మాథిస్ జి 4-ఆర్ పిస్టన్ ఇంజిన్‌ను స్వీకరించడానికి రూపొందించబడింది, కానీ 100 kW ( 140 హెచ్‌పి) రెనాల్ట్ 4 పిఇఐ (15 డిసెంబర్ 1945 న మొదటి విమానంలో జార్జెస్ డిటెర్ టెస్ట్ పైలట్‌గా). ఉత్పత్తి సంస్కరణ మూడు సీట్లని కలిగి ఉంది మరియు నార్డ్ 1201 నోరోక్రిన్ I గా నియమించబడింది. అనేక వైవిధ్యాలు వేర్వేరు ఇంజిన్లతో అమర్చబడ్డాయి. తరువాత వేరియంట్లు నాలుగు సీట్లని కలిగి ఉన్నాయి మరియు నార్డ్ 1203 నోరేక్రిన్ V మెషిన్-గన్స్ మరియు రాకెట్లతో రెండు సీట్ల సైనిక వేరియంట్. ఇది విజయవంతమైన డిజైన్ మరియు 378 విమానాలు నిర్మించబడ్డాయి.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{font-weight: wericeit} ఇలస్ట్రేటెడ్ ఎన్సైక్లోపీడియా ఆఫ్ ఎయిర్‌క్రాఫ్ట్ (పార్ట్ వర్క్ 1982 -1985). ఆర్బిస్ ​​పబ్లిషింగ్. పే. 2616. జనరల్ లక్షణాల పనితీరు</v>
      </c>
      <c r="E57" s="1" t="s">
        <v>1347</v>
      </c>
      <c r="F57" s="1" t="s">
        <v>1348</v>
      </c>
      <c r="G57" s="1" t="str">
        <f>IFERROR(__xludf.DUMMYFUNCTION("GOOGLETRANSLATE(F:F, ""en"", ""te"")"),"క్యాబిన్ మోనోప్లేన్")</f>
        <v>క్యాబిన్ మోనోప్లేన్</v>
      </c>
      <c r="L57" s="1" t="s">
        <v>1349</v>
      </c>
      <c r="M57" s="1" t="str">
        <f>IFERROR(__xludf.DUMMYFUNCTION("GOOGLETRANSLATE(L:L, ""en"", ""te"")"),"నార్డ్ ఏవియేషన్")</f>
        <v>నార్డ్ ఏవియేషన్</v>
      </c>
      <c r="N57" s="1" t="s">
        <v>1350</v>
      </c>
      <c r="R57" s="4">
        <v>16786.0</v>
      </c>
      <c r="S57" s="1">
        <v>378.0</v>
      </c>
      <c r="T57" s="1" t="s">
        <v>216</v>
      </c>
      <c r="V57" s="1" t="s">
        <v>518</v>
      </c>
      <c r="W57" s="1" t="s">
        <v>1351</v>
      </c>
      <c r="X57" s="1" t="s">
        <v>1352</v>
      </c>
      <c r="Y57" s="1" t="s">
        <v>1229</v>
      </c>
      <c r="Z57" s="1" t="s">
        <v>1353</v>
      </c>
      <c r="AG57" s="1" t="s">
        <v>1354</v>
      </c>
      <c r="AH57" s="1" t="s">
        <v>738</v>
      </c>
      <c r="AV57" s="1" t="s">
        <v>1355</v>
      </c>
      <c r="AX57" s="1" t="s">
        <v>1356</v>
      </c>
      <c r="AY57" s="1" t="str">
        <f>IFERROR(__xludf.DUMMYFUNCTION("GOOGLETRANSLATE(AX:AX, ""en"", ""te"")"),"1 × రెగ్నియర్ 4 ఎల్ -00 ఎయిర్-కూల్డ్ విలోమ ఇన్లైన్ పిస్టన్-ఇంజిన్, 101 కిలోవాట్ (135 హెచ్‌పి)")</f>
        <v>1 × రెగ్నియర్ 4 ఎల్ -00 ఎయిర్-కూల్డ్ విలోమ ఇన్లైన్ పిస్టన్-ఇంజిన్, 101 కిలోవాట్ (135 హెచ్‌పి)</v>
      </c>
      <c r="BB57" s="1" t="s">
        <v>1357</v>
      </c>
      <c r="BD57" s="1" t="s">
        <v>1358</v>
      </c>
      <c r="BG57" s="2"/>
      <c r="BT57" s="1" t="s">
        <v>1359</v>
      </c>
    </row>
    <row r="58">
      <c r="A58" s="1" t="s">
        <v>1360</v>
      </c>
      <c r="B58" s="1" t="str">
        <f>IFERROR(__xludf.DUMMYFUNCTION("GOOGLETRANSLATE(A:A, ""en"", ""te"")"),"Tupolev tu-123")</f>
        <v>Tupolev tu-123</v>
      </c>
      <c r="C58" s="1" t="s">
        <v>1361</v>
      </c>
      <c r="D58" s="1" t="str">
        <f>IFERROR(__xludf.DUMMYFUNCTION("GOOGLETRANSLATE(C:C, ""en"", ""te"")"),"టుపోలెవ్ TU-123 యాస్ట్రెబ్ (హాక్, రష్యన్: яనాత్మం) 1960 లో అభివృద్ధిని ప్రారంభించిన సోవియట్ నిఘా డ్రోన్లలో ఒకటి. కొన్నిసార్లు దీనిని ""DBR-1"" అని పిలుస్తారు, దీనిని 1964 లో క్రియాశీల సేవలో ప్రవేశపెట్టారు. తు- 123 సుదూర, అధిక-ఎత్తులో ఉన్న సూపర్సోనిక్ వ్యూ"&amp;"హాత్మక మానవరహిత నిఘా విమానం, ఇది ఒక పెద్ద డార్ట్ను గుర్తుచేసే రూపంలో, ఇది అమెరికా యొక్క D-21 కు కొంతవరకు సమానంగా ఉంటుంది. ఇది ఫిల్మ్ కెమెరాలు మరియు సిగింట్ పేలోడ్లను కలిగి ఉంది. TU-123 జాటో బూస్టింగ్ తో గ్రౌండ్-లాంచ్ చేయబడింది మరియు విమానంలో టర్బోజెట్ తరు"&amp;"వాత KR-15 తరువాత టర్బోజెట్ చేత శక్తిని పొందింది. KR-15 అనేది ట్విన్-ఇంజిన్, మాక్ 3-క్లాస్ మికోయన్-గ్యూర్విచ్ మిగ్ -25 ఫాక్స్ బాట్ ఇంటర్‌సెప్టర్, ట్విన్-ఇంజిన్, మాక్ 3-క్లాస్ మికోయన్-గ్యూర్‌విచ్ మిగ్ -25 ఫాక్స్ బాట్ ఇంటర్‌సెప్టర్‌లో ఉపయోగించిన R-15 ఇంజిన్ "&amp;"యొక్క తక్కువ-ఖర్చు, స్వల్ప-జీవితం, ఖర్చు చేయదగిన వెర్షన్. TU-123 కూడా ఖర్చు చేయదగినది, రికవరీ కోసం దాని పేలోడ్‌ను భూమికి పారాచూట్ చేసింది. TU-123 ప్రతిపాదిత టుపోలెవ్ TU-121 సూపర్సోనిక్ అణు-సాయుధ క్రూయిజ్ క్షిపణి కార్యక్రమం యొక్క అభివృద్ధి. బాలిస్టిక్ క్షి"&amp;"పణులకు అనుకూలంగా ఆ ప్రాజెక్ట్ రద్దు చేసిన తరువాత, అధిక ఎత్తులో ఉన్న నిఘా పాత్ర కోసం డిజైన్ సవరించబడింది. ఈ ప్రాజెక్ట్ అధికారికంగా 16 ఆగస్టు 1960 న, “I123K” యొక్క టుపోలెవ్ డిజైన్ బ్యూరో హోదాతో “DBR-1” అనే హోదాలో (తరువాత “TU-123” గా మార్చబడింది). ఫ్యాక్టరీ "&amp;"పరీక్ష సెప్టెంబర్ 1961 లో మరియు డిసెంబర్ 1963 నాటికి విమాన పరీక్షలలో పూర్తయింది. కొత్త యుఎవి 23 మే 1964 న క్రియాశీల సేవలోకి ప్రవేశించింది. భారీ ఉత్పత్తి వోరోనెజ్ ఫ్యాక్టరీ నంబర్ 64 వద్ద ఉంది, మరియు 1964-1972 నుండి మొత్తం 52 యూనిట్లు తయారు చేయబడ్డాయి. TU-1"&amp;"23 1979 వరకు పశ్చిమ సరిహద్దు మిలిటరీ జిల్లాల్లో ఉన్న సోవియట్ వైమానిక దళం ఇంటెలిజెన్స్ యూనిట్లతో పనిచేసింది. ఇది మధ్య మరియు పశ్చిమ ఐరోపా మొత్తాన్ని కవర్ చేసే శ్రేణిని (సిద్ధాంతపరంగా) కలిగి ఉంది మరియు శిక్షణా వ్యాయామాలలో మంచి పనితీరును కనబరిచింది. ఏదేమైనా, "&amp;"ఖర్చు చేయదగిన వ్యవస్థను నిర్వహించడానికి ఖర్చు సంతృప్తికరంగా లేదు. ఇది TU-139 యాస్ట్రెబ్ 2 యొక్క అభివృద్ధికి దారితీసింది, ఇది పునర్వినియోగపరచదగిన సంస్కరణ, ఇది సిద్ధం కాని ఎయిర్‌స్ట్రిప్స్‌లోకి దిగవచ్చు. ఇది ఎప్పుడూ ఉత్పత్తిలో ఉంచబడలేదు. [1] TU-123 క్రమంగా "&amp;"సేవ నుండి తొలగించబడింది మరియు ఫాక్స్బాట్ యొక్క నిఘా వెర్షన్ అయిన MIG-25R చేత భర్తీ చేయబడింది. సాధారణ లక్షణాల పనితీరు ఈ వ్యాసంలో పబ్లిక్ డొమైన్‌లో ఉన్న గ్రెగ్ గోబెల్ రాసిన వెబ్ వ్యాసం నుండి మానవరహిత వైమానిక వాహనాల నుండి మొదట వచ్చిన పదార్థం ఉంది.")</f>
        <v>టుపోలెవ్ TU-123 యాస్ట్రెబ్ (హాక్, రష్యన్: яనాత్మం) 1960 లో అభివృద్ధిని ప్రారంభించిన సోవియట్ నిఘా డ్రోన్లలో ఒకటి. కొన్నిసార్లు దీనిని "DBR-1" అని పిలుస్తారు, దీనిని 1964 లో క్రియాశీల సేవలో ప్రవేశపెట్టారు. తు- 123 సుదూర, అధిక-ఎత్తులో ఉన్న సూపర్సోనిక్ వ్యూహాత్మక మానవరహిత నిఘా విమానం, ఇది ఒక పెద్ద డార్ట్ను గుర్తుచేసే రూపంలో, ఇది అమెరికా యొక్క D-21 కు కొంతవరకు సమానంగా ఉంటుంది. ఇది ఫిల్మ్ కెమెరాలు మరియు సిగింట్ పేలోడ్లను కలిగి ఉంది. TU-123 జాటో బూస్టింగ్ తో గ్రౌండ్-లాంచ్ చేయబడింది మరియు విమానంలో టర్బోజెట్ తరువాత KR-15 తరువాత టర్బోజెట్ చేత శక్తిని పొందింది. KR-15 అనేది ట్విన్-ఇంజిన్, మాక్ 3-క్లాస్ మికోయన్-గ్యూర్విచ్ మిగ్ -25 ఫాక్స్ బాట్ ఇంటర్‌సెప్టర్, ట్విన్-ఇంజిన్, మాక్ 3-క్లాస్ మికోయన్-గ్యూర్‌విచ్ మిగ్ -25 ఫాక్స్ బాట్ ఇంటర్‌సెప్టర్‌లో ఉపయోగించిన R-15 ఇంజిన్ యొక్క తక్కువ-ఖర్చు, స్వల్ప-జీవితం, ఖర్చు చేయదగిన వెర్షన్. TU-123 కూడా ఖర్చు చేయదగినది, రికవరీ కోసం దాని పేలోడ్‌ను భూమికి పారాచూట్ చేసింది. TU-123 ప్రతిపాదిత టుపోలెవ్ TU-121 సూపర్సోనిక్ అణు-సాయుధ క్రూయిజ్ క్షిపణి కార్యక్రమం యొక్క అభివృద్ధి. బాలిస్టిక్ క్షిపణులకు అనుకూలంగా ఆ ప్రాజెక్ట్ రద్దు చేసిన తరువాత, అధిక ఎత్తులో ఉన్న నిఘా పాత్ర కోసం డిజైన్ సవరించబడింది. ఈ ప్రాజెక్ట్ అధికారికంగా 16 ఆగస్టు 1960 న, “I123K” యొక్క టుపోలెవ్ డిజైన్ బ్యూరో హోదాతో “DBR-1” అనే హోదాలో (తరువాత “TU-123” గా మార్చబడింది). ఫ్యాక్టరీ పరీక్ష సెప్టెంబర్ 1961 లో మరియు డిసెంబర్ 1963 నాటికి విమాన పరీక్షలలో పూర్తయింది. కొత్త యుఎవి 23 మే 1964 న క్రియాశీల సేవలోకి ప్రవేశించింది. భారీ ఉత్పత్తి వోరోనెజ్ ఫ్యాక్టరీ నంబర్ 64 వద్ద ఉంది, మరియు 1964-1972 నుండి మొత్తం 52 యూనిట్లు తయారు చేయబడ్డాయి. TU-123 1979 వరకు పశ్చిమ సరిహద్దు మిలిటరీ జిల్లాల్లో ఉన్న సోవియట్ వైమానిక దళం ఇంటెలిజెన్స్ యూనిట్లతో పనిచేసింది. ఇది మధ్య మరియు పశ్చిమ ఐరోపా మొత్తాన్ని కవర్ చేసే శ్రేణిని (సిద్ధాంతపరంగా) కలిగి ఉంది మరియు శిక్షణా వ్యాయామాలలో మంచి పనితీరును కనబరిచింది. ఏదేమైనా, ఖర్చు చేయదగిన వ్యవస్థను నిర్వహించడానికి ఖర్చు సంతృప్తికరంగా లేదు. ఇది TU-139 యాస్ట్రెబ్ 2 యొక్క అభివృద్ధికి దారితీసింది, ఇది పునర్వినియోగపరచదగిన సంస్కరణ, ఇది సిద్ధం కాని ఎయిర్‌స్ట్రిప్స్‌లోకి దిగవచ్చు. ఇది ఎప్పుడూ ఉత్పత్తిలో ఉంచబడలేదు. [1] TU-123 క్రమంగా సేవ నుండి తొలగించబడింది మరియు ఫాక్స్బాట్ యొక్క నిఘా వెర్షన్ అయిన MIG-25R చేత భర్తీ చేయబడింది. సాధారణ లక్షణాల పనితీరు ఈ వ్యాసంలో పబ్లిక్ డొమైన్‌లో ఉన్న గ్రెగ్ గోబెల్ రాసిన వెబ్ వ్యాసం నుండి మానవరహిత వైమానిక వాహనాల నుండి మొదట వచ్చిన పదార్థం ఉంది.</v>
      </c>
      <c r="E58" s="1" t="s">
        <v>1362</v>
      </c>
      <c r="F58" s="1" t="s">
        <v>1363</v>
      </c>
      <c r="G58" s="1" t="str">
        <f>IFERROR(__xludf.DUMMYFUNCTION("GOOGLETRANSLATE(F:F, ""en"", ""te"")"),"నిఘా డ్రోన్")</f>
        <v>నిఘా డ్రోన్</v>
      </c>
      <c r="I58" s="1" t="s">
        <v>944</v>
      </c>
      <c r="J58" s="1" t="str">
        <f>IFERROR(__xludf.DUMMYFUNCTION("GOOGLETRANSLATE(I:I, ""en"", ""te"")"),"సోవియట్ యూనియన్")</f>
        <v>సోవియట్ యూనియన్</v>
      </c>
      <c r="L58" s="1" t="s">
        <v>1364</v>
      </c>
      <c r="M58" s="1" t="str">
        <f>IFERROR(__xludf.DUMMYFUNCTION("GOOGLETRANSLATE(L:L, ""en"", ""te"")"),"Tupolev")</f>
        <v>Tupolev</v>
      </c>
      <c r="N58" s="3" t="s">
        <v>1365</v>
      </c>
      <c r="R58" s="1">
        <v>1960.0</v>
      </c>
      <c r="S58" s="1">
        <v>52.0</v>
      </c>
      <c r="V58" s="1" t="s">
        <v>1366</v>
      </c>
      <c r="W58" s="1" t="s">
        <v>1367</v>
      </c>
      <c r="X58" s="1" t="s">
        <v>1368</v>
      </c>
      <c r="Y58" s="1" t="s">
        <v>1369</v>
      </c>
      <c r="AG58" s="1" t="s">
        <v>1370</v>
      </c>
      <c r="AH58" s="1" t="s">
        <v>1371</v>
      </c>
      <c r="AO58" s="1">
        <v>1964.0</v>
      </c>
      <c r="AQ58" s="1">
        <v>1979.0</v>
      </c>
      <c r="AX58" s="1" t="s">
        <v>1372</v>
      </c>
      <c r="AY58" s="1" t="str">
        <f>IFERROR(__xludf.DUMMYFUNCTION("GOOGLETRANSLATE(AX:AX, ""en"", ""te"")"),"1 × తుమన్స్కీ KR-15, 98.1 kN (22,046 LBF) థ్రస్ట్")</f>
        <v>1 × తుమన్స్కీ KR-15, 98.1 kN (22,046 LBF) థ్రస్ట్</v>
      </c>
      <c r="BB58" s="1" t="s">
        <v>1373</v>
      </c>
      <c r="BD58" s="1" t="s">
        <v>1374</v>
      </c>
      <c r="BF58" s="1" t="s">
        <v>944</v>
      </c>
      <c r="BG58" s="2" t="str">
        <f>IFERROR(__xludf.DUMMYFUNCTION("GOOGLETRANSLATE(BF:BF, ""en"", ""te"")"),"సోవియట్ యూనియన్")</f>
        <v>సోవియట్ యూనియన్</v>
      </c>
      <c r="BH58" s="1" t="s">
        <v>1375</v>
      </c>
      <c r="BT58" s="1" t="s">
        <v>1376</v>
      </c>
      <c r="BU58" s="1" t="s">
        <v>1377</v>
      </c>
      <c r="BV58" s="1" t="str">
        <f>IFERROR(__xludf.DUMMYFUNCTION("GOOGLETRANSLATE(BU:BU, ""en"", ""te"")"),"అందుబాటులో లేదు")</f>
        <v>అందుబాటులో లేదు</v>
      </c>
      <c r="BW58" s="1" t="s">
        <v>1378</v>
      </c>
    </row>
    <row r="59">
      <c r="A59" s="1" t="s">
        <v>1379</v>
      </c>
      <c r="B59" s="1" t="str">
        <f>IFERROR(__xludf.DUMMYFUNCTION("GOOGLETRANSLATE(A:A, ""en"", ""te"")"),"పోటెజ్ 540")</f>
        <v>పోటెజ్ 540</v>
      </c>
      <c r="C59" s="1" t="s">
        <v>1380</v>
      </c>
      <c r="D59" s="1" t="str">
        <f>IFERROR(__xludf.DUMMYFUNCTION("GOOGLETRANSLATE(C:C, ""en"", ""te"")"),"పోటెజ్ 540 1930 లలో ఫ్రెంచ్ బహుళ-పాత్రల విమానం. పోటెజ్ రూపొందించిన మరియు నిర్మించిన ఇది ఫ్రెంచ్ వైమానిక దళంతో నిఘా బాంబర్‌గా పనిచేసింది, స్పానిష్ అంతర్యుద్ధంలో స్పానిష్ రిపబ్లికన్ వైమానిక దళంతో కలిసి పనిచేస్తోంది. బాంబర్‌గా వాడుకలో లేనప్పటికీ, ఇది రెండవ ప"&amp;"్రపంచ యుద్ధం ప్రారంభంలో సహాయక పాత్రలలో మరియు ఫ్రాన్స్ యొక్క విదేశీ కాలనీలలో సేవలో ఉంది. ఈ రెండు-ఇంజిన్ విమానాలను ఫ్రెంచ్ పోటెజ్ కంపెనీ కొత్త నిఘా బాంబర్ కోసం 1932 స్పెసిఫికేషన్‌ను నెరవేర్చడానికి నిర్మించింది. ఒక ప్రైవేట్ వెంచర్‌గా నిర్మించిన ఈ విమానం, పోట"&amp;"ెజ్ 54 ను నియమించింది, 14 నవంబర్ 1933 న మొదటిసారిగా ప్రయాణించింది. లూయిస్ కరోలర్ చేత రూపొందించబడిన ఇది బాంబర్, ట్రాన్స్‌పోర్ట్ మరియు లాంగ్ వంటి విధులను నిర్వర్తించగల నాలుగు సీట్ల విమానంగా ఉద్దేశించబడింది పరిధి నిఘా. పోటెజ్ 54 అనేది అధిక-వింగ్ మోనోప్లేన్, "&amp;"మిశ్రమ కలప మరియు ఉక్కు ట్యూబ్ ఫ్రేమ్ మీద మెటల్ కవరింగ్. ఈ నమూనాలో జంట రెక్కలు మరియు రడ్డర్లు ఉన్నాయి, మరియు ఇది రెండు 515 కిలోవాట్ల (690 హెచ్‌పి) హిస్పానో-సూయిజా 12xbrs v-12 ఇంజన్లు క్రమబద్ధీకరించిన నాసెల్స్‌లో పనిచేస్తుంది, ఇవి స్టబ్ రెక్కల ద్వారా ఫ్యూజ్"&amp;"‌లేజ్‌కు అనుసంధానించబడ్డాయి. ప్రధాన ల్యాండింగ్ గేర్ యూనిట్లు నాసెల్లల్లోకి ఉపసంహరించబడ్డాయి మరియు సహాయక బాంబు రాక్లు స్టబ్ రెక్కల క్రింద అమర్చబడ్డాయి. ముక్కు మరియు డోర్సల్ స్థానాల వద్ద మానవీయంగా పనిచేసే టర్రెట్లు, అలాగే సెమీ-రిట్రాక్టబుల్ డస్ట్‌బిన్-శైలి "&amp;"వెంట్రల్ టరెట్ ఉన్నాయి. అభివృద్ధి సమయంలో, అసలు టెయిల్‌ప్లేన్‌ను ఒకే ఫిన్ మరియు చుక్కానితో భర్తీ చేశారు, మరియు ఈ రూపంలో, ఈ రకాన్ని పోటెజ్ 540 ను తిరిగి రూపకల్పన చేసి 25 నవంబర్ 1934 న ఆర్మీ డి ఐయర్‌కు పంపిణీ చేశారు. [1] మొత్తం 192 పోటెజ్ 540 లు నిర్మించబడ్డ"&amp;"ాయి. వారి మొదటి పోరాటం స్పానిష్ అంతర్యుద్ధంలో ఉంది, అక్కడ వారు స్పానిష్ లాయలిస్ట్ వైపు ఉద్యోగం చేశారు. ప్రవేశపెట్టిన రెండు సంవత్సరాల తరువాత అప్పటికే వాడుకలో లేని పేలవమైన డిజైన్, అదే కాలంలో జర్మన్ మరియు ఇటాలియన్ విమానాలను ఎదుర్కొన్నప్పుడు, పోటెజ్ 540 పౌర య"&amp;"ుద్ధంలో స్పానిష్ ఆకాశంలో వైఫల్యాన్ని నిరూపించింది మరియు 'ఎగిరే శవపేటిక అని లేబుల్ చేయబడింది '(స్పానిష్: అటాడ్ వోలాంటే) స్పానిష్ రిపబ్లికన్ పైలట్లు. [2] 1930 ల చివరలో, ఈ విమానాలు వాడుకలో లేవు కాబట్టి అవి నిఘా మరియు బాంబు విధుల నుండి ఉపసంహరించబడ్డాయి మరియు "&amp;"ఫ్రెంచ్ రవాణా విభాగాలకు పంపించబడ్డాయి. వారు పారాట్రూపర్ శిక్షణ మరియు రవాణా విమానంగా కూడా ఉద్యోగం చేస్తున్నారు. సెప్టెంబర్ 1939 నాటికి మరియు రెండవ ప్రపంచ యుద్ధం ప్రారంభం, అవి ఎక్కువగా ఉత్తర ఆఫ్రికాలోని ఫ్రెంచ్ కాలనీలకు బదిలీ చేయబడ్డాయి, అక్కడ వారు రవాణా మర"&amp;"ియు పారాట్రూపర్ సేవలో పనిచేస్తూనే ఉన్నారు. ఈ ద్వితీయ నియామకాలలో కూడా వారి పాత్ర సమస్యాత్మకం, వారి పేలవమైన రక్షణాత్మక ఆయుధాలు మరియు ఆధునిక శత్రు యోధులకు దుర్బలత్వం. జూన్ 1940 లో జర్మనీకి ఫ్రెంచ్ లొంగిపోయిన తరువాత, పోటెజ్ 540 లు ఇప్పటికీ ఎగురుతున్న ఆ పోటెజ్"&amp;" ఫ్రెంచ్ వైమానిక దళానికి ప్రధానంగా ఫ్రెంచ్ విదేశీ కాలనీలలో పనిచేశారు. ఈ యంత్రాలలో చాలావరకు 1943 చివరి నాటికి రిటైర్ అయ్యాయి లేదా నాశనం చేయబడ్డాయి. సాధారణ లక్షణాలు పనితీరు ఆయుధాలు పోల్చదగిన పాత్ర, కాన్ఫిగరేషన్ మరియు ERA సంబంధిత జాబితాలు 2 హైఫనేటెడ్ వెనుకంజ"&amp;"లో ఉన్న లేఖ (-j, -k, -l, -n లేదా -s) సవరించిన రూపకల్పనను సూచిస్తాయి ద్వితీయ పాత్ర కోసం")</f>
        <v>పోటెజ్ 540 1930 లలో ఫ్రెంచ్ బహుళ-పాత్రల విమానం. పోటెజ్ రూపొందించిన మరియు నిర్మించిన ఇది ఫ్రెంచ్ వైమానిక దళంతో నిఘా బాంబర్‌గా పనిచేసింది, స్పానిష్ అంతర్యుద్ధంలో స్పానిష్ రిపబ్లికన్ వైమానిక దళంతో కలిసి పనిచేస్తోంది. బాంబర్‌గా వాడుకలో లేనప్పటికీ, ఇది రెండవ ప్రపంచ యుద్ధం ప్రారంభంలో సహాయక పాత్రలలో మరియు ఫ్రాన్స్ యొక్క విదేశీ కాలనీలలో సేవలో ఉంది. ఈ రెండు-ఇంజిన్ విమానాలను ఫ్రెంచ్ పోటెజ్ కంపెనీ కొత్త నిఘా బాంబర్ కోసం 1932 స్పెసిఫికేషన్‌ను నెరవేర్చడానికి నిర్మించింది. ఒక ప్రైవేట్ వెంచర్‌గా నిర్మించిన ఈ విమానం, పోటెజ్ 54 ను నియమించింది, 14 నవంబర్ 1933 న మొదటిసారిగా ప్రయాణించింది. లూయిస్ కరోలర్ చేత రూపొందించబడిన ఇది బాంబర్, ట్రాన్స్‌పోర్ట్ మరియు లాంగ్ వంటి విధులను నిర్వర్తించగల నాలుగు సీట్ల విమానంగా ఉద్దేశించబడింది పరిధి నిఘా. పోటెజ్ 54 అనేది అధిక-వింగ్ మోనోప్లేన్, మిశ్రమ కలప మరియు ఉక్కు ట్యూబ్ ఫ్రేమ్ మీద మెటల్ కవరింగ్. ఈ నమూనాలో జంట రెక్కలు మరియు రడ్డర్లు ఉన్నాయి, మరియు ఇది రెండు 515 కిలోవాట్ల (690 హెచ్‌పి) హిస్పానో-సూయిజా 12xbrs v-12 ఇంజన్లు క్రమబద్ధీకరించిన నాసెల్స్‌లో పనిచేస్తుంది, ఇవి స్టబ్ రెక్కల ద్వారా ఫ్యూజ్‌లేజ్‌కు అనుసంధానించబడ్డాయి. ప్రధాన ల్యాండింగ్ గేర్ యూనిట్లు నాసెల్లల్లోకి ఉపసంహరించబడ్డాయి మరియు సహాయక బాంబు రాక్లు స్టబ్ రెక్కల క్రింద అమర్చబడ్డాయి. ముక్కు మరియు డోర్సల్ స్థానాల వద్ద మానవీయంగా పనిచేసే టర్రెట్లు, అలాగే సెమీ-రిట్రాక్టబుల్ డస్ట్‌బిన్-శైలి వెంట్రల్ టరెట్ ఉన్నాయి. అభివృద్ధి సమయంలో, అసలు టెయిల్‌ప్లేన్‌ను ఒకే ఫిన్ మరియు చుక్కానితో భర్తీ చేశారు, మరియు ఈ రూపంలో, ఈ రకాన్ని పోటెజ్ 540 ను తిరిగి రూపకల్పన చేసి 25 నవంబర్ 1934 న ఆర్మీ డి ఐయర్‌కు పంపిణీ చేశారు. [1] మొత్తం 192 పోటెజ్ 540 లు నిర్మించబడ్డాయి. వారి మొదటి పోరాటం స్పానిష్ అంతర్యుద్ధంలో ఉంది, అక్కడ వారు స్పానిష్ లాయలిస్ట్ వైపు ఉద్యోగం చేశారు. ప్రవేశపెట్టిన రెండు సంవత్సరాల తరువాత అప్పటికే వాడుకలో లేని పేలవమైన డిజైన్, అదే కాలంలో జర్మన్ మరియు ఇటాలియన్ విమానాలను ఎదుర్కొన్నప్పుడు, పోటెజ్ 540 పౌర యుద్ధంలో స్పానిష్ ఆకాశంలో వైఫల్యాన్ని నిరూపించింది మరియు 'ఎగిరే శవపేటిక అని లేబుల్ చేయబడింది '(స్పానిష్: అటాడ్ వోలాంటే) స్పానిష్ రిపబ్లికన్ పైలట్లు. [2] 1930 ల చివరలో, ఈ విమానాలు వాడుకలో లేవు కాబట్టి అవి నిఘా మరియు బాంబు విధుల నుండి ఉపసంహరించబడ్డాయి మరియు ఫ్రెంచ్ రవాణా విభాగాలకు పంపించబడ్డాయి. వారు పారాట్రూపర్ శిక్షణ మరియు రవాణా విమానంగా కూడా ఉద్యోగం చేస్తున్నారు. సెప్టెంబర్ 1939 నాటికి మరియు రెండవ ప్రపంచ యుద్ధం ప్రారంభం, అవి ఎక్కువగా ఉత్తర ఆఫ్రికాలోని ఫ్రెంచ్ కాలనీలకు బదిలీ చేయబడ్డాయి, అక్కడ వారు రవాణా మరియు పారాట్రూపర్ సేవలో పనిచేస్తూనే ఉన్నారు. ఈ ద్వితీయ నియామకాలలో కూడా వారి పాత్ర సమస్యాత్మకం, వారి పేలవమైన రక్షణాత్మక ఆయుధాలు మరియు ఆధునిక శత్రు యోధులకు దుర్బలత్వం. జూన్ 1940 లో జర్మనీకి ఫ్రెంచ్ లొంగిపోయిన తరువాత, పోటెజ్ 540 లు ఇప్పటికీ ఎగురుతున్న ఆ పోటెజ్ ఫ్రెంచ్ వైమానిక దళానికి ప్రధానంగా ఫ్రెంచ్ విదేశీ కాలనీలలో పనిచేశారు. ఈ యంత్రాలలో చాలావరకు 1943 చివరి నాటికి రిటైర్ అయ్యాయి లేదా నాశనం చేయబడ్డాయి. సాధారణ లక్షణాలు పనితీరు ఆయుధాలు పోల్చదగిన పాత్ర, కాన్ఫిగరేషన్ మరియు ERA సంబంధిత జాబితాలు 2 హైఫనేటెడ్ వెనుకంజలో ఉన్న లేఖ (-j, -k, -l, -n లేదా -s) సవరించిన రూపకల్పనను సూచిస్తాయి ద్వితీయ పాత్ర కోసం</v>
      </c>
      <c r="E59" s="1" t="s">
        <v>1381</v>
      </c>
      <c r="F59" s="1" t="s">
        <v>1382</v>
      </c>
      <c r="G59" s="1" t="str">
        <f>IFERROR(__xludf.DUMMYFUNCTION("GOOGLETRANSLATE(F:F, ""en"", ""te"")"),"పున onna పరిశీలన/బాంబర్")</f>
        <v>పున onna పరిశీలన/బాంబర్</v>
      </c>
      <c r="H59" s="3" t="s">
        <v>1383</v>
      </c>
      <c r="L59" s="1" t="s">
        <v>1384</v>
      </c>
      <c r="M59" s="1" t="str">
        <f>IFERROR(__xludf.DUMMYFUNCTION("GOOGLETRANSLATE(L:L, ""en"", ""te"")"),"పోటెజ్")</f>
        <v>పోటెజ్</v>
      </c>
      <c r="N59" s="3" t="s">
        <v>1385</v>
      </c>
      <c r="R59" s="4">
        <v>12372.0</v>
      </c>
      <c r="S59" s="1">
        <v>192.0</v>
      </c>
      <c r="T59" s="1" t="s">
        <v>1386</v>
      </c>
      <c r="V59" s="1" t="s">
        <v>1387</v>
      </c>
      <c r="W59" s="1" t="s">
        <v>1388</v>
      </c>
      <c r="X59" s="1" t="s">
        <v>1389</v>
      </c>
      <c r="Y59" s="1" t="s">
        <v>1390</v>
      </c>
      <c r="Z59" s="1" t="s">
        <v>1391</v>
      </c>
      <c r="AG59" s="1" t="s">
        <v>1392</v>
      </c>
      <c r="AH59" s="1" t="s">
        <v>1393</v>
      </c>
      <c r="AO59" s="1">
        <v>1934.0</v>
      </c>
      <c r="AP59" s="3" t="s">
        <v>1302</v>
      </c>
      <c r="AX59" s="1" t="s">
        <v>1394</v>
      </c>
      <c r="AY59" s="1" t="str">
        <f>IFERROR(__xludf.DUMMYFUNCTION("GOOGLETRANSLATE(AX:AX, ""en"", ""te"")"),"2 × హిస్పానో-సుయిజా 12xirs V-12 లిక్విడ్-కూల్డ్ పిస్టన్ ఇంజన్లు, 515 kW (691 HP) ఒక్కొక్కటి (ఎడమ చేతి భ్రమణం)")</f>
        <v>2 × హిస్పానో-సుయిజా 12xirs V-12 లిక్విడ్-కూల్డ్ పిస్టన్ ఇంజన్లు, 515 kW (691 HP) ఒక్కొక్కటి (ఎడమ చేతి భ్రమణం)</v>
      </c>
      <c r="BB59" s="1" t="s">
        <v>1395</v>
      </c>
      <c r="BD59" s="1" t="s">
        <v>1396</v>
      </c>
      <c r="BF59" s="1" t="s">
        <v>1397</v>
      </c>
      <c r="BG59" s="2" t="str">
        <f>IFERROR(__xludf.DUMMYFUNCTION("GOOGLETRANSLATE(BF:BF, ""en"", ""te"")"),"ఫ్రెంచ్ వైమానిక దళం")</f>
        <v>ఫ్రెంచ్ వైమానిక దళం</v>
      </c>
      <c r="BH59" s="1" t="s">
        <v>1398</v>
      </c>
      <c r="BT59" s="1" t="s">
        <v>1399</v>
      </c>
      <c r="CC59" s="1" t="s">
        <v>1400</v>
      </c>
      <c r="CD59" s="1" t="str">
        <f>IFERROR(__xludf.DUMMYFUNCTION("GOOGLETRANSLATE(CC:CC, ""en"", ""te"")"),"సౌకర్యవంతమైన ముక్కు, డోర్సల్ మరియు వెంట్రల్ స్థానాల్లో 3–5 × 7.5 మిమీ (0.295 అంగుళాలు) MAC 1934 మెషిన్ గన్స్")</f>
        <v>సౌకర్యవంతమైన ముక్కు, డోర్సల్ మరియు వెంట్రల్ స్థానాల్లో 3–5 × 7.5 మిమీ (0.295 అంగుళాలు) MAC 1934 మెషిన్ గన్స్</v>
      </c>
      <c r="CE59" s="1" t="s">
        <v>1401</v>
      </c>
      <c r="CF59" s="1" t="str">
        <f>IFERROR(__xludf.DUMMYFUNCTION("GOOGLETRANSLATE(CE:CE, ""en"", ""te"")"),"బాహ్య రాక్లపై 4 × 225 కిలోలు (496 పౌండ్లు) బాంబులు లేదా 10 × 55 కిలోలు (121 పౌండ్లు)")</f>
        <v>బాహ్య రాక్లపై 4 × 225 కిలోలు (496 పౌండ్లు) బాంబులు లేదా 10 × 55 కిలోలు (121 పౌండ్లు)</v>
      </c>
    </row>
    <row r="60">
      <c r="A60" s="1" t="s">
        <v>1402</v>
      </c>
      <c r="B60" s="1" t="str">
        <f>IFERROR(__xludf.DUMMYFUNCTION("GOOGLETRANSLATE(A:A, ""en"", ""te"")"),"మూనీ M20")</f>
        <v>మూనీ M20</v>
      </c>
      <c r="C60" s="1" t="s">
        <v>1403</v>
      </c>
      <c r="D60" s="1" t="str">
        <f>IFERROR(__xludf.DUMMYFUNCTION("GOOGLETRANSLATE(C:C, ""en"", ""te"")"),"మూనీ M20 అనేది పిస్టన్-శక్తితో పనిచేసే, నాలుగు-సీట్ల, ప్రొపెల్లర్-నడిచే, సాధారణ విమానయాన విమానాలు, ఇవన్నీ తక్కువ రెక్కలు మరియు ట్రైసైకిల్ గేర్‌ను కలిగి ఉంటాయి, ఇవి మూనీ ఇంటర్నేషనల్ కార్పొరేషన్ చేత తయారు చేయబడ్డాయి. [1] [2] [3] M20 అల్ మూనీ నుండి 20 వ డిజై"&amp;"న్ మరియు అతని అత్యంత విజయవంతమైనది. ఈ సిరీస్ గత 60 సంవత్సరాలుగా అనేక వైవిధ్యాలలో, 1955 యొక్క చెక్క-వింగ్ M20 మరియు M20A మోడళ్ల నుండి, [3] 2016 లో ప్రారంభమైన M20V ప్రశంసల అల్ట్రా వరకు ఉత్పత్తి చేయబడింది. మొత్తం 11,000 కంటే ఎక్కువ విమానాలు ఉత్పత్తి చేయబడ్డాయ"&amp;"ి. నవంబర్ 2008 లో, 2000 ల చివరి మాంద్యం ఫలితంగా అన్ని ఉత్పత్తిని నిలిపివేస్తున్నట్లు కంపెనీ ప్రకటించింది, కాని ఇప్పటికీ ఉన్న నౌకాదళానికి భాగాలు మరియు మద్దతును అందిస్తుంది. [4] [5] [6] [7] సంస్థ కొనుగోలు చేసిన తరువాత చైనీస్ మూలధనాన్ని ఇంజెక్ట్ చేయడంతో, M20"&amp;" యొక్క ఉత్పత్తి ఫిబ్రవరి 2014 లో తిరిగి ప్రారంభమైంది. అప్పటి నుండి, కంపెనీ మరో రెండు M20 మోడళ్లను విడుదల చేసింది. [8] అల్ మూనీ కొంతకాలంగా నాలుగు-సీట్ల M20 కోసం ప్రాథమిక డిజైన్లను అభివృద్ధి చేస్తున్నాడు, సింగిల్-సీట్ల M-18 మైట్ 1940 ల చివరలో మరియు 1950 ల ప"&amp;"్రారంభంలో ఉత్పత్తిలో ఉంది. 1953 ప్రారంభంలో, కంపెనీ కాన్సాస్‌లోని విచిత నుండి టెక్సాస్‌లోని కెర్వ్‌విల్లేకు వెళ్లి, మరియు మైట్ దాని ఉత్పత్తి ముగింపుకు చేరుకున్నట్లు స్పష్టమైనప్పుడు, M20 అభివృద్ధి వేగవంతమైంది. మొదటి M20 ఫ్లైట్ సెప్టెంబర్ 3, 1953 న జరిగింది,"&amp;" మరియు ఇది ఆగస్టు 24, 1955 న ధృవీకరించబడింది. [9] 1955 లో, కంపెనీ M20 విమానాలలో 10 ను విక్రయించింది. ప్రారంభ ఖర్చులు కారణంగా, వారు ప్రతి విమానంలో సుమారు $ 3000 కోల్పోయారు. "" 320 ఇంజిన్. వేగం మరియు సామర్థ్యం కలయిక గమనార్హం. [10] 1958 లో M20A లైనప్‌లో 180 "&amp;"హెచ్‌పి (130 కిలోవాట్ల) లైమింగ్ ఓ -360-ఎ 1 ఎ ఇంజిన్‌తో లైనప్‌లో చేరింది, మరియు 1959 నాటికి, ఇది అందించే ఏకైక మోడల్, ఆ సంవత్సరం మొత్తం అమ్మకాలు 231 యూనిట్ల. కంపెనీ లాభం పొందిన మొదటి సంవత్సరం ఇది. M20A 1960 లో ఉత్పత్తిని కొనసాగించింది, 166 పంపిణీ చేయబడింది."&amp;" రెక్కలు మరియు తోకలో చెక్క నిర్మాణాలను కలిగి ఉన్న మూనీలలో ఇవి చివరివి. [11] మోడల్ చరిత్ర ప్రారంభంలో, నీటి దెబ్బతినడం మరియు ఫలితంగా రాట్ కారణంగా చెక్క తోకలు విమానంలో విడిపోయే అనేక సంఘటనలు సంభవించాయి. పర్యవసానంగా, మూనీ సర్వీస్ బులెటిన్ M20-170A మరియు FAA ఎయ"&amp;"ిర్‌వర్తెన్స్ డైరెక్టివ్ 86-19-10 ప్రకారం చాలా తోకలను ఇప్పుడు ఆల్-మెటల్ కాపీలతో భర్తీ చేశారు. లోహ అలసట యొక్క అవకాశం లేకుండా, చెక్క వింగ్ నిరవధిక ఆయుర్దాయం కలిగి ఉంది మరియు కొంతమంది పైలట్లు అల్లకల్లోలంగా సున్నితమైన ప్రయాణాన్ని అందించడానికి పరిగణించబడుతుంది"&amp;". [12] [13] జనవరి 1960 లో, మూనీ కంపెనీ రాల్ఫ్ హార్మోన్‌ను మిస్సౌరీలోని సెయింట్ లూయిస్‌లోని మెక్‌డోనెల్ విమానాన్ని విడిచిపెట్టి, ఇంజనీరింగ్ ప్రయత్నాల నిర్వహణను చేపట్టాలని ఒప్పించింది. అతను M20 లోని కలపను అల్యూమినియంతో భర్తీ చేయాలని పట్టుబట్టాడు, మరియు ఆల్-"&amp;"మెటల్ M20B 1960 చివరి నాటికి పూర్తయింది, అతను వచ్చిన ఒక సంవత్సరం కిందటే. 1961 లో, సంస్థ 222 M20B విమానాలను విక్రయించింది. మరుసటి సంవత్సరం, M20C ప్రవేశపెట్టబడింది మరియు 336 ఆ సంవత్సరం అమ్ముడయ్యాయి. [14] మార్క్ 21 మరియు తరువాత రేంజర్ అని కూడా పిలుస్తారు, [1"&amp;"5] M20C M20B పై అనేక మెరుగుదలలను కలిగి ఉంది, వీటిలో నియంత్రణ ఉపరితలాలపై ఎక్కువ విక్షేపం, మెరుగైన ఇంజిన్ శీతలీకరణ కోసం కౌల్ ఫ్లాప్ ఓపెనింగ్స్, హన్లోన్ మరియు విల్సన్ ఎగ్జాస్ట్ సిస్టమ్‌తో మెరుగైన ఎగ్జాస్ట్ స్కావెంజింగ్, కొత్త బ్యాటరీ యాక్సెస్ డోర్, మరింత శక్"&amp;"తివంతమైన ల్యాండింగ్ లైట్, తేలికపాటి అంతస్తు, స్థూల బరువు 2,575 పౌండ్ల (1,168 కిలోలు), తేలికైన ఖాళీ బరువు, కొత్త ఇన్స్ట్రుమెంట్ ప్యానెల్ లేఅవుట్ మరియు 33 డిగ్రీల అధిక గరిష్ట ఫ్లాప్ కోణం. [1] [16] 1963 లో, M20D ప్రవేశపెట్టబడింది, ముఖ్యంగా M20C స్థిర ల్యాండి"&amp;"ంగ్ గేర్ మరియు స్థిర-పిచ్ ప్రొపెల్లర్‌తో. ఇది M20C కన్నా కొంచెం తక్కువ ధరను కలిగి ఉంది మరియు ఇది ఒక ప్రాథమిక లేదా శిక్షకుల నమూనాగా ఉద్దేశించబడింది, ఇది తక్కువ భీమా ఖర్చులను కలిగి ఉంటుంది మరియు ఇది పైపర్ చెరోకీ 180 తో పోటీపడుతుంది. [1] [3] ఇది ముడుచుకునే ల"&amp;"్యాండింగ్ గేర్‌తో అప్‌గ్రేడ్ చేయవచ్చు మరియు వాస్తవానికి, వాటిలో ఎక్కువ భాగం సంవత్సరాలుగా అప్‌గ్రేడ్ చేయబడ్డాయి. M20D 1963 నుండి 1966 వరకు మొత్తం 161 యూనిట్ల ఉత్పత్తితో ఉత్పత్తి చేయబడింది. [17] 1964 లో M20E సూపర్ 21 ప్రవేశపెట్టబడింది. ఇది M20C పై కూడా ఆధార"&amp;"పడింది, కానీ మరింత శక్తివంతమైన 200 HP (150 kW) లైకమింగ్ ఫ్యూయల్-ఇంజెక్ట్ ఇంజిన్‌తో. సంస్థ ఆ సంవత్సరం 366 M20E యూనిట్లను విక్రయించింది. [18] 1965 లో, M20 కి కొత్త లక్షణం పరిచయం చేయబడింది. దీనిని ""పాజిటివ్ కంట్రోల్"" అని పిలుస్తారు మరియు ఇది బ్రిటన్ ఇండస్ట"&amp;"్రీస్ చేత ఉత్పత్తి చేయబడిన సింగిల్-యాక్సిస్ ఆటోపైలట్. కంట్రోల్ వీల్‌లోని ఒక బటన్ మలుపులు మరియు బ్యాంకుల కోసం నిరాశకు గురైతే తప్ప ఇది విమానం యొక్క రెక్కలను ఒక స్థాయి స్థానంలో నిర్వహించింది. ఇది వివాదాస్పద లక్షణం, కొంతమంది పైలట్లు ఇష్టపడతారు మరియు ఇతరులు ఇష"&amp;"్టపడరు. [19] [20] M20 యొక్క ఉత్పత్తి మరియు అమ్మకాలు పెరిగాయి. 1966 లో, మొత్తం 760 యూనిట్లు పంపిణీ చేయబడ్డాయి, వీటిలో M20C మార్క్ 21 విమానాలలో 280 మరియు M20E సూపర్ 21 లలో 473 ఉన్నాయి. కొత్త మోడల్, M20F ఎగ్జిక్యూటివ్ 21, క్యాబిన్ పొడవులో 10-అంగుళాల (25 సెం."&amp;"మీ) పెరుగుదల కారణంగా ఎక్కువ లెగ్‌రూమ్‌ను ఇచ్చింది, ఇది మూడవ ఫ్యూజ్‌లేజ్ సైడ్ విండోకు కూడా అనుమతించింది. [1] [3] [16] మునుపటి మోడళ్లలో 52 యుఎస్ గ్యాలన్లు (200 ఎల్) తో పోలిస్తే ఇది 64 యుఎస్ గ్యాలన్ల (240 ఎల్) ఇంధన సామర్థ్యాన్ని కలిగి ఉంది మరియు అదనంగా 165 ప"&amp;"ౌండ్లు (75 కిలోలు) వసూలు చేసింది. ఈ సంవత్సరం, కంపెనీ లాభాలలో, 000 1,000,000 ను మించిపోయింది. [21] తక్కువ శక్తివంతమైన 180 హార్స్‌పవర్ (130 కిలోవాట్) ఇంజిన్‌తో M20F యొక్క సంస్కరణ అయిన M20G స్టేట్స్‌మన్ 1968 లో విడుదలైంది. దీనికి M20C కన్నా పెద్ద ఎయిర్‌ఫ్రేమ"&amp;"్ ఉంది, కానీ అదే ఇంజిన్, మరియు దాని ఫలితంగా నెమ్మదిగా ఉంది. ఇది M20F వలె విజయవంతం కాలేదు మరియు 1968 నుండి 1970 వరకు కేవలం మూడు సంవత్సరాలు మాత్రమే ఉత్పత్తి చేయబడింది, మొత్తం ఉత్పత్తి పరుగుతో 189 యూనిట్లు. [22] [23] బలమైన అమ్మకాలు ఉన్నప్పటికీ, మూనీకి నగదు త"&amp;"క్కువగా ఉంది. ఈ సంస్థ 1969 ప్రారంభంలో 7 వ అధ్యాయంలో దివాలా తీసింది, మరియు దీనిని అమెరికన్ ఎలక్ట్రానిక్స్ లాబొరేటరీస్ మరియు తరువాత బట్లర్ ఏవియేషన్ ఇంటర్నేషనల్ కొనుగోలు చేసింది. ఆ సంవత్సరం అమ్మకాలు మునుపటి సంవత్సరం గణాంకాలలో సగం కంటే తక్కువ, అయినప్పటికీ M20"&amp;"E చాపరల్ యొక్క కొత్త వెర్షన్ విద్యుత్తుతో పనిచేసే ఫ్లాప్స్ మరియు ల్యాండింగ్ గేర్‌లతో విడుదల చేయబడింది. బట్లర్ ఏవియేషన్ కూడా సమస్యాత్మక ఏరోస్టార్ కంపెనీని సొంతం చేసుకుంది మరియు రెండింటినీ కాపాడే ప్రయత్నంలో మూనీతో కలిపింది. M20 హోదా వలె 1970 లో మూనీ పేరు తొ"&amp;"లగించబడింది; విమానాలను ఏరోస్టార్స్ అని పిలుస్తారు. [24] బట్లర్ ఏవియేషన్ 1971 ప్రారంభంలో మూనీ ప్లాంట్‌ను మూసివేసింది, మరియు ఇది రెండు సంవత్సరాలకు పైగా మూసివేయబడింది. అక్టోబర్ 1973 లో, మూనీని రిపబ్లిక్ స్టీల్ కొనుగోలు చేసింది. రిపబ్లిక్ స్టీల్‌లో జనరల్ మేనే"&amp;"జర్ రాబర్ట్ కమ్మింగ్, మూనీ ఎం 20 ఎఫ్ ఎగ్జిక్యూటివ్‌ను సంవత్సరాలుగా కలిగి ఉన్నాడు మరియు తరచూ ఎగరేశాడు మరియు మూనీ ఎం 20 ను తిరిగి ఉత్పత్తిలోకి పెట్టాలని కోరుకున్నాడు. ఇది జనవరి 1974 లో M20F ఎగ్జిక్యూటివ్ తిరిగి ప్రవేశపెట్టడంతో ప్రారంభమైంది. గతంలో గ్రుమ్మన్ "&amp;"అమెరికన్ కు చెందిన రాయ్ లోప్రెస్టిని ఇంజనీరింగ్ ఉపాధ్యక్షుడిగా నియమించారు. అతని ఇంజనీరింగ్ సమూహం యొక్క ప్రయత్నాల ద్వారా, దాని వేగాన్ని పెంచే లక్ష్యంతో M20 కి వివిధ మెరుగుదలలు జరిగాయి, మరియు M20J జూలై 1976 లో ప్రవేశపెట్టబడింది. దీనిని మూనీ 201 అని కూడా పిల"&amp;"ుస్తారు ఎందుకంటే ఇది గంటకు 201 మైళ్ళు ( 323 కిమీ/గం) దాని 200 హార్స్‌పవర్ (150 కిలోవాట్) ఇంజిన్‌తో. 201 పెద్ద విక్రేత, మరియు ఆ సంవత్సరం తరువాత టర్బోచార్జ్డ్ వెర్షన్ అభివృద్ధి చేయబడింది. మరుసటి సంవత్సరం, 1977, మూడు నమూనాలు అందించబడ్డాయి: M20C రేంజర్, M20F "&amp;"ఎగ్జిక్యూటివ్ మరియు M20J 201. 1979 నాటికి, M20C తొలగించబడింది, ఇది చిన్న-శరీర M20 యొక్క ఉత్పత్తిని ముగించింది. [25] అదే సంవత్సరం, 1979, సంస్థ యొక్క మొట్టమొదటి టర్బోచార్జ్డ్ M20 విడుదలైంది: M20K 231, కాబట్టి నియమించబడినందున దాని అగ్ర వేగం గంటకు 231 మైళ్ళు "&amp;"(372 కిమీ/గం). ఇది మరింత మెరుగుదలలతో మునుపటి 201 ఆధారంగా రూపొందించబడింది. ఇది విస్తృత రెక్కలు మరియు ఆరు సిలిండర్ ఖండాంతర ఇంజిన్‌ను కలిగి ఉంది మరియు ఇంధన సామర్థ్యాన్ని 80 యుఎస్ గ్యాలన్లకు (300 ఎల్; 67 ఇంప్ గల్) పెంచారు. ఈ సంవత్సరం, మొత్తం 439 విమానాలు పంపి"&amp;"ణీ చేయబడ్డాయి -1960 ల మొదటి సంవత్సరాల కంటే, కానీ ఈ డెలివరీలు ఆరోగ్యకరమైన లాభాలకు దారితీశాయి. ఈ సమయం నుండి 1986 వరకు, M20J మరియు టర్బోచార్జ్డ్ M20K మాత్రమే రెండు నమూనాలు అందించబడ్డాయి. [26] జనరల్ ఏవియేషన్ తయారీ 1982 నుండి ఒక ముఖ్యమైన తిరోగమనాన్ని ఎదుర్కొంద"&amp;"ి. మూనీ ఇతర తయారీదారులతో పాటు ప్రభావితమైంది మరియు తాత్కాలిక తొలగింపుల ద్వారా తగ్గించవలసి వచ్చింది. మాంద్యం ఉన్నప్పటికీ, అభివృద్ధి పనులు కొనసాగాయి. క్యాబిన్ శబ్దం స్థాయిలలో గణనీయమైన తగ్గింపులతో సహా 201 మరియు 231 మందికి మరిన్ని మెరుగుదలలు వచ్చాయి. 1982 లో, "&amp;"డెలివరీలు 218 యూనిట్లకు పడిపోయాయి మరియు 1983 లో 154 విమానాలు మాత్రమే ఉత్పత్తి చేయబడ్డాయి. అమెరికా వైమానిక దళం సెస్నా టి -41 ట్రైనర్ కోసం ప్రత్యామ్నాయాన్ని అభివృద్ధి చేయడానికి ఒక పోటీని ప్రకటించింది, మరియు మూనీ వెంటనే 231 ఆధారంగా సైనిక శిక్షకుడిని అభివృద్ధ"&amp;"ి చేయడం ప్రారంభించింది. [27] సంస్థ మాంద్యంతో వ్యవహరిస్తుండగా, రిపబ్లిక్ స్టీల్‌ను లింగ్-టెంకో-కట్ కార్పొరేషన్ కొనుగోలు చేసింది మరియు మూనీని వదిలివేసింది. ఈ సంస్థ లేక్ ఎయిర్క్రాఫ్ట్ యొక్క అర్మాండ్ రివార్డ్ మరియు పారిస్ నుండి మూనీ డీలర్ అలెగ్జాండర్ కూవెలాయి"&amp;"ర్ చేతిలో ముగిసింది. అమ్మకాలు తగ్గుతూనే ఉన్నాయి, 1984 లో మొత్తం 143 మరియు 1985 లో 99. [28] తదుపరి కొత్త మోడల్, M20K 252, 1986 ప్రారంభంలో గంటకు 252 మైళ్ళు (406 కిమీ/గం) టాప్ స్పీడ్‌తో కనిపించింది. ఇది 231 స్థానంలో ఉంది మరియు అదే 210 హార్స్‌పవర్ (160 కిలోవా"&amp;"ట్) ఇంజిన్‌తో దాని అధిక వేగాన్ని సాధించింది. ఇది అదనపు పరికరాలను శక్తివంతం చేయడానికి మరియు కోల్డ్-వెదర్ ప్రారంభాన్ని మెరుగుపరచడానికి కొత్త 28-వోల్ట్ ఎలక్ట్రికల్ సిస్టమ్‌ను కలిగి ఉంది. 231 లోని ఖండాంతర TSI0-360-GB ఇంజిన్‌కు నిర్దిష్ట పైలట్ శిక్షణ మరియు సవర"&amp;"ించిన టేకాఫ్ మరియు వేడి వాతావరణంలో ఆమోదయోగ్యమైన ఇంజిన్ ఉష్ణోగ్రతల వద్ద పనిచేయడానికి సవరించిన టేకాఫ్ మరియు క్లైమ్ విధానాలు అవసరం. ఈ కారణంగా, 252 మంది ఇంటర్‌కూల్డ్ టిఎస్‌ఓ -360-ఎంబి ఇంజిన్‌ను అందుకున్నారు. వివిధ మెరుగుదలలు 201 ఎయిర్‌ఫ్రేమ్‌కు కాపీ చేయబడ్డాయ"&amp;"ి మరియు కొత్త 205 మోడల్ 1987 లో విడుదలైంది. [1] [16] దీని తరువాత 1988 లో M20L PFM ఉంది, ఇది 911 కారెరా ఇంజిన్ నుండి అభివృద్ధి చేయబడిన పోర్స్చే PFM 3200 ఇంజిన్ చేత శక్తినిస్తుంది. ఈ కాన్ఫిగరేషన్‌తో గరిష్ట వేగం 161 kN (298 km/h). [29] ఫ్యూజ్‌లేజ్ మొట్టమొదటి"&amp;" పొడవైన-శరీర M20 ను రూపొందించడానికి విస్తరించింది. ఈ విమానంలో ఒక కొత్త లక్షణం థొరెటల్, మిశ్రమం మరియు ప్రొపెల్లర్ నియంత్రణలను ఒకే శక్తి నియంత్రణతో భర్తీ చేయడం; ఈ సింగిల్ కంట్రోల్ సెట్టింగ్ ఆధారంగా మిశ్రమం మరియు ప్రొపెల్లర్ రొటేషన్ వేగం స్వయంచాలకంగా సర్దుబా"&amp;"టు చేయబడ్డాయి. మూనీ పిఎఫ్‌ఎం చివరిగా లేదు, మొత్తం 41 యూనిట్లు 1988 మరియు 1989 లో తయారు చేయబడ్డాయి. [30] చాలా M20L లు ఇకపై ఈ ప్రత్యేకమైన ఇంజిన్‌ను ఉపయోగించవు, ఎందుకంటే ఫ్యాక్టరీ మద్దతు 2005 లో ఆగిపోయింది. [31] ఫిబ్రవరి 1989 లో, తదుపరి M20 మోడల్ విడుదలైంది:"&amp;" M20M TLS (టర్బోచార్జ్డ్ లైమింగ్ సాబెర్). టర్బోచార్జ్డ్ లైమింగ్ సిక్స్-సిలిండర్ల ఇంజిన్ 270 హార్స్‌పవర్ (200 కిలోవాట్) ను 2,575 ఆర్‌పిఎమ్ వద్ద ఉత్పత్తి చేసింది, మరియు దీనికి మూడు-బ్లేడెడ్ ప్రొపెల్లర్ ఉంది. ఇది గంటకు 230 మైళ్ళు (గంటకు 370 కిమీ) వద్ద ప్రయాణ"&amp;"ించగలదు మరియు 1,060 మైళ్ళు (1,710 కిమీ) మరియు గరిష్టంగా ఎక్కడానికి నిమిషానికి 2,380 అడుగుల (730 మీ) అధిరోహణ రేటు ఉంది. మొదటి సంవత్సరం, TLS డెలివరీ చేసిన 143 విమానాలలో 30 వాటాను కలిగి ఉంది, మరియు 1990 లో, ఇది 61 యూనిట్లకు పెరిగింది. [32] 1989 లో, మూనీ M20J"&amp;" ఆధారంగా ఒక శిక్షకుల నమూనాను విడుదల చేసింది. బీచ్, సెస్నా మరియు పైపర్ అన్నీ 1980 లలో శిక్షకుల ఉత్పత్తిని ఆపివేసాయి మరియు ఈ అంతరాన్ని పూరించడానికి 201ట్ రూపొందించబడింది. 1989 నుండి 1992 వరకు, 20 యూనిట్లు పంపిణీ చేయబడ్డాయి. [33] తదుపరి మూనీ M20 మోడల్ M20J 2"&amp;"01, ఇది 1990 లో విడుదలైన MSE ని కూడా నియమించింది (అయినప్పటికీ కొన్ని వాస్తవానికి 1991 కి ముందు పంపిణీ చేయబడ్డాయి). ఇది 200 హార్స్‌పవర్ (150 కిలోవాట్ల) టర్బోచార్జ్డ్ మోడల్, ఇది టిఎల్‌ఎస్ నుండి అనేక లక్షణాలను కలిగి ఉంది. 1991 ప్రారంభంలో, మూనీ తన మెరుగైన ఫ్ల"&amp;"ైట్ స్క్రీనర్ ట్రైనర్ మోడల్‌ను సాధారణ ప్రజలకు అందించాలని నిర్ణయించుకుంది, ఎందుకంటే వైమానిక దళం తన శిక్షకుడిపై నిర్ణయం తీసుకోవడానికి నెమ్మదిగా ఉంది. ఇది 260 హార్స్‌పవర్ (190 kW) లైమింగ్ O-540 ఇంజిన్‌ను కలిగి ఉంది మరియు ఏరోబాటిక్స్ కోసం రేట్ చేయబడుతుంది. అయ"&amp;"ితే, ఇది తక్కువ ప్రజా ప్రయోజనాన్ని సృష్టించింది. TLS 1995 వరకు ఉత్పత్తిని కొనసాగించింది, మరియు 1994 లో M20R ఓవెన్ ద్వారా భర్తీ చేయబడినంత వరకు MSE కూడా కొనసాగింది. మరోసారి, మూనీ రెండు మోడళ్లను అందిస్తోంది: ఒకటి అధిక వేగం (TLS) మరియు మరొకటి అధిక సామర్థ్యాన్"&amp;"ని అందిస్తోంది. [ 34] లైమింగ్ AEIO-540 ఇంజిన్ ద్వారా నడిచే ప్రాథమిక M20 డిజైన్ యొక్క పందిరి-అమర్చిన M20T ప్రెడేటర్, USAF మెరుగైన ఫ్లైట్ స్క్రీనర్ పోటీలో మూనీ ప్రవేశించినది. 1991 లో నిర్మించిన ప్రోటోటైప్, టైగర్-స్ట్రైప్ పెయింట్ పథకంలో ప్రదర్శించబడింది. ఏకై"&amp;"క ప్రోటోటైప్, రిజిస్టర్డ్ N20XT, ప్రయోగాత్మక - మార్కెట్ సర్వే విభాగంలో ఎగురవేయబడింది మరియు ఇప్పటికీ 2013 లో మూనీ విమానాల యాజమాన్యంలో ఉంది, అయినప్పటికీ దాని నమోదు నవంబర్ 30, 2013 తో ముగిసింది. [35] [36] [37] మెరుగైన ఫ్లైట్ స్క్రీనర్ ప్రోగ్రామ్ కోసం పోటీ చి"&amp;"వరకు 1992 లో జరిగింది, మరియు స్లింగ్స్బై T67 ఫైర్‌ఫ్లై మూనీ EFS కి బదులుగా ఎంపిక చేయబడింది. అమ్మకాలు పడిపోతూనే ఉన్నాయి, 1993 లో 64 యూనిట్లకు మాత్రమే చేరుకున్నాయి. శాన్ ఆంటోనియో స్థానం అమ్ముడైంది మరియు అన్ని కార్యకలాపాలు కెర్విల్లేకు తిరిగి వచ్చాయి. అయినప్"&amp;"పటికీ, M20 యొక్క అభివృద్ధి కొనసాగింది, మరియు M20R ఓవెన్ 1994 లో విడుదలైంది. ఇది సాధారణంగా ఆశించిన MSE మరియు టర్బోచార్జ్డ్ TL ల మధ్య అంతరాన్ని పూరించడానికి రూపొందించబడింది మరియు ఇది 280 హార్స్‌పవర్ (210 kW) ఖండాంతర IO-550 ద్వారా శక్తినిచ్చింది ఇంజిన్. 1995"&amp;" లో తయారు చేసిన 91 మూనీ విమానంలో, 54 అండోత్సర్గాలు. [38] ఈ మోడల్‌కు 1994 లో ఫ్లయింగ్ యొక్క సింగిల్-ఇంజిన్ ప్లేన్ ఆఫ్ ది ఇయర్ అని పేరు పెట్టారు. [16] మరుసటి సంవత్సరం, మరింత శక్తివంతమైన లైమింగ్ TIO-540-AF1B ఇంజిన్‌తో TLS యొక్క అప్‌గ్రేడ్ మోడల్‌ను M20M గా ని"&amp;"యమించారు, కానీ కొత్త B ఇంజిన్ కారణంగా ""బ్రావో"" గా కూడా దీనిని ""బ్రావో"" గా సూచిస్తారు. ఈ అప్‌గ్రేడ్ TIO-540-AF1A ఇంజిన్‌ను కలిగి ఉన్న మునుపటి TLS మోడళ్ల యజమానులకు అందించబడింది. బ్రావో విడుదలైన వెంటనే, బ్రావో మరియు ఓవెన్ మోడళ్ల కోసం TKS ICE రక్షణ వ్యవస్"&amp;"థను అందించారు. M20K ఎంకోర్ 1997 లో విడుదలైంది, మరింత హార్స్‌పవర్ మరియు అధిక స్థూల బరువు కలిగిన M20K, ఇది అసలు M20K మాదిరిగానే పనితీరును ఇస్తుంది. ఇది మెరుగైన ఇంటీరియర్ మరియు తగ్గిన క్యాబిన్ శబ్దం స్థాయిలను కూడా కలిగి ఉంది. [39] 1999 లో విడుదలైన M20S ఈగిల్"&amp;" 244 HP (182 kW) ఖండాంతర IO-550-G చేత శక్తిని పొందింది. దీనిని 2001 లో ఈగిల్ 2 చేత అనుసరించింది. ఈ మోడల్‌లో ప్రామాణిక తోలు ఇంటీరియర్ వంటి మెరుగుదలలు ఉన్నాయి. ఈగిల్ 2 అదే 3 బ్లేడ్ ప్రొపెల్లర్‌ను M20R యొక్క అసలు సంస్కరణల వలె ఉపయోగించింది మరియు ఇది 1994 నుండ"&amp;"ి 1994 వరకు ఉత్పత్తి చేయబడింది. [40] M20TN ప్రశంసలు 2006 లో విడుదలయ్యాయి, వీటిని టర్బోనార్మలైజ్డ్ కాంటినెంటల్ TSIO-550-G పవర్‌ప్లాంట్ ట్విన్ టర్బోచార్జర్స్ మరియు డ్యూయల్ ఇంటర్‌కూలర్లతో నడిపించింది. ప్రశంసలు కంపెనీ ఉత్పత్తి శ్రేణిలో మూనీ M20M బ్రావోను భర్త"&amp;"ీ చేశాయి. [35] [41] మూనీ జూన్ 2008 లో 60 మంది ఉద్యోగులను తొలగించి, ఉత్పత్తిని తగ్గించింది, బలహీనమైన ఆర్థిక వ్యవస్థ మరియు అధిక ఇంధన ధరల ద్వారా నిరోధించబడిన అమ్మకాలు. [42] ఆ సంవత్సరం తరువాత, నవంబర్లో, అన్ని ఉత్పత్తి ఆగిపోయింది. [4] జూలై 2008 లో, మూనీ రోల్స్"&amp;" రాయిస్‌తో ఒక అవగాహన యొక్క మెమోరాండం సంతకం చేసింది, ఇది M20 యొక్క సంస్కరణను అభివృద్ధి చేయడానికి రోల్స్ రాయిస్ RR500 TP టర్బోప్రాప్ పవర్‌ప్లాంట్ చేత శక్తినిస్తుంది. ఈ ప్రాజెక్ట్ ఉమ్మడి ""మార్కెటింగ్ ఇన్వెస్టిగేషన్"" మరియు ""అన్వేషణ ప్రాజెక్ట్"" గా ప్రకటించ"&amp;"బడింది, కాని ఫలవంతం చేసినట్లు కనిపించడం లేదు. [43] 2010 చివరలో ఎక్కువ మంది ఉద్యోగులు తొలగించబడ్డారు. 2011 ప్రారంభంలో 10 కంటే తక్కువ మంది ఉద్యోగులను కలిగి ఉండటమే పేర్కొన్న లక్ష్యం, ఈ ఉద్యోగులు కొత్త పెట్టుబడి కోసం శోధిస్తున్నప్పుడు ఇప్పటికే ఉన్న విమాన యజమా"&amp;"నులకు భాగాలు మరియు సహాయాన్ని అందిస్తున్నారు. [5] ఈ శోధన 2013 చివరలో ముగిసింది; చైనీస్ పెట్టుబడి 2014 ప్రారంభంలో కంపెనీని ఉత్పత్తిని తిరిగి ప్రారంభించడానికి వీలు కల్పించింది. [44] [45] ఆ సంవత్సరం తరువాత, M10T మరియు M10J ను కాంటినెంటల్ డీజిల్ ఇంజిన్లచే నడిచ"&amp;"ేవి ప్రకటించబడ్డాయి. [46] [47] రెండు కొత్త నమూనాలు 2016 లో విడుదలయ్యాయి: M20U ఓవెన్ అల్ట్రా మరియు M20V ప్రశంసలు అల్ట్రా. M20U M20R పై ఆధారపడింది మరియు దాని మొదటి ఫ్లైట్ 4 జూన్ 2016 న జరిగింది. పైలట్-సైడ్ తలుపు ఉన్న మొదటి M20 ఇది. ఇది సాంప్రదాయ అల్యూమినియం"&amp;" చర్మాన్ని భర్తీ చేసిన మిశ్రమ షెల్ ఫార్వర్డ్ ఫ్యూజ్‌లేజ్‌ను కూడా కలిగి ఉంది. M20TN ప్రశంసల నుండి అభివృద్ధి చేయబడిన M20V, ఆ లక్షణాలను కలిగి ఉంది. [48] [49] సంస్థ తన తలుపులు మూసివేసింది మరియు 12 నవంబర్ 2019 న అన్ని సిబ్బందిని తొలగించింది. [50] సంస్థ తిరిగి "&amp;"తెరిచింది మరియు సిబ్బంది 2 డిసెంబర్ 2019 న తిరిగి పనికి వచ్చారు. [51] చెక్క ఫ్రేమ్‌లతో రెక్కలు మరియు తోకలను కలిగి ఉన్న మొట్టమొదటి నమూనాలను మినహాయించి, M20 లు పూర్తిగా లోహంతో నిర్మించబడ్డాయి. అన్నీ తక్కువ-వింగ్ విమానం, మరియు వింగ్ స్కిన్ అల్యూమినియం. స్లాట"&amp;"్డ్ ఫ్లాప్స్ 70% వెనుకంజలో ఉన్నాయి. మునుపటి నమూనాలు ఫ్లాప్‌లను విస్తరించడానికి హైడ్రాలిక్ హ్యాండ్ పంప్‌ను ఉపయోగిస్తాయి, తరువాత నమూనాలు విద్యుత్తుతో పనిచేసే ఫ్లాప్‌లను కలిగి ఉంటాయి. ఫార్వర్డ్ ఫ్యూజ్‌లేజ్‌లో అల్యూమినియం చర్మంలో కప్పబడిన స్టీల్-ట్యూబ్ క్యాబి"&amp;"న్ నిర్మాణం ఉంది; ఫ్యూజ్‌లేజ్ యొక్క వెనుక భాగం సెమీ-మోనోకోక్ డిజైన్. విమానం యొక్క చర్మంపై చాలా ప్రదేశాలలో, డ్రాగ్‌ను తగ్గించడానికి ఫ్లష్-మౌంటెడ్ రివెట్‌లను ఉపయోగిస్తారు. [52] మూనీ M20 లోని ల్యాండింగ్ గేర్ వేడి-చికిత్స క్రోమ్-మాలిబ్డినం స్టీల్‌తో తయారు చేయ"&amp;"బడింది. ప్రధాన ల్యాండింగ్ గేర్ ప్రధాన వింగ్ స్పార్‌తో జతచేయబడుతుంది, ముక్కు గేర్ గొట్టపు ఉక్కు చట్రానికి అమర్చబడి ఉంటుంది. రబ్బరు షాక్ డిస్కుల స్టాక్‌లు షాక్ అబ్జార్బర్‌లుగా పనిచేస్తాయి. అన్ని నమూనాలు, M20D మాస్టర్ మినహా, ముడుచుకునే ల్యాండింగ్ గేర్‌తో వచ్"&amp;"చాయి; ఈ మోడళ్లలో, ముక్కు చక్రం వెనుకకు ఉపసంహరించుకుంటుంది మరియు ప్రధాన చక్రాలు లోపలికి ఉపసంహరించుకుంటాయి. ప్రారంభ నమూనాలు గేర్‌ను పెంచడానికి మరియు తగ్గించడానికి చేతితో పనిచేసే లివర్ వ్యవస్థను ఉపయోగిస్తాయి. థొరెటల్ క్రింద నుండి లివర్‌ను అన్‌లాక్ చేయడం ద్వా"&amp;"రా మానవీయంగా యాక్చువేట్ ల్యాండింగ్ గేర్ పెంచబడుతుంది, దీనిని ""జాన్సన్ బార్"" అని పిలుస్తారు మరియు దీనిని జాన్సన్ బార్ (లోకోమోటివ్) పేరు పెట్టారు, దానిని నేలమీద తిప్పడం మరియు దానిని ఒక ఫిక్చర్‌లో లాక్ చేయడం అంతస్తు. ల్యాండింగ్ గేర్‌ను తగ్గించడానికి అదే కా"&amp;"ర్యకలాపాలు వ్యతిరేక క్రమంలో అవసరం. ఆసక్తికరంగా, అల్ మూనీ రైల్‌రోడ్ పరిశ్రమకు యువకుడిగా పనిచేయడం ప్రారంభించాడు, అందువల్ల ఒక విమానంలో కొంత భాగాన్ని వివరించడంలో ఉపయోగం కోసం ఆవిరి లోకోమోటివ్ పదాన్ని తీసుకోవడం. [53] [52] 1969 నుండి, విద్యుత్తుతో పనిచేసే ల్యాండ"&amp;"ింగ్ గేర్ ప్రామాణికంగా మారింది. [54] మూనీ M20 లో 1.5 డిగ్రీల వాషౌట్ మరియు 5.5 డిగ్రీల డైహెడ్రల్ ఉన్న మీడియం కారక-నిష్పత్తి దెబ్బతిన్న రెక్కలు ఉన్నాయి. తరువాత నమూనాలు స్టాల్ లక్షణాలను మెరుగుపరచడానికి స్టాల్ స్ట్రిప్స్‌ను కలిగి ఉన్నాయి. [52] మూనీ M20 యొక్క "&amp;"సామ్రాజ్యం దాని ప్రత్యేకమైన టెయిల్ ఫిన్ ద్వారా నిలువు ప్రముఖ అంచుతో సులభంగా గుర్తించబడుతుంది. . పిచ్ ట్రిమ్ అందించడానికి మొత్తం తోక అసెంబ్లీ ఫ్యూజ్‌లేజ్ వెనుక భాగంలో ఉంది. [55] అన్ని M20 లు రెండు వేర్వేరు ""వెట్ వింగ్"" ట్యాంకులలో ఇంధనాన్ని నిల్వ చేస్తాయి"&amp;", ఇవి ప్రతి రెక్క యొక్క ఇన్బోర్డ్ విభాగాలలో ఉన్నాయి. ఇంధనాన్ని ట్యాంక్ నుండి ఇంజెక్టర్లు లేదా కార్బ్యురేటర్‌కు ఇంజిన్ నడిచే పంప్ ద్వారా నడిపిస్తారు, ఎలక్ట్రిక్ బూస్ట్ పంప్‌తో బ్యాకప్ చేస్తారు. [55] పెరిగిన శక్తి కోసం, చాలా M20 లు కూడా రామ్-ఎయిర్ ఇండక్షన్ "&amp;"వ్యవస్థను కలిగి ఉన్నాయి, దీనిని మూనీ ""పవర్ బూస్ట్"" అని పిలుస్తారు. సాధారణ కార్యకలాపాల కోసం, ఇండక్షన్ సిస్టమ్‌లోకి ప్రవేశించే ముందు తీసుకోవడం గాలి ఫిల్టర్ చేయబడుతుంది. రామ్ ఎయిర్ ఎంచుకున్నప్పుడు, పాక్షికంగా వడకట్టని గాలి అధిక పీడనంతో ప్రేరణ వ్యవస్థలోకి ప"&amp;"్రవేశిస్తుంది మరియు తత్ఫలితంగా మానిఫోల్డ్ పీడనం పూర్తి అంగుళం పాదరసం పెరుగుతుంది, ఇది సముద్ర మట్టానికి 7500 అడుగుల ఎత్తులో ఎగురుతుంది, ఎక్కువ శక్తి ఉత్పత్తిని ఇస్తుంది. [55] టర్బోచార్జ్డ్ వేరియంట్లు ఈ లక్షణాన్ని వదిలివేస్తాయి, ఎందుకంటే టర్బోచార్జర్ మానిఫో"&amp;"ల్డ్ పీడనంలో చాలా ఎక్కువ పెరుగుదలను అందిస్తుంది. మూనీ M20 సిరీస్ మూడు ఫ్యూజ్‌లేజ్ పొడవులలో ఉత్పత్తి చేయబడింది: ""షార్ట్-బాడీ"" (M20 నుండి M20E నుండి), ""మీడియం-బాడీ"" (M20F నుండి M20K ద్వారా) మరియు ""లాంగ్-బాడీ"" (M20L నుండి M20V ద్వారా). అన్ని M20 లకు నా"&amp;"లుగు సీట్లు ఉన్నప్పటికీ, ఫ్యూజ్‌లేజ్ పొడవు పెరుగుదల ఎక్కువ వెనుక ప్రయాణీకుల లెగ్‌రూమ్‌ను అందించింది, కానీ స్వల్ప పనితీరు తగ్గడంతో: ఇదే విధమైన ఇంజిన్ మరియు పాతకాలపు కోసం, పొడవైన-శరీర విమానం చిన్న-శరీర విమానం కంటే 4 నుండి 6 నాట్లు నెమ్మదిగా ఉంటుంది. [ 56] ఆ"&amp;"గష్టు 2017 లో, 6,748 మూనీ ఎం 20 విమానాలను యుఎస్ ఫెడరల్ ఏవియేషన్ అడ్మినిస్ట్రేషన్, 342 ట్రాన్స్పోర్ట్ కెనడాతో, మరియు యునైటెడ్ కింగ్‌డమ్‌లో 33 సివిల్ ఏవియేషన్ అథారిటీతో నమోదు చేయబడ్డాయి. [57] [58] [59] జూన్ మరియు జూలై, 2017 లో, పైలట్ బ్రియాన్ లాయిడ్ ప్రపంచవ"&amp;"్యాప్తంగా తన మూనీ ఎం 20 కె 231 ను ఎగరేశాడు, అమేలియా ఇయర్హార్ట్ యొక్క ప్రయత్నంలో 1937 లో జరిగిన లోపభూయిష్టత. మూనీలు వారి పనితీరును శుభ్రమైన ఎయిర్‌ఫ్రేమ్, చిన్న క్యాబిన్ క్రాస్-సెక్షన్ మరియు లాగడం నుండి రిఫైన్‌మెంట్‌లను తగ్గిస్తాయి. ఈ మెరుగుదలలు చాలావరకు అన"&amp;"ంతర వ్యాపారాలు అభివృద్ధి చేసిన ఎయిర్‌ఫ్రేమ్‌కు అనుబంధ రకం సర్టిఫికేట్ (ఎస్‌టిసి) మార్పులు. ఈ మార్పులలో కొన్ని ఫ్యాక్టరీ ఉత్పత్తి నమూనాలలో చేర్చబడ్డాయి. 1990 లో, వాషింగ్టన్లోని స్పోకనేకు చెందిన రాకెట్ ఇంజనీరింగ్ కార్పొరేషన్, ప్రామాణిక టర్బోచార్జ్డ్ 210 హెచ"&amp;"్‌పి (160 కిలోవాట్ 520-ఎన్బి మరియు మెక్కాలీ త్రీ-బ్లేడ్ ప్రొపెల్లర్. ఈ ఇంజిన్ మరియు ప్రొపెల్లర్ కలయిక గతంలో ట్విన్-ఇంజిన్ సెస్నా 340 మరియు సెస్నా 414 లలో నిరూపించబడింది. రాకెట్ 305 గా విక్రయించబడింది, ఈ వేరియంట్ 228-నాట్ స్పీడ్ మరియు 1,600 అడుగుల/నిమిషం ర"&amp;"ేటును అధిరోహించింది. [62] ఇది గణనీయంగా పెరిగింది, కానీ అధిక ఇంధన వినియోగం ఖర్చుతో. 305 రాకెట్ STC .MW- పార్సర్-అవుట్పుట్ .ఫ్రాక్ {వైట్-స్పేస్: నౌరాప్} .MW-PARSER- అవుట్పుట్ .ఫ్రాక్ .నమ్, .MW-PARSER- అవుట్పుట్ .ఫ్రాక్ .డెన్ {font-size: 80%; లైన్-హైట్: 0; న"&amp;"ిలువు-అమరిక: సూపర్} .mw- పార్సర్-అవుట్పుట్ .ఫ్రాక్ .డెన్ {నిలువు-అమరిక: ఉప. 0,0,0); ఎత్తు: 1px; మార్జిన్: -1px; ఓవర్‌ఫ్లో: దాచిన; పాడింగ్: 0; స్థానం: సంపూర్ణ; వెడల్పు: 1px} 2+1⁄2 సంవత్సరాల ధృవీకరణ ప్రయత్నం, 1,000 విమాన పరీక్ష గంటలతో సహా. విమానం స్పిన్, ఫ్"&amp;"లట్టర్, లోడ్, శీతలీకరణ మరియు శబ్దం పరీక్షలతో సహా అన్ని FAA విమాన పరీక్ష అవసరాలను దాటింది. STC 231 మరియు 252 M20K వేరియంట్లను కలిగి ఉంది. 231 మరియు 252 లో గరిష్టంగా ధృవీకరించబడిన ఎత్తు 24,000 అడుగులు (7,300 మీ) మరియు 28,000 అడుగులు (8,500 మీ), రాకెట్ 305 య"&amp;"ొక్క ఇంజనీరింగ్ లక్ష్యం గరిష్టంగా 31,000 అడుగుల (9,500 మీ) ధృవీకరణ. STC లో ఎత్తును విస్తరించడం వలన ఖర్చు/ప్రయోజన పరిగణనలు మరియు FAA అవసరాలకు అనుగుణంగా ప్రదర్శించడంలో ఇబ్బంది, అంతేకాకుండా ఈ అన్‌ప్రెసరైజ్డ్ విమానంలో అనుబంధ ఆక్సిజన్ వ్యవస్థలలో అవసరమైన మార్పు"&amp;"లు. అయితే, ఈ విమానం 24,000 అడుగుల (7,300 మీ) కంటే దాదాపు 1,000 అడుగులు/నిమిషానికి పెరుగుతుంది. రాకెట్ మార్పిడిని రాకెట్ ఇంజనీరింగ్ నిలిపివేసింది. [63] ఉత్పత్తి-వెర్షన్ మూనీ ప్రశంసలు ఇప్పుడు వేగంగా వేగాన్ని అందిస్తాయి. కొత్త ప్రశంసల ఖర్చులో మూడింట ఒక వంతుగ"&amp;"ా ఉపయోగించిన మార్కెట్లో రాకెట్లు అందుబాటులో ఉన్నందున, ఇది ఒక చిన్న మార్కెట్ సముచితంలో దాని ప్రజాదరణను కొనసాగిస్తుంది. మూనీ సూపర్ M20E అనేది ఆస్ట్రేలియా అంతటా పోలియో వ్యాక్సిన్ పంపిణీ చేయడంలో ఆమె చేసిన కృషికి ""షుగర్ బర్డ్ లేడీ"" అని పిలువబడే ఆస్ట్రేలియా మ"&amp;"హిళా పైలట్ రాబిన్ మిల్లెర్‌తో చాలా దగ్గరి సంబంధం కలిగి ఉంది. [64] [65] ఇవి 2016 M20 ప్రశంసల అల్ట్రాకు లక్షణాలు. మూనీ వెబ్‌సైట్ నుండి డేటా [66] పోల్చదగిన పాత్ర, కాన్ఫిగరేషన్ మరియు ERA యొక్క సాధారణ లక్షణాలు పనితీరు విమానం")</f>
        <v>మూనీ M20 అనేది పిస్టన్-శక్తితో పనిచేసే, నాలుగు-సీట్ల, ప్రొపెల్లర్-నడిచే, సాధారణ విమానయాన విమానాలు, ఇవన్నీ తక్కువ రెక్కలు మరియు ట్రైసైకిల్ గేర్‌ను కలిగి ఉంటాయి, ఇవి మూనీ ఇంటర్నేషనల్ కార్పొరేషన్ చేత తయారు చేయబడ్డాయి. [1] [2] [3] M20 అల్ మూనీ నుండి 20 వ డిజైన్ మరియు అతని అత్యంత విజయవంతమైనది. ఈ సిరీస్ గత 60 సంవత్సరాలుగా అనేక వైవిధ్యాలలో, 1955 యొక్క చెక్క-వింగ్ M20 మరియు M20A మోడళ్ల నుండి, [3] 2016 లో ప్రారంభమైన M20V ప్రశంసల అల్ట్రా వరకు ఉత్పత్తి చేయబడింది. మొత్తం 11,000 కంటే ఎక్కువ విమానాలు ఉత్పత్తి చేయబడ్డాయి. నవంబర్ 2008 లో, 2000 ల చివరి మాంద్యం ఫలితంగా అన్ని ఉత్పత్తిని నిలిపివేస్తున్నట్లు కంపెనీ ప్రకటించింది, కాని ఇప్పటికీ ఉన్న నౌకాదళానికి భాగాలు మరియు మద్దతును అందిస్తుంది. [4] [5] [6] [7] సంస్థ కొనుగోలు చేసిన తరువాత చైనీస్ మూలధనాన్ని ఇంజెక్ట్ చేయడంతో, M20 యొక్క ఉత్పత్తి ఫిబ్రవరి 2014 లో తిరిగి ప్రారంభమైంది. అప్పటి నుండి, కంపెనీ మరో రెండు M20 మోడళ్లను విడుదల చేసింది. [8] అల్ మూనీ కొంతకాలంగా నాలుగు-సీట్ల M20 కోసం ప్రాథమిక డిజైన్లను అభివృద్ధి చేస్తున్నాడు, సింగిల్-సీట్ల M-18 మైట్ 1940 ల చివరలో మరియు 1950 ల ప్రారంభంలో ఉత్పత్తిలో ఉంది. 1953 ప్రారంభంలో, కంపెనీ కాన్సాస్‌లోని విచిత నుండి టెక్సాస్‌లోని కెర్వ్‌విల్లేకు వెళ్లి, మరియు మైట్ దాని ఉత్పత్తి ముగింపుకు చేరుకున్నట్లు స్పష్టమైనప్పుడు, M20 అభివృద్ధి వేగవంతమైంది. మొదటి M20 ఫ్లైట్ సెప్టెంబర్ 3, 1953 న జరిగింది, మరియు ఇది ఆగస్టు 24, 1955 న ధృవీకరించబడింది. [9] 1955 లో, కంపెనీ M20 విమానాలలో 10 ను విక్రయించింది. ప్రారంభ ఖర్చులు కారణంగా, వారు ప్రతి విమానంలో సుమారు $ 3000 కోల్పోయారు. " 320 ఇంజిన్. వేగం మరియు సామర్థ్యం కలయిక గమనార్హం. [10] 1958 లో M20A లైనప్‌లో 180 హెచ్‌పి (130 కిలోవాట్ల) లైమింగ్ ఓ -360-ఎ 1 ఎ ఇంజిన్‌తో లైనప్‌లో చేరింది, మరియు 1959 నాటికి, ఇది అందించే ఏకైక మోడల్, ఆ సంవత్సరం మొత్తం అమ్మకాలు 231 యూనిట్ల. కంపెనీ లాభం పొందిన మొదటి సంవత్సరం ఇది. M20A 1960 లో ఉత్పత్తిని కొనసాగించింది, 166 పంపిణీ చేయబడింది. రెక్కలు మరియు తోకలో చెక్క నిర్మాణాలను కలిగి ఉన్న మూనీలలో ఇవి చివరివి. [11] మోడల్ చరిత్ర ప్రారంభంలో, నీటి దెబ్బతినడం మరియు ఫలితంగా రాట్ కారణంగా చెక్క తోకలు విమానంలో విడిపోయే అనేక సంఘటనలు సంభవించాయి. పర్యవసానంగా, మూనీ సర్వీస్ బులెటిన్ M20-170A మరియు FAA ఎయిర్‌వర్తెన్స్ డైరెక్టివ్ 86-19-10 ప్రకారం చాలా తోకలను ఇప్పుడు ఆల్-మెటల్ కాపీలతో భర్తీ చేశారు. లోహ అలసట యొక్క అవకాశం లేకుండా, చెక్క వింగ్ నిరవధిక ఆయుర్దాయం కలిగి ఉంది మరియు కొంతమంది పైలట్లు అల్లకల్లోలంగా సున్నితమైన ప్రయాణాన్ని అందించడానికి పరిగణించబడుతుంది. [12] [13] జనవరి 1960 లో, మూనీ కంపెనీ రాల్ఫ్ హార్మోన్‌ను మిస్సౌరీలోని సెయింట్ లూయిస్‌లోని మెక్‌డోనెల్ విమానాన్ని విడిచిపెట్టి, ఇంజనీరింగ్ ప్రయత్నాల నిర్వహణను చేపట్టాలని ఒప్పించింది. అతను M20 లోని కలపను అల్యూమినియంతో భర్తీ చేయాలని పట్టుబట్టాడు, మరియు ఆల్-మెటల్ M20B 1960 చివరి నాటికి పూర్తయింది, అతను వచ్చిన ఒక సంవత్సరం కిందటే. 1961 లో, సంస్థ 222 M20B విమానాలను విక్రయించింది. మరుసటి సంవత్సరం, M20C ప్రవేశపెట్టబడింది మరియు 336 ఆ సంవత్సరం అమ్ముడయ్యాయి. [14] మార్క్ 21 మరియు తరువాత రేంజర్ అని కూడా పిలుస్తారు, [15] M20C M20B పై అనేక మెరుగుదలలను కలిగి ఉంది, వీటిలో నియంత్రణ ఉపరితలాలపై ఎక్కువ విక్షేపం, మెరుగైన ఇంజిన్ శీతలీకరణ కోసం కౌల్ ఫ్లాప్ ఓపెనింగ్స్, హన్లోన్ మరియు విల్సన్ ఎగ్జాస్ట్ సిస్టమ్‌తో మెరుగైన ఎగ్జాస్ట్ స్కావెంజింగ్, కొత్త బ్యాటరీ యాక్సెస్ డోర్, మరింత శక్తివంతమైన ల్యాండింగ్ లైట్, తేలికపాటి అంతస్తు, స్థూల బరువు 2,575 పౌండ్ల (1,168 కిలోలు), తేలికైన ఖాళీ బరువు, కొత్త ఇన్స్ట్రుమెంట్ ప్యానెల్ లేఅవుట్ మరియు 33 డిగ్రీల అధిక గరిష్ట ఫ్లాప్ కోణం. [1] [16] 1963 లో, M20D ప్రవేశపెట్టబడింది, ముఖ్యంగా M20C స్థిర ల్యాండింగ్ గేర్ మరియు స్థిర-పిచ్ ప్రొపెల్లర్‌తో. ఇది M20C కన్నా కొంచెం తక్కువ ధరను కలిగి ఉంది మరియు ఇది ఒక ప్రాథమిక లేదా శిక్షకుల నమూనాగా ఉద్దేశించబడింది, ఇది తక్కువ భీమా ఖర్చులను కలిగి ఉంటుంది మరియు ఇది పైపర్ చెరోకీ 180 తో పోటీపడుతుంది. [1] [3] ఇది ముడుచుకునే ల్యాండింగ్ గేర్‌తో అప్‌గ్రేడ్ చేయవచ్చు మరియు వాస్తవానికి, వాటిలో ఎక్కువ భాగం సంవత్సరాలుగా అప్‌గ్రేడ్ చేయబడ్డాయి. M20D 1963 నుండి 1966 వరకు మొత్తం 161 యూనిట్ల ఉత్పత్తితో ఉత్పత్తి చేయబడింది. [17] 1964 లో M20E సూపర్ 21 ప్రవేశపెట్టబడింది. ఇది M20C పై కూడా ఆధారపడింది, కానీ మరింత శక్తివంతమైన 200 HP (150 kW) లైకమింగ్ ఫ్యూయల్-ఇంజెక్ట్ ఇంజిన్‌తో. సంస్థ ఆ సంవత్సరం 366 M20E యూనిట్లను విక్రయించింది. [18] 1965 లో, M20 కి కొత్త లక్షణం పరిచయం చేయబడింది. దీనిని "పాజిటివ్ కంట్రోల్" అని పిలుస్తారు మరియు ఇది బ్రిటన్ ఇండస్ట్రీస్ చేత ఉత్పత్తి చేయబడిన సింగిల్-యాక్సిస్ ఆటోపైలట్. కంట్రోల్ వీల్‌లోని ఒక బటన్ మలుపులు మరియు బ్యాంకుల కోసం నిరాశకు గురైతే తప్ప ఇది విమానం యొక్క రెక్కలను ఒక స్థాయి స్థానంలో నిర్వహించింది. ఇది వివాదాస్పద లక్షణం, కొంతమంది పైలట్లు ఇష్టపడతారు మరియు ఇతరులు ఇష్టపడరు. [19] [20] M20 యొక్క ఉత్పత్తి మరియు అమ్మకాలు పెరిగాయి. 1966 లో, మొత్తం 760 యూనిట్లు పంపిణీ చేయబడ్డాయి, వీటిలో M20C మార్క్ 21 విమానాలలో 280 మరియు M20E సూపర్ 21 లలో 473 ఉన్నాయి. కొత్త మోడల్, M20F ఎగ్జిక్యూటివ్ 21, క్యాబిన్ పొడవులో 10-అంగుళాల (25 సెం.మీ) పెరుగుదల కారణంగా ఎక్కువ లెగ్‌రూమ్‌ను ఇచ్చింది, ఇది మూడవ ఫ్యూజ్‌లేజ్ సైడ్ విండోకు కూడా అనుమతించింది. [1] [3] [16] మునుపటి మోడళ్లలో 52 యుఎస్ గ్యాలన్లు (200 ఎల్) తో పోలిస్తే ఇది 64 యుఎస్ గ్యాలన్ల (240 ఎల్) ఇంధన సామర్థ్యాన్ని కలిగి ఉంది మరియు అదనంగా 165 పౌండ్లు (75 కిలోలు) వసూలు చేసింది. ఈ సంవత్సరం, కంపెనీ లాభాలలో, 000 1,000,000 ను మించిపోయింది. [21] తక్కువ శక్తివంతమైన 180 హార్స్‌పవర్ (130 కిలోవాట్) ఇంజిన్‌తో M20F యొక్క సంస్కరణ అయిన M20G స్టేట్స్‌మన్ 1968 లో విడుదలైంది. దీనికి M20C కన్నా పెద్ద ఎయిర్‌ఫ్రేమ్ ఉంది, కానీ అదే ఇంజిన్, మరియు దాని ఫలితంగా నెమ్మదిగా ఉంది. ఇది M20F వలె విజయవంతం కాలేదు మరియు 1968 నుండి 1970 వరకు కేవలం మూడు సంవత్సరాలు మాత్రమే ఉత్పత్తి చేయబడింది, మొత్తం ఉత్పత్తి పరుగుతో 189 యూనిట్లు. [22] [23] బలమైన అమ్మకాలు ఉన్నప్పటికీ, మూనీకి నగదు తక్కువగా ఉంది. ఈ సంస్థ 1969 ప్రారంభంలో 7 వ అధ్యాయంలో దివాలా తీసింది, మరియు దీనిని అమెరికన్ ఎలక్ట్రానిక్స్ లాబొరేటరీస్ మరియు తరువాత బట్లర్ ఏవియేషన్ ఇంటర్నేషనల్ కొనుగోలు చేసింది. ఆ సంవత్సరం అమ్మకాలు మునుపటి సంవత్సరం గణాంకాలలో సగం కంటే తక్కువ, అయినప్పటికీ M20E చాపరల్ యొక్క కొత్త వెర్షన్ విద్యుత్తుతో పనిచేసే ఫ్లాప్స్ మరియు ల్యాండింగ్ గేర్‌లతో విడుదల చేయబడింది. బట్లర్ ఏవియేషన్ కూడా సమస్యాత్మక ఏరోస్టార్ కంపెనీని సొంతం చేసుకుంది మరియు రెండింటినీ కాపాడే ప్రయత్నంలో మూనీతో కలిపింది. M20 హోదా వలె 1970 లో మూనీ పేరు తొలగించబడింది; విమానాలను ఏరోస్టార్స్ అని పిలుస్తారు. [24] బట్లర్ ఏవియేషన్ 1971 ప్రారంభంలో మూనీ ప్లాంట్‌ను మూసివేసింది, మరియు ఇది రెండు సంవత్సరాలకు పైగా మూసివేయబడింది. అక్టోబర్ 1973 లో, మూనీని రిపబ్లిక్ స్టీల్ కొనుగోలు చేసింది. రిపబ్లిక్ స్టీల్‌లో జనరల్ మేనేజర్ రాబర్ట్ కమ్మింగ్, మూనీ ఎం 20 ఎఫ్ ఎగ్జిక్యూటివ్‌ను సంవత్సరాలుగా కలిగి ఉన్నాడు మరియు తరచూ ఎగరేశాడు మరియు మూనీ ఎం 20 ను తిరిగి ఉత్పత్తిలోకి పెట్టాలని కోరుకున్నాడు. ఇది జనవరి 1974 లో M20F ఎగ్జిక్యూటివ్ తిరిగి ప్రవేశపెట్టడంతో ప్రారంభమైంది. గతంలో గ్రుమ్మన్ అమెరికన్ కు చెందిన రాయ్ లోప్రెస్టిని ఇంజనీరింగ్ ఉపాధ్యక్షుడిగా నియమించారు. అతని ఇంజనీరింగ్ సమూహం యొక్క ప్రయత్నాల ద్వారా, దాని వేగాన్ని పెంచే లక్ష్యంతో M20 కి వివిధ మెరుగుదలలు జరిగాయి, మరియు M20J జూలై 1976 లో ప్రవేశపెట్టబడింది. దీనిని మూనీ 201 అని కూడా పిలుస్తారు ఎందుకంటే ఇది గంటకు 201 మైళ్ళు ( 323 కిమీ/గం) దాని 200 హార్స్‌పవర్ (150 కిలోవాట్) ఇంజిన్‌తో. 201 పెద్ద విక్రేత, మరియు ఆ సంవత్సరం తరువాత టర్బోచార్జ్డ్ వెర్షన్ అభివృద్ధి చేయబడింది. మరుసటి సంవత్సరం, 1977, మూడు నమూనాలు అందించబడ్డాయి: M20C రేంజర్, M20F ఎగ్జిక్యూటివ్ మరియు M20J 201. 1979 నాటికి, M20C తొలగించబడింది, ఇది చిన్న-శరీర M20 యొక్క ఉత్పత్తిని ముగించింది. [25] అదే సంవత్సరం, 1979, సంస్థ యొక్క మొట్టమొదటి టర్బోచార్జ్డ్ M20 విడుదలైంది: M20K 231, కాబట్టి నియమించబడినందున దాని అగ్ర వేగం గంటకు 231 మైళ్ళు (372 కిమీ/గం). ఇది మరింత మెరుగుదలలతో మునుపటి 201 ఆధారంగా రూపొందించబడింది. ఇది విస్తృత రెక్కలు మరియు ఆరు సిలిండర్ ఖండాంతర ఇంజిన్‌ను కలిగి ఉంది మరియు ఇంధన సామర్థ్యాన్ని 80 యుఎస్ గ్యాలన్లకు (300 ఎల్; 67 ఇంప్ గల్) పెంచారు. ఈ సంవత్సరం, మొత్తం 439 విమానాలు పంపిణీ చేయబడ్డాయి -1960 ల మొదటి సంవత్సరాల కంటే, కానీ ఈ డెలివరీలు ఆరోగ్యకరమైన లాభాలకు దారితీశాయి. ఈ సమయం నుండి 1986 వరకు, M20J మరియు టర్బోచార్జ్డ్ M20K మాత్రమే రెండు నమూనాలు అందించబడ్డాయి. [26] జనరల్ ఏవియేషన్ తయారీ 1982 నుండి ఒక ముఖ్యమైన తిరోగమనాన్ని ఎదుర్కొంది. మూనీ ఇతర తయారీదారులతో పాటు ప్రభావితమైంది మరియు తాత్కాలిక తొలగింపుల ద్వారా తగ్గించవలసి వచ్చింది. మాంద్యం ఉన్నప్పటికీ, అభివృద్ధి పనులు కొనసాగాయి. క్యాబిన్ శబ్దం స్థాయిలలో గణనీయమైన తగ్గింపులతో సహా 201 మరియు 231 మందికి మరిన్ని మెరుగుదలలు వచ్చాయి. 1982 లో, డెలివరీలు 218 యూనిట్లకు పడిపోయాయి మరియు 1983 లో 154 విమానాలు మాత్రమే ఉత్పత్తి చేయబడ్డాయి. అమెరికా వైమానిక దళం సెస్నా టి -41 ట్రైనర్ కోసం ప్రత్యామ్నాయాన్ని అభివృద్ధి చేయడానికి ఒక పోటీని ప్రకటించింది, మరియు మూనీ వెంటనే 231 ఆధారంగా సైనిక శిక్షకుడిని అభివృద్ధి చేయడం ప్రారంభించింది. [27] సంస్థ మాంద్యంతో వ్యవహరిస్తుండగా, రిపబ్లిక్ స్టీల్‌ను లింగ్-టెంకో-కట్ కార్పొరేషన్ కొనుగోలు చేసింది మరియు మూనీని వదిలివేసింది. ఈ సంస్థ లేక్ ఎయిర్క్రాఫ్ట్ యొక్క అర్మాండ్ రివార్డ్ మరియు పారిస్ నుండి మూనీ డీలర్ అలెగ్జాండర్ కూవెలాయిర్ చేతిలో ముగిసింది. అమ్మకాలు తగ్గుతూనే ఉన్నాయి, 1984 లో మొత్తం 143 మరియు 1985 లో 99. [28] తదుపరి కొత్త మోడల్, M20K 252, 1986 ప్రారంభంలో గంటకు 252 మైళ్ళు (406 కిమీ/గం) టాప్ స్పీడ్‌తో కనిపించింది. ఇది 231 స్థానంలో ఉంది మరియు అదే 210 హార్స్‌పవర్ (160 కిలోవాట్) ఇంజిన్‌తో దాని అధిక వేగాన్ని సాధించింది. ఇది అదనపు పరికరాలను శక్తివంతం చేయడానికి మరియు కోల్డ్-వెదర్ ప్రారంభాన్ని మెరుగుపరచడానికి కొత్త 28-వోల్ట్ ఎలక్ట్రికల్ సిస్టమ్‌ను కలిగి ఉంది. 231 లోని ఖండాంతర TSI0-360-GB ఇంజిన్‌కు నిర్దిష్ట పైలట్ శిక్షణ మరియు సవరించిన టేకాఫ్ మరియు వేడి వాతావరణంలో ఆమోదయోగ్యమైన ఇంజిన్ ఉష్ణోగ్రతల వద్ద పనిచేయడానికి సవరించిన టేకాఫ్ మరియు క్లైమ్ విధానాలు అవసరం. ఈ కారణంగా, 252 మంది ఇంటర్‌కూల్డ్ టిఎస్‌ఓ -360-ఎంబి ఇంజిన్‌ను అందుకున్నారు. వివిధ మెరుగుదలలు 201 ఎయిర్‌ఫ్రేమ్‌కు కాపీ చేయబడ్డాయి మరియు కొత్త 205 మోడల్ 1987 లో విడుదలైంది. [1] [16] దీని తరువాత 1988 లో M20L PFM ఉంది, ఇది 911 కారెరా ఇంజిన్ నుండి అభివృద్ధి చేయబడిన పోర్స్చే PFM 3200 ఇంజిన్ చేత శక్తినిస్తుంది. ఈ కాన్ఫిగరేషన్‌తో గరిష్ట వేగం 161 kN (298 km/h). [29] ఫ్యూజ్‌లేజ్ మొట్టమొదటి పొడవైన-శరీర M20 ను రూపొందించడానికి విస్తరించింది. ఈ విమానంలో ఒక కొత్త లక్షణం థొరెటల్, మిశ్రమం మరియు ప్రొపెల్లర్ నియంత్రణలను ఒకే శక్తి నియంత్రణతో భర్తీ చేయడం; ఈ సింగిల్ కంట్రోల్ సెట్టింగ్ ఆధారంగా మిశ్రమం మరియు ప్రొపెల్లర్ రొటేషన్ వేగం స్వయంచాలకంగా సర్దుబాటు చేయబడ్డాయి. మూనీ పిఎఫ్‌ఎం చివరిగా లేదు, మొత్తం 41 యూనిట్లు 1988 మరియు 1989 లో తయారు చేయబడ్డాయి. [30] చాలా M20L లు ఇకపై ఈ ప్రత్యేకమైన ఇంజిన్‌ను ఉపయోగించవు, ఎందుకంటే ఫ్యాక్టరీ మద్దతు 2005 లో ఆగిపోయింది. [31] ఫిబ్రవరి 1989 లో, తదుపరి M20 మోడల్ విడుదలైంది: M20M TLS (టర్బోచార్జ్డ్ లైమింగ్ సాబెర్). టర్బోచార్జ్డ్ లైమింగ్ సిక్స్-సిలిండర్ల ఇంజిన్ 270 హార్స్‌పవర్ (200 కిలోవాట్) ను 2,575 ఆర్‌పిఎమ్ వద్ద ఉత్పత్తి చేసింది, మరియు దీనికి మూడు-బ్లేడెడ్ ప్రొపెల్లర్ ఉంది. ఇది గంటకు 230 మైళ్ళు (గంటకు 370 కిమీ) వద్ద ప్రయాణించగలదు మరియు 1,060 మైళ్ళు (1,710 కిమీ) మరియు గరిష్టంగా ఎక్కడానికి నిమిషానికి 2,380 అడుగుల (730 మీ) అధిరోహణ రేటు ఉంది. మొదటి సంవత్సరం, TLS డెలివరీ చేసిన 143 విమానాలలో 30 వాటాను కలిగి ఉంది, మరియు 1990 లో, ఇది 61 యూనిట్లకు పెరిగింది. [32] 1989 లో, మూనీ M20J ఆధారంగా ఒక శిక్షకుల నమూనాను విడుదల చేసింది. బీచ్, సెస్నా మరియు పైపర్ అన్నీ 1980 లలో శిక్షకుల ఉత్పత్తిని ఆపివేసాయి మరియు ఈ అంతరాన్ని పూరించడానికి 201ట్ రూపొందించబడింది. 1989 నుండి 1992 వరకు, 20 యూనిట్లు పంపిణీ చేయబడ్డాయి. [33] తదుపరి మూనీ M20 మోడల్ M20J 201, ఇది 1990 లో విడుదలైన MSE ని కూడా నియమించింది (అయినప్పటికీ కొన్ని వాస్తవానికి 1991 కి ముందు పంపిణీ చేయబడ్డాయి). ఇది 200 హార్స్‌పవర్ (150 కిలోవాట్ల) టర్బోచార్జ్డ్ మోడల్, ఇది టిఎల్‌ఎస్ నుండి అనేక లక్షణాలను కలిగి ఉంది. 1991 ప్రారంభంలో, మూనీ తన మెరుగైన ఫ్లైట్ స్క్రీనర్ ట్రైనర్ మోడల్‌ను సాధారణ ప్రజలకు అందించాలని నిర్ణయించుకుంది, ఎందుకంటే వైమానిక దళం తన శిక్షకుడిపై నిర్ణయం తీసుకోవడానికి నెమ్మదిగా ఉంది. ఇది 260 హార్స్‌పవర్ (190 kW) లైమింగ్ O-540 ఇంజిన్‌ను కలిగి ఉంది మరియు ఏరోబాటిక్స్ కోసం రేట్ చేయబడుతుంది. అయితే, ఇది తక్కువ ప్రజా ప్రయోజనాన్ని సృష్టించింది. TLS 1995 వరకు ఉత్పత్తిని కొనసాగించింది, మరియు 1994 లో M20R ఓవెన్ ద్వారా భర్తీ చేయబడినంత వరకు MSE కూడా కొనసాగింది. మరోసారి, మూనీ రెండు మోడళ్లను అందిస్తోంది: ఒకటి అధిక వేగం (TLS) మరియు మరొకటి అధిక సామర్థ్యాన్ని అందిస్తోంది. [ 34] లైమింగ్ AEIO-540 ఇంజిన్ ద్వారా నడిచే ప్రాథమిక M20 డిజైన్ యొక్క పందిరి-అమర్చిన M20T ప్రెడేటర్, USAF మెరుగైన ఫ్లైట్ స్క్రీనర్ పోటీలో మూనీ ప్రవేశించినది. 1991 లో నిర్మించిన ప్రోటోటైప్, టైగర్-స్ట్రైప్ పెయింట్ పథకంలో ప్రదర్శించబడింది. ఏకైక ప్రోటోటైప్, రిజిస్టర్డ్ N20XT, ప్రయోగాత్మక - మార్కెట్ సర్వే విభాగంలో ఎగురవేయబడింది మరియు ఇప్పటికీ 2013 లో మూనీ విమానాల యాజమాన్యంలో ఉంది, అయినప్పటికీ దాని నమోదు నవంబర్ 30, 2013 తో ముగిసింది. [35] [36] [37] మెరుగైన ఫ్లైట్ స్క్రీనర్ ప్రోగ్రామ్ కోసం పోటీ చివరకు 1992 లో జరిగింది, మరియు స్లింగ్స్బై T67 ఫైర్‌ఫ్లై మూనీ EFS కి బదులుగా ఎంపిక చేయబడింది. అమ్మకాలు పడిపోతూనే ఉన్నాయి, 1993 లో 64 యూనిట్లకు మాత్రమే చేరుకున్నాయి. శాన్ ఆంటోనియో స్థానం అమ్ముడైంది మరియు అన్ని కార్యకలాపాలు కెర్విల్లేకు తిరిగి వచ్చాయి. అయినప్పటికీ, M20 యొక్క అభివృద్ధి కొనసాగింది, మరియు M20R ఓవెన్ 1994 లో విడుదలైంది. ఇది సాధారణంగా ఆశించిన MSE మరియు టర్బోచార్జ్డ్ TL ల మధ్య అంతరాన్ని పూరించడానికి రూపొందించబడింది మరియు ఇది 280 హార్స్‌పవర్ (210 kW) ఖండాంతర IO-550 ద్వారా శక్తినిచ్చింది ఇంజిన్. 1995 లో తయారు చేసిన 91 మూనీ విమానంలో, 54 అండోత్సర్గాలు. [38] ఈ మోడల్‌కు 1994 లో ఫ్లయింగ్ యొక్క సింగిల్-ఇంజిన్ ప్లేన్ ఆఫ్ ది ఇయర్ అని పేరు పెట్టారు. [16] మరుసటి సంవత్సరం, మరింత శక్తివంతమైన లైమింగ్ TIO-540-AF1B ఇంజిన్‌తో TLS యొక్క అప్‌గ్రేడ్ మోడల్‌ను M20M గా నియమించారు, కానీ కొత్త B ఇంజిన్ కారణంగా "బ్రావో" గా కూడా దీనిని "బ్రావో" గా సూచిస్తారు. ఈ అప్‌గ్రేడ్ TIO-540-AF1A ఇంజిన్‌ను కలిగి ఉన్న మునుపటి TLS మోడళ్ల యజమానులకు అందించబడింది. బ్రావో విడుదలైన వెంటనే, బ్రావో మరియు ఓవెన్ మోడళ్ల కోసం TKS ICE రక్షణ వ్యవస్థను అందించారు. M20K ఎంకోర్ 1997 లో విడుదలైంది, మరింత హార్స్‌పవర్ మరియు అధిక స్థూల బరువు కలిగిన M20K, ఇది అసలు M20K మాదిరిగానే పనితీరును ఇస్తుంది. ఇది మెరుగైన ఇంటీరియర్ మరియు తగ్గిన క్యాబిన్ శబ్దం స్థాయిలను కూడా కలిగి ఉంది. [39] 1999 లో విడుదలైన M20S ఈగిల్ 244 HP (182 kW) ఖండాంతర IO-550-G చేత శక్తిని పొందింది. దీనిని 2001 లో ఈగిల్ 2 చేత అనుసరించింది. ఈ మోడల్‌లో ప్రామాణిక తోలు ఇంటీరియర్ వంటి మెరుగుదలలు ఉన్నాయి. ఈగిల్ 2 అదే 3 బ్లేడ్ ప్రొపెల్లర్‌ను M20R యొక్క అసలు సంస్కరణల వలె ఉపయోగించింది మరియు ఇది 1994 నుండి 1994 వరకు ఉత్పత్తి చేయబడింది. [40] M20TN ప్రశంసలు 2006 లో విడుదలయ్యాయి, వీటిని టర్బోనార్మలైజ్డ్ కాంటినెంటల్ TSIO-550-G పవర్‌ప్లాంట్ ట్విన్ టర్బోచార్జర్స్ మరియు డ్యూయల్ ఇంటర్‌కూలర్లతో నడిపించింది. ప్రశంసలు కంపెనీ ఉత్పత్తి శ్రేణిలో మూనీ M20M బ్రావోను భర్తీ చేశాయి. [35] [41] మూనీ జూన్ 2008 లో 60 మంది ఉద్యోగులను తొలగించి, ఉత్పత్తిని తగ్గించింది, బలహీనమైన ఆర్థిక వ్యవస్థ మరియు అధిక ఇంధన ధరల ద్వారా నిరోధించబడిన అమ్మకాలు. [42] ఆ సంవత్సరం తరువాత, నవంబర్లో, అన్ని ఉత్పత్తి ఆగిపోయింది. [4] జూలై 2008 లో, మూనీ రోల్స్ రాయిస్‌తో ఒక అవగాహన యొక్క మెమోరాండం సంతకం చేసింది, ఇది M20 యొక్క సంస్కరణను అభివృద్ధి చేయడానికి రోల్స్ రాయిస్ RR500 TP టర్బోప్రాప్ పవర్‌ప్లాంట్ చేత శక్తినిస్తుంది. ఈ ప్రాజెక్ట్ ఉమ్మడి "మార్కెటింగ్ ఇన్వెస్టిగేషన్" మరియు "అన్వేషణ ప్రాజెక్ట్" గా ప్రకటించబడింది, కాని ఫలవంతం చేసినట్లు కనిపించడం లేదు. [43] 2010 చివరలో ఎక్కువ మంది ఉద్యోగులు తొలగించబడ్డారు. 2011 ప్రారంభంలో 10 కంటే తక్కువ మంది ఉద్యోగులను కలిగి ఉండటమే పేర్కొన్న లక్ష్యం, ఈ ఉద్యోగులు కొత్త పెట్టుబడి కోసం శోధిస్తున్నప్పుడు ఇప్పటికే ఉన్న విమాన యజమానులకు భాగాలు మరియు సహాయాన్ని అందిస్తున్నారు. [5] ఈ శోధన 2013 చివరలో ముగిసింది; చైనీస్ పెట్టుబడి 2014 ప్రారంభంలో కంపెనీని ఉత్పత్తిని తిరిగి ప్రారంభించడానికి వీలు కల్పించింది. [44] [45] ఆ సంవత్సరం తరువాత, M10T మరియు M10J ను కాంటినెంటల్ డీజిల్ ఇంజిన్లచే నడిచేవి ప్రకటించబడ్డాయి. [46] [47] రెండు కొత్త నమూనాలు 2016 లో విడుదలయ్యాయి: M20U ఓవెన్ అల్ట్రా మరియు M20V ప్రశంసలు అల్ట్రా. M20U M20R పై ఆధారపడింది మరియు దాని మొదటి ఫ్లైట్ 4 జూన్ 2016 న జరిగింది. పైలట్-సైడ్ తలుపు ఉన్న మొదటి M20 ఇది. ఇది సాంప్రదాయ అల్యూమినియం చర్మాన్ని భర్తీ చేసిన మిశ్రమ షెల్ ఫార్వర్డ్ ఫ్యూజ్‌లేజ్‌ను కూడా కలిగి ఉంది. M20TN ప్రశంసల నుండి అభివృద్ధి చేయబడిన M20V, ఆ లక్షణాలను కలిగి ఉంది. [48] [49] సంస్థ తన తలుపులు మూసివేసింది మరియు 12 నవంబర్ 2019 న అన్ని సిబ్బందిని తొలగించింది. [50] సంస్థ తిరిగి తెరిచింది మరియు సిబ్బంది 2 డిసెంబర్ 2019 న తిరిగి పనికి వచ్చారు. [51] చెక్క ఫ్రేమ్‌లతో రెక్కలు మరియు తోకలను కలిగి ఉన్న మొట్టమొదటి నమూనాలను మినహాయించి, M20 లు పూర్తిగా లోహంతో నిర్మించబడ్డాయి. అన్నీ తక్కువ-వింగ్ విమానం, మరియు వింగ్ స్కిన్ అల్యూమినియం. స్లాట్డ్ ఫ్లాప్స్ 70% వెనుకంజలో ఉన్నాయి. మునుపటి నమూనాలు ఫ్లాప్‌లను విస్తరించడానికి హైడ్రాలిక్ హ్యాండ్ పంప్‌ను ఉపయోగిస్తాయి, తరువాత నమూనాలు విద్యుత్తుతో పనిచేసే ఫ్లాప్‌లను కలిగి ఉంటాయి. ఫార్వర్డ్ ఫ్యూజ్‌లేజ్‌లో అల్యూమినియం చర్మంలో కప్పబడిన స్టీల్-ట్యూబ్ క్యాబిన్ నిర్మాణం ఉంది; ఫ్యూజ్‌లేజ్ యొక్క వెనుక భాగం సెమీ-మోనోకోక్ డిజైన్. విమానం యొక్క చర్మంపై చాలా ప్రదేశాలలో, డ్రాగ్‌ను తగ్గించడానికి ఫ్లష్-మౌంటెడ్ రివెట్‌లను ఉపయోగిస్తారు. [52] మూనీ M20 లోని ల్యాండింగ్ గేర్ వేడి-చికిత్స క్రోమ్-మాలిబ్డినం స్టీల్‌తో తయారు చేయబడింది. ప్రధాన ల్యాండింగ్ గేర్ ప్రధాన వింగ్ స్పార్‌తో జతచేయబడుతుంది, ముక్కు గేర్ గొట్టపు ఉక్కు చట్రానికి అమర్చబడి ఉంటుంది. రబ్బరు షాక్ డిస్కుల స్టాక్‌లు షాక్ అబ్జార్బర్‌లుగా పనిచేస్తాయి. అన్ని నమూనాలు, M20D మాస్టర్ మినహా, ముడుచుకునే ల్యాండింగ్ గేర్‌తో వచ్చాయి; ఈ మోడళ్లలో, ముక్కు చక్రం వెనుకకు ఉపసంహరించుకుంటుంది మరియు ప్రధాన చక్రాలు లోపలికి ఉపసంహరించుకుంటాయి. ప్రారంభ నమూనాలు గేర్‌ను పెంచడానికి మరియు తగ్గించడానికి చేతితో పనిచేసే లివర్ వ్యవస్థను ఉపయోగిస్తాయి. థొరెటల్ క్రింద నుండి లివర్‌ను అన్‌లాక్ చేయడం ద్వారా మానవీయంగా యాక్చువేట్ ల్యాండింగ్ గేర్ పెంచబడుతుంది, దీనిని "జాన్సన్ బార్" అని పిలుస్తారు మరియు దీనిని జాన్సన్ బార్ (లోకోమోటివ్) పేరు పెట్టారు, దానిని నేలమీద తిప్పడం మరియు దానిని ఒక ఫిక్చర్‌లో లాక్ చేయడం అంతస్తు. ల్యాండింగ్ గేర్‌ను తగ్గించడానికి అదే కార్యకలాపాలు వ్యతిరేక క్రమంలో అవసరం. ఆసక్తికరంగా, అల్ మూనీ రైల్‌రోడ్ పరిశ్రమకు యువకుడిగా పనిచేయడం ప్రారంభించాడు, అందువల్ల ఒక విమానంలో కొంత భాగాన్ని వివరించడంలో ఉపయోగం కోసం ఆవిరి లోకోమోటివ్ పదాన్ని తీసుకోవడం. [53] [52] 1969 నుండి, విద్యుత్తుతో పనిచేసే ల్యాండింగ్ గేర్ ప్రామాణికంగా మారింది. [54] మూనీ M20 లో 1.5 డిగ్రీల వాషౌట్ మరియు 5.5 డిగ్రీల డైహెడ్రల్ ఉన్న మీడియం కారక-నిష్పత్తి దెబ్బతిన్న రెక్కలు ఉన్నాయి. తరువాత నమూనాలు స్టాల్ లక్షణాలను మెరుగుపరచడానికి స్టాల్ స్ట్రిప్స్‌ను కలిగి ఉన్నాయి. [52] మూనీ M20 యొక్క సామ్రాజ్యం దాని ప్రత్యేకమైన టెయిల్ ఫిన్ ద్వారా నిలువు ప్రముఖ అంచుతో సులభంగా గుర్తించబడుతుంది. . పిచ్ ట్రిమ్ అందించడానికి మొత్తం తోక అసెంబ్లీ ఫ్యూజ్‌లేజ్ వెనుక భాగంలో ఉంది. [55] అన్ని M20 లు రెండు వేర్వేరు "వెట్ వింగ్" ట్యాంకులలో ఇంధనాన్ని నిల్వ చేస్తాయి, ఇవి ప్రతి రెక్క యొక్క ఇన్బోర్డ్ విభాగాలలో ఉన్నాయి. ఇంధనాన్ని ట్యాంక్ నుండి ఇంజెక్టర్లు లేదా కార్బ్యురేటర్‌కు ఇంజిన్ నడిచే పంప్ ద్వారా నడిపిస్తారు, ఎలక్ట్రిక్ బూస్ట్ పంప్‌తో బ్యాకప్ చేస్తారు. [55] పెరిగిన శక్తి కోసం, చాలా M20 లు కూడా రామ్-ఎయిర్ ఇండక్షన్ వ్యవస్థను కలిగి ఉన్నాయి, దీనిని మూనీ "పవర్ బూస్ట్" అని పిలుస్తారు. సాధారణ కార్యకలాపాల కోసం, ఇండక్షన్ సిస్టమ్‌లోకి ప్రవేశించే ముందు తీసుకోవడం గాలి ఫిల్టర్ చేయబడుతుంది. రామ్ ఎయిర్ ఎంచుకున్నప్పుడు, పాక్షికంగా వడకట్టని గాలి అధిక పీడనంతో ప్రేరణ వ్యవస్థలోకి ప్రవేశిస్తుంది మరియు తత్ఫలితంగా మానిఫోల్డ్ పీడనం పూర్తి అంగుళం పాదరసం పెరుగుతుంది, ఇది సముద్ర మట్టానికి 7500 అడుగుల ఎత్తులో ఎగురుతుంది, ఎక్కువ శక్తి ఉత్పత్తిని ఇస్తుంది. [55] టర్బోచార్జ్డ్ వేరియంట్లు ఈ లక్షణాన్ని వదిలివేస్తాయి, ఎందుకంటే టర్బోచార్జర్ మానిఫోల్డ్ పీడనంలో చాలా ఎక్కువ పెరుగుదలను అందిస్తుంది. మూనీ M20 సిరీస్ మూడు ఫ్యూజ్‌లేజ్ పొడవులలో ఉత్పత్తి చేయబడింది: "షార్ట్-బాడీ" (M20 నుండి M20E నుండి), "మీడియం-బాడీ" (M20F నుండి M20K ద్వారా) మరియు "లాంగ్-బాడీ" (M20L నుండి M20V ద్వారా). అన్ని M20 లకు నాలుగు సీట్లు ఉన్నప్పటికీ, ఫ్యూజ్‌లేజ్ పొడవు పెరుగుదల ఎక్కువ వెనుక ప్రయాణీకుల లెగ్‌రూమ్‌ను అందించింది, కానీ స్వల్ప పనితీరు తగ్గడంతో: ఇదే విధమైన ఇంజిన్ మరియు పాతకాలపు కోసం, పొడవైన-శరీర విమానం చిన్న-శరీర విమానం కంటే 4 నుండి 6 నాట్లు నెమ్మదిగా ఉంటుంది. [ 56] ఆగష్టు 2017 లో, 6,748 మూనీ ఎం 20 విమానాలను యుఎస్ ఫెడరల్ ఏవియేషన్ అడ్మినిస్ట్రేషన్, 342 ట్రాన్స్పోర్ట్ కెనడాతో, మరియు యునైటెడ్ కింగ్‌డమ్‌లో 33 సివిల్ ఏవియేషన్ అథారిటీతో నమోదు చేయబడ్డాయి. [57] [58] [59] జూన్ మరియు జూలై, 2017 లో, పైలట్ బ్రియాన్ లాయిడ్ ప్రపంచవ్యాప్తంగా తన మూనీ ఎం 20 కె 231 ను ఎగరేశాడు, అమేలియా ఇయర్హార్ట్ యొక్క ప్రయత్నంలో 1937 లో జరిగిన లోపభూయిష్టత. మూనీలు వారి పనితీరును శుభ్రమైన ఎయిర్‌ఫ్రేమ్, చిన్న క్యాబిన్ క్రాస్-సెక్షన్ మరియు లాగడం నుండి రిఫైన్‌మెంట్‌లను తగ్గిస్తాయి. ఈ మెరుగుదలలు చాలావరకు అనంతర వ్యాపారాలు అభివృద్ధి చేసిన ఎయిర్‌ఫ్రేమ్‌కు అనుబంధ రకం సర్టిఫికేట్ (ఎస్‌టిసి) మార్పులు. ఈ మార్పులలో కొన్ని ఫ్యాక్టరీ ఉత్పత్తి నమూనాలలో చేర్చబడ్డాయి. 1990 లో, వాషింగ్టన్లోని స్పోకనేకు చెందిన రాకెట్ ఇంజనీరింగ్ కార్పొరేషన్, ప్రామాణిక టర్బోచార్జ్డ్ 210 హెచ్‌పి (160 కిలోవాట్ 520-ఎన్బి మరియు మెక్కాలీ త్రీ-బ్లేడ్ ప్రొపెల్లర్. ఈ ఇంజిన్ మరియు ప్రొపెల్లర్ కలయిక గతంలో ట్విన్-ఇంజిన్ సెస్నా 340 మరియు సెస్నా 414 లలో నిరూపించబడింది. రాకెట్ 305 గా విక్రయించబడింది, ఈ వేరియంట్ 228-నాట్ స్పీడ్ మరియు 1,600 అడుగుల/నిమిషం రేటును అధిరోహించింది. [62] ఇది గణనీయంగా పెరిగింది, కానీ అధిక ఇంధన వినియోగం ఖర్చుతో. 305 రాకెట్ STC .MW- పార్సర్-అవుట్పుట్ .ఫ్రాక్ {వైట్-స్పేస్: నౌరాప్} .MW-PARSER- అవుట్పుట్ .ఫ్రాక్ .నమ్, .MW-PARSER- అవుట్పుట్ .ఫ్రాక్ .డెన్ {font-size: 80%; లైన్-హైట్: 0; నిలువు-అమరిక: సూపర్} .mw- పార్సర్-అవుట్పుట్ .ఫ్రాక్ .డెన్ {నిలువు-అమరిక: ఉప. 0,0,0); ఎత్తు: 1px; మార్జిన్: -1px; ఓవర్‌ఫ్లో: దాచిన; పాడింగ్: 0; స్థానం: సంపూర్ణ; వెడల్పు: 1px} 2+1⁄2 సంవత్సరాల ధృవీకరణ ప్రయత్నం, 1,000 విమాన పరీక్ష గంటలతో సహా. విమానం స్పిన్, ఫ్లట్టర్, లోడ్, శీతలీకరణ మరియు శబ్దం పరీక్షలతో సహా అన్ని FAA విమాన పరీక్ష అవసరాలను దాటింది. STC 231 మరియు 252 M20K వేరియంట్లను కలిగి ఉంది. 231 మరియు 252 లో గరిష్టంగా ధృవీకరించబడిన ఎత్తు 24,000 అడుగులు (7,300 మీ) మరియు 28,000 అడుగులు (8,500 మీ), రాకెట్ 305 యొక్క ఇంజనీరింగ్ లక్ష్యం గరిష్టంగా 31,000 అడుగుల (9,500 మీ) ధృవీకరణ. STC లో ఎత్తును విస్తరించడం వలన ఖర్చు/ప్రయోజన పరిగణనలు మరియు FAA అవసరాలకు అనుగుణంగా ప్రదర్శించడంలో ఇబ్బంది, అంతేకాకుండా ఈ అన్‌ప్రెసరైజ్డ్ విమానంలో అనుబంధ ఆక్సిజన్ వ్యవస్థలలో అవసరమైన మార్పులు. అయితే, ఈ విమానం 24,000 అడుగుల (7,300 మీ) కంటే దాదాపు 1,000 అడుగులు/నిమిషానికి పెరుగుతుంది. రాకెట్ మార్పిడిని రాకెట్ ఇంజనీరింగ్ నిలిపివేసింది. [63] ఉత్పత్తి-వెర్షన్ మూనీ ప్రశంసలు ఇప్పుడు వేగంగా వేగాన్ని అందిస్తాయి. కొత్త ప్రశంసల ఖర్చులో మూడింట ఒక వంతుగా ఉపయోగించిన మార్కెట్లో రాకెట్లు అందుబాటులో ఉన్నందున, ఇది ఒక చిన్న మార్కెట్ సముచితంలో దాని ప్రజాదరణను కొనసాగిస్తుంది. మూనీ సూపర్ M20E అనేది ఆస్ట్రేలియా అంతటా పోలియో వ్యాక్సిన్ పంపిణీ చేయడంలో ఆమె చేసిన కృషికి "షుగర్ బర్డ్ లేడీ" అని పిలువబడే ఆస్ట్రేలియా మహిళా పైలట్ రాబిన్ మిల్లెర్‌తో చాలా దగ్గరి సంబంధం కలిగి ఉంది. [64] [65] ఇవి 2016 M20 ప్రశంసల అల్ట్రాకు లక్షణాలు. మూనీ వెబ్‌సైట్ నుండి డేటా [66] పోల్చదగిన పాత్ర, కాన్ఫిగరేషన్ మరియు ERA యొక్క సాధారణ లక్షణాలు పనితీరు విమానం</v>
      </c>
      <c r="E60" s="1" t="s">
        <v>1404</v>
      </c>
      <c r="F60" s="1" t="s">
        <v>1405</v>
      </c>
      <c r="G60" s="1" t="str">
        <f>IFERROR(__xludf.DUMMYFUNCTION("GOOGLETRANSLATE(F:F, ""en"", ""te"")"),"వ్యక్తిగత ఉపయోగం పౌర విమానం")</f>
        <v>వ్యక్తిగత ఉపయోగం పౌర విమానం</v>
      </c>
      <c r="L60" s="1" t="s">
        <v>1406</v>
      </c>
      <c r="M60" s="1" t="str">
        <f>IFERROR(__xludf.DUMMYFUNCTION("GOOGLETRANSLATE(L:L, ""en"", ""te"")"),"మూనీ ఇంటర్నేషనల్ కార్పొరేషన్")</f>
        <v>మూనీ ఇంటర్నేషనల్ కార్పొరేషన్</v>
      </c>
      <c r="N60" s="1" t="s">
        <v>1407</v>
      </c>
      <c r="O60" s="1" t="s">
        <v>1408</v>
      </c>
      <c r="P60" s="1" t="str">
        <f>IFERROR(__xludf.DUMMYFUNCTION("GOOGLETRANSLATE(O:O, ""en"", ""te"")"),"అల్ మూనీ")</f>
        <v>అల్ మూనీ</v>
      </c>
      <c r="Q60" s="1" t="s">
        <v>1409</v>
      </c>
      <c r="R60" s="1">
        <v>1953.0</v>
      </c>
      <c r="S60" s="1" t="s">
        <v>1410</v>
      </c>
      <c r="T60" s="1" t="s">
        <v>216</v>
      </c>
      <c r="V60" s="1" t="s">
        <v>518</v>
      </c>
      <c r="W60" s="1" t="s">
        <v>1411</v>
      </c>
      <c r="X60" s="1" t="s">
        <v>1412</v>
      </c>
      <c r="Y60" s="1" t="s">
        <v>1413</v>
      </c>
      <c r="AG60" s="1" t="s">
        <v>1414</v>
      </c>
      <c r="AH60" s="1" t="s">
        <v>1415</v>
      </c>
      <c r="AO60" s="1">
        <v>1955.0</v>
      </c>
      <c r="AV60" s="1" t="s">
        <v>1416</v>
      </c>
      <c r="AX60" s="1" t="s">
        <v>1417</v>
      </c>
      <c r="AY60" s="1" t="str">
        <f>IFERROR(__xludf.DUMMYFUNCTION("GOOGLETRANSLATE(AX:AX, ""en"", ""te"")"),"1 × కాంటినెంటల్ సియో -550-జి ఎయిర్-కూల్డ్, 6-సిలిండర్, అడ్డంగా వ్యతిరేకించిన పిస్టన్ ఇంజిన్, 280 హెచ్‌పి (209 కిలోవాట్)")</f>
        <v>1 × కాంటినెంటల్ సియో -550-జి ఎయిర్-కూల్డ్, 6-సిలిండర్, అడ్డంగా వ్యతిరేకించిన పిస్టన్ ఇంజిన్, 280 హెచ్‌పి (209 కిలోవాట్)</v>
      </c>
      <c r="AZ60" s="1" t="s">
        <v>1418</v>
      </c>
      <c r="BA60" s="1" t="str">
        <f>IFERROR(__xludf.DUMMYFUNCTION("GOOGLETRANSLATE(AZ:AZ, ""en"", ""te"")"),"3-బ్లేడెడ్ హార్ట్జెల్ స్కిమిటార్ త్రీ-బ్లేడ్")</f>
        <v>3-బ్లేడెడ్ హార్ట్జెల్ స్కిమిటార్ త్రీ-బ్లేడ్</v>
      </c>
      <c r="BC60" s="1" t="s">
        <v>1419</v>
      </c>
      <c r="BD60" s="1" t="s">
        <v>1023</v>
      </c>
      <c r="BG60" s="2"/>
      <c r="BI60" s="1" t="s">
        <v>1420</v>
      </c>
      <c r="BJ60" s="1" t="s">
        <v>1421</v>
      </c>
      <c r="BR60" s="1" t="s">
        <v>1422</v>
      </c>
      <c r="BT60" s="1" t="s">
        <v>1423</v>
      </c>
      <c r="BU60" s="1" t="s">
        <v>1424</v>
      </c>
      <c r="BV60" s="1" t="str">
        <f>IFERROR(__xludf.DUMMYFUNCTION("GOOGLETRANSLATE(BU:BU, ""en"", ""te"")"),"ఉత్పత్తి పూర్తయింది")</f>
        <v>ఉత్పత్తి పూర్తయింది</v>
      </c>
      <c r="BW60" s="1" t="s">
        <v>1425</v>
      </c>
      <c r="BX60" s="1"/>
      <c r="BY60" s="1" t="s">
        <v>1426</v>
      </c>
    </row>
    <row r="61">
      <c r="A61" s="1" t="s">
        <v>1427</v>
      </c>
      <c r="B61" s="1" t="str">
        <f>IFERROR(__xludf.DUMMYFUNCTION("GOOGLETRANSLATE(A:A, ""en"", ""te"")"),"R101")</f>
        <v>R101</v>
      </c>
      <c r="C61" s="1" t="s">
        <v>1428</v>
      </c>
      <c r="D61" s="1" t="str">
        <f>IFERROR(__xludf.DUMMYFUNCTION("GOOGLETRANSLATE(C:C, ""en"", ""te"")"),"బ్రిటిష్ సామ్రాజ్యంలో సుదూర మార్గాల్లో సేవ చేయగల పౌర ఎయిర్‌షిప్‌లను అభివృద్ధి చేయడానికి బ్రిటిష్ ప్రభుత్వ కార్యక్రమంలో భాగంగా 1929 లో పూర్తయిన బ్రిటిష్ దృ g మైన ఎయిర్‌షిప్‌లలో R101 ఒకటి. ఇది ఒక వైమానిక మంత్రిత్వ శాఖ-నియమించబడిన బృందం రూపొందించింది మరియు న"&amp;"ిర్మించింది మరియు ప్రభుత్వ నిధులతో పోటీగా ఉంది, కానీ ప్రైవేటుగా రూపకల్పన చేసి R100 ను నిర్మించింది. నిర్మించినప్పుడు, ఇది ప్రపంచంలోనే అతిపెద్ద ఎగిరే క్రాఫ్ట్ [2] 731 అడుగుల (223 మీ) పొడవు, మరియు ఏడు సంవత్సరాల తరువాత LZ 129 హిండెన్‌బర్గ్ ప్రారంభమయ్యే వరకు "&amp;"ఇది మరొక హైడ్రోజన్ నిండిన దృ g మైన ఎయిర్‌షిప్ ద్వారా అధిగమించబడలేదు. ట్రయల్ విమానాలు మరియు లిఫ్టింగ్ సామర్థ్యాన్ని పెంచడానికి తదుపరి మార్పుల తరువాత, ఇందులో ఓడను మరొక గ్యాస్‌బ్యాగ్‌ను జోడించడానికి 46 అడుగుల (14 మీ) పొడిగించడం, [3] 5 అక్టోబర్ 1930 న ఫ్రాన్స"&amp;"్‌లో R101 క్రాష్ అయ్యింది బోర్డులో 54 మంది. [4] చంపబడిన ప్రయాణీకులలో లార్డ్ థామ్సన్, ఈ కార్యక్రమాన్ని ప్రారంభించిన వైమానిక మంత్రి, సీనియర్ ప్రభుత్వ అధికారులు మరియు రాయల్ ఎయిర్‌షిప్ పనుల నుండి దాదాపు అన్ని డైరిజిబుల్ డిజైనర్లు ఉన్నారు. R101 యొక్క క్రాష్ బ్"&amp;"రిటిష్ ఎయిర్ షిప్ అభివృద్ధిని సమర్థవంతంగా ముగించింది మరియు ఇది 1930 లలో చెత్త ఎయిర్ షిప్ ప్రమాదాలలో ఒకటి. 1937 లో అత్యంత ప్రచారం చేయబడిన హిండెన్‌బర్గ్ విపత్తులో మరణించిన 36 కంటే ఎక్కువ ప్రాణనష్టం 1933 లో న్యూజెర్సీ. R101 బ్రిటిష్ ప్రభుత్వ చొరవలో భాగంగా ని"&amp;"ర్మించబడింది, బ్రిటన్ నుండి ప్రయాణీకుల మరియు మెయిల్ రవాణాను అందించడానికి ఎయిర్‌షిప్‌లను అభివృద్ధి చేయడానికి బ్రిటిష్ సామ్రాజ్యం, భారతదేశం, ఆస్ట్రేలియా మరియు కెనడాతో సహా చాలా సుదూర ప్రాంతాలకు, అప్పటికి చాలా గొప్పవి. గాలి కంటే భారీ విమానాల కోసం. 1922 నాటి బ"&amp;"ర్నీ పథకం బ్రిటిష్ ప్రభుత్వ సహకారంతో విక్కర్స్ యొక్క ప్రత్యేకంగా స్థాపించబడిన అనుబంధ సంస్థ చేత సివిల్ ఎయిర్‌షిప్ అభివృద్ధి కార్యక్రమాన్ని ప్రతిపాదించింది. ఈ పథకం భారతదేశంలో ఎక్కువ ఎయిర్‌షిప్‌లు మరియు స్థావరాన్ని కోరిన వైమానిక మంత్రిత్వ శాఖ నుండి మద్దతు ఇచ"&amp;"్చింది. అడ్మిరల్టీ కొన్ని లైట్ క్రూయిజర్‌లను చాలా చిన్నదిగా ఉంచుతుంది. అయితే, ప్రధాని లాయిడ్ జార్జ్ ప్రభుత్వం బర్నీ పథకానికి మద్దతు ఇవ్వలేదని నిర్ణయించుకుంది. [5] 1923 సార్వత్రిక ఎన్నికలు రామ్‌సే మెక్‌డొనాల్డ్ యొక్క కార్మిక పరిపాలనను అధికారంలోకి తీసుకువచ్"&amp;"చినప్పుడు, కొత్త వైమానిక మంత్రి లార్డ్ థామ్సన్ బర్నీ పథకం స్థానంలో సామ్రాజ్య ఎయిర్‌షిప్ పథకాన్ని రూపొందించారు. [6] ఇది రెండు ప్రయోగాత్మక ఎయిర్‌షిప్‌లను నిర్మించాలని పిలుపునిచ్చింది: ఒకటి, R101, వైమానిక మంత్రిత్వ శాఖ దిశలో రూపొందించబడింది మరియు నిర్మించబడా"&amp;"లి, మరియు మరొకటి, R100, ఒక విక్కర్స్ అనుబంధ సంస్థ, ఎయిర్‌షిప్ గ్యారెంటీ సంస్థ, స్థిర-ధర కింద నిర్మించవలసి ఉంటుంది. ఒప్పందం. వారికి వరుసగా ""సోషలిస్ట్ ఎయిర్‌షిప్"" మరియు ""క్యాపిటలిస్ట్ ఎయిర్‌షిప్"" అని మారుపేరు పెట్టారు. [7] [7] [7] రెండు ఎయిర్‌షిప్‌ల నిర"&amp;"్మాణంతో పాటు, పేజీ అవసరం], సామ్రాజ్య ఎయిర్‌షిప్ పథకం ఎయిర్‌షిప్ కార్యకలాపాలకు అవసరమైన మౌలిక సదుపాయాల స్థాపనలో ఉంది; ఉదాహరణకు, కార్డింగ్టన్, ఇస్మాలియా, కరాచీ మరియు మాంట్రియల్ వద్ద ఉపయోగించిన మూరింగ్ మాస్ట్‌లు రూపకల్పన చేసి నిర్మించాల్సి ఉంది మరియు వాతావరణ "&amp;"అంచనా నెట్‌వర్క్ విస్తరించి మెరుగుపడింది. [8] ఎయిర్‌షిప్‌ల కోసం లక్షణాలను వైమానిక మంత్రిత్వ శాఖ కమిటీ రూపొందించింది, దీని సభ్యులలో స్క్వాడ్రన్ నాయకుడు రెజినాల్డ్ కోల్మోర్ మరియు లెఫ్టినెంట్-కల్నల్ వి.సి. రిచ్‌మండ్, [9] వీరిద్దరికీ ఎయిర్‌షిప్‌లతో విస్తృతమైన"&amp;" అనుభవం ఉంది, వారిలో ఎక్కువ మంది ప్రజలు మొరటుగా ఉన్నారు. ఐదు మిలియన్ క్యూబిక్ అడుగుల (140,000 m³) సామర్థ్యం మరియు స్థిర నిర్మాణ బరువు 90 టన్నులకు మించకుండా ఒక ఎయిర్‌షిప్‌లను వారు పిలుపునిచ్చారు, ఇది దాదాపు 62 టన్నుల ""పునర్వినియోగపరచలేని లిఫ్ట్"" ను ఇస్తు"&amp;"ంది. సుమారు 40 మంది సిబ్బంది, అలాగే దుకాణాలు మరియు నీటి బ్యాలస్ట్‌తో కూడిన సేవా భారం కోసం సుమారు 20 టన్నుల అవసరమైన భత్యం ఉండటంతో, ఇది 42 టన్నుల ఇంధనం మరియు ప్రయాణీకుల భారాన్ని అనుమతించింది. 57 గంటల ఫ్లైట్ అందించబడింది, మరియు స్థిరమైన క్రూయిజ్ వేగం 63 mph "&amp;"(101 km/h) మరియు గరిష్ట వేగం 70 mph (110 km/h) కోసం పిలువబడింది. [10] యుద్ధకాలంలో, ఎయిర్‌షిప్‌లు 200 దళాలను లేదా ఐదు పరాన్నజీవి ఫైటర్ విమానాలను తీసుకువెళతాయని భావిస్తున్నారు. విక్కర్స్ డిజైన్ బృందానికి బర్న్స్ వాలిస్ నాయకత్వం వహించాడు, అతను కఠినమైన ఎయిర్‌"&amp;"షిప్ డిజైన్ యొక్క విస్తృతమైన అనుభవాన్ని కలిగి ఉన్నాడు మరియు తరువాత వెల్లింగ్టన్ బాంబర్ యొక్క జియోడెటిక్ ఫ్రేమ్‌వర్క్‌కు మరియు బౌన్స్ బాంబు కోసం ప్రసిద్ది చెందాడు. అతని ప్రిన్సిపల్ అసిస్టెంట్ (""చీఫ్ కాలిక్యులేటర్""), నెవిల్ షుట్ నార్వే, తరువాత నవలా రచయిత "&amp;"నెవిల్ షుట్ అని పిలుస్తారు, తరువాత తన 1954 ఆత్మకథ స్లైడ్ రూల్: ఆటోబయోగ్రఫీ ఆఫ్ ఒక ఇంజనీర్లో రెండు ఎయిర్‌షిప్‌ల రూపకల్పన మరియు నిర్మాణం గురించి అతని ఖాతాను ఇచ్చారు. షుట్ యొక్క పుస్తకం R100 ను ఆచరణాత్మక మరియు సాంప్రదాయిక రూపకల్పనగా, మరియు R101 ను విపరీత మరి"&amp;"యు అతిగా మరియు అతిగా, కానీ రెండు డిజైన్ బృందాలను కలిగి ఉండటమే ఒక ఉద్దేశ్యం వేర్వేరు విధానాలను పరీక్షించడం, R101 ఉద్దేశపూర్వకంగా ఇప్పటికే ఉన్న సాంకేతిక పరిజ్ఞానం యొక్క పరిమితులను విస్తరించడానికి ఉద్దేశించబడింది. [11] R101 జట్టుపై తన విమర్శలు చాలా సమర్థించబ"&amp;"డలేదని షుట్ తరువాత అంగీకరించాడు. [12] జూలై 1925 లో ప్రారంభమయ్యే ప్రభుత్వం నిర్మించిన R101 నిర్మాణం మరియు తరువాతి జూలై నాటికి పూర్తి కావడానికి, భారతదేశానికి ట్రయల్ ఫ్లైట్ జనవరి 1927 లో ప్రణాళిక చేయబడింది. [13] ఈ సందర్భంలో, 1927 ప్రారంభంలో R101 నిర్మాణం ప్ర"&amp;"ారంభించడం ఆలస్యం అయిన విస్తృతమైన ప్రయోగం. R100 కూడా ఆలస్యం అయింది, మరియు 1929 చివరి వరకు ప్రయాణించలేదు. మొత్తం ఎయిర్‌షిప్ ప్రోగ్రాం డైరెక్టర్ ఆఫ్ ఎయిర్‌షిప్ డెవలప్‌మెంట్ (డాడ్) ఆధ్వర్యంలో ఉంది , గ్రూప్ కెప్టెన్ పెరెగ్రైన్ ఫెలోస్, కోల్మోర్ తన డిప్యూటీగా వ్"&amp;"యవహరించాడు. లెఫ్టినెంట్-కల్నల్ రిచ్‌మండ్‌ను డిజైన్ డైరెక్టర్‌గా నియమించారు: తరువాత అతను ""అసిస్టెంట్ డైరెక్టర్ ఆఫ్ ఎయిర్‌షిప్ డెవలప్‌మెంట్ (టెక్నికల్)"" [14] గా ఘనత పొందాడు, స్క్వాడ్రన్ నాయకుడు మైఖేల్ రోప్‌తో అతని సహాయకుడిగా. రెండు ఎయిర్‌షిప్‌లకు అన్ని కా"&amp;"ర్యాచరణ విషయాలకు బాధ్యత వహించే ఫ్లయింగ్ అండ్ ట్రైనింగ్ డైరెక్టర్ మేజర్ జి.హెచ్. నిర్మించాల్సిన మూరింగ్ మాస్ట్‌ల రూపకల్పనను అభివృద్ధి చేసిన స్కాట్. బెడ్‌ఫోర్డ్‌షైర్‌లోని కార్డింగ్టన్‌లో జరిగే రాయల్ ఎయిర్‌షిప్ వర్క్స్‌లో ఈ పని జరిగింది, దీనిని మొదటి ప్రపంచ "&amp;"యుద్ధంలో షార్ట్ బ్రదర్స్ నిర్మించారు మరియు స్వాధీనం చేసుకున్న కఠినమైన ఎయిర్‌షిప్‌ల నుండి తాజా జర్మన్ డిజైన్లను కాపీ చేసి మెరుగుపరచడానికి అడ్మిరల్టీ చేత నియమించబడింది. ఈ రచనలు 1919 లో జాతీయం చేయబడ్డాయి, కాని R38 (అప్పుడు యుఎస్‌కు ZR2 గా బదిలీ చేయబడిన ప్రక్"&amp;"రియలో), ​​నావికాదళ వైమానిక అభివృద్ధిని ఆపివేసింది మరియు అది సంరక్షణ మరియు నిర్వహణ ప్రాతిపదికన ఉంచబడింది. నేషనల్ ఫిజికల్ లాబొరేటరీ (ఎన్‌పిఎల్) విస్తృతమైన పరిశోధన మరియు పరీక్షా కార్యక్రమాన్ని పూర్తి చేసిన తర్వాత మాత్రమే R101 ను నిర్మించాల్సి ఉంది. ఈ కార్యక్"&amp;"రమంలో భాగంగా, నిర్మాణాత్మక లోడ్లు మరియు వాయు ప్రవాహం గురించి పెద్ద ఎయిర్‌షిప్ చుట్టూ డేటాను సేకరించడానికి ఎయిర్ మంత్రిత్వ శాఖ R33 ని పునరుద్ధరించడం మరియు ఎగురుతున్న ఖర్చులకు నిధులు సమకూర్చింది. [10] ఈ డేటా విక్కర్లకు కూడా అందుబాటులో ఉంది; [15] రెండు ఎయిర్"&amp;"‌షిప్‌లు మునుపటి డిజైన్ల మాదిరిగా కాకుండా ఒకే పొడుగుచేసిన టియర్-డ్రాప్ ఆకారాన్ని కలిగి ఉన్నాయి. ఏరోడైనమిక్ అభివృద్ధికి బాధ్యత వహించిన హిల్డా లియాన్, ఈ ఆకారం కనీస మొత్తంలో డ్రాగ్‌ను ఉత్పత్తి చేసిందని కనుగొన్నారు. [16] [17] భద్రత ఒక ప్రాధమిక ఆందోళన మరియు ఇద"&amp;"ి ఇంజిన్ల ఎంపికపై ముఖ్యమైన ప్రభావాన్ని చూపుతుంది. డ్యూరాలిమిన్ వంటి తేలికపాటి మిశ్రమాల కంటే ప్రాధమిక నిర్మాణాన్ని ఎక్కువగా స్టెయిన్లెస్ స్టీల్ నుండి నిర్మించడానికి ఒక ప్రారంభ నిర్ణయం తీసుకోబడింది. ప్రాధమిక నిర్మాణం యొక్క రూపకల్పన కార్డింగ్టన్ మరియు విమాన "&amp;"తయారీదారు బౌల్టన్ మరియు పాల్ మధ్య పంచుకోబడింది, వీరు ఉక్కు వాడకంలో విస్తృతమైన అనుభవం కలిగి ఉన్నారు మరియు స్టీల్ స్ట్రిప్‌ను నిర్మాణాత్మక విభాగాలుగా రూపొందించడానికి వినూత్న పద్ధతులను అభివృద్ధి చేశారు. ఎన్‌పిఎల్ సరఫరా చేసిన డేటా సహాయంతో తయారుచేసిన అవుట్‌లైన"&amp;"్ డిజైన్‌కు పనిచేయడం, ఒత్తిడి లెక్కలు కార్డింగ్టన్ చేత నిర్వహించబడ్డాయి. ఈ సమాచారం అప్పుడు J.D. నార్త్ మరియు బౌల్టన్ మరియు పాల్ వద్ద అతని బృందానికి అందించబడింది, వారు లోహపు పనిని రూపొందించారు. [18] వ్యక్తిగత గిర్డర్లు నార్విచ్‌లో బౌల్టన్ మరియు పాల్ చేత తయ"&amp;"ారు చేయబడ్డాయి మరియు కార్డింగ్‌టన్‌కు రవాణా చేయబడ్డాయి, అక్కడ వారు కలిసి బోల్ట్ చేయబడ్డారు. ముందుగా తయారు చేసిన నిర్మాణం కోసం ఈ పథకం తయారీ సహనాలను డిమాండ్ చేసింది మరియు పూర్తిగా విజయవంతమైంది, ఎందుకంటే R101 చివరికి బేర్స్ సాక్ష్యమిచ్చింది. లోహపు పని కోసం ఏ"&amp;"దైనా ఒప్పందాలు సంతకం చేయడానికి ముందు, 15-వైపుల విలోమ రింగ్ ఫ్రేమ్‌లలో ఒక జతతో కూడిన మొత్తం బే మరియు కనెక్ట్ చేసే రేఖాంశ గిర్డర్లు కార్డింగ్టన్ వద్ద సమావేశమయ్యాయి. అసెంబ్లీ లోడింగ్ పరీక్షలలో ఉత్తీర్ణత సాధించిన తరువాత, వ్యక్తిగత గిర్డర్లు తరువాత విధ్వంసానిక"&amp;"ి పరీక్షించబడ్డాయి. ఎయిర్‌ఫ్రేమ్ యొక్క నిర్మాణం వినూత్నమైనది: మునుపటి ఎయిర్‌షిప్‌ల యొక్క రింగ్ ఆకారంలో ఉన్న విలోమ ఫ్రేమ్‌లు సెంట్రల్ హబ్‌లో రేడియల్ వైర్ల సమావేశం ద్వారా బ్రేస్ చేయబడ్డాయి, కాని R101 లో అలాంటి బ్రేసింగ్ ఉపయోగించబడలేదు, ఫ్రేమ్‌లు తమలో తాము గ"&amp;"ట్టిగా ఉన్నాయి. [19] ఏదేమైనా, దీని ఫలితంగా నిర్మాణం కవరులోకి మరింత విస్తరించింది, తద్వారా గ్యాస్‌బ్యాగ్‌ల పరిమాణాన్ని పరిమితం చేస్తుంది. ఎయిర్‌షిప్‌ల భద్రత కోసం కమిటీ 1924 లో రూపొందించిన స్పెసిఫికేషన్లు ఎయిర్‌ఫ్రేమ్ బలాల కోసం అప్పటి ఉన్న నిబంధనలపై బరువు అ"&amp;"ంచనాలను కలిగి ఉన్నాయి. ఏదేమైనా, ఎయిర్ మినిస్ట్రీ ఇన్స్పెక్టరేట్ 1924 చివరలో ఎయిర్ షిప్ భద్రతా ప్రమాణాల కోసం కొత్త నియమాలను ప్రవేశపెట్టింది మరియు ఇంకా ఈ అనూహ్యమైన నిబంధనలకు అనుగుణంగా ప్రతి ఎయిర్ షిప్ కోసం వ్యక్తిగత స్పెసిఫికేషన్లలో స్పష్టంగా ప్రస్తావించబడి"&amp;"ంది. [20] ఈ కొత్త నియమాలు అన్ని లిఫ్టింగ్ లోడ్లను రేఖాంశ గిర్డర్ల ద్వారా తీసుకోకుండా నేరుగా విలోమ ఫ్రేమ్‌లకు ప్రసారం చేయాలని పిలుపునిచ్చాయి. [21] ఈ తీర్పు వెనుక ఉద్దేశ్యం ఏమిటంటే, జెప్పెలిన్ డిజైన్ కార్యాలయంలో సమకాలీన అభ్యాసం వలె, అనుభవపూర్వకంగా పేరుకుపోయ"&amp;"ిన డేటాపై ఆధారపడకుండా, ఫ్రేమ్‌వర్క్ యొక్క ఒత్తిడిని పూర్తిగా లెక్కించడానికి వీలు కల్పించడం. ఎయిర్‌ఫ్రేమ్ బరువుకు చిక్కులు కాకుండా, ఈ నిబంధనల యొక్క ఒక ప్రభావం ఏమిటంటే, గ్యాస్‌బ్యాగ్‌లను ఉపయోగించుకునే కొత్త వ్యవస్థను రూపొందించడానికి ఇరు జట్లను బలవంతం చేయడం."&amp;" R101 యొక్క పేటెంట్ పొందిన ""పారాచూట్"" గ్యాస్‌బ్యాగ్ హార్నెసింగ్, మైఖేల్ రోప్ చేత రూపొందించబడింది, సంతృప్తికరంగా కంటే తక్కువ నిరూపించబడింది, సంచులను అనవసరంగా పెంచడానికి అనుమతించింది, ముఖ్యంగా కఠినమైన వాతావరణంలో. ఫాబ్రిక్. మరొక ప్రభావం ఏమిటంటే, ఒత్తిడి లె"&amp;"క్కలను సరళీకృతం చేయడానికి R100 మరియు R101 రెండూ చాలా తక్కువ సంఖ్యలో రేఖాంశ గిర్డర్లను కలిగి ఉన్నాయి. దాన్ని కుదించడానికి డోప్‌ను వర్తింపజేయడం. కవరింగ్‌లో మద్దతు లేని ఫాబ్రిక్ యొక్క వైశాల్యాన్ని తగ్గించడానికి, డిజైన్ ప్రధాన రేఖాంశాలను నిర్మాణేతర ""రీఫింగ్ "&amp;"బూమ్స్"" తో ప్రత్యామ్నాయంగా కింగ్‌పోస్టులపై అమర్చారు, ఇవి కవరింగ్ ఉద్రిక్తత కోసం స్క్రూ-జాక్‌లను ఉపయోగించి సర్దుబాటు చేయబడతాయి. [23] ప్రీ-డోప్డ్ ఫాబ్రిక్ ప్రారంభం నుండి అసంతృప్తికరంగా నిరూపించబడింది, ఎయిర్‌షిప్ దాని షెడ్‌ను విడిచిపెట్టడానికి ముందు తేమ మార"&amp;"్పుల కారణంగా ప్యానెల్లు విడిపోయాయి. [24] ఇతర వినూత్న రూపకల్పన లక్షణాలు ఉన్నాయి. ఇంతకుముందు, బ్యాలస్ట్ కంటైనర్లు తోలు ""ప్యాంటు"" రూపంలో తయారు చేయబడ్డాయి మరియు ఒకటి లేదా మరొక కాలు దిగువన కంట్రోల్ కారు నుండి కేబుల్-రిలీజ్ ద్వారా తెరవబడుతుంది. R101 లో, ఎక్స్"&amp;"‌ట్రీమ్ ఫార్వర్డ్ మరియు వెనుక బ్యాలస్ట్ బ్యాగులు ఈ రకమైనవి, మరియు స్థానికంగా నిర్వహించబడ్డాయి, కాని ప్రధాన బ్యాలస్ట్ పైపుల ద్వారా అనుసంధానించబడిన ట్యాంకులలో ఉంచబడింది, తద్వారా బ్యాలస్ట్‌ను ఒకదానికొకటి బదిలీ చేయవచ్చు, సంపీడన గాలిని ఉపయోగించి ఎయిర్‌షిప్ యొక"&amp;"్క ట్రిమ్‌ను మార్చడానికి. [[ ఎన్వలప్ యొక్క లోపలి భాగాన్ని వెంటిలేట్ చేయడానికి ఏర్పాట్లు, తప్పించుకున్న హైడ్రోజన్ యొక్క నిర్మాణాన్ని నివారించడానికి మరియు బయటి మరియు లోపలి మధ్య ఒత్తిడిని సమం చేయడానికి కూడా అవసరం, కూడా వినూత్నమైనది. ఫ్లాప్-వాల్వ్స్ శ్రేణి ఎయ"&amp;"ిర్‌షిప్ కవర్ యొక్క ముక్కు మరియు దృ ern మైన (ముక్కు వద్ద ఉన్నవి ఛాయాచిత్రాలలో స్పష్టంగా కనిపిస్తాయి) ఎయిర్‌షిప్ అవరోహణలో ఉన్నప్పుడు గాలిలోకి ప్రవేశించడానికి అనుమతించగా, చుట్టుకొలత మధ్య చుట్టుపక్కల గుంటల శ్రేణిని ఏర్పాటు చేశారు. ఆరోహణ సమయంలో గాలి నిష్క్రమి"&amp;"ంచడానికి అనుమతించడానికి. [24] హెవీ ఆయిల్ (డీజిల్) ఇంజిన్‌లను వైమానిక మంత్రిత్వ శాఖ పేర్కొంది, ఎందుకంటే భారతదేశ మార్గంలో ఎయిర్‌షిప్ ఉపయోగం కోసం ఉద్దేశించబడింది, ఇక్కడ అధిక ఉష్ణోగ్రతలు పెట్రోల్‌ను తక్కువ ఫ్లాష్ పాయింట్ కారణంగా ఆమోదయోగ్యం కాని అగ్ని ప్రమాదం "&amp;"అని భావించారు. 1921 లో R38 కోల్పోవడంలో ప్రాణాంతకానికి పెట్రోల్ పేలుడు ప్రధాన కారణం. [26] ప్రారంభ లెక్కలు ఏడు బార్డ్‌మోర్ టైఫూన్ సిక్స్-సిలిండర్ హెవీ-ఆయిల్ ఇంజిన్ల వాడకంపై ఆధారపడి ఉన్నాయి, ఇవి 2,200 పౌండ్లు (1,000 కిలోలు) బరువు కలిగి ఉంటాయని మరియు 600 బిహె"&amp;"చ్‌పి (450 కిలోవాట్) ను పంపిణీ చేస్తాయి. [27] ఈ ఇంజిన్ యొక్క అభివృద్ధి అసాధ్యమని నిరూపించబడినప్పుడు, ఎనిమిది సిలిండర్ బార్డ్మోర్ సుడిగాలి వాడకం బదులుగా ప్రతిపాదించబడింది. ఇది బార్డ్మోర్ చేత అభివృద్ధి చేయబడిన ఇంజిన్, రెండు నాలుగు సిలిండర్ ఇంజిన్లను మిళితం "&amp;"చేస్తుంది, ఇవి మొదట రైల్వే వాడకం కోసం అభివృద్ధి చేయబడ్డాయి. మార్చి 1925 లో ఇవి 3,200 పౌండ్ల (1,500 కిలోలు) బరువు మరియు 700 బిహెచ్‌పి (520 కిలోవాట్) ను అందిస్తాయని భావించారు. ప్రతి ఇంజిన్ యొక్క బరువు పెరిగినందున, ఇది ఐదుని ఉపయోగించాలని నిర్ణయించారు, దీని ఫ"&amp;"లితంగా మొత్తం శక్తిని 4,200 బిహెచ్‌పి (3,100 కిలోవాట్) నుండి 3,500 బిహెచ్‌పి (2,600 కిలోవాట్) కు తగ్గించారు. 950 ఆర్‌పిఎమ్, ఇంజిన్‌ను గరిష్టంగా 935 ఆర్‌పిఎమ్‌కి పరిమితం చేస్తుంది, ఇది 650 బిహెచ్‌పి (485 కిలోవాట్) మాత్రమే ఉత్పత్తిని ఇస్తుంది, 585 బిహెచ్‌పి"&amp;" (436 కిలోవాట్) 890 ఆర్‌పిఎమ్ వద్ద నిరంతర విద్యుత్ రేటింగ్‌తో. [28] ఇంజిన్ కూడా అంచనా వేసిన బరువు కంటే ఎక్కువ, 4,773 పౌండ్లు (2,165 కిలోలు), ప్రారంభ అంచనా కంటే రెట్టింపు. [28] ఈ అదనపు బరువులో కొన్ని సంతృప్తికరమైన తేలికపాటి అల్యూమినియం క్రాంక్కేస్ తయారు చే"&amp;"యడంలో విఫలమైన ఫలితం. [29] డాకింగ్ సమయంలో యుక్తి కోసం రివర్స్ థ్రస్ట్‌ను అందించడానికి వేరియబుల్-పిచ్ ప్రొపెల్లర్లతో రెండు ఇంజిన్‌లను అమర్చడం అసలు ఉద్దేశ్యం. టోర్షనల్ ప్రతిధ్వని రివర్సింగ్ ప్రొపెల్లర్ల యొక్క బోలు మెటల్ బ్లేడ్లు హబ్స్ దగ్గర పగుళ్లను అభివృద్ధ"&amp;"ి చేయడానికి కారణమయ్యాయి, [30] మరియు స్వల్పకాలిక కొలతగా ఇంజిన్లలో ఒకటి స్థిర-పిచ్ రివర్స్ ప్రొపెల్లర్‌తో అమర్చబడింది, తత్ఫలితంగా సాధారణ విమాన పరిస్థితులలో చనిపోయిన బరువుగా మారింది. . . ప్రతి ఇంజిన్ కారులో స్టార్టర్ మోటారుగా ఉపయోగించడానికి 40 బిహెచ్‌పి (30 "&amp;"కిలోవాట్ల) రికార్డో పెట్రోల్ ఇంజన్ కూడా ఉంది. వీటిలో మూడు కూడా ఎయిర్‌షిప్ విశ్రాంతిగా ఉన్నప్పుడు లేదా తక్కువ వేగంతో ఎగురుతున్నప్పుడు విద్యుత్తును అందించడానికి జనరేటర్లను నడిపారు: సాధారణ విమాన వేగంతో జనరేటర్లు స్థిరమైన-స్పీడ్ వేరియబుల్-పిచ్ విండ్‌మిల్‌ల ద్"&amp;"వారా నడపబడతాయి. మిగతా రెండు సహాయక ఇంజన్లు సంపీడన గాలి ఇంధనం మరియు బ్యాలస్ట్ బదిలీ వ్యవస్థ కోసం కంప్రెషర్లను నడిపించాయి. చివరి విమానానికి ముందు, పెట్రోల్ ఇంజిన్లలో ఒకటి బెవర్లీ హెవీ ఆయిల్ ఇంజిన్ ద్వారా భర్తీ చేయబడింది; అగ్ని ప్రమాదాన్ని తగ్గించడానికి, పెట్"&amp;"రోల్ ట్యాంకులను జెట్టిసన్ చేయవచ్చు. [33] విలోమ ఫ్రేములలోని ట్యాంకులలో డీజిల్ ఇంధనం ఉంది, ట్యాంకులలో ఎక్కువ భాగం 224 ఇంప్ గల్ (1,018 ఎల్) సామర్థ్యం కలిగి ఉంది. అత్యవసర పరిస్థితుల్లో ట్యాంకుల నుండి నేరుగా ఇంధనాన్ని డంపింగ్ చేయడానికి ఒక యంత్రాంగం అందించబడింద"&amp;"ి. బరువు పరిహారం కోసం అందించిన ట్యాంకేజీని ఉపయోగించడం ద్వారా, తేలికపాటి ప్రయాణీకుల లోడ్‌తో ప్రయాణించేటప్పుడు మొత్తం ఇంధన లోడ్ 10,000 ఇంప్ గల్ (45,000 ఎల్) తీసుకెళ్లవచ్చు. [34] సాధారణ సేవలో, R101 42 మంది సిబ్బందిని తీసుకువెళ్ళింది. ఇది వాచ్ యొక్క అధికారి క"&amp;"్రింద 13 మంది పురుషుల రెండు గడియారాలను కలిగి ఉంది, ఈ విధి ముగ్గురు ప్రధాన ఓడ అధికారులలో విభజించబడింది. అదనంగా, చీఫ్ నావిగేటర్, వాతావరణ అధికారి, చీఫ్ కాక్స్వైన్, చీఫ్ ఇంజనీర్, చీఫ్ వైర్‌లెస్ ఆఫీసర్ మరియు చీఫ్ స్టీవార్డ్, గడియారాలకు కేటాయించబడలేదు కాని అవసర"&amp;"మైన విధంగా విధుల్లో ఉన్నారు, మరియు నాలుగు సూపర్ నమరరీలు (ముగ్గురు ఇంజనీర్లు మరియు ఎ రేడియో ఆపరేటర్) అవసరమైతే రిలీఫ్ వాచ్ కీపింగ్ అందించడానికి అందుబాటులో ఉన్న వారు, మరియు అసిస్టెంట్ స్టీవార్డ్, కుక్ మరియు గాలీ బాలుడు 06:30 మరియు 21:30 మధ్య అవసరమయ్యే విధంగా"&amp;" విధుల్లో ఉన్నారు. [35] ఎయిర్‌షిప్ సర్టిఫికెట్‌లో పేర్కొన్న విధంగా కనీస సిబ్బంది అవసరం 15 మంది పురుషులు. కంట్రోల్ కారును వాచ్ యొక్క డ్యూటీ ఆఫీసర్ మరియు స్టీరింగ్ అండ్ ఆల్టిట్యూడ్ కాక్స్స్స్స్వైన్స్ ఆక్రమించారు, వారు ఓడ యొక్క చక్రం మాదిరిగానే చక్రాలను ఉపయో"&amp;"గించి చుక్కాని మరియు ఎలివేటర్లను వరుసగా నియంత్రించారు. ఇంజిన్లను ప్రతి ఇంజిన్ కార్లలో ఇంజనీర్ వ్యక్తిగతంగా నియంత్రించారు, ప్రతి కారుకు ఒక వ్యక్తిగత టెలిగ్రాఫ్ ద్వారా ఆర్డర్లు ఇవ్వబడతాయి. ఇవి కావలసిన థొరెటల్ సెట్టింగ్‌ను సూచించడానికి ఇంజిన్ కారులో ఒక సూచిక"&amp;"ను తరలించాయి మరియు ఒక ఆర్డర్ ప్రసారం చేయబడిందనే వాస్తవాన్ని దృష్టిని ఆకర్షించడానికి ఒక గంటను కూడా మోగింది. [సైటేషన్ అవసరం] ప్రయాణీకుల వసతి కవరులో రెండు డెక్‌లపై విస్తరించింది మరియు మొదటిది ఒకటి, ఇద్దరు, లేదా నలుగురు వ్యక్తుల కోసం 50 ప్యాసింజర్ క్యాబిన్లు,"&amp;" 60 మందికి భోజనాల గది, [సైటేషన్ అవసరం] ఎయిర్‌షిప్ వైపులా కిటికీలతో రెండు ప్రొమెనేడ్ డెక్స్, 5,500 చదరపు అడుగుల (510 మీ 2) విశాలమైన లాంజ్ [2 ] మరియు 24 మందికి ఆస్బెస్టాస్-చెట్లతో కూడిన ధూమపాన గది. ప్రయాణీకుల స్థలం చాలావరకు ఎగువ డెక్‌లో ఉంది, ధూమపాన గది, వం"&amp;"టగది మరియు వాష్‌రూమ్‌లు, సిబ్బంది వసతి, అలాగే చార్ట్ రూమ్ మరియు దిగువ డెక్‌పై రేడియో క్యాబిన్ ఉన్నాయి. [36] కంట్రోల్ కారు వెంటనే దిగువ డెక్ యొక్క ఫార్వర్డ్ విభాగం క్రింద ఉంది మరియు చార్ట్ గది నుండి ఒక నిచ్చెన ద్వారా చేరుకుంది. [సైటేషన్ అవసరం] గోడలు తెలుపు"&amp;" మరియు బంగారంతో పెయింట్ చేయబడిన డోప్డ్ నారతో తయారు చేయబడ్డాయి. బరువు ఆదా చర్యలలో వికర్ ఫర్నిచర్ మరియు అల్యూమినియం కత్తులు ఉన్నాయి. ప్రొమెనేడ్ కిటికీలు ఉద్దేశించిన గాజుకు బదులుగా తేలికపాటి ""సెల్లోన్"" గా ఉన్నాయి మరియు తరువాత బరువు ఆదా చేసే చర్యలలో భాగంగా "&amp;"ఒక సెట్ తొలగించబడింది. [సైటేషన్ అవసరం] R101 యొక్క హైడ్రోజన్ గ్యాస్‌బ్యాగ్‌లను పెంచే సుదీర్ఘ ప్రక్రియ 11 జూలై 1929 న ప్రారంభమైంది మరియు ఇది పూర్తయింది 21 సెప్టెంబర్. ఇప్పుడు ఎయిర్‌షిప్ ఇప్పుడు గాలిలో మరియు షెడ్‌లో వదులుగా ఉంటుంది, ఇప్పుడు లిఫ్ట్ మరియు ట్రి"&amp;"మ్ ట్రయల్స్ నిర్వహించడం సాధ్యమైంది. ఇవి నిరాశపరిచాయి. 17 జూన్ 1929 న జరిగిన డిజైన్ సమావేశం 151.8 టన్నుల స్థూల లిఫ్ట్ మరియు 105 టన్నుల విద్యుత్ సంస్థాపనతో సహా మొత్తం ఎయిర్ఫ్రేమ్ బరువును అంచనా వేసింది. వాస్తవ గణాంకాలు 148.46 టన్నుల స్థూల లిఫ్ట్ మరియు 113.6 "&amp;"టన్నుల బరువు అని నిరూపించబడ్డాయి. [37] అంతేకాకుండా, ఎయిర్‌షిప్ తోక-భారీగా ఉంది, తోక ఉపరితలాలు అంచనా వేసిన బరువు కంటే గణనీయంగా ఉంటాయి. ఈ రూపంలో, భారతదేశానికి ఒక విమానము ప్రశ్నార్థకం కాదు. అధిక గాలి ఉష్ణోగ్రతలలో లిఫ్ట్ కోల్పోవడం ద్వారా ఉష్ణమండల పరిస్థితులలో"&amp;" ఎయిర్‌షిప్ కార్యకలాపాలు మరింత కష్టతరం చేయబడ్డాయి: కరాచీలో లిఫ్ట్ కోల్పోవడం (అప్పటి బ్రిటిష్ ఇండియాలో భాగం) R101 యొక్క పరిమాణంలో ఎయిర్‌షిప్ కోసం 11 టన్నుల వరకు 11 టన్నులు ఉంటుందని అంచనా. [[[ 38] అక్టోబర్ 2 న ప్రెస్ పూర్తి చేసిన ఎయిర్‌షిప్‌ను చూడటానికి కార"&amp;"్డింగ్‌టన్‌కు ఆహ్వానించబడింది. [39] ఏదేమైనా, వాతావరణ పరిస్థితులు అక్టోబర్ 12 వరకు షెడ్ నుండి బయటకు తీయడం అసాధ్యం, దీనిని 400 మంది గ్రౌండ్-హ్యాండ్లింగ్ పార్టీ ద్వారా బయటకు వెళ్ళింది. ఈ కార్యక్రమం భారీ సంఖ్యలో ప్రేక్షకులను ఆకర్షించింది, చుట్టుపక్కల రహదారులత"&amp;"ో కార్ల దృ line మైన రేఖ. మూర్డ్ ఎయిర్‌షిప్ ప్రేక్షకులను ఆకర్షిస్తూనే ఉంది, మరియు నవంబర్ చివరి నాటికి మాస్ట్‌లో ఒక మిలియన్ మందికి పైగా ప్రజలు R101 ను చూడటానికి కార్డింగ్‌టన్ పర్యటన చేసినట్లు అంచనా. [40] ఈ కార్యక్రమంపై తూకం వేసిన రాజకీయ ఒత్తిళ్లను వివరిస్తూ"&amp;", అనుకూలమైన ప్రచారాన్ని రూపొందించడానికి వైమానిక మంత్రిత్వ శాఖ అవసరం వల్ల ఎగిరే కార్యక్రమం ప్రభావితమైంది. మొదటి అధికారి నోయెల్ అథర్‌స్టోన్ నవంబర్ 6 న తన డైరీలో వ్యాఖ్యానించాడు: ""ఈ విండో-డ్రెస్సింగ్ స్టంట్స్ మరియు జాయ్-రైడ్‌లు ఆమెకు వాయు యోగ్యత సర్టిఫికేట్"&amp;" పొందే ముందు చాలా తప్పు, కానీ ముడి [రాయల్ ఎయిర్‌షిప్ వర్క్స్‌లో ఎవరూ లేరు [రాయల్ ఎయిర్‌షిప్ వర్క్స్ ] ఎగ్జిక్యూటివ్ వారి పాదాలను అణిచివేసి, ట్రయల్స్ జాయ్-రైడ్‌లు లేకుండా ఉండాలని పట్టుబట్టారు "". [41] సామ్రాజ్యం చట్టంపై ఒక సమావేశానికి ప్రతినిధుల కోసం ఎయిర్"&amp;"‌షిప్‌లో జరిగిన భోజనం ద్వారా అథర్‌స్టోన్ వ్యాఖ్యలు జరిగాయి, కాని ఇలాంటి అనేక సందర్భాలు ఉన్నాయి. [సైటేషన్ అవసరం] R101 అక్టోబర్ 14 న మొదటి విమానంలో చేసింది. బెడ్‌ఫోర్డ్‌లో ఒక షార్ట్ సర్క్యూట్ తరువాత, కోర్సు లండన్ కోసం సెట్ చేయబడింది, అక్కడ ఇది వెస్ట్ మినిస్"&amp;"టర్, సెయింట్ పాల్స్ కేథడ్రల్ మరియు నగరం ప్యాలెస్ మీదుగా, ఐదు గంటల 40 నిమిషాల పాటు విమానంలో ప్రయాణించిన తరువాత కార్డింగ్టన్కు తిరిగి వచ్చింది. ఈ విమానంలో ఎయిర్‌షిప్‌ను నియంత్రించడంలో ఎటువంటి ఇబ్బంది లేకుండా, సర్వోలు ఉపయోగించబడలేదు. [42] అక్టోబర్ 18 న తొమ్మ"&amp;"ిది గంటల 38 నిమిషాల పాటు జరిగిన రెండవ విమాన ప్రయాణం, ప్రయాణీకులలో లార్డ్ థామ్సన్, ఆ తరువాత R101 క్లుప్తంగా షెడ్‌కు తిరిగి వచ్చింది, ప్రారంభ ఇంజిన్‌లకు కొన్ని మార్పులు చేయటానికి. [40] నవంబర్ 1 న ఏడు గంటల 15 నిమిషాల పాటు కొనసాగిన మూడవ విమానంలో ఇది మొదటిసారి"&amp;" పూర్తి శక్తితో ఎగురవేయబడింది, 68.5 mph (110.2 కిమీ/గం) వేగాన్ని రికార్డ్ చేసింది: [43] పూర్తి వేగంతో కూడా అది కాదు కంట్రోల్ సర్వోలను ఉపయోగించడానికి అవసరం కనుగొనబడింది. ఈ విమానంలో, ఇది కింగ్ జార్జ్ V మరియు క్వీన్ మేరీ చేత గమనించిన సాండ్రింగ్‌హామ్ హౌస్‌పై "&amp;"ప్రదక్షిణలు చేసింది, క్రోమెర్‌కు సమీపంలో ఉన్న ఎయిర్ కంట్రీ హౌస్ కోసం మునుపటి రాష్ట్ర కార్యదర్శికి, తరువాత న్యూమార్కెట్ మరియు కేంబ్రిడ్జ్ ద్వారా తిరిగి వచ్చే ముందు బౌల్టన్ &amp; పాల్ యొక్క రచనలు మరియు ఏరోడ్రోమ్‌పై నార్విచ్‌కు వెళ్లారు. . [[44] నవంబర్ 2 న మొదటి"&amp;" రాత్రి ఫ్లైట్ తయారు చేయబడింది, లండన్ మరియు పోర్ట్స్మౌత్ మీదుగా వెళ్ళడానికి ముందు 20:12 వద్ద మాస్ట్ జారిపోతుంది, సోలెంట్ మరియు ఐల్ ఆఫ్ వైట్ పై 43 మైళ్ళు (69 కిమీ) సర్క్యూట్లో స్పీడ్ ట్రయల్ చేయడానికి ముందు. ఈ ట్రయల్స్ రెండు ఇంజిన్ల శీతలీకరణ వ్యవస్థలలో పైపు"&amp;" విచ్ఛిన్నం ద్వారా విసుగు చెందాయి, అల్యూమినియం పైపింగ్‌ను రాగితో భర్తీ చేయడం ద్వారా ఈ సమస్య తరువాత పరిష్కరించబడింది. ఇది 09:00 గంటలకు కార్డింగ్‌టన్‌కు తిరిగి వచ్చింది, ఒక చిన్న ప్రమాదంలో మురింగ్ ఆపరేషన్, విల్లు వద్ద రీఫింగ్ బూమ్‌లలో ఒకదాన్ని దెబ్బతీసింది."&amp;" [45] నవంబర్ 8 న, ఒక చిన్న ఫ్లైట్ - పూర్తిగా ప్రజా సంబంధాల ప్రయోజనాల కోసం - బెడ్‌ఫోర్డ్ మేయర్ మరియు వివిధ అధికారులతో సహా 40 మంది ప్రయాణికులను తీసుకువెళ్లారు. ఈ భారాన్ని తీర్చడానికి, ఎయిర్‌షిప్ పాక్షిక ఇంధనం మరియు బ్యాలస్ట్ లోడ్‌తో మాత్రమే ఎగురవేయబడింది మర"&amp;"ియు 500 అడుగుల (150 మీ) పీడన ఎత్తుకు పెంచి ఉంది. అథర్‌స్టోన్ మాటలలో, ఇది మాస్ట్‌కు తిరిగి రాకముందు ""బెడ్‌ఫోర్డ్ పరిసరాల్లో కొన్ని గంటలు చుట్టుముట్టింది"". రెండు రోజుల తరువాత, గాలి పెరగడం ప్రారంభమైంది మరియు గేల్స్ అంచనా వేయబడ్డాయి. నవంబర్ 11 న, గాలి 83 mp"&amp;"h (134 కిమీ/గం) ను తాకింది, గరిష్టంగా 89 mph (గంటకు 143 కిమీ) గస్ట్ వేగం ఉంది. మాస్ట్ వద్ద ఓడ యొక్క ప్రవర్తన మంచి సంతృప్తికి కారణమైనప్పటికీ, ఆందోళనకు కొన్ని కారణాలు ఉన్నాయి. ఓడ యొక్క కదలిక గ్యాస్‌బ్యాగ్‌ల యొక్క గణనీయమైన కదలికకు కారణమైంది, కాక్స్స్వైన్ ""స"&amp;"్కై"" హంట్ చేత వెలిగించబడుతోంది. ఇది గ్యాస్‌బ్యాగులు ఫ్రేమ్‌వర్క్‌ను ఫౌల్ చేయడానికి కారణమైంది, మరియు ఫలితంగా వచ్చిన చాఫింగ్ చాలా చోట్ల గ్యాస్‌బ్యాగులు హోల్ చేయటానికి కారణమైంది. [46] శీతలీకరణ వ్యవస్థకు చేసిన మార్పులను మరియు గ్యాస్‌బ్యాగ్‌లకు మరమ్మతు చేసినట"&amp;"్లు పరీక్షించడానికి నవంబర్ 14 న ఆరవ ఫ్లైట్ జరిగింది, 32 మంది ప్రయాణీకుల భారాన్ని మోసింది, విమానయానంపై ప్రత్యేక ఆసక్తి ఉన్న 10 మంది ఎంపీలు మరియు వైమానిక మంత్రిత్వ శాఖ సివిల్ ఏవియేషన్ డైరెక్టర్ సర్ సెఫ్టన్ బ్రాంకర్ నేతృత్వంలోని అధికారులు. [47] నవంబర్ 16 న, "&amp;"100 మంది ఎంపీల పార్టీకి ప్రదర్శన విమానాన్ని నిర్వహించడానికి ప్రణాళిక చేయబడింది, ఈ పథకం లార్డ్ థామ్సన్ సూచించిన పథకం, కొద్దిమంది ఈ ఆఫర్‌ను సద్వినియోగం చేసుకోవాలనుకుంటున్నారు; ఒకవేళ, ఇది ఓవర్‌సబ్‌స్క్రైబ్ చేయబడింది. [48] రోజు వాతావరణం అననుకూలంగా ఉంది, మరియు"&amp;" ఫ్లైట్ తిరిగి షెడ్యూల్ చేయబడింది. అప్పుడు వాతావరణం క్లియర్ అయ్యింది, మరుసటి రోజు, R101 ఓర్పు విచారణను నిర్వహించడానికి 10:33 వద్ద మాస్ట్‌ను జారారు, కనీసం ముప్పై గంటలు కొనసాగాలని ప్రణాళిక వేసింది. R101 తీరాన్ని దాటి, ఉత్తర సముద్రం మీదుగా ఎడిన్బర్గ్ వరకు ఉత"&amp;"్తర సముద్రం మీదుగా ఎగురుతూ, గ్లాస్గో వైపు పశ్చిమాన మారిపోయింది. రాత్రి సమయంలో, ఐరిష్ సముద్రం మీదుగా వరుస ప్రయత్నాలు జరిగాయి, ఆ తరువాత ఎయిర్‌షిప్ దక్షిణాన డబ్లిన్ (హోమ్ టౌన్ ఆఫ్ R101 కెప్టెన్ కార్మైచెల్ ఇర్విన్) మీదుగా ఆంగ్లేసీ మరియు చెస్టర్ ద్వారా కార్డిం"&amp;"గ్‌టన్‌కు తిరిగి రాకముందు ఎగురుతుంది. పొగమంచు కారణంగా కార్డింగ్టన్‌ను కనుగొనడంలో కొంత ఆలస్యం అయిన తరువాత, R101 ను 17:14 వద్ద మాస్ట్‌కు భద్రపరిచారు, 30 గంటల 41 నిమిషాల పాటు విమానంలో. ఫ్లైట్ సమయంలో ఎదుర్కొన్న ఏకైక సాంకేతిక సమస్య ఇంధనాన్ని బదిలీ చేయడానికి పం"&amp;"పుతో ఉంది, ఇది చాలాసార్లు విరిగింది, అయినప్పటికీ ఇంజిన్ల యొక్క తదుపరి పరిశీలనలో ఒక పెద్ద ముగింపు బేరింగ్ యొక్క వైఫల్యానికి గురయ్యే దశలో ఒకటి ఉందని తేలింది. [49] ఎంపీల విమానాన్ని నవంబర్ 23 న తిరిగి షెడ్యూల్ చేశారు. బారోమెట్రిక్ పీడనం తక్కువగా ఉండటంతో, 100 "&amp;"మంది ప్రయాణీకులను తీసుకువెళ్ళడానికి R101 తగినంత లిఫ్ట్ లేదు, అయినప్పటికీ, కనీస ఇంధనం మినహాయించి, అన్ని అనవసరమైన దుకాణాలను తొలగించడం ద్వారా ఓడ తేలికగా ఉంటుంది. వాతావరణం కారణంగా ఈ విమానం రద్దు చేయబడింది, కాని రాజకీయ నాయకులు కార్డింగ్టన్ వద్దకు రాకముందే కాదు"&amp;": తదనుగుణంగా వారు బయలుదేరి భోజనం చేశారు, ఓడ మాస్ట్ వద్ద ప్రయాణించేటప్పుడు, 45 mph (72 కిమీ/ h) గాలి. [50] దీనిని అనుసరించి, నవంబర్ 30 వరకు R101 మాస్ట్ వద్ద ఉంది, అది తిరిగి షెడ్‌లోకి నడవడానికి గాలి పడిపోయింది. ప్రారంభ విమాన ప్రయత్నాలు జరుగుతుండగా, డిజైన్ "&amp;"బృందం లిఫ్ట్ సమస్యను పరిశీలించింది. అధ్యయనాలు 3.16 టన్నుల బరువు ఆదాను గుర్తించాయి. బరువు ఆదా చేసే చర్యలలో డబుల్ బెర్త్ క్యాబిన్లలో పన్నెండును తొలగించడం, ముక్కు నుండి ఫ్రేమ్ 1 వరకు రీఫింగ్ బూమ్‌లను తొలగించడం మరియు తోక వద్ద 13 నుండి 15 ఫ్రేమ్‌ల మధ్య, సెల్లో"&amp;"న్‌తో అబ్జర్వేషన్ డెక్‌ల గాజు కిటికీలను భర్తీ చేయడం, రెండు నీటి బ్యాలస్ట్‌ను తొలగించడం ట్యాంకులు, మరియు చుక్కాని మరియు ఎలివేటర్ల కోసం సర్వో మెకానిజమ్‌ను తొలగించడం. [51] గ్యాస్‌బ్యాగ్‌లను బయటకు తీయడం 3.18 టన్నుల అదనపు లిఫ్ట్ పొందుతుంది, అయినప్పటికీ మైఖేల్ "&amp;"రోప్ దీనిని అవివేకం అని భావించినప్పటికీ, [52] గిర్డర్ల నుండి పొడుచుకు వచ్చిన వేలాది బహిర్గతమైన ఫిక్సింగ్‌లు ఉన్నాయి; గ్యాస్‌బ్యాగ్స్ యొక్క చాఫింగ్ వీటిని గుడ్డ స్ట్రిప్స్‌లో చుట్టడం ద్వారా నివారించాల్సి ఉంటుంది. లిఫ్ట్‌ను మరింత పెంచడానికి, 500,000 CU FT ("&amp;"14,000 M3) సామర్థ్యం యొక్క అదనపు బేను వ్యవస్థాపించవచ్చు. ఇది అదనపు తొమ్మిది టన్నుల పునర్వినియోగపరచలేని లిఫ్ట్ అందిస్తుంది. చాలా సంప్రదింపుల తరువాత, ఈ ప్రతిపాదిత చర్యలన్నీ డిసెంబరులో ఆమోదించబడ్డాయి. గ్యాస్‌బ్యాగులు మరియు బరువు ఆదా చేసే చర్యలు ప్రారంభించడం "&amp;"ప్రారంభించబడింది. అదనపు బే కోసం మెటల్ వర్క్ యొక్క బౌల్టన్ &amp; పాల్ డెలివరీ జూన్లో జరుగుతుందని భావించారు. [సైటేషన్ అవసరం] R101 యొక్క బయటి కవర్ కూడా ఆందోళనకు కారణమైంది. 20 జనవరి 1930 న కార్డింగ్టన్ వద్ద ఫాబ్రిక్ విభాగం అధిపతి మైఖేల్ రోప్ మరియు జె. డబ్ల్యూ. డబ"&amp;"్ల్యూ. డయ్యర్ చేత ఒక తనిఖీ, వర్షపునీటి పేరుకుపోయిన ప్రాంతాలలో ఎయిర్ షిప్ పైభాగంలో ఫాబ్రిక్ యొక్క తీవ్రమైన క్షీణతను వెల్లడించింది మరియు ఉపబల బృందాలను జోడించడానికి ఒక నిర్ణయం తీసుకోబడింది కవరు యొక్క మొత్తం పొడవు. తాడు చేపట్టిన తదుపరి పరీక్షలు దాని బలం భయంకర"&amp;"ంగా క్షీణించిందని తేలింది. కవర్ కోసం అసలు పేర్కొన్న బలం ఫుట్ రన్ (10 kn/m) కు 700 పౌండ్ల బ్రేకింగ్ స్ట్రెయిన్: నమూనాల అసలు బలం ఉత్తమంగా 85 lb (1.24 kn/m). 76 mph (h/h) వేగంతో లెక్కించిన లోడ్ ఒక అడుగు పరుగుకు 143 lb (2.09 kn/m). జూన్ 2 న కవర్ యొక్క మరింత త"&amp;"నిఖీలో చాలా చిన్న కన్నీళ్లు పెరిగాయి. [53] ప్రీ-డోప్డ్ కవర్ను కొత్త కవర్‌తో భర్తీ చేయడానికి తక్షణ నిర్ణయం తీసుకోబడింది, ఇది అమర్చిన తర్వాత డోప్ చేయబడుతుంది. హెండన్ ఎయిర్ షోలో ప్రజలకు R101 ను ప్రదర్శించే ఉద్దేశ్యంతో జూన్ కోసం ప్రణాళిక చేయబడిన విమానాల తరువా"&amp;"త ఇది జరుగుతుంది; [సైటేషన్ అవసరం] ఈ విమానాలకు, కవర్ మరింత బలోపేతం అవుతుంది. కవర్ యొక్క పేలవమైన స్థితి యొక్క ధృవీకరణ జూన్ 23 ఉదయం, R101 షెడ్ నుండి బయటకు వెళ్ళింది. భయంకరమైన అలల కదలికను గమనించినప్పుడు మరియు కొంతకాలం తర్వాత, కవర్‌లో 140 అడుగుల (43 మీ) స్ప్లి"&amp;"ట్ ఎయిర్‌షిప్ యొక్క స్టార్‌బోర్డ్ వైపు కనిపించింది. దీనిని మాస్ట్ వద్ద మరమ్మతు చేయాలని మరియు మరింత బలోపేతం చేసే బ్యాండ్లను జోడించాలని నిర్ణయించారు. ఇది రోజు చివరి నాటికి జరిగింది, కాని మరుసటి రోజు రెండవ, చిన్నది, విభజన జరిగింది. ఇది అదే విధంగా వ్యవహరించబడ"&amp;"ింది, మరియు మరమ్మతులు చేసిన ప్రాంతానికి రీన్ఫోర్సింగ్ బ్యాండ్లను జోడించినట్లయితే, హెండన్ ఎయిర్ షోలో షెడ్యూల్ చేసిన ప్రదర్శన చేయవచ్చు. [54] R101 జూన్‌లో మూడు విమానాలు చేసింది, మొత్తం 29 గంటలు 34 నిమిషాల వ్యవధిలో ఉంది. జూన్ 26 న, ఒక చిన్న రుజువు విమానం జరిగ"&amp;"ింది, నియంత్రణలు-ఇకపై సేవ చేయబడవు-""శక్తివంతమైన మరియు పూర్తిగా తగినంత"" గా వర్ణించబడ్డాయి. [55] ఈ ఫ్లైట్ ముగింపులో, R101 ""భారీగా ఎగురుతుంది"" మరియు మూరింగ్ కోసం ఎయిర్‌షిప్‌ను తేలికపరచడానికి రెండు టన్నుల ఇంధన నూనెను జెట్టిసన్ చేయవలసి ఉంది. ఇది మొదట్లో విమ"&amp;"ానంలో గాలి ఉష్ణోగ్రతలో మార్పులకు కారణమని చెప్పవచ్చు. తరువాతి రెండు రోజులలో, R101 రెండు విమానాలను చేసింది, మొదటిది హెండన్ వద్ద RAF డిస్ప్లే కోసం రిహార్సల్‌లో పాల్గొంది మరియు రెండవది ప్రదర్శనలోనే జరిగింది. ఈ విమానాలు లిఫ్ట్‌తో సమస్యను వెల్లడించాయి, బ్యాలస్ట"&amp;"్ యొక్క గణనీయమైన జెట్టిసన్ అవసరం. ఈ సమయంలో, అథర్‌స్టోన్ స్థానంలో కెప్టెన్ జి.ఎఫ్. సాధారణంగా R100 లో మొదటి అధికారి అయిన మీగర్. R101 యొక్క బరువుతో మీగర్ ""అప్రమత్తంగా"" ఉంది, ఎందుకంటే 10 గంటల విమాన ప్రయాణం తరువాత, ఇంధన వినియోగం కారణంగా R100 చాలా తేలికగా ఉండ"&amp;"ేది. అతను ఒక ఎయిర్ షిప్ లో ""ది విండ్ అప్"" ను కలిగి ఉన్న మొదటిసారి అని మీగర్ గమనించాడు. [56] మీగర్ ఒక టన్ను బ్యాలస్ట్‌ను వదులుకున్నాడు, మరియు మూరింగ్ కోసం R101 ను తూకం వేయడానికి, ఫ్లైట్ లెఫ్టినెంట్ ఇర్విన్ 10 టన్నుల నీరు మరియు ఇంధన నూనెను డంప్ చేయవలసి ఉం"&amp;"ది. [57] [58] గ్యాస్‌బ్యాగ్‌ల పరిశీలనలో పెద్ద సంఖ్యలో రంధ్రాలు వెల్లడయ్యాయి, గ్యాస్‌బ్యాగ్‌ల నుండి బయటపడటం యొక్క ఫలితం, ఇది ఫ్రేమ్‌వర్క్ యొక్క గిర్డర్లపై ఫౌల్ అంచనాలను ఫౌల్ చేయడానికి అనుమతించింది. [59] ఎక్కువ గ్యాస్ సామర్థ్యాన్ని (R101B) అనుమతించడానికి గ్"&amp;"యాస్ బ్యాగ్ నియంత్రణలను విప్పుతున్నప్పుడు అది డాక్టర్ ఎకెనర్ దృష్టికి వచ్చింది. లేక్ కాన్స్టాన్స్ వద్ద లుఫ్ట్స్చిఫ్బావు జెప్పెలిన్‌ను సందర్శిస్తున్న యుఎస్‌లోని డ్యూయిష్ జెప్పెలిన్-రీడెరెయి ప్రతినిధి విల్లీ వాన్ మీస్టర్‌కు అతని ఆందోళన పంపబడింది. డాక్టర్ ఎక"&amp;"ెనర్ గ్యాస్ సంచులను ధరించడం ద్వారా గ్యాస్ బ్యాగులు ధరించడం మరియు వాయువు కోల్పోవడం జరుగుతుందని ఆందోళన చెందారు. వాన్ మీస్టర్ తన తల్లిని సందర్శించడానికి మరియు లార్డ్ థాంప్సన్‌ను కలుసుకున్నందుకు యుఎస్‌కు తిరిగి వెళ్ళేటప్పుడు ఆగి డాక్టర్ ఎకెనర్ సాంకేతిక సహాయం "&amp;"అందించాడు. లార్డ్ థాంప్సన్ హృదయపూర్వకంగా విన్నాడు, వాన్ మీస్టర్‌కు కృతజ్ఞతలు తెలిపాడు మరియు పాడింగ్ వ్యవస్థాపించబడుతున్నాయని అతనికి సమాచారం ఇచ్చాడు మరియు బ్రిటిష్ డిజైనర్లు అది సరిపోతుందని భావించారు. [60] మైఖేల్ రోప్ చేత వినూత్నమైన డిజైన్ అయిన కవాటాల ద్వా"&amp;"రా గ్యాస్ కోల్పోయే అవకాశంపై కూడా ఆందోళన పెరిగింది. బ్యాగ్ చీలిపోయే స్థాయికి కణాలలో ఒత్తిడి పెరిగితే ఎయిర్‌షిప్ కవాటాలు ప్రధానంగా గ్యాస్‌ను స్వయంచాలకంగా వెంట్ చేయడానికి ఉద్దేశించబడతాయి; నిర్వహణ కోసం లిఫ్ట్ సర్దుబాటు చేయడానికి కూడా వీటిని ఉపయోగిస్తారు. ఎయిర"&amp;"్ షిప్ భారీగా చుట్టబడినప్పుడు లేదా బయటి కవర్ యొక్క ఫ్లాపింగ్ స్థానికీకరించిన అల్ప పీడనానికి కారణమైనప్పుడు కవాటాలు తెరవగలవని అనుమానించబడింది, కాని వారి ఆపరేషన్ యొక్క పరిశీలన తరువాత, కార్డింగ్టన్ వద్ద ఎయిర్ ఇన్స్పెక్టరేట్ డిపార్ట్మెంట్ ఇన్స్పెక్టర్ F. W. మె"&amp;"క్ వాడే వారి ఆపరేషన్ సంతృప్తికరంగా ఉందని మరియు గ్యాస్ యొక్క గణనీయమైన నష్టానికి అవి కారణం కాదు. [61] ప్రయోగాత్మక విమానంగా, R101 తాత్కాలిక ""ఎగరడానికి అనుమతి"", మెక్‌వేడ్ యొక్క బాధ్యత కింద పనిచేస్తోంది. జూలై 3 న, తన తక్షణ సుపీరియర్ను దాటవేస్తూ, మెక్వేడ్ ఏరో"&amp;"నాటికల్ ఇన్స్పెక్షన్ డైరెక్టర్ లెఫ్టినెంట్-కల్నల్ హెచ్. డబ్ల్యూ. ఎస్. ఇతర దేశాల గగనతలంలో ఎయిర్‌షిప్ ఎగరడానికి ముందు. అతని ఆందోళన ఏమిటంటే, గ్యాస్‌బ్యాగ్‌లను చాఫింగ్ నుండి రక్షించడానికి ఫ్రేమ్‌వర్క్‌పై పాడింగ్ సరిపోదు, వారు ""రేఖాంశ గిర్డర్‌లకు వ్యతిరేకంగా "&amp;"కఠినంగా ఉండేలా"", మరియు గ్యాస్‌బ్యాగులు ఏవైనా పెరగడం పాడింగ్ విప్పుటకు మొగ్గు చూపుతుంది , దానిని అసమర్థంగా మార్చడం. పాడింగ్ వాడకం గురించి కూడా అతను సందేహాలను వ్యక్తం చేశాడు, ఇది ఎయిర్ఫ్రేమ్ యొక్క తనిఖీని మరింత కష్టతరం చేసిందని మరియు తేమను కూడా ట్రాప్ చేస్"&amp;"తుంది, తుప్పుతో సమస్యలను ఎక్కువగా చేస్తుంది. [62] Outram, who knew little about airships, reacted to this by consulting Colmore, now Director of Airship Development, from whom he received a reassuring reply. The matter was taken no further.[63] R101 enter"&amp;"ed its shed for the extension on 29 June. At the same time, the gasbags were given a complete overhaul, two of the engines were replaced by the adapted engines capable of running in reverse, and most of the cover was replaced. The original cover was left "&amp;"in place between frames 3 and 5 and in two of the bays at the tail.[64] These parts of the cover had been doped after fitting and were therefore thought to be satisfactory, even though an inspection by McWade had found that some areas where reinforcements"&amp;" had been stuck on with a rubber solution were seriously weakened; these areas were further reinforced, using dope as an adhesive.[65] A schedule was drawn up by the Air Ministry for R101 to undertake the flight to India in early October, in order that th"&amp;"e flight would be made during the Imperial Conference which was to be held in London. The entire programme was intended to improve communication with the Empire, and it was hoped that the flight would generate favourable publicity for the airship programm"&amp;"e. The final trial flight of R101 was originally scheduled for 26 September 1930, but high winds delayed the move from the shed until 1 October. That evening, R101[66] slipped the mast for its only trial flight before setting off for India. This lasted 16"&amp;" hours 51 minutes and was undertaken under near-ideal weather conditions; because of the failure of the oil cooler in one engine, it was not possible to carry out full-speed trials. The flight was curtailed in order to prepare the airship for the flight t"&amp;"o India.[67] Despite the lack of full endurance and speed trials, and the fact that a proper investigation of the aerodynamic consequences of the extension had not been fully completed by the NPL, a Certificate of Airworthiness was issued on 2 October, th"&amp;"e Inspectorate expressing their complete satisfaction with the condition of R101 and the standards to which the remedial work had been carried out. The certificate was handed over to H. C. Irwin, the ship's captain, on the day of its flight to India.[68] "&amp;"R101 departed from Cardington on the evening of 4 October 1930 for its intended destination of Karachi, via a refuelling stop at Ismaïlia in Egypt, under the command of Flight Lieutenant Carmichael Irwin. Lord Thomson, Secretary of State for Air; Sir Seft"&amp;"on Brancker, Director of Civil Aviation; Squadron Leader William Palstra, RAAF Air Liaison Officer (ALO) to the British Air Ministry; Director of Airship Development Reginald Colmore; and both Lt. Col. V. C. Richmond and Michael Rope.[69] The weather fore"&amp;"cast on the morning of 4 October was generally favourable, predicting south to south-westerly winds of between 20 and 30 m.p.h. (32 and 48 km/h) at 2,000 ft (610 m) over northern France, with conditions improving over southern France and the Mediterranean"&amp;" Sea.[70] Although the mid-day forecast indicated some deterioration in the situation, this was not considered to be alarming enough to cancel the planned voyage. A course was planned which would take R101 over London, Paris and Toulouse, crossing the Fre"&amp;"nch coast near Narbonne.[citation needed] Fine rain was beginning to fall when, at dusk, with all the crew and passengers aboard, R101 readied for departure. Under the illuminating spotlights, the jettisoning of water ballast to bring the airship into tri"&amp;"m was clearly visible. Squadron Leader Booth, the commander of R100, was watching the departure from the tower's observation gallery and estimated that two tons had been discharged from the nose and a further ton from the midships tanks.[71] R101 cast off"&amp;" from the mast at 18:36 GMT to a cheer from the crowd which had gathered to witness the event, gently backed from the tower and, as another ton of ballast was jettisoned, the engines were opened up to about half power and the airship slowly began to climb"&amp;" away, initially heading northeast to fly over Bedford before making a 180° turn to port to pass north of Cardington.[citation needed] At about 19:06 the duty engineer in the aft engine car reported an apparent oil pressure problem. At 19:16, he shut the "&amp;"engine down, and after a short discussion with the chief engineer, work began to replace the oil gauge, since there was nothing apparently wrong with the engine. With one engine stopped, airspeed was reduced by around 4 mph (6 km/h) to 58.7 mph (94.5 km/h"&amp;")[72] At 19:19, having flown 29 mi (47 km) but still only 8 mi (13 km) from Cardington, a course was set for London. At 20:01, R101, by now over Potters Bar, made its second report to Cardington, confirming the intention to proceed via London, Paris and N"&amp;"arbonne, but making no mention of the engine problem. By that point, the weather had deteriorated, and it was raining heavily. Flying around 800 ft (240 m) above the ground, the airship passed over Alexandra Palace before changing course slightly at the l"&amp;"andmark clock tower of the Metropolitan Cattle Market north of Islington, and thence over Shoreditch to cross the Thames in the vicinity of the Isle of Dogs, passing over the Royal Naval College at Greenwich at 20:28. The airship's progress, flying with i"&amp;"ts nose pointing some 30 degrees to the right of its track, was observed by many who braved the rain to watch it pass overhead.[72] An update of the meteorological situation was received at 20:40.[73] The forecast had deteriorated severely, south-westerly"&amp;" winds of up to 50 mph (80 km/h) with low cloud and rain being predicted for northern France, and similar conditions over central France. That this caused concern on board is demonstrated by the request for more detailed information, which was transmitted"&amp;" at 21:19, by which time R101 was near Hawkhurst, Kent. It is possible that an alternative course was being considered. At 21:35 R101 crossed the English coast near Hastings and at 21:40 transmitted a progress report back to Cardington, mentioning that re"&amp;"covery of rainwater into the ballast tanks was taking place but again not reporting the engine problem. At 22:56 the aft engine was restarted. By now the wind had risen to about 44 mph (71 km/h) with strong gusts, but a further meteorological report recei"&amp;"ved shortly after the airship had crossed the coast had been encouraging about weather conditions south of Paris.[74] The French coast was crossed at the Point de St Quentin at 23:36 GMT, around 20 mi (32 km) east of the intended landfall.[75] A new cours"&amp;"e was set to bring R101 over Orly, based on an estimated wind direction of 245 degrees and speed of 35 mph (56 km/h). The intended course would have taken R101 four miles west of Beauvais, but the estimated wind speed and direction were inaccurate, as a r"&amp;"esult of which the R101's track was to the east of its intended course. This error would have become apparent when, at about 01:00, R101 passed over Poix-de-Picardie, a distinctive hilltop town that would have been readily recognisable to the navigation o"&amp;"fficer, Squadron Leader E.L. Johnston. Accordingly, R101 changed course: the new course would take it directly over the 770 ft (230 m) Beauvais Ridge, an area notorious for turbulent wind conditions.[76] At 02:00 the watch was changed, Second Officer Maur"&amp;"ice Steff taking over the command from Irwin. R101 was at this point ""flying heavy"",[citation needed] relying on dynamic lift generated by forward airspeed to maintain altitude, estimated by the Board of Inquiry as at least 1,000 ft (300 m) above the gr"&amp;"ound.[77] At about 02:07 R101 went into a dive from which it slowly recovered, probably losing around 450 ft (140 m).[citation needed] As it did so Rigger S. Church, who was returning to the crew quarters to come off duty, was sent forward to release the "&amp;"forward emergency ballast bags,[67] which were locally controlled. This first dive was steep enough to cause A. H. Leech, the foreman engineer from Cardington, to be thrown from his seat in the smoking room and to wake Chief Electrician Arthur Disley, who"&amp;" was dozing in the switch room next to the chart cabin. As the airship recovered, Disley was roused by Chief Coxswain G. W. Hunt, who then went to the crew quarters, calling out, ""We're down, lads"" in warning. As this happened the airship went into a se"&amp;"cond dive and orders to reduce speed to slow (450 rpm) were received in the engine cars.[citation needed] Before Engineer A. J. Cook, on duty in the left-hand midships engine car, could respond, the airship hit the ground at the edge of a wood outside All"&amp;"onne, 2.5 mi (4 km) southeast of Beauvais, and immediately caught fire. The reason for the order to reduce speed is a matter for conjecture because this would have caused the airship to lose dynamic lift and adopt a nose-down attitude.[citation needed] Th"&amp;"e subsequent inquiry estimated the impact speed at around 13 mph (21 km/h), with the airship between 15° and 25° nose down.[78] Forty-six of the 54 passengers and crew were killed immediately. Church and Rigger W. G. Radcliffe survived the crash but later"&amp;" died in hospital in Beauvais, bringing the total of dead to 48.[67] The bodies were returned to England, and on Friday 10 October a memorial service took place at St Paul's Cathedral while the bodies lay in state in Westminster Hall at the Palace of West"&amp;"minster. Nearly 90,000 people queued to pay their respects: at one time the queue was half a mile long, and the hall was kept open until 00:35 to admit them all.[79] The following day, a funeral procession transferred the bodies to Euston station through "&amp;"streets crowded with mourners. The bodies were then taken to Cardington village for burial in a common grave in the cemetery of St Mary's Church. A monument was later erected,[80] and the scorched Royal Air Force roundel which R101 had flown on its tail i"&amp;"s on display, along with a memorial tablet, in the church's nave.[81] On 1 October 1933, the Sunday before the third anniversary of the crash, a memorial[82] to the dead near the crash site was unveiled by the side of Route nationale 1 near Allonne. There"&amp;" is also a memorial marker on the actual crash site.[83] The Court of Inquiry was led by the Liberal politician Sir John Simon, assisted by Lieutenant-Colonel John Moore-Brabazon and Professor C.E. Inglis.[84] The inquiry, held in public, opened on 28 Oct"&amp;"ober and spent 10 days taking evidence from witnesses, including Professor Leonard Bairstow and Dr. Hugo Eckener of the Zeppelin company, before adjourning in order to allow Bairstow and the NPL to perform more detailed calculations based on wind-tunnel t"&amp;"ests on a specially made model of R101 in its final form. This evidence was presented over three days ending on 5 December 1930. The final report was presented on 27 March 1931.[citation needed] The inquiry examined most aspects of the design and construc"&amp;"tion of R101 in detail, with particular emphasis on the gasbags and the associated harnessing and valves, although very little examination of the problems that had been encountered with the cover was made. All the technical witnesses provided unhesitating"&amp;" endorsement of the airworthiness of the airship prior to its flight to India. An examination was also made of the various operational decisions that had been made before the airship undertook its final voyage.[citation needed] The possibility of the cras"&amp;"h having been the result of a prolonged loss of gas caused by leakage or loss through the valves was discounted since this explanation did not explain the airship's behaviour during its last moments: moreover the fact that the officers on duty had changed"&amp;" watch routinely implied that there had been no particular cause for alarm a few minutes before the crash. The recent change of watch was considered to be a possible contributory factor to the accident, since the new crew would not have had time to get th"&amp;"e feel of the airship.[citation needed] It was also considered most unlikely that the accident had been solely caused by a sudden downdraught. A sudden and catastrophic failure was seen as the only explanation. The inquiry discounted the possibility of st"&amp;"ructural failure of the airframe. The only major fracture found in the wreckage was at the rear of the new framework extension but it was considered that this had either occurred on impact or more probably been caused by the intense heat of the subsequent"&amp;" fire.[citation needed] The inquiry came to the conclusion that a tear had probably developed in the forward cover, this in turn causing one or more of the forward gasbags to fail. Evidence presented by Professor Bairstow showed that this would cause the "&amp;"R101 to become too nose-heavy for the elevators to correct.[85] The want of sufficient altitude was considered by the R101 Enquiry and must be considered given that the aircraft was flying in an area of reducing atmospheric pressure. The same evening, the"&amp;" Graf Zeppelin at Frankfort was reading 400 feet high. A similar error over France would have put the R101 400 feet lower than her intended height.[86] The altimeter could have been corrected while flying across the channel by timing the flare drop before"&amp;" ignition, but over France there was no way to determine altimeter correction. Sightings by observers reporting very low altitudes across France and the belief by the crew that they were at a safe altitude according to the altimeter could both be true. Th"&amp;"e question of sufficient altitude was considered by the R101 Enquiry but not the attendant issue of altimeter correction.[87][failed verification] The cause of the fire was not established. Several hydrogen airships had crashed in similar circumstances wi"&amp;"thout catching fire. The inquiry thought that it was most probable that a spark from the airship's electrics had ignited escaping hydrogen, causing an explosion. Other suggestions put forward included the ignition of the calcium flares carried in the cont"&amp;"rol car on contact with water,[88] electrostatic discharge or a fire in one of the engine cars, which carried petrol for the starter engines. All that is certain is that it caught fire almost at once and burned fiercely. In the extreme heat, the fuel oil "&amp;"from the wreck soaked into the ground and caught fire; it was still burning when the first party of officials arrived by air the next day.[89] The inquiry considered that it was ""impossible to avoid the conclusion that the R101 would not have started for"&amp;" India on the evening of October 4th if it had not been that matters of public policy were considered as making it highly desirable that she should do so"", but considered this to be the result of all concerned being eager to prove the worth of R101, rath"&amp;"er than direct interference from above.[90] The crash of R101 ended British interest in dirigibles during the pre-war period. Thos W Ward Ltd of Sheffield salvaged what they could of the wreckage,[91] the work continuing through 1931. Although it was stip"&amp;"ulated that none of the wreckage should be kept for souvenirs,[92] Wards made small dishes impressed with the words ""Metal from R101"", as they frequently did with the metal from ships or industrial structures that they had worked on. The Zeppelin Compan"&amp;"y purchased five tons of duralumin from the wreck.[67] The airship's competitor, R100, despite a more successful development programme and a satisfactory, although not entirely trouble-free, transatlantic trial flight, was grounded immediately after R101 "&amp;"crashed. The R100 remained in its hangar at Cardington for a year whilst the fate of the Imperial Airship programme was decided. In November 1931, the R100 was broken up and sold for scrap.[93] At the time, the Imperial Airship Scheme was a controversial "&amp;"project because of the large sums of public money involved and because some doubted the utility of airships.[94] Subsequently, there has been controversy about the R101's merits. The extremely poor relationship between the R100 team and both Cardington an"&amp;"d the Air Ministry created a climate of resentment and jealousy that may have rankled. Nevil Shute's autobiography was serialised by the Sunday Graphic on its publication in 1954 and was misleadingly promoted as containing sensational revelations,[95] and"&amp;" the accuracy of his account is a cause of contention among airship historians.[96] Barnes Wallis later expressed scathing criticism of the design although they may in part reflect personal animosities. Nevertheless, his listing of Richmond's ""overweenin"&amp;"g vanity"" as a major cause of the debacle and the fact that he had not designed it as another say little for his objectivity.[97] On 27 November 2014, 84 years after the disaster, Baroness Smith of Basildon, together with members of the Airship Heritage "&amp;"Trust, unveiled a memorial plaque to the R101 in St Stephens Hall in the Palace of Westminster.[98] సాధారణ లక్షణాల పనితీరు")</f>
        <v>బ్రిటిష్ సామ్రాజ్యంలో సుదూర మార్గాల్లో సేవ చేయగల పౌర ఎయిర్‌షిప్‌లను అభివృద్ధి చేయడానికి బ్రిటిష్ ప్రభుత్వ కార్యక్రమంలో భాగంగా 1929 లో పూర్తయిన బ్రిటిష్ దృ g మైన ఎయిర్‌షిప్‌లలో R101 ఒకటి. ఇది ఒక వైమానిక మంత్రిత్వ శాఖ-నియమించబడిన బృందం రూపొందించింది మరియు నిర్మించింది మరియు ప్రభుత్వ నిధులతో పోటీగా ఉంది, కానీ ప్రైవేటుగా రూపకల్పన చేసి R100 ను నిర్మించింది. నిర్మించినప్పుడు, ఇది ప్రపంచంలోనే అతిపెద్ద ఎగిరే క్రాఫ్ట్ [2] 731 అడుగుల (223 మీ) పొడవు, మరియు ఏడు సంవత్సరాల తరువాత LZ 129 హిండెన్‌బర్గ్ ప్రారంభమయ్యే వరకు ఇది మరొక హైడ్రోజన్ నిండిన దృ g మైన ఎయిర్‌షిప్ ద్వారా అధిగమించబడలేదు. ట్రయల్ విమానాలు మరియు లిఫ్టింగ్ సామర్థ్యాన్ని పెంచడానికి తదుపరి మార్పుల తరువాత, ఇందులో ఓడను మరొక గ్యాస్‌బ్యాగ్‌ను జోడించడానికి 46 అడుగుల (14 మీ) పొడిగించడం, [3] 5 అక్టోబర్ 1930 న ఫ్రాన్స్‌లో R101 క్రాష్ అయ్యింది బోర్డులో 54 మంది. [4] చంపబడిన ప్రయాణీకులలో లార్డ్ థామ్సన్, ఈ కార్యక్రమాన్ని ప్రారంభించిన వైమానిక మంత్రి, సీనియర్ ప్రభుత్వ అధికారులు మరియు రాయల్ ఎయిర్‌షిప్ పనుల నుండి దాదాపు అన్ని డైరిజిబుల్ డిజైనర్లు ఉన్నారు. R101 యొక్క క్రాష్ బ్రిటిష్ ఎయిర్ షిప్ అభివృద్ధిని సమర్థవంతంగా ముగించింది మరియు ఇది 1930 లలో చెత్త ఎయిర్ షిప్ ప్రమాదాలలో ఒకటి. 1937 లో అత్యంత ప్రచారం చేయబడిన హిండెన్‌బర్గ్ విపత్తులో మరణించిన 36 కంటే ఎక్కువ ప్రాణనష్టం 1933 లో న్యూజెర్సీ. R101 బ్రిటిష్ ప్రభుత్వ చొరవలో భాగంగా నిర్మించబడింది, బ్రిటన్ నుండి ప్రయాణీకుల మరియు మెయిల్ రవాణాను అందించడానికి ఎయిర్‌షిప్‌లను అభివృద్ధి చేయడానికి బ్రిటిష్ సామ్రాజ్యం, భారతదేశం, ఆస్ట్రేలియా మరియు కెనడాతో సహా చాలా సుదూర ప్రాంతాలకు, అప్పటికి చాలా గొప్పవి. గాలి కంటే భారీ విమానాల కోసం. 1922 నాటి బర్నీ పథకం బ్రిటిష్ ప్రభుత్వ సహకారంతో విక్కర్స్ యొక్క ప్రత్యేకంగా స్థాపించబడిన అనుబంధ సంస్థ చేత సివిల్ ఎయిర్‌షిప్ అభివృద్ధి కార్యక్రమాన్ని ప్రతిపాదించింది. ఈ పథకం భారతదేశంలో ఎక్కువ ఎయిర్‌షిప్‌లు మరియు స్థావరాన్ని కోరిన వైమానిక మంత్రిత్వ శాఖ నుండి మద్దతు ఇచ్చింది. అడ్మిరల్టీ కొన్ని లైట్ క్రూయిజర్‌లను చాలా చిన్నదిగా ఉంచుతుంది. అయితే, ప్రధాని లాయిడ్ జార్జ్ ప్రభుత్వం బర్నీ పథకానికి మద్దతు ఇవ్వలేదని నిర్ణయించుకుంది. [5] 1923 సార్వత్రిక ఎన్నికలు రామ్‌సే మెక్‌డొనాల్డ్ యొక్క కార్మిక పరిపాలనను అధికారంలోకి తీసుకువచ్చినప్పుడు, కొత్త వైమానిక మంత్రి లార్డ్ థామ్సన్ బర్నీ పథకం స్థానంలో సామ్రాజ్య ఎయిర్‌షిప్ పథకాన్ని రూపొందించారు. [6] ఇది రెండు ప్రయోగాత్మక ఎయిర్‌షిప్‌లను నిర్మించాలని పిలుపునిచ్చింది: ఒకటి, R101, వైమానిక మంత్రిత్వ శాఖ దిశలో రూపొందించబడింది మరియు నిర్మించబడాలి, మరియు మరొకటి, R100, ఒక విక్కర్స్ అనుబంధ సంస్థ, ఎయిర్‌షిప్ గ్యారెంటీ సంస్థ, స్థిర-ధర కింద నిర్మించవలసి ఉంటుంది. ఒప్పందం. వారికి వరుసగా "సోషలిస్ట్ ఎయిర్‌షిప్" మరియు "క్యాపిటలిస్ట్ ఎయిర్‌షిప్" అని మారుపేరు పెట్టారు. [7] [7] [7] రెండు ఎయిర్‌షిప్‌ల నిర్మాణంతో పాటు, పేజీ అవసరం], సామ్రాజ్య ఎయిర్‌షిప్ పథకం ఎయిర్‌షిప్ కార్యకలాపాలకు అవసరమైన మౌలిక సదుపాయాల స్థాపనలో ఉంది; ఉదాహరణకు, కార్డింగ్టన్, ఇస్మాలియా, కరాచీ మరియు మాంట్రియల్ వద్ద ఉపయోగించిన మూరింగ్ మాస్ట్‌లు రూపకల్పన చేసి నిర్మించాల్సి ఉంది మరియు వాతావరణ అంచనా నెట్‌వర్క్ విస్తరించి మెరుగుపడింది. [8] ఎయిర్‌షిప్‌ల కోసం లక్షణాలను వైమానిక మంత్రిత్వ శాఖ కమిటీ రూపొందించింది, దీని సభ్యులలో స్క్వాడ్రన్ నాయకుడు రెజినాల్డ్ కోల్మోర్ మరియు లెఫ్టినెంట్-కల్నల్ వి.సి. రిచ్‌మండ్, [9] వీరిద్దరికీ ఎయిర్‌షిప్‌లతో విస్తృతమైన అనుభవం ఉంది, వారిలో ఎక్కువ మంది ప్రజలు మొరటుగా ఉన్నారు. ఐదు మిలియన్ క్యూబిక్ అడుగుల (140,000 m³) సామర్థ్యం మరియు స్థిర నిర్మాణ బరువు 90 టన్నులకు మించకుండా ఒక ఎయిర్‌షిప్‌లను వారు పిలుపునిచ్చారు, ఇది దాదాపు 62 టన్నుల "పునర్వినియోగపరచలేని లిఫ్ట్" ను ఇస్తుంది. సుమారు 40 మంది సిబ్బంది, అలాగే దుకాణాలు మరియు నీటి బ్యాలస్ట్‌తో కూడిన సేవా భారం కోసం సుమారు 20 టన్నుల అవసరమైన భత్యం ఉండటంతో, ఇది 42 టన్నుల ఇంధనం మరియు ప్రయాణీకుల భారాన్ని అనుమతించింది. 57 గంటల ఫ్లైట్ అందించబడింది, మరియు స్థిరమైన క్రూయిజ్ వేగం 63 mph (101 km/h) మరియు గరిష్ట వేగం 70 mph (110 km/h) కోసం పిలువబడింది. [10] యుద్ధకాలంలో, ఎయిర్‌షిప్‌లు 200 దళాలను లేదా ఐదు పరాన్నజీవి ఫైటర్ విమానాలను తీసుకువెళతాయని భావిస్తున్నారు. విక్కర్స్ డిజైన్ బృందానికి బర్న్స్ వాలిస్ నాయకత్వం వహించాడు, అతను కఠినమైన ఎయిర్‌షిప్ డిజైన్ యొక్క విస్తృతమైన అనుభవాన్ని కలిగి ఉన్నాడు మరియు తరువాత వెల్లింగ్టన్ బాంబర్ యొక్క జియోడెటిక్ ఫ్రేమ్‌వర్క్‌కు మరియు బౌన్స్ బాంబు కోసం ప్రసిద్ది చెందాడు. అతని ప్రిన్సిపల్ అసిస్టెంట్ ("చీఫ్ కాలిక్యులేటర్"), నెవిల్ షుట్ నార్వే, తరువాత నవలా రచయిత నెవిల్ షుట్ అని పిలుస్తారు, తరువాత తన 1954 ఆత్మకథ స్లైడ్ రూల్: ఆటోబయోగ్రఫీ ఆఫ్ ఒక ఇంజనీర్లో రెండు ఎయిర్‌షిప్‌ల రూపకల్పన మరియు నిర్మాణం గురించి అతని ఖాతాను ఇచ్చారు. షుట్ యొక్క పుస్తకం R100 ను ఆచరణాత్మక మరియు సాంప్రదాయిక రూపకల్పనగా, మరియు R101 ను విపరీత మరియు అతిగా మరియు అతిగా, కానీ రెండు డిజైన్ బృందాలను కలిగి ఉండటమే ఒక ఉద్దేశ్యం వేర్వేరు విధానాలను పరీక్షించడం, R101 ఉద్దేశపూర్వకంగా ఇప్పటికే ఉన్న సాంకేతిక పరిజ్ఞానం యొక్క పరిమితులను విస్తరించడానికి ఉద్దేశించబడింది. [11] R101 జట్టుపై తన విమర్శలు చాలా సమర్థించబడలేదని షుట్ తరువాత అంగీకరించాడు. [12] జూలై 1925 లో ప్రారంభమయ్యే ప్రభుత్వం నిర్మించిన R101 నిర్మాణం మరియు తరువాతి జూలై నాటికి పూర్తి కావడానికి, భారతదేశానికి ట్రయల్ ఫ్లైట్ జనవరి 1927 లో ప్రణాళిక చేయబడింది. [13] ఈ సందర్భంలో, 1927 ప్రారంభంలో R101 నిర్మాణం ప్రారంభించడం ఆలస్యం అయిన విస్తృతమైన ప్రయోగం. R100 కూడా ఆలస్యం అయింది, మరియు 1929 చివరి వరకు ప్రయాణించలేదు. మొత్తం ఎయిర్‌షిప్ ప్రోగ్రాం డైరెక్టర్ ఆఫ్ ఎయిర్‌షిప్ డెవలప్‌మెంట్ (డాడ్) ఆధ్వర్యంలో ఉంది , గ్రూప్ కెప్టెన్ పెరెగ్రైన్ ఫెలోస్, కోల్మోర్ తన డిప్యూటీగా వ్యవహరించాడు. లెఫ్టినెంట్-కల్నల్ రిచ్‌మండ్‌ను డిజైన్ డైరెక్టర్‌గా నియమించారు: తరువాత అతను "అసిస్టెంట్ డైరెక్టర్ ఆఫ్ ఎయిర్‌షిప్ డెవలప్‌మెంట్ (టెక్నికల్)" [14] గా ఘనత పొందాడు, స్క్వాడ్రన్ నాయకుడు మైఖేల్ రోప్‌తో అతని సహాయకుడిగా. రెండు ఎయిర్‌షిప్‌లకు అన్ని కార్యాచరణ విషయాలకు బాధ్యత వహించే ఫ్లయింగ్ అండ్ ట్రైనింగ్ డైరెక్టర్ మేజర్ జి.హెచ్. నిర్మించాల్సిన మూరింగ్ మాస్ట్‌ల రూపకల్పనను అభివృద్ధి చేసిన స్కాట్. బెడ్‌ఫోర్డ్‌షైర్‌లోని కార్డింగ్టన్‌లో జరిగే రాయల్ ఎయిర్‌షిప్ వర్క్స్‌లో ఈ పని జరిగింది, దీనిని మొదటి ప్రపంచ యుద్ధంలో షార్ట్ బ్రదర్స్ నిర్మించారు మరియు స్వాధీనం చేసుకున్న కఠినమైన ఎయిర్‌షిప్‌ల నుండి తాజా జర్మన్ డిజైన్లను కాపీ చేసి మెరుగుపరచడానికి అడ్మిరల్టీ చేత నియమించబడింది. ఈ రచనలు 1919 లో జాతీయం చేయబడ్డాయి, కాని R38 (అప్పుడు యుఎస్‌కు ZR2 గా బదిలీ చేయబడిన ప్రక్రియలో), ​​నావికాదళ వైమానిక అభివృద్ధిని ఆపివేసింది మరియు అది సంరక్షణ మరియు నిర్వహణ ప్రాతిపదికన ఉంచబడింది. నేషనల్ ఫిజికల్ లాబొరేటరీ (ఎన్‌పిఎల్) విస్తృతమైన పరిశోధన మరియు పరీక్షా కార్యక్రమాన్ని పూర్తి చేసిన తర్వాత మాత్రమే R101 ను నిర్మించాల్సి ఉంది. ఈ కార్యక్రమంలో భాగంగా, నిర్మాణాత్మక లోడ్లు మరియు వాయు ప్రవాహం గురించి పెద్ద ఎయిర్‌షిప్ చుట్టూ డేటాను సేకరించడానికి ఎయిర్ మంత్రిత్వ శాఖ R33 ని పునరుద్ధరించడం మరియు ఎగురుతున్న ఖర్చులకు నిధులు సమకూర్చింది. [10] ఈ డేటా విక్కర్లకు కూడా అందుబాటులో ఉంది; [15] రెండు ఎయిర్‌షిప్‌లు మునుపటి డిజైన్ల మాదిరిగా కాకుండా ఒకే పొడుగుచేసిన టియర్-డ్రాప్ ఆకారాన్ని కలిగి ఉన్నాయి. ఏరోడైనమిక్ అభివృద్ధికి బాధ్యత వహించిన హిల్డా లియాన్, ఈ ఆకారం కనీస మొత్తంలో డ్రాగ్‌ను ఉత్పత్తి చేసిందని కనుగొన్నారు. [16] [17] భద్రత ఒక ప్రాధమిక ఆందోళన మరియు ఇది ఇంజిన్ల ఎంపికపై ముఖ్యమైన ప్రభావాన్ని చూపుతుంది. డ్యూరాలిమిన్ వంటి తేలికపాటి మిశ్రమాల కంటే ప్రాధమిక నిర్మాణాన్ని ఎక్కువగా స్టెయిన్లెస్ స్టీల్ నుండి నిర్మించడానికి ఒక ప్రారంభ నిర్ణయం తీసుకోబడింది. ప్రాధమిక నిర్మాణం యొక్క రూపకల్పన కార్డింగ్టన్ మరియు విమాన తయారీదారు బౌల్టన్ మరియు పాల్ మధ్య పంచుకోబడింది, వీరు ఉక్కు వాడకంలో విస్తృతమైన అనుభవం కలిగి ఉన్నారు మరియు స్టీల్ స్ట్రిప్‌ను నిర్మాణాత్మక విభాగాలుగా రూపొందించడానికి వినూత్న పద్ధతులను అభివృద్ధి చేశారు. ఎన్‌పిఎల్ సరఫరా చేసిన డేటా సహాయంతో తయారుచేసిన అవుట్‌లైన్ డిజైన్‌కు పనిచేయడం, ఒత్తిడి లెక్కలు కార్డింగ్టన్ చేత నిర్వహించబడ్డాయి. ఈ సమాచారం అప్పుడు J.D. నార్త్ మరియు బౌల్టన్ మరియు పాల్ వద్ద అతని బృందానికి అందించబడింది, వారు లోహపు పనిని రూపొందించారు. [18] వ్యక్తిగత గిర్డర్లు నార్విచ్‌లో బౌల్టన్ మరియు పాల్ చేత తయారు చేయబడ్డాయి మరియు కార్డింగ్‌టన్‌కు రవాణా చేయబడ్డాయి, అక్కడ వారు కలిసి బోల్ట్ చేయబడ్డారు. ముందుగా తయారు చేసిన నిర్మాణం కోసం ఈ పథకం తయారీ సహనాలను డిమాండ్ చేసింది మరియు పూర్తిగా విజయవంతమైంది, ఎందుకంటే R101 చివరికి బేర్స్ సాక్ష్యమిచ్చింది. లోహపు పని కోసం ఏదైనా ఒప్పందాలు సంతకం చేయడానికి ముందు, 15-వైపుల విలోమ రింగ్ ఫ్రేమ్‌లలో ఒక జతతో కూడిన మొత్తం బే మరియు కనెక్ట్ చేసే రేఖాంశ గిర్డర్లు కార్డింగ్టన్ వద్ద సమావేశమయ్యాయి. అసెంబ్లీ లోడింగ్ పరీక్షలలో ఉత్తీర్ణత సాధించిన తరువాత, వ్యక్తిగత గిర్డర్లు తరువాత విధ్వంసానికి పరీక్షించబడ్డాయి. ఎయిర్‌ఫ్రేమ్ యొక్క నిర్మాణం వినూత్నమైనది: మునుపటి ఎయిర్‌షిప్‌ల యొక్క రింగ్ ఆకారంలో ఉన్న విలోమ ఫ్రేమ్‌లు సెంట్రల్ హబ్‌లో రేడియల్ వైర్ల సమావేశం ద్వారా బ్రేస్ చేయబడ్డాయి, కాని R101 లో అలాంటి బ్రేసింగ్ ఉపయోగించబడలేదు, ఫ్రేమ్‌లు తమలో తాము గట్టిగా ఉన్నాయి. [19] ఏదేమైనా, దీని ఫలితంగా నిర్మాణం కవరులోకి మరింత విస్తరించింది, తద్వారా గ్యాస్‌బ్యాగ్‌ల పరిమాణాన్ని పరిమితం చేస్తుంది. ఎయిర్‌షిప్‌ల భద్రత కోసం కమిటీ 1924 లో రూపొందించిన స్పెసిఫికేషన్లు ఎయిర్‌ఫ్రేమ్ బలాల కోసం అప్పటి ఉన్న నిబంధనలపై బరువు అంచనాలను కలిగి ఉన్నాయి. ఏదేమైనా, ఎయిర్ మినిస్ట్రీ ఇన్స్పెక్టరేట్ 1924 చివరలో ఎయిర్ షిప్ భద్రతా ప్రమాణాల కోసం కొత్త నియమాలను ప్రవేశపెట్టింది మరియు ఇంకా ఈ అనూహ్యమైన నిబంధనలకు అనుగుణంగా ప్రతి ఎయిర్ షిప్ కోసం వ్యక్తిగత స్పెసిఫికేషన్లలో స్పష్టంగా ప్రస్తావించబడింది. [20] ఈ కొత్త నియమాలు అన్ని లిఫ్టింగ్ లోడ్లను రేఖాంశ గిర్డర్ల ద్వారా తీసుకోకుండా నేరుగా విలోమ ఫ్రేమ్‌లకు ప్రసారం చేయాలని పిలుపునిచ్చాయి. [21] ఈ తీర్పు వెనుక ఉద్దేశ్యం ఏమిటంటే, జెప్పెలిన్ డిజైన్ కార్యాలయంలో సమకాలీన అభ్యాసం వలె, అనుభవపూర్వకంగా పేరుకుపోయిన డేటాపై ఆధారపడకుండా, ఫ్రేమ్‌వర్క్ యొక్క ఒత్తిడిని పూర్తిగా లెక్కించడానికి వీలు కల్పించడం. ఎయిర్‌ఫ్రేమ్ బరువుకు చిక్కులు కాకుండా, ఈ నిబంధనల యొక్క ఒక ప్రభావం ఏమిటంటే, గ్యాస్‌బ్యాగ్‌లను ఉపయోగించుకునే కొత్త వ్యవస్థను రూపొందించడానికి ఇరు జట్లను బలవంతం చేయడం. R101 యొక్క పేటెంట్ పొందిన "పారాచూట్" గ్యాస్‌బ్యాగ్ హార్నెసింగ్, మైఖేల్ రోప్ చేత రూపొందించబడింది, సంతృప్తికరంగా కంటే తక్కువ నిరూపించబడింది, సంచులను అనవసరంగా పెంచడానికి అనుమతించింది, ముఖ్యంగా కఠినమైన వాతావరణంలో. ఫాబ్రిక్. మరొక ప్రభావం ఏమిటంటే, ఒత్తిడి లెక్కలను సరళీకృతం చేయడానికి R100 మరియు R101 రెండూ చాలా తక్కువ సంఖ్యలో రేఖాంశ గిర్డర్లను కలిగి ఉన్నాయి. దాన్ని కుదించడానికి డోప్‌ను వర్తింపజేయడం. కవరింగ్‌లో మద్దతు లేని ఫాబ్రిక్ యొక్క వైశాల్యాన్ని తగ్గించడానికి, డిజైన్ ప్రధాన రేఖాంశాలను నిర్మాణేతర "రీఫింగ్ బూమ్స్" తో ప్రత్యామ్నాయంగా కింగ్‌పోస్టులపై అమర్చారు, ఇవి కవరింగ్ ఉద్రిక్తత కోసం స్క్రూ-జాక్‌లను ఉపయోగించి సర్దుబాటు చేయబడతాయి. [23] ప్రీ-డోప్డ్ ఫాబ్రిక్ ప్రారంభం నుండి అసంతృప్తికరంగా నిరూపించబడింది, ఎయిర్‌షిప్ దాని షెడ్‌ను విడిచిపెట్టడానికి ముందు తేమ మార్పుల కారణంగా ప్యానెల్లు విడిపోయాయి. [24] ఇతర వినూత్న రూపకల్పన లక్షణాలు ఉన్నాయి. ఇంతకుముందు, బ్యాలస్ట్ కంటైనర్లు తోలు "ప్యాంటు" రూపంలో తయారు చేయబడ్డాయి మరియు ఒకటి లేదా మరొక కాలు దిగువన కంట్రోల్ కారు నుండి కేబుల్-రిలీజ్ ద్వారా తెరవబడుతుంది. R101 లో, ఎక్స్‌ట్రీమ్ ఫార్వర్డ్ మరియు వెనుక బ్యాలస్ట్ బ్యాగులు ఈ రకమైనవి, మరియు స్థానికంగా నిర్వహించబడ్డాయి, కాని ప్రధాన బ్యాలస్ట్ పైపుల ద్వారా అనుసంధానించబడిన ట్యాంకులలో ఉంచబడింది, తద్వారా బ్యాలస్ట్‌ను ఒకదానికొకటి బదిలీ చేయవచ్చు, సంపీడన గాలిని ఉపయోగించి ఎయిర్‌షిప్ యొక్క ట్రిమ్‌ను మార్చడానికి. [[ ఎన్వలప్ యొక్క లోపలి భాగాన్ని వెంటిలేట్ చేయడానికి ఏర్పాట్లు, తప్పించుకున్న హైడ్రోజన్ యొక్క నిర్మాణాన్ని నివారించడానికి మరియు బయటి మరియు లోపలి మధ్య ఒత్తిడిని సమం చేయడానికి కూడా అవసరం, కూడా వినూత్నమైనది. ఫ్లాప్-వాల్వ్స్ శ్రేణి ఎయిర్‌షిప్ కవర్ యొక్క ముక్కు మరియు దృ ern మైన (ముక్కు వద్ద ఉన్నవి ఛాయాచిత్రాలలో స్పష్టంగా కనిపిస్తాయి) ఎయిర్‌షిప్ అవరోహణలో ఉన్నప్పుడు గాలిలోకి ప్రవేశించడానికి అనుమతించగా, చుట్టుకొలత మధ్య చుట్టుపక్కల గుంటల శ్రేణిని ఏర్పాటు చేశారు. ఆరోహణ సమయంలో గాలి నిష్క్రమించడానికి అనుమతించడానికి. [24] హెవీ ఆయిల్ (డీజిల్) ఇంజిన్‌లను వైమానిక మంత్రిత్వ శాఖ పేర్కొంది, ఎందుకంటే భారతదేశ మార్గంలో ఎయిర్‌షిప్ ఉపయోగం కోసం ఉద్దేశించబడింది, ఇక్కడ అధిక ఉష్ణోగ్రతలు పెట్రోల్‌ను తక్కువ ఫ్లాష్ పాయింట్ కారణంగా ఆమోదయోగ్యం కాని అగ్ని ప్రమాదం అని భావించారు. 1921 లో R38 కోల్పోవడంలో ప్రాణాంతకానికి పెట్రోల్ పేలుడు ప్రధాన కారణం. [26] ప్రారంభ లెక్కలు ఏడు బార్డ్‌మోర్ టైఫూన్ సిక్స్-సిలిండర్ హెవీ-ఆయిల్ ఇంజిన్ల వాడకంపై ఆధారపడి ఉన్నాయి, ఇవి 2,200 పౌండ్లు (1,000 కిలోలు) బరువు కలిగి ఉంటాయని మరియు 600 బిహెచ్‌పి (450 కిలోవాట్) ను పంపిణీ చేస్తాయి. [27] ఈ ఇంజిన్ యొక్క అభివృద్ధి అసాధ్యమని నిరూపించబడినప్పుడు, ఎనిమిది సిలిండర్ బార్డ్మోర్ సుడిగాలి వాడకం బదులుగా ప్రతిపాదించబడింది. ఇది బార్డ్మోర్ చేత అభివృద్ధి చేయబడిన ఇంజిన్, రెండు నాలుగు సిలిండర్ ఇంజిన్లను మిళితం చేస్తుంది, ఇవి మొదట రైల్వే వాడకం కోసం అభివృద్ధి చేయబడ్డాయి. మార్చి 1925 లో ఇవి 3,200 పౌండ్ల (1,500 కిలోలు) బరువు మరియు 700 బిహెచ్‌పి (520 కిలోవాట్) ను అందిస్తాయని భావించారు. ప్రతి ఇంజిన్ యొక్క బరువు పెరిగినందున, ఇది ఐదుని ఉపయోగించాలని నిర్ణయించారు, దీని ఫలితంగా మొత్తం శక్తిని 4,200 బిహెచ్‌పి (3,100 కిలోవాట్) నుండి 3,500 బిహెచ్‌పి (2,600 కిలోవాట్) కు తగ్గించారు. 950 ఆర్‌పిఎమ్, ఇంజిన్‌ను గరిష్టంగా 935 ఆర్‌పిఎమ్‌కి పరిమితం చేస్తుంది, ఇది 650 బిహెచ్‌పి (485 కిలోవాట్) మాత్రమే ఉత్పత్తిని ఇస్తుంది, 585 బిహెచ్‌పి (436 కిలోవాట్) 890 ఆర్‌పిఎమ్ వద్ద నిరంతర విద్యుత్ రేటింగ్‌తో. [28] ఇంజిన్ కూడా అంచనా వేసిన బరువు కంటే ఎక్కువ, 4,773 పౌండ్లు (2,165 కిలోలు), ప్రారంభ అంచనా కంటే రెట్టింపు. [28] ఈ అదనపు బరువులో కొన్ని సంతృప్తికరమైన తేలికపాటి అల్యూమినియం క్రాంక్కేస్ తయారు చేయడంలో విఫలమైన ఫలితం. [29] డాకింగ్ సమయంలో యుక్తి కోసం రివర్స్ థ్రస్ట్‌ను అందించడానికి వేరియబుల్-పిచ్ ప్రొపెల్లర్లతో రెండు ఇంజిన్‌లను అమర్చడం అసలు ఉద్దేశ్యం. టోర్షనల్ ప్రతిధ్వని రివర్సింగ్ ప్రొపెల్లర్ల యొక్క బోలు మెటల్ బ్లేడ్లు హబ్స్ దగ్గర పగుళ్లను అభివృద్ధి చేయడానికి కారణమయ్యాయి, [30] మరియు స్వల్పకాలిక కొలతగా ఇంజిన్లలో ఒకటి స్థిర-పిచ్ రివర్స్ ప్రొపెల్లర్‌తో అమర్చబడింది, తత్ఫలితంగా సాధారణ విమాన పరిస్థితులలో చనిపోయిన బరువుగా మారింది. . . ప్రతి ఇంజిన్ కారులో స్టార్టర్ మోటారుగా ఉపయోగించడానికి 40 బిహెచ్‌పి (30 కిలోవాట్ల) రికార్డో పెట్రోల్ ఇంజన్ కూడా ఉంది. వీటిలో మూడు కూడా ఎయిర్‌షిప్ విశ్రాంతిగా ఉన్నప్పుడు లేదా తక్కువ వేగంతో ఎగురుతున్నప్పుడు విద్యుత్తును అందించడానికి జనరేటర్లను నడిపారు: సాధారణ విమాన వేగంతో జనరేటర్లు స్థిరమైన-స్పీడ్ వేరియబుల్-పిచ్ విండ్‌మిల్‌ల ద్వారా నడపబడతాయి. మిగతా రెండు సహాయక ఇంజన్లు సంపీడన గాలి ఇంధనం మరియు బ్యాలస్ట్ బదిలీ వ్యవస్థ కోసం కంప్రెషర్లను నడిపించాయి. చివరి విమానానికి ముందు, పెట్రోల్ ఇంజిన్లలో ఒకటి బెవర్లీ హెవీ ఆయిల్ ఇంజిన్ ద్వారా భర్తీ చేయబడింది; అగ్ని ప్రమాదాన్ని తగ్గించడానికి, పెట్రోల్ ట్యాంకులను జెట్టిసన్ చేయవచ్చు. [33] విలోమ ఫ్రేములలోని ట్యాంకులలో డీజిల్ ఇంధనం ఉంది, ట్యాంకులలో ఎక్కువ భాగం 224 ఇంప్ గల్ (1,018 ఎల్) సామర్థ్యం కలిగి ఉంది. అత్యవసర పరిస్థితుల్లో ట్యాంకుల నుండి నేరుగా ఇంధనాన్ని డంపింగ్ చేయడానికి ఒక యంత్రాంగం అందించబడింది. బరువు పరిహారం కోసం అందించిన ట్యాంకేజీని ఉపయోగించడం ద్వారా, తేలికపాటి ప్రయాణీకుల లోడ్‌తో ప్రయాణించేటప్పుడు మొత్తం ఇంధన లోడ్ 10,000 ఇంప్ గల్ (45,000 ఎల్) తీసుకెళ్లవచ్చు. [34] సాధారణ సేవలో, R101 42 మంది సిబ్బందిని తీసుకువెళ్ళింది. ఇది వాచ్ యొక్క అధికారి క్రింద 13 మంది పురుషుల రెండు గడియారాలను కలిగి ఉంది, ఈ విధి ముగ్గురు ప్రధాన ఓడ అధికారులలో విభజించబడింది. అదనంగా, చీఫ్ నావిగేటర్, వాతావరణ అధికారి, చీఫ్ కాక్స్వైన్, చీఫ్ ఇంజనీర్, చీఫ్ వైర్‌లెస్ ఆఫీసర్ మరియు చీఫ్ స్టీవార్డ్, గడియారాలకు కేటాయించబడలేదు కాని అవసరమైన విధంగా విధుల్లో ఉన్నారు, మరియు నాలుగు సూపర్ నమరరీలు (ముగ్గురు ఇంజనీర్లు మరియు ఎ రేడియో ఆపరేటర్) అవసరమైతే రిలీఫ్ వాచ్ కీపింగ్ అందించడానికి అందుబాటులో ఉన్న వారు, మరియు అసిస్టెంట్ స్టీవార్డ్, కుక్ మరియు గాలీ బాలుడు 06:30 మరియు 21:30 మధ్య అవసరమయ్యే విధంగా విధుల్లో ఉన్నారు. [35] ఎయిర్‌షిప్ సర్టిఫికెట్‌లో పేర్కొన్న విధంగా కనీస సిబ్బంది అవసరం 15 మంది పురుషులు. కంట్రోల్ కారును వాచ్ యొక్క డ్యూటీ ఆఫీసర్ మరియు స్టీరింగ్ అండ్ ఆల్టిట్యూడ్ కాక్స్స్స్స్వైన్స్ ఆక్రమించారు, వారు ఓడ యొక్క చక్రం మాదిరిగానే చక్రాలను ఉపయోగించి చుక్కాని మరియు ఎలివేటర్లను వరుసగా నియంత్రించారు. ఇంజిన్లను ప్రతి ఇంజిన్ కార్లలో ఇంజనీర్ వ్యక్తిగతంగా నియంత్రించారు, ప్రతి కారుకు ఒక వ్యక్తిగత టెలిగ్రాఫ్ ద్వారా ఆర్డర్లు ఇవ్వబడతాయి. ఇవి కావలసిన థొరెటల్ సెట్టింగ్‌ను సూచించడానికి ఇంజిన్ కారులో ఒక సూచికను తరలించాయి మరియు ఒక ఆర్డర్ ప్రసారం చేయబడిందనే వాస్తవాన్ని దృష్టిని ఆకర్షించడానికి ఒక గంటను కూడా మోగింది. [సైటేషన్ అవసరం] ప్రయాణీకుల వసతి కవరులో రెండు డెక్‌లపై విస్తరించింది మరియు మొదటిది ఒకటి, ఇద్దరు, లేదా నలుగురు వ్యక్తుల కోసం 50 ప్యాసింజర్ క్యాబిన్లు, 60 మందికి భోజనాల గది, [సైటేషన్ అవసరం] ఎయిర్‌షిప్ వైపులా కిటికీలతో రెండు ప్రొమెనేడ్ డెక్స్, 5,500 చదరపు అడుగుల (510 మీ 2) విశాలమైన లాంజ్ [2 ] మరియు 24 మందికి ఆస్బెస్టాస్-చెట్లతో కూడిన ధూమపాన గది. ప్రయాణీకుల స్థలం చాలావరకు ఎగువ డెక్‌లో ఉంది, ధూమపాన గది, వంటగది మరియు వాష్‌రూమ్‌లు, సిబ్బంది వసతి, అలాగే చార్ట్ రూమ్ మరియు దిగువ డెక్‌పై రేడియో క్యాబిన్ ఉన్నాయి. [36] కంట్రోల్ కారు వెంటనే దిగువ డెక్ యొక్క ఫార్వర్డ్ విభాగం క్రింద ఉంది మరియు చార్ట్ గది నుండి ఒక నిచ్చెన ద్వారా చేరుకుంది. [సైటేషన్ అవసరం] గోడలు తెలుపు మరియు బంగారంతో పెయింట్ చేయబడిన డోప్డ్ నారతో తయారు చేయబడ్డాయి. బరువు ఆదా చర్యలలో వికర్ ఫర్నిచర్ మరియు అల్యూమినియం కత్తులు ఉన్నాయి. ప్రొమెనేడ్ కిటికీలు ఉద్దేశించిన గాజుకు బదులుగా తేలికపాటి "సెల్లోన్" గా ఉన్నాయి మరియు తరువాత బరువు ఆదా చేసే చర్యలలో భాగంగా ఒక సెట్ తొలగించబడింది. [సైటేషన్ అవసరం] R101 యొక్క హైడ్రోజన్ గ్యాస్‌బ్యాగ్‌లను పెంచే సుదీర్ఘ ప్రక్రియ 11 జూలై 1929 న ప్రారంభమైంది మరియు ఇది పూర్తయింది 21 సెప్టెంబర్. ఇప్పుడు ఎయిర్‌షిప్ ఇప్పుడు గాలిలో మరియు షెడ్‌లో వదులుగా ఉంటుంది, ఇప్పుడు లిఫ్ట్ మరియు ట్రిమ్ ట్రయల్స్ నిర్వహించడం సాధ్యమైంది. ఇవి నిరాశపరిచాయి. 17 జూన్ 1929 న జరిగిన డిజైన్ సమావేశం 151.8 టన్నుల స్థూల లిఫ్ట్ మరియు 105 టన్నుల విద్యుత్ సంస్థాపనతో సహా మొత్తం ఎయిర్ఫ్రేమ్ బరువును అంచనా వేసింది. వాస్తవ గణాంకాలు 148.46 టన్నుల స్థూల లిఫ్ట్ మరియు 113.6 టన్నుల బరువు అని నిరూపించబడ్డాయి. [37] అంతేకాకుండా, ఎయిర్‌షిప్ తోక-భారీగా ఉంది, తోక ఉపరితలాలు అంచనా వేసిన బరువు కంటే గణనీయంగా ఉంటాయి. ఈ రూపంలో, భారతదేశానికి ఒక విమానము ప్రశ్నార్థకం కాదు. అధిక గాలి ఉష్ణోగ్రతలలో లిఫ్ట్ కోల్పోవడం ద్వారా ఉష్ణమండల పరిస్థితులలో ఎయిర్‌షిప్ కార్యకలాపాలు మరింత కష్టతరం చేయబడ్డాయి: కరాచీలో లిఫ్ట్ కోల్పోవడం (అప్పటి బ్రిటిష్ ఇండియాలో భాగం) R101 యొక్క పరిమాణంలో ఎయిర్‌షిప్ కోసం 11 టన్నుల వరకు 11 టన్నులు ఉంటుందని అంచనా. [[[ 38] అక్టోబర్ 2 న ప్రెస్ పూర్తి చేసిన ఎయిర్‌షిప్‌ను చూడటానికి కార్డింగ్‌టన్‌కు ఆహ్వానించబడింది. [39] ఏదేమైనా, వాతావరణ పరిస్థితులు అక్టోబర్ 12 వరకు షెడ్ నుండి బయటకు తీయడం అసాధ్యం, దీనిని 400 మంది గ్రౌండ్-హ్యాండ్లింగ్ పార్టీ ద్వారా బయటకు వెళ్ళింది. ఈ కార్యక్రమం భారీ సంఖ్యలో ప్రేక్షకులను ఆకర్షించింది, చుట్టుపక్కల రహదారులతో కార్ల దృ line మైన రేఖ. మూర్డ్ ఎయిర్‌షిప్ ప్రేక్షకులను ఆకర్షిస్తూనే ఉంది, మరియు నవంబర్ చివరి నాటికి మాస్ట్‌లో ఒక మిలియన్ మందికి పైగా ప్రజలు R101 ను చూడటానికి కార్డింగ్‌టన్ పర్యటన చేసినట్లు అంచనా. [40] ఈ కార్యక్రమంపై తూకం వేసిన రాజకీయ ఒత్తిళ్లను వివరిస్తూ, అనుకూలమైన ప్రచారాన్ని రూపొందించడానికి వైమానిక మంత్రిత్వ శాఖ అవసరం వల్ల ఎగిరే కార్యక్రమం ప్రభావితమైంది. మొదటి అధికారి నోయెల్ అథర్‌స్టోన్ నవంబర్ 6 న తన డైరీలో వ్యాఖ్యానించాడు: "ఈ విండో-డ్రెస్సింగ్ స్టంట్స్ మరియు జాయ్-రైడ్‌లు ఆమెకు వాయు యోగ్యత సర్టిఫికేట్ పొందే ముందు చాలా తప్పు, కానీ ముడి [రాయల్ ఎయిర్‌షిప్ వర్క్స్‌లో ఎవరూ లేరు [రాయల్ ఎయిర్‌షిప్ వర్క్స్ ] ఎగ్జిక్యూటివ్ వారి పాదాలను అణిచివేసి, ట్రయల్స్ జాయ్-రైడ్‌లు లేకుండా ఉండాలని పట్టుబట్టారు ". [41] సామ్రాజ్యం చట్టంపై ఒక సమావేశానికి ప్రతినిధుల కోసం ఎయిర్‌షిప్‌లో జరిగిన భోజనం ద్వారా అథర్‌స్టోన్ వ్యాఖ్యలు జరిగాయి, కాని ఇలాంటి అనేక సందర్భాలు ఉన్నాయి. [సైటేషన్ అవసరం] R101 అక్టోబర్ 14 న మొదటి విమానంలో చేసింది. బెడ్‌ఫోర్డ్‌లో ఒక షార్ట్ సర్క్యూట్ తరువాత, కోర్సు లండన్ కోసం సెట్ చేయబడింది, అక్కడ ఇది వెస్ట్ మినిస్టర్, సెయింట్ పాల్స్ కేథడ్రల్ మరియు నగరం ప్యాలెస్ మీదుగా, ఐదు గంటల 40 నిమిషాల పాటు విమానంలో ప్రయాణించిన తరువాత కార్డింగ్టన్కు తిరిగి వచ్చింది. ఈ విమానంలో ఎయిర్‌షిప్‌ను నియంత్రించడంలో ఎటువంటి ఇబ్బంది లేకుండా, సర్వోలు ఉపయోగించబడలేదు. [42] అక్టోబర్ 18 న తొమ్మిది గంటల 38 నిమిషాల పాటు జరిగిన రెండవ విమాన ప్రయాణం, ప్రయాణీకులలో లార్డ్ థామ్సన్, ఆ తరువాత R101 క్లుప్తంగా షెడ్‌కు తిరిగి వచ్చింది, ప్రారంభ ఇంజిన్‌లకు కొన్ని మార్పులు చేయటానికి. [40] నవంబర్ 1 న ఏడు గంటల 15 నిమిషాల పాటు కొనసాగిన మూడవ విమానంలో ఇది మొదటిసారి పూర్తి శక్తితో ఎగురవేయబడింది, 68.5 mph (110.2 కిమీ/గం) వేగాన్ని రికార్డ్ చేసింది: [43] పూర్తి వేగంతో కూడా అది కాదు కంట్రోల్ సర్వోలను ఉపయోగించడానికి అవసరం కనుగొనబడింది. ఈ విమానంలో, ఇది కింగ్ జార్జ్ V మరియు క్వీన్ మేరీ చేత గమనించిన సాండ్రింగ్‌హామ్ హౌస్‌పై ప్రదక్షిణలు చేసింది, క్రోమెర్‌కు సమీపంలో ఉన్న ఎయిర్ కంట్రీ హౌస్ కోసం మునుపటి రాష్ట్ర కార్యదర్శికి, తరువాత న్యూమార్కెట్ మరియు కేంబ్రిడ్జ్ ద్వారా తిరిగి వచ్చే ముందు బౌల్టన్ &amp; పాల్ యొక్క రచనలు మరియు ఏరోడ్రోమ్‌పై నార్విచ్‌కు వెళ్లారు. . [[44] నవంబర్ 2 న మొదటి రాత్రి ఫ్లైట్ తయారు చేయబడింది, లండన్ మరియు పోర్ట్స్మౌత్ మీదుగా వెళ్ళడానికి ముందు 20:12 వద్ద మాస్ట్ జారిపోతుంది, సోలెంట్ మరియు ఐల్ ఆఫ్ వైట్ పై 43 మైళ్ళు (69 కిమీ) సర్క్యూట్లో స్పీడ్ ట్రయల్ చేయడానికి ముందు. ఈ ట్రయల్స్ రెండు ఇంజిన్ల శీతలీకరణ వ్యవస్థలలో పైపు విచ్ఛిన్నం ద్వారా విసుగు చెందాయి, అల్యూమినియం పైపింగ్‌ను రాగితో భర్తీ చేయడం ద్వారా ఈ సమస్య తరువాత పరిష్కరించబడింది. ఇది 09:00 గంటలకు కార్డింగ్‌టన్‌కు తిరిగి వచ్చింది, ఒక చిన్న ప్రమాదంలో మురింగ్ ఆపరేషన్, విల్లు వద్ద రీఫింగ్ బూమ్‌లలో ఒకదాన్ని దెబ్బతీసింది. [45] నవంబర్ 8 న, ఒక చిన్న ఫ్లైట్ - పూర్తిగా ప్రజా సంబంధాల ప్రయోజనాల కోసం - బెడ్‌ఫోర్డ్ మేయర్ మరియు వివిధ అధికారులతో సహా 40 మంది ప్రయాణికులను తీసుకువెళ్లారు. ఈ భారాన్ని తీర్చడానికి, ఎయిర్‌షిప్ పాక్షిక ఇంధనం మరియు బ్యాలస్ట్ లోడ్‌తో మాత్రమే ఎగురవేయబడింది మరియు 500 అడుగుల (150 మీ) పీడన ఎత్తుకు పెంచి ఉంది. అథర్‌స్టోన్ మాటలలో, ఇది మాస్ట్‌కు తిరిగి రాకముందు "బెడ్‌ఫోర్డ్ పరిసరాల్లో కొన్ని గంటలు చుట్టుముట్టింది". రెండు రోజుల తరువాత, గాలి పెరగడం ప్రారంభమైంది మరియు గేల్స్ అంచనా వేయబడ్డాయి. నవంబర్ 11 న, గాలి 83 mph (134 కిమీ/గం) ను తాకింది, గరిష్టంగా 89 mph (గంటకు 143 కిమీ) గస్ట్ వేగం ఉంది. మాస్ట్ వద్ద ఓడ యొక్క ప్రవర్తన మంచి సంతృప్తికి కారణమైనప్పటికీ, ఆందోళనకు కొన్ని కారణాలు ఉన్నాయి. ఓడ యొక్క కదలిక గ్యాస్‌బ్యాగ్‌ల యొక్క గణనీయమైన కదలికకు కారణమైంది, కాక్స్స్వైన్ "స్కై" హంట్ చేత వెలిగించబడుతోంది. ఇది గ్యాస్‌బ్యాగులు ఫ్రేమ్‌వర్క్‌ను ఫౌల్ చేయడానికి కారణమైంది, మరియు ఫలితంగా వచ్చిన చాఫింగ్ చాలా చోట్ల గ్యాస్‌బ్యాగులు హోల్ చేయటానికి కారణమైంది. [46] శీతలీకరణ వ్యవస్థకు చేసిన మార్పులను మరియు గ్యాస్‌బ్యాగ్‌లకు మరమ్మతు చేసినట్లు పరీక్షించడానికి నవంబర్ 14 న ఆరవ ఫ్లైట్ జరిగింది, 32 మంది ప్రయాణీకుల భారాన్ని మోసింది, విమానయానంపై ప్రత్యేక ఆసక్తి ఉన్న 10 మంది ఎంపీలు మరియు వైమానిక మంత్రిత్వ శాఖ సివిల్ ఏవియేషన్ డైరెక్టర్ సర్ సెఫ్టన్ బ్రాంకర్ నేతృత్వంలోని అధికారులు. [47] నవంబర్ 16 న, 100 మంది ఎంపీల పార్టీకి ప్రదర్శన విమానాన్ని నిర్వహించడానికి ప్రణాళిక చేయబడింది, ఈ పథకం లార్డ్ థామ్సన్ సూచించిన పథకం, కొద్దిమంది ఈ ఆఫర్‌ను సద్వినియోగం చేసుకోవాలనుకుంటున్నారు; ఒకవేళ, ఇది ఓవర్‌సబ్‌స్క్రైబ్ చేయబడింది. [48] రోజు వాతావరణం అననుకూలంగా ఉంది, మరియు ఫ్లైట్ తిరిగి షెడ్యూల్ చేయబడింది. అప్పుడు వాతావరణం క్లియర్ అయ్యింది, మరుసటి రోజు, R101 ఓర్పు విచారణను నిర్వహించడానికి 10:33 వద్ద మాస్ట్‌ను జారారు, కనీసం ముప్పై గంటలు కొనసాగాలని ప్రణాళిక వేసింది. R101 తీరాన్ని దాటి, ఉత్తర సముద్రం మీదుగా ఎడిన్బర్గ్ వరకు ఉత్తర సముద్రం మీదుగా ఎగురుతూ, గ్లాస్గో వైపు పశ్చిమాన మారిపోయింది. రాత్రి సమయంలో, ఐరిష్ సముద్రం మీదుగా వరుస ప్రయత్నాలు జరిగాయి, ఆ తరువాత ఎయిర్‌షిప్ దక్షిణాన డబ్లిన్ (హోమ్ టౌన్ ఆఫ్ R101 కెప్టెన్ కార్మైచెల్ ఇర్విన్) మీదుగా ఆంగ్లేసీ మరియు చెస్టర్ ద్వారా కార్డింగ్‌టన్‌కు తిరిగి రాకముందు ఎగురుతుంది. పొగమంచు కారణంగా కార్డింగ్టన్‌ను కనుగొనడంలో కొంత ఆలస్యం అయిన తరువాత, R101 ను 17:14 వద్ద మాస్ట్‌కు భద్రపరిచారు, 30 గంటల 41 నిమిషాల పాటు విమానంలో. ఫ్లైట్ సమయంలో ఎదుర్కొన్న ఏకైక సాంకేతిక సమస్య ఇంధనాన్ని బదిలీ చేయడానికి పంపుతో ఉంది, ఇది చాలాసార్లు విరిగింది, అయినప్పటికీ ఇంజిన్ల యొక్క తదుపరి పరిశీలనలో ఒక పెద్ద ముగింపు బేరింగ్ యొక్క వైఫల్యానికి గురయ్యే దశలో ఒకటి ఉందని తేలింది. [49] ఎంపీల విమానాన్ని నవంబర్ 23 న తిరిగి షెడ్యూల్ చేశారు. బారోమెట్రిక్ పీడనం తక్కువగా ఉండటంతో, 100 మంది ప్రయాణీకులను తీసుకువెళ్ళడానికి R101 తగినంత లిఫ్ట్ లేదు, అయినప్పటికీ, కనీస ఇంధనం మినహాయించి, అన్ని అనవసరమైన దుకాణాలను తొలగించడం ద్వారా ఓడ తేలికగా ఉంటుంది. వాతావరణం కారణంగా ఈ విమానం రద్దు చేయబడింది, కాని రాజకీయ నాయకులు కార్డింగ్టన్ వద్దకు రాకముందే కాదు: తదనుగుణంగా వారు బయలుదేరి భోజనం చేశారు, ఓడ మాస్ట్ వద్ద ప్రయాణించేటప్పుడు, 45 mph (72 కిమీ/ h) గాలి. [50] దీనిని అనుసరించి, నవంబర్ 30 వరకు R101 మాస్ట్ వద్ద ఉంది, అది తిరిగి షెడ్‌లోకి నడవడానికి గాలి పడిపోయింది. ప్రారంభ విమాన ప్రయత్నాలు జరుగుతుండగా, డిజైన్ బృందం లిఫ్ట్ సమస్యను పరిశీలించింది. అధ్యయనాలు 3.16 టన్నుల బరువు ఆదాను గుర్తించాయి. బరువు ఆదా చేసే చర్యలలో డబుల్ బెర్త్ క్యాబిన్లలో పన్నెండును తొలగించడం, ముక్కు నుండి ఫ్రేమ్ 1 వరకు రీఫింగ్ బూమ్‌లను తొలగించడం మరియు తోక వద్ద 13 నుండి 15 ఫ్రేమ్‌ల మధ్య, సెల్లోన్‌తో అబ్జర్వేషన్ డెక్‌ల గాజు కిటికీలను భర్తీ చేయడం, రెండు నీటి బ్యాలస్ట్‌ను తొలగించడం ట్యాంకులు, మరియు చుక్కాని మరియు ఎలివేటర్ల కోసం సర్వో మెకానిజమ్‌ను తొలగించడం. [51] గ్యాస్‌బ్యాగ్‌లను బయటకు తీయడం 3.18 టన్నుల అదనపు లిఫ్ట్ పొందుతుంది, అయినప్పటికీ మైఖేల్ రోప్ దీనిని అవివేకం అని భావించినప్పటికీ, [52] గిర్డర్ల నుండి పొడుచుకు వచ్చిన వేలాది బహిర్గతమైన ఫిక్సింగ్‌లు ఉన్నాయి; గ్యాస్‌బ్యాగ్స్ యొక్క చాఫింగ్ వీటిని గుడ్డ స్ట్రిప్స్‌లో చుట్టడం ద్వారా నివారించాల్సి ఉంటుంది. లిఫ్ట్‌ను మరింత పెంచడానికి, 500,000 CU FT (14,000 M3) సామర్థ్యం యొక్క అదనపు బేను వ్యవస్థాపించవచ్చు. ఇది అదనపు తొమ్మిది టన్నుల పునర్వినియోగపరచలేని లిఫ్ట్ అందిస్తుంది. చాలా సంప్రదింపుల తరువాత, ఈ ప్రతిపాదిత చర్యలన్నీ డిసెంబరులో ఆమోదించబడ్డాయి. గ్యాస్‌బ్యాగులు మరియు బరువు ఆదా చేసే చర్యలు ప్రారంభించడం ప్రారంభించబడింది. అదనపు బే కోసం మెటల్ వర్క్ యొక్క బౌల్టన్ &amp; పాల్ డెలివరీ జూన్లో జరుగుతుందని భావించారు. [సైటేషన్ అవసరం] R101 యొక్క బయటి కవర్ కూడా ఆందోళనకు కారణమైంది. 20 జనవరి 1930 న కార్డింగ్టన్ వద్ద ఫాబ్రిక్ విభాగం అధిపతి మైఖేల్ రోప్ మరియు జె. డబ్ల్యూ. డబ్ల్యూ. డయ్యర్ చేత ఒక తనిఖీ, వర్షపునీటి పేరుకుపోయిన ప్రాంతాలలో ఎయిర్ షిప్ పైభాగంలో ఫాబ్రిక్ యొక్క తీవ్రమైన క్షీణతను వెల్లడించింది మరియు ఉపబల బృందాలను జోడించడానికి ఒక నిర్ణయం తీసుకోబడింది కవరు యొక్క మొత్తం పొడవు. తాడు చేపట్టిన తదుపరి పరీక్షలు దాని బలం భయంకరంగా క్షీణించిందని తేలింది. కవర్ కోసం అసలు పేర్కొన్న బలం ఫుట్ రన్ (10 kn/m) కు 700 పౌండ్ల బ్రేకింగ్ స్ట్రెయిన్: నమూనాల అసలు బలం ఉత్తమంగా 85 lb (1.24 kn/m). 76 mph (h/h) వేగంతో లెక్కించిన లోడ్ ఒక అడుగు పరుగుకు 143 lb (2.09 kn/m). జూన్ 2 న కవర్ యొక్క మరింత తనిఖీలో చాలా చిన్న కన్నీళ్లు పెరిగాయి. [53] ప్రీ-డోప్డ్ కవర్ను కొత్త కవర్‌తో భర్తీ చేయడానికి తక్షణ నిర్ణయం తీసుకోబడింది, ఇది అమర్చిన తర్వాత డోప్ చేయబడుతుంది. హెండన్ ఎయిర్ షోలో ప్రజలకు R101 ను ప్రదర్శించే ఉద్దేశ్యంతో జూన్ కోసం ప్రణాళిక చేయబడిన విమానాల తరువాత ఇది జరుగుతుంది; [సైటేషన్ అవసరం] ఈ విమానాలకు, కవర్ మరింత బలోపేతం అవుతుంది. కవర్ యొక్క పేలవమైన స్థితి యొక్క ధృవీకరణ జూన్ 23 ఉదయం, R101 షెడ్ నుండి బయటకు వెళ్ళింది. భయంకరమైన అలల కదలికను గమనించినప్పుడు మరియు కొంతకాలం తర్వాత, కవర్‌లో 140 అడుగుల (43 మీ) స్ప్లిట్ ఎయిర్‌షిప్ యొక్క స్టార్‌బోర్డ్ వైపు కనిపించింది. దీనిని మాస్ట్ వద్ద మరమ్మతు చేయాలని మరియు మరింత బలోపేతం చేసే బ్యాండ్లను జోడించాలని నిర్ణయించారు. ఇది రోజు చివరి నాటికి జరిగింది, కాని మరుసటి రోజు రెండవ, చిన్నది, విభజన జరిగింది. ఇది అదే విధంగా వ్యవహరించబడింది, మరియు మరమ్మతులు చేసిన ప్రాంతానికి రీన్ఫోర్సింగ్ బ్యాండ్లను జోడించినట్లయితే, హెండన్ ఎయిర్ షోలో షెడ్యూల్ చేసిన ప్రదర్శన చేయవచ్చు. [54] R101 జూన్‌లో మూడు విమానాలు చేసింది, మొత్తం 29 గంటలు 34 నిమిషాల వ్యవధిలో ఉంది. జూన్ 26 న, ఒక చిన్న రుజువు విమానం జరిగింది, నియంత్రణలు-ఇకపై సేవ చేయబడవు-"శక్తివంతమైన మరియు పూర్తిగా తగినంత" గా వర్ణించబడ్డాయి. [55] ఈ ఫ్లైట్ ముగింపులో, R101 "భారీగా ఎగురుతుంది" మరియు మూరింగ్ కోసం ఎయిర్‌షిప్‌ను తేలికపరచడానికి రెండు టన్నుల ఇంధన నూనెను జెట్టిసన్ చేయవలసి ఉంది. ఇది మొదట్లో విమానంలో గాలి ఉష్ణోగ్రతలో మార్పులకు కారణమని చెప్పవచ్చు. తరువాతి రెండు రోజులలో, R101 రెండు విమానాలను చేసింది, మొదటిది హెండన్ వద్ద RAF డిస్ప్లే కోసం రిహార్సల్‌లో పాల్గొంది మరియు రెండవది ప్రదర్శనలోనే జరిగింది. ఈ విమానాలు లిఫ్ట్‌తో సమస్యను వెల్లడించాయి, బ్యాలస్ట్ యొక్క గణనీయమైన జెట్టిసన్ అవసరం. ఈ సమయంలో, అథర్‌స్టోన్ స్థానంలో కెప్టెన్ జి.ఎఫ్. సాధారణంగా R100 లో మొదటి అధికారి అయిన మీగర్. R101 యొక్క బరువుతో మీగర్ "అప్రమత్తంగా" ఉంది, ఎందుకంటే 10 గంటల విమాన ప్రయాణం తరువాత, ఇంధన వినియోగం కారణంగా R100 చాలా తేలికగా ఉండేది. అతను ఒక ఎయిర్ షిప్ లో "ది విండ్ అప్" ను కలిగి ఉన్న మొదటిసారి అని మీగర్ గమనించాడు. [56] మీగర్ ఒక టన్ను బ్యాలస్ట్‌ను వదులుకున్నాడు, మరియు మూరింగ్ కోసం R101 ను తూకం వేయడానికి, ఫ్లైట్ లెఫ్టినెంట్ ఇర్విన్ 10 టన్నుల నీరు మరియు ఇంధన నూనెను డంప్ చేయవలసి ఉంది. [57] [58] గ్యాస్‌బ్యాగ్‌ల పరిశీలనలో పెద్ద సంఖ్యలో రంధ్రాలు వెల్లడయ్యాయి, గ్యాస్‌బ్యాగ్‌ల నుండి బయటపడటం యొక్క ఫలితం, ఇది ఫ్రేమ్‌వర్క్ యొక్క గిర్డర్లపై ఫౌల్ అంచనాలను ఫౌల్ చేయడానికి అనుమతించింది. [59] ఎక్కువ గ్యాస్ సామర్థ్యాన్ని (R101B) అనుమతించడానికి గ్యాస్ బ్యాగ్ నియంత్రణలను విప్పుతున్నప్పుడు అది డాక్టర్ ఎకెనర్ దృష్టికి వచ్చింది. లేక్ కాన్స్టాన్స్ వద్ద లుఫ్ట్స్చిఫ్బావు జెప్పెలిన్‌ను సందర్శిస్తున్న యుఎస్‌లోని డ్యూయిష్ జెప్పెలిన్-రీడెరెయి ప్రతినిధి విల్లీ వాన్ మీస్టర్‌కు అతని ఆందోళన పంపబడింది. డాక్టర్ ఎకెనర్ గ్యాస్ సంచులను ధరించడం ద్వారా గ్యాస్ బ్యాగులు ధరించడం మరియు వాయువు కోల్పోవడం జరుగుతుందని ఆందోళన చెందారు. వాన్ మీస్టర్ తన తల్లిని సందర్శించడానికి మరియు లార్డ్ థాంప్సన్‌ను కలుసుకున్నందుకు యుఎస్‌కు తిరిగి వెళ్ళేటప్పుడు ఆగి డాక్టర్ ఎకెనర్ సాంకేతిక సహాయం అందించాడు. లార్డ్ థాంప్సన్ హృదయపూర్వకంగా విన్నాడు, వాన్ మీస్టర్‌కు కృతజ్ఞతలు తెలిపాడు మరియు పాడింగ్ వ్యవస్థాపించబడుతున్నాయని అతనికి సమాచారం ఇచ్చాడు మరియు బ్రిటిష్ డిజైనర్లు అది సరిపోతుందని భావించారు. [60] మైఖేల్ రోప్ చేత వినూత్నమైన డిజైన్ అయిన కవాటాల ద్వారా గ్యాస్ కోల్పోయే అవకాశంపై కూడా ఆందోళన పెరిగింది. బ్యాగ్ చీలిపోయే స్థాయికి కణాలలో ఒత్తిడి పెరిగితే ఎయిర్‌షిప్ కవాటాలు ప్రధానంగా గ్యాస్‌ను స్వయంచాలకంగా వెంట్ చేయడానికి ఉద్దేశించబడతాయి; నిర్వహణ కోసం లిఫ్ట్ సర్దుబాటు చేయడానికి కూడా వీటిని ఉపయోగిస్తారు. ఎయిర్ షిప్ భారీగా చుట్టబడినప్పుడు లేదా బయటి కవర్ యొక్క ఫ్లాపింగ్ స్థానికీకరించిన అల్ప పీడనానికి కారణమైనప్పుడు కవాటాలు తెరవగలవని అనుమానించబడింది, కాని వారి ఆపరేషన్ యొక్క పరిశీలన తరువాత, కార్డింగ్టన్ వద్ద ఎయిర్ ఇన్స్పెక్టరేట్ డిపార్ట్మెంట్ ఇన్స్పెక్టర్ F. W. మెక్ వాడే వారి ఆపరేషన్ సంతృప్తికరంగా ఉందని మరియు గ్యాస్ యొక్క గణనీయమైన నష్టానికి అవి కారణం కాదు. [61] ప్రయోగాత్మక విమానంగా, R101 తాత్కాలిక "ఎగరడానికి అనుమతి", మెక్‌వేడ్ యొక్క బాధ్యత కింద పనిచేస్తోంది. జూలై 3 న, తన తక్షణ సుపీరియర్ను దాటవేస్తూ, మెక్వేడ్ ఏరోనాటికల్ ఇన్స్పెక్షన్ డైరెక్టర్ లెఫ్టినెంట్-కల్నల్ హెచ్. డబ్ల్యూ. ఎస్. ఇతర దేశాల గగనతలంలో ఎయిర్‌షిప్ ఎగరడానికి ముందు. అతని ఆందోళన ఏమిటంటే, గ్యాస్‌బ్యాగ్‌లను చాఫింగ్ నుండి రక్షించడానికి ఫ్రేమ్‌వర్క్‌పై పాడింగ్ సరిపోదు, వారు "రేఖాంశ గిర్డర్‌లకు వ్యతిరేకంగా కఠినంగా ఉండేలా", మరియు గ్యాస్‌బ్యాగులు ఏవైనా పెరగడం పాడింగ్ విప్పుటకు మొగ్గు చూపుతుంది , దానిని అసమర్థంగా మార్చడం. పాడింగ్ వాడకం గురించి కూడా అతను సందేహాలను వ్యక్తం చేశాడు, ఇది ఎయిర్ఫ్రేమ్ యొక్క తనిఖీని మరింత కష్టతరం చేసిందని మరియు తేమను కూడా ట్రాప్ చేస్తుంది, తుప్పుతో సమస్యలను ఎక్కువగా చేస్తుంది. [62] Outram, who knew little about airships, reacted to this by consulting Colmore, now Director of Airship Development, from whom he received a reassuring reply. The matter was taken no further.[63] R101 entered its shed for the extension on 29 June. At the same time, the gasbags were given a complete overhaul, two of the engines were replaced by the adapted engines capable of running in reverse, and most of the cover was replaced. The original cover was left in place between frames 3 and 5 and in two of the bays at the tail.[64] These parts of the cover had been doped after fitting and were therefore thought to be satisfactory, even though an inspection by McWade had found that some areas where reinforcements had been stuck on with a rubber solution were seriously weakened; these areas were further reinforced, using dope as an adhesive.[65] A schedule was drawn up by the Air Ministry for R101 to undertake the flight to India in early October, in order that the flight would be made during the Imperial Conference which was to be held in London. The entire programme was intended to improve communication with the Empire, and it was hoped that the flight would generate favourable publicity for the airship programme. The final trial flight of R101 was originally scheduled for 26 September 1930, but high winds delayed the move from the shed until 1 October. That evening, R101[66] slipped the mast for its only trial flight before setting off for India. This lasted 16 hours 51 minutes and was undertaken under near-ideal weather conditions; because of the failure of the oil cooler in one engine, it was not possible to carry out full-speed trials. The flight was curtailed in order to prepare the airship for the flight to India.[67] Despite the lack of full endurance and speed trials, and the fact that a proper investigation of the aerodynamic consequences of the extension had not been fully completed by the NPL, a Certificate of Airworthiness was issued on 2 October, the Inspectorate expressing their complete satisfaction with the condition of R101 and the standards to which the remedial work had been carried out. The certificate was handed over to H. C. Irwin, the ship's captain, on the day of its flight to India.[68] R101 departed from Cardington on the evening of 4 October 1930 for its intended destination of Karachi, via a refuelling stop at Ismaïlia in Egypt, under the command of Flight Lieutenant Carmichael Irwin. Lord Thomson, Secretary of State for Air; Sir Sefton Brancker, Director of Civil Aviation; Squadron Leader William Palstra, RAAF Air Liaison Officer (ALO) to the British Air Ministry; Director of Airship Development Reginald Colmore; and both Lt. Col. V. C. Richmond and Michael Rope.[69] The weather forecast on the morning of 4 October was generally favourable, predicting south to south-westerly winds of between 20 and 30 m.p.h. (32 and 48 km/h) at 2,000 ft (610 m) over northern France, with conditions improving over southern France and the Mediterranean Sea.[70] Although the mid-day forecast indicated some deterioration in the situation, this was not considered to be alarming enough to cancel the planned voyage. A course was planned which would take R101 over London, Paris and Toulouse, crossing the French coast near Narbonne.[citation needed] Fine rain was beginning to fall when, at dusk, with all the crew and passengers aboard, R101 readied for departure. Under the illuminating spotlights, the jettisoning of water ballast to bring the airship into trim was clearly visible. Squadron Leader Booth, the commander of R100, was watching the departure from the tower's observation gallery and estimated that two tons had been discharged from the nose and a further ton from the midships tanks.[71] R101 cast off from the mast at 18:36 GMT to a cheer from the crowd which had gathered to witness the event, gently backed from the tower and, as another ton of ballast was jettisoned, the engines were opened up to about half power and the airship slowly began to climb away, initially heading northeast to fly over Bedford before making a 180° turn to port to pass north of Cardington.[citation needed] At about 19:06 the duty engineer in the aft engine car reported an apparent oil pressure problem. At 19:16, he shut the engine down, and after a short discussion with the chief engineer, work began to replace the oil gauge, since there was nothing apparently wrong with the engine. With one engine stopped, airspeed was reduced by around 4 mph (6 km/h) to 58.7 mph (94.5 km/h)[72] At 19:19, having flown 29 mi (47 km) but still only 8 mi (13 km) from Cardington, a course was set for London. At 20:01, R101, by now over Potters Bar, made its second report to Cardington, confirming the intention to proceed via London, Paris and Narbonne, but making no mention of the engine problem. By that point, the weather had deteriorated, and it was raining heavily. Flying around 800 ft (240 m) above the ground, the airship passed over Alexandra Palace before changing course slightly at the landmark clock tower of the Metropolitan Cattle Market north of Islington, and thence over Shoreditch to cross the Thames in the vicinity of the Isle of Dogs, passing over the Royal Naval College at Greenwich at 20:28. The airship's progress, flying with its nose pointing some 30 degrees to the right of its track, was observed by many who braved the rain to watch it pass overhead.[72] An update of the meteorological situation was received at 20:40.[73] The forecast had deteriorated severely, south-westerly winds of up to 50 mph (80 km/h) with low cloud and rain being predicted for northern France, and similar conditions over central France. That this caused concern on board is demonstrated by the request for more detailed information, which was transmitted at 21:19, by which time R101 was near Hawkhurst, Kent. It is possible that an alternative course was being considered. At 21:35 R101 crossed the English coast near Hastings and at 21:40 transmitted a progress report back to Cardington, mentioning that recovery of rainwater into the ballast tanks was taking place but again not reporting the engine problem. At 22:56 the aft engine was restarted. By now the wind had risen to about 44 mph (71 km/h) with strong gusts, but a further meteorological report received shortly after the airship had crossed the coast had been encouraging about weather conditions south of Paris.[74] The French coast was crossed at the Point de St Quentin at 23:36 GMT, around 20 mi (32 km) east of the intended landfall.[75] A new course was set to bring R101 over Orly, based on an estimated wind direction of 245 degrees and speed of 35 mph (56 km/h). The intended course would have taken R101 four miles west of Beauvais, but the estimated wind speed and direction were inaccurate, as a result of which the R101's track was to the east of its intended course. This error would have become apparent when, at about 01:00, R101 passed over Poix-de-Picardie, a distinctive hilltop town that would have been readily recognisable to the navigation officer, Squadron Leader E.L. Johnston. Accordingly, R101 changed course: the new course would take it directly over the 770 ft (230 m) Beauvais Ridge, an area notorious for turbulent wind conditions.[76] At 02:00 the watch was changed, Second Officer Maurice Steff taking over the command from Irwin. R101 was at this point "flying heavy",[citation needed] relying on dynamic lift generated by forward airspeed to maintain altitude, estimated by the Board of Inquiry as at least 1,000 ft (300 m) above the ground.[77] At about 02:07 R101 went into a dive from which it slowly recovered, probably losing around 450 ft (140 m).[citation needed] As it did so Rigger S. Church, who was returning to the crew quarters to come off duty, was sent forward to release the forward emergency ballast bags,[67] which were locally controlled. This first dive was steep enough to cause A. H. Leech, the foreman engineer from Cardington, to be thrown from his seat in the smoking room and to wake Chief Electrician Arthur Disley, who was dozing in the switch room next to the chart cabin. As the airship recovered, Disley was roused by Chief Coxswain G. W. Hunt, who then went to the crew quarters, calling out, "We're down, lads" in warning. As this happened the airship went into a second dive and orders to reduce speed to slow (450 rpm) were received in the engine cars.[citation needed] Before Engineer A. J. Cook, on duty in the left-hand midships engine car, could respond, the airship hit the ground at the edge of a wood outside Allonne, 2.5 mi (4 km) southeast of Beauvais, and immediately caught fire. The reason for the order to reduce speed is a matter for conjecture because this would have caused the airship to lose dynamic lift and adopt a nose-down attitude.[citation needed] The subsequent inquiry estimated the impact speed at around 13 mph (21 km/h), with the airship between 15° and 25° nose down.[78] Forty-six of the 54 passengers and crew were killed immediately. Church and Rigger W. G. Radcliffe survived the crash but later died in hospital in Beauvais, bringing the total of dead to 48.[67] The bodies were returned to England, and on Friday 10 October a memorial service took place at St Paul's Cathedral while the bodies lay in state in Westminster Hall at the Palace of Westminster. Nearly 90,000 people queued to pay their respects: at one time the queue was half a mile long, and the hall was kept open until 00:35 to admit them all.[79] The following day, a funeral procession transferred the bodies to Euston station through streets crowded with mourners. The bodies were then taken to Cardington village for burial in a common grave in the cemetery of St Mary's Church. A monument was later erected,[80] and the scorched Royal Air Force roundel which R101 had flown on its tail is on display, along with a memorial tablet, in the church's nave.[81] On 1 October 1933, the Sunday before the third anniversary of the crash, a memorial[82] to the dead near the crash site was unveiled by the side of Route nationale 1 near Allonne. There is also a memorial marker on the actual crash site.[83] The Court of Inquiry was led by the Liberal politician Sir John Simon, assisted by Lieutenant-Colonel John Moore-Brabazon and Professor C.E. Inglis.[84] The inquiry, held in public, opened on 28 October and spent 10 days taking evidence from witnesses, including Professor Leonard Bairstow and Dr. Hugo Eckener of the Zeppelin company, before adjourning in order to allow Bairstow and the NPL to perform more detailed calculations based on wind-tunnel tests on a specially made model of R101 in its final form. This evidence was presented over three days ending on 5 December 1930. The final report was presented on 27 March 1931.[citation needed] The inquiry examined most aspects of the design and construction of R101 in detail, with particular emphasis on the gasbags and the associated harnessing and valves, although very little examination of the problems that had been encountered with the cover was made. All the technical witnesses provided unhesitating endorsement of the airworthiness of the airship prior to its flight to India. An examination was also made of the various operational decisions that had been made before the airship undertook its final voyage.[citation needed] The possibility of the crash having been the result of a prolonged loss of gas caused by leakage or loss through the valves was discounted since this explanation did not explain the airship's behaviour during its last moments: moreover the fact that the officers on duty had changed watch routinely implied that there had been no particular cause for alarm a few minutes before the crash. The recent change of watch was considered to be a possible contributory factor to the accident, since the new crew would not have had time to get the feel of the airship.[citation needed] It was also considered most unlikely that the accident had been solely caused by a sudden downdraught. A sudden and catastrophic failure was seen as the only explanation. The inquiry discounted the possibility of structural failure of the airframe. The only major fracture found in the wreckage was at the rear of the new framework extension but it was considered that this had either occurred on impact or more probably been caused by the intense heat of the subsequent fire.[citation needed] The inquiry came to the conclusion that a tear had probably developed in the forward cover, this in turn causing one or more of the forward gasbags to fail. Evidence presented by Professor Bairstow showed that this would cause the R101 to become too nose-heavy for the elevators to correct.[85] The want of sufficient altitude was considered by the R101 Enquiry and must be considered given that the aircraft was flying in an area of reducing atmospheric pressure. The same evening, the Graf Zeppelin at Frankfort was reading 400 feet high. A similar error over France would have put the R101 400 feet lower than her intended height.[86] The altimeter could have been corrected while flying across the channel by timing the flare drop before ignition, but over France there was no way to determine altimeter correction. Sightings by observers reporting very low altitudes across France and the belief by the crew that they were at a safe altitude according to the altimeter could both be true. The question of sufficient altitude was considered by the R101 Enquiry but not the attendant issue of altimeter correction.[87][failed verification] The cause of the fire was not established. Several hydrogen airships had crashed in similar circumstances without catching fire. The inquiry thought that it was most probable that a spark from the airship's electrics had ignited escaping hydrogen, causing an explosion. Other suggestions put forward included the ignition of the calcium flares carried in the control car on contact with water,[88] electrostatic discharge or a fire in one of the engine cars, which carried petrol for the starter engines. All that is certain is that it caught fire almost at once and burned fiercely. In the extreme heat, the fuel oil from the wreck soaked into the ground and caught fire; it was still burning when the first party of officials arrived by air the next day.[89] The inquiry considered that it was "impossible to avoid the conclusion that the R101 would not have started for India on the evening of October 4th if it had not been that matters of public policy were considered as making it highly desirable that she should do so", but considered this to be the result of all concerned being eager to prove the worth of R101, rather than direct interference from above.[90] The crash of R101 ended British interest in dirigibles during the pre-war period. Thos W Ward Ltd of Sheffield salvaged what they could of the wreckage,[91] the work continuing through 1931. Although it was stipulated that none of the wreckage should be kept for souvenirs,[92] Wards made small dishes impressed with the words "Metal from R101", as they frequently did with the metal from ships or industrial structures that they had worked on. The Zeppelin Company purchased five tons of duralumin from the wreck.[67] The airship's competitor, R100, despite a more successful development programme and a satisfactory, although not entirely trouble-free, transatlantic trial flight, was grounded immediately after R101 crashed. The R100 remained in its hangar at Cardington for a year whilst the fate of the Imperial Airship programme was decided. In November 1931, the R100 was broken up and sold for scrap.[93] At the time, the Imperial Airship Scheme was a controversial project because of the large sums of public money involved and because some doubted the utility of airships.[94] Subsequently, there has been controversy about the R101's merits. The extremely poor relationship between the R100 team and both Cardington and the Air Ministry created a climate of resentment and jealousy that may have rankled. Nevil Shute's autobiography was serialised by the Sunday Graphic on its publication in 1954 and was misleadingly promoted as containing sensational revelations,[95] and the accuracy of his account is a cause of contention among airship historians.[96] Barnes Wallis later expressed scathing criticism of the design although they may in part reflect personal animosities. Nevertheless, his listing of Richmond's "overweening vanity" as a major cause of the debacle and the fact that he had not designed it as another say little for his objectivity.[97] On 27 November 2014, 84 years after the disaster, Baroness Smith of Basildon, together with members of the Airship Heritage Trust, unveiled a memorial plaque to the R101 in St Stephens Hall in the Palace of Westminster.[98] సాధారణ లక్షణాల పనితీరు</v>
      </c>
      <c r="E61" s="1" t="s">
        <v>1429</v>
      </c>
      <c r="F61" s="1" t="s">
        <v>1430</v>
      </c>
      <c r="G61" s="1" t="str">
        <f>IFERROR(__xludf.DUMMYFUNCTION("GOOGLETRANSLATE(F:F, ""en"", ""te"")"),"ప్రయోగాత్మక ఎయిర్‌షిప్")</f>
        <v>ప్రయోగాత్మక ఎయిర్‌షిప్</v>
      </c>
      <c r="L61" s="1" t="s">
        <v>1431</v>
      </c>
      <c r="M61" s="1" t="str">
        <f>IFERROR(__xludf.DUMMYFUNCTION("GOOGLETRANSLATE(L:L, ""en"", ""te"")"),"రాయల్ ఎయిర్‌షిప్ వర్క్స్")</f>
        <v>రాయల్ ఎయిర్‌షిప్ వర్క్స్</v>
      </c>
      <c r="N61" s="1" t="s">
        <v>1432</v>
      </c>
      <c r="O61" s="1" t="s">
        <v>1433</v>
      </c>
      <c r="P61" s="1" t="str">
        <f>IFERROR(__xludf.DUMMYFUNCTION("GOOGLETRANSLATE(O:O, ""en"", ""te"")"),"వి.సి. రిచ్‌మండ్")</f>
        <v>వి.సి. రిచ్‌మండ్</v>
      </c>
      <c r="Q61" s="1" t="s">
        <v>1434</v>
      </c>
      <c r="R61" s="1" t="s">
        <v>1435</v>
      </c>
      <c r="S61" s="1">
        <v>1.0</v>
      </c>
      <c r="V61" s="1" t="s">
        <v>1436</v>
      </c>
      <c r="W61" s="1" t="s">
        <v>1437</v>
      </c>
      <c r="Y61" s="1" t="s">
        <v>1438</v>
      </c>
      <c r="AG61" s="1" t="s">
        <v>1439</v>
      </c>
      <c r="AX61" s="1" t="s">
        <v>1440</v>
      </c>
      <c r="AY61" s="1" t="str">
        <f>IFERROR(__xludf.DUMMYFUNCTION("GOOGLETRANSLATE(AX:AX, ""en"", ""te"")"),"5 × బార్డ్మోర్ సుడిగాలి 8-సిలిండర్ ఇన్లైన్ డీజిల్ (2 రివర్సింగ్) 16 అడుగుల (4.9 మీ) రెండు-బ్లేడెడ్ ప్రొపెల్లర్లతో. [109], 585 హెచ్‌పి (436 కిలోవాట్)")</f>
        <v>5 × బార్డ్మోర్ సుడిగాలి 8-సిలిండర్ ఇన్లైన్ డీజిల్ (2 రివర్సింగ్) 16 అడుగుల (4.9 మీ) రెండు-బ్లేడెడ్ ప్రొపెల్లర్లతో. [109], 585 హెచ్‌పి (436 కిలోవాట్)</v>
      </c>
      <c r="BB61" s="1" t="s">
        <v>1441</v>
      </c>
      <c r="BC61" s="1" t="s">
        <v>1442</v>
      </c>
      <c r="BG61" s="2"/>
      <c r="BT61" s="1" t="s">
        <v>1443</v>
      </c>
      <c r="DT61" s="1" t="s">
        <v>1444</v>
      </c>
      <c r="DU61" s="1" t="s">
        <v>1445</v>
      </c>
      <c r="DV61" s="1" t="s">
        <v>1446</v>
      </c>
    </row>
    <row r="62">
      <c r="A62" s="1" t="s">
        <v>1447</v>
      </c>
      <c r="B62" s="1" t="str">
        <f>IFERROR(__xludf.DUMMYFUNCTION("GOOGLETRANSLATE(A:A, ""en"", ""te"")"),"సుఖోయి సు -38")</f>
        <v>సుఖోయి సు -38</v>
      </c>
      <c r="C62" s="1" t="s">
        <v>1448</v>
      </c>
      <c r="D62" s="1" t="str">
        <f>IFERROR(__xludf.DUMMYFUNCTION("GOOGLETRANSLATE(C:C, ""en"", ""te"")"),"సుఖోయ్ సు -38 (రష్యన్: сохой с -38) ఒక రష్యన్ వ్యవసాయ విమానం, ఈ రకమైన మొదటి విమానం సుఖోయ్ డిజైన్ బ్యూరో సివిల్ ఎయిర్‌క్రాఫ్ట్ విభాగం (సుఖోయి సివిల్ ఎయిర్‌క్రాఫ్ట్ (సిజెఎస్‌సి)) చేత రూపొందించబడింది మరియు నిర్మించింది. డిజైన్ మొదట 1993 లో సుఖోయి సు -29 ఏరోబ"&amp;"ాటిక్ విమానాల అభివృద్ధిగా ప్రారంభమైంది. [1] [2] ఆర్థిక సమస్యల కారణంగా అభివృద్ధి నిలిపివేయబడింది, మరియు 1998 లో పున ar ప్రారంభించినప్పుడు, విమానం పున es రూపకల్పన చేయబడింది, విమానం యొక్క పరిమాణాన్ని తగ్గించి, మొదట ప్రణాళికాబద్ధమైన M-14 రేడియల్ ఇంజిన్‌ను LOM"&amp;" PRAHA 337S INLINE ఇంజిన్‌తో భర్తీ చేసింది. [1] [3] మొదటి నమూనా జూలై 2001 జూలై 2001 న తన తొలి విమానంలో చేసింది, జూన్ 2002 నాటికి రెండవ ఎగురుతుంది. [1] వినియోగదారులు ఇంకా [ఎప్పుడు?] విమానంలో ఆసక్తి చూపలేదు కాబట్టి, ఈ ప్రాజెక్ట్ ప్రస్తుతం తక్కువ వేగంతో కొనస"&amp;"ాగుతోంది. [సైటేషన్ అవసరం] జేన్ యొక్క అన్ని ప్రపంచ విమానాల నుండి డేటా 2005-2006 [1] పోల్చదగిన పాత్ర యొక్క సాధారణ లక్షణాల పనితీరు విమానం, కాన్ఫిగరేషన్ మరియు యుగం")</f>
        <v>సుఖోయ్ సు -38 (రష్యన్: сохой с -38) ఒక రష్యన్ వ్యవసాయ విమానం, ఈ రకమైన మొదటి విమానం సుఖోయ్ డిజైన్ బ్యూరో సివిల్ ఎయిర్‌క్రాఫ్ట్ విభాగం (సుఖోయి సివిల్ ఎయిర్‌క్రాఫ్ట్ (సిజెఎస్‌సి)) చేత రూపొందించబడింది మరియు నిర్మించింది. డిజైన్ మొదట 1993 లో సుఖోయి సు -29 ఏరోబాటిక్ విమానాల అభివృద్ధిగా ప్రారంభమైంది. [1] [2] ఆర్థిక సమస్యల కారణంగా అభివృద్ధి నిలిపివేయబడింది, మరియు 1998 లో పున ar ప్రారంభించినప్పుడు, విమానం పున es రూపకల్పన చేయబడింది, విమానం యొక్క పరిమాణాన్ని తగ్గించి, మొదట ప్రణాళికాబద్ధమైన M-14 రేడియల్ ఇంజిన్‌ను LOM PRAHA 337S INLINE ఇంజిన్‌తో భర్తీ చేసింది. [1] [3] మొదటి నమూనా జూలై 2001 జూలై 2001 న తన తొలి విమానంలో చేసింది, జూన్ 2002 నాటికి రెండవ ఎగురుతుంది. [1] వినియోగదారులు ఇంకా [ఎప్పుడు?] విమానంలో ఆసక్తి చూపలేదు కాబట్టి, ఈ ప్రాజెక్ట్ ప్రస్తుతం తక్కువ వేగంతో కొనసాగుతోంది. [సైటేషన్ అవసరం] జేన్ యొక్క అన్ని ప్రపంచ విమానాల నుండి డేటా 2005-2006 [1] పోల్చదగిన పాత్ర యొక్క సాధారణ లక్షణాల పనితీరు విమానం, కాన్ఫిగరేషన్ మరియు యుగం</v>
      </c>
      <c r="E62" s="1" t="s">
        <v>1449</v>
      </c>
      <c r="F62" s="1" t="s">
        <v>1450</v>
      </c>
      <c r="G62" s="1" t="str">
        <f>IFERROR(__xludf.DUMMYFUNCTION("GOOGLETRANSLATE(F:F, ""en"", ""te"")"),"వ్యవసాయ విమానం")</f>
        <v>వ్యవసాయ విమానం</v>
      </c>
      <c r="H62" s="1" t="s">
        <v>1451</v>
      </c>
      <c r="L62" s="1" t="s">
        <v>1452</v>
      </c>
      <c r="M62" s="1" t="str">
        <f>IFERROR(__xludf.DUMMYFUNCTION("GOOGLETRANSLATE(L:L, ""en"", ""te"")"),"నాపో, నాపో, స్మోలెన్స్క్ ఏవియేషన్ ప్లాంట్")</f>
        <v>నాపో, నాపో, స్మోలెన్స్క్ ఏవియేషన్ ప్లాంట్</v>
      </c>
      <c r="N62" s="1" t="s">
        <v>1453</v>
      </c>
      <c r="O62" s="1" t="s">
        <v>1454</v>
      </c>
      <c r="P62" s="1" t="str">
        <f>IFERROR(__xludf.DUMMYFUNCTION("GOOGLETRANSLATE(O:O, ""en"", ""te"")"),"సుఖోయ్ డిజైన్ బ్యూరో")</f>
        <v>సుఖోయ్ డిజైన్ బ్యూరో</v>
      </c>
      <c r="Q62" s="1" t="s">
        <v>1455</v>
      </c>
      <c r="R62" s="4">
        <v>37099.0</v>
      </c>
      <c r="S62" s="1">
        <v>1.0</v>
      </c>
      <c r="V62" s="1">
        <v>1.0</v>
      </c>
      <c r="W62" s="1" t="s">
        <v>1456</v>
      </c>
      <c r="X62" s="1" t="s">
        <v>1457</v>
      </c>
      <c r="Y62" s="1" t="s">
        <v>1458</v>
      </c>
      <c r="AF62" s="1" t="s">
        <v>1459</v>
      </c>
      <c r="AH62" s="1" t="s">
        <v>1460</v>
      </c>
      <c r="AV62" s="1" t="s">
        <v>1461</v>
      </c>
      <c r="AW62" s="1" t="s">
        <v>1462</v>
      </c>
      <c r="AX62" s="1" t="s">
        <v>1463</v>
      </c>
      <c r="AY62" s="1" t="str">
        <f>IFERROR(__xludf.DUMMYFUNCTION("GOOGLETRANSLATE(AX:AX, ""en"", ""te"")"),"1 × LOM PRAHA M337S 6-సిలిండర్ ఎయిర్-కూల్డ్ విలోమ ఇన్-లైన్ పిస్టన్ ఇంజిన్, 184 kW (247 HP)")</f>
        <v>1 × LOM PRAHA M337S 6-సిలిండర్ ఎయిర్-కూల్డ్ విలోమ ఇన్-లైన్ పిస్టన్ ఇంజిన్, 184 kW (247 HP)</v>
      </c>
      <c r="AZ62" s="1" t="s">
        <v>1464</v>
      </c>
      <c r="BA62" s="1" t="str">
        <f>IFERROR(__xludf.DUMMYFUNCTION("GOOGLETRANSLATE(AZ:AZ, ""en"", ""te"")"),"3-బ్లేడెడ్ LOM B-546 గ్రౌండ్-సర్దుబాటు ప్రొపెల్లర్")</f>
        <v>3-బ్లేడెడ్ LOM B-546 గ్రౌండ్-సర్దుబాటు ప్రొపెల్లర్</v>
      </c>
      <c r="BB62" s="1" t="s">
        <v>1465</v>
      </c>
      <c r="BG62" s="2"/>
      <c r="BR62" s="1" t="s">
        <v>1466</v>
      </c>
      <c r="BU62" s="1" t="s">
        <v>1467</v>
      </c>
      <c r="BV62" s="1" t="str">
        <f>IFERROR(__xludf.DUMMYFUNCTION("GOOGLETRANSLATE(BU:BU, ""en"", ""te"")"),"మెరుగుపరచబడుతున్నది")</f>
        <v>మెరుగుపరచబడుతున్నది</v>
      </c>
      <c r="DW62" s="1" t="s">
        <v>1468</v>
      </c>
    </row>
    <row r="63">
      <c r="A63" s="1" t="s">
        <v>1469</v>
      </c>
      <c r="B63" s="1" t="str">
        <f>IFERROR(__xludf.DUMMYFUNCTION("GOOGLETRANSLATE(A:A, ""en"", ""te"")"),"రాబ్ డోపెల్రాబ్")</f>
        <v>రాబ్ డోపెల్రాబ్</v>
      </c>
      <c r="C63" s="1" t="s">
        <v>1470</v>
      </c>
      <c r="D63" s="1" t="str">
        <f>IFERROR(__xludf.DUMMYFUNCTION("GOOGLETRANSLATE(C:C, ""en"", ""te"")"),"రాబ్ డోపెల్రాబ్ 1950 ల ప్రారంభంలో ఉత్పత్తి చేయబడిన జర్మన్ ట్రైనింగ్ గ్లైడర్, ఇది గ్లైడింగ్ క్లబ్‌లతో ప్రాచుర్యం పొందింది. ఒక విద్యార్థి పైలట్ అతని వెనుక ఒక చిన్న స్థలంలో ఒక బోధకుడితో కలిసి, నియంత్రణ కాలమ్‌ను మరియు ద్వంద్వ చుక్కాని బార్‌తో పంచుకున్నాడు. తర"&amp;"ువాత ప్రాథమిక శిక్షణ కోసం డోపెల్‌రాబ్‌ను సోలో ఎగురవేయవచ్చు. రెండవ ప్రపంచ యుద్ధానికి ముందు గ్లైడర్‌లను రూపొందించిన ఫ్రిట్జ్ రాబ్, తక్కువ ఖర్చుతో కూడిన శిక్షకుల విమానానికి యుద్ధానంతర అవసరాన్ని గుర్తించారు. 1930 లలో తక్కువ-పనితీరు, సింగిల్-సీట్, ఓపెన్-ఫ్రేమ్"&amp;" ప్రాధమిక గ్లైడర్‌లను పునరుత్పత్తి చేయడానికి బదులుగా, అతను ఒక డిజైన్‌ను శిక్షకుడిగా మరియు గౌరవనీయమైన ప్రదర్శనతో ఉపయోగకరమైన గ్లైడింగ్ క్లబ్ సింగిల్-సీటర్‌గా పనిచేసే డిజైన్‌ను లక్ష్యంగా చేసుకున్నాడు. రిగ్గింగ్ యొక్క సరళత ప్రాధాన్యత. ఫలితం డోపెల్రాబ్, కొందరు"&amp;" దాని మూలాధార బోధకుడి స్థానం కారణంగా 1½-సీటర్లుగా అభివర్ణించారు. ఇది మిశ్రమ మెటల్-అండ్-వుడ్ ఫ్రేమ్ మరియు ప్లైవుడ్ మరియు ఫాబ్రిక్ కవరింగ్ కలిగిన స్ట్రట్-బ్రేస్డ్ హై-వింగ్ మోనోప్లేన్. [1] [2] [3] రెక్క యొక్క మధ్య విభాగం స్థిరమైన తీగను కలిగి ఉంది, ప్లైవుడ్-క"&amp;"ప్పబడిన డి-బాక్స్ ప్రధాన స్పార్ యొక్క ముందుకు ఉంటుంది. ప్లై కవరింగ్ అంతర్గత డ్రాగ్ స్ట్రట్ ద్వారా నిర్వచించబడిన త్రిభుజాకార ప్రాంతంపై రెక్కల మూలాల వద్ద వెనుకంజలో ఉన్న అంచుకు విస్తరించింది. బయటి ప్యానెల్లు ప్రముఖ అంచు ప్లై-కప్పబడిన డి-బాక్స్‌ను కొనసాగిస్తా"&amp;"యి, కాని వక్ర ఐలెరాన్‌లను కలిగి ఉంటాయి, వీటికి రెక్కకు సుమారు దీర్ఘవృత్తాకార ప్రణాళికను ఇస్తుంది. ప్లై-సర్ఫేస్ చేయని చోట, రెక్క ఫాబ్రిక్-కప్పబడి ఉంటుంది. చాలా ఉత్పత్తి విమానాలు లోపలి విభాగం ఎగువ ఉపరితలంపై మిడ్-టార్డ్ స్పాయిలర్లను కలిగి ఉంటాయి. లిఫ్ట్ మరియ"&amp;"ు ల్యాండింగ్ శక్తులు దిగువ ఫ్యూజ్‌లేజ్ నుండి వింగ్ సెంటర్ విభాగాల చివరకి దగ్గరగా ఉన్న ప్రధాన స్పార్ వరకు ఫెయిర్డ్ స్ట్రట్‌ల ద్వారా భరిస్తాయి. [2] [3] డోపెల్‌రాబ్ పాడ్-అండ్-బూమ్ స్టైల్ ఫ్యూజ్‌లేజ్‌ను కలిగి ఉంది, అయినప్పటికీ కలప-ఫ్రేమ్డ్, ప్లై-స్కిన్డ్ బూమ్"&amp;" చాలా లోతుగా ఉంది మరియు త్రిభుజాకార విభాగాన్ని కలిగి ఉంది. ఫాబ్రిక్-కప్పబడిన, సమాంతర తీగ క్షితిజ సమాంతర తోక, ప్రత్యేక ఎలివేటర్లను మోస్తున్న, ఫ్యూజ్‌లేజ్ పైన అమర్చబడి ఉంటుంది. ఫిన్ ఇరుకైనది మరియు ప్లై కప్పబడి ఉంటుంది, కానీ విస్తృత, ఫాబ్రిక్-కప్పబడిన చుక్కా"&amp;"నిని మౌంట్ చేస్తుంది, ఇది ఫ్యూజ్‌లేజ్ దిగువన విస్తరించి ఉంటుంది, ఇక్కడ ఒక చిన్న అండర్ఫిన్ దానిని రక్షించి, ఒక చిన్న టెయిల్‌స్కిడ్‌ను కలిగి ఉంటుంది. వింగ్ వెనుకంజలో ఉన్న అంచు ముందుకు ఫ్యూజ్‌లేజ్ చాలా లోతుగా మారుతుంది మరియు మెటల్ ఫ్రేమ్ చేయబడింది, ఇది కాక్‌"&amp;"పిట్‌ను ఏర్పరుస్తుంది. ప్రోటోటైప్‌లో, విద్యార్థి యొక్క స్థానం సాంప్రదాయికమైనది మరియు ఒకే వక్రత యొక్క విండ్‌స్క్రీన్‌తో మరియు బహిరంగ వైపులా అందించబడింది; బోధకుడు విద్యార్థి వెనుక ఉన్న ఒక చిన్న ప్రదేశంలోకి దూసుకెళ్లి, మోకాలి స్థితిలో ఒక పిలియన్ సీటును అస్తవ"&amp;"్యస్తంగా కూర్చున్నాడు, అతని బరువు పాక్షికంగా ఫార్వర్డ్ సీటుకు ఇరువైపులా మోకాలి ప్యాడ్లచే మద్దతు ఇస్తుంది. అతను విద్యార్థిని విస్తరించిన నియంత్రణ కాలమ్ పైకి చేరుకోగలడు మరియు అతని పాదాలు నకిలీ చుక్కాని బార్‌పై విశ్రాంతి తీసుకోవడానికి వెనుకకు సూచించాయి. తరువ"&amp;"ాత ఉత్పత్తి యంత్రాలు ఈ లేఅవుట్‌ను నిలుపుకుంటాయి కాని పూర్తిగా పరివేష్టిత పందిరి మరియు కొద్దిగా పెరిగిన, బెంచ్ రకం బోధకుడి సీటును కలిగి ఉంటాయి. ప్రారంభ ప్రోటోటైప్‌లు ఫార్వర్డ్ మోనోహీల్ మరియు సైకిల్ అండర్ క్యారేజీలతో ప్రయోగాలు చేశాయి, కాని ఉత్పత్తి విమానం వ"&amp;"ెనుక వైపు ఉంచిన మోనోహీల్‌పై సుదీర్ఘ ఫార్వర్డ్ స్కిడ్‌తో స్థిరపడింది. [1] [2] [3] డోపెల్రాబ్ మొదట 5 ఆగస్టు 1951 న ప్రయాణించింది. అలాగే ప్రారంభ కాక్‌పిట్ మరియు అండర్ క్యారేజ్, V-0 మొదటి నమూనా అసాధారణమైన ఎయిర్‌బ్రేక్‌లను కలిగి ఉంది, ఇది వింగ్ స్ట్రట్ ఫెయిరిం"&amp;"గ్‌లను 90 by ద్వారా తిప్పడం ద్వారా ఏర్పడింది. రిగ్గింగ్‌ను వేగవంతం చేయడానికి పరిచయం చేయబడిన ఈ వ్యవస్థ, [1] సంతృప్తికరంగా లేదని కనుగొనబడింది మరియు స్పాయిలర్లకు అనుకూలంగా వదిలివేయబడింది. రెండవ నమూనా, V-1, ప్రారంభంలో రెండు-చక్రాల అండర్ క్యారేజ్ ఉంది, తరువాత "&amp;"ఫ్రంట్ వీల్‌ను విస్తరించిన నోసెస్కిడ్ (V-1A) ద్వారా మార్చడం ద్వారా మార్చబడింది. V-2 మరియు V-3 వెనుక బెంచ్ సీటును ప్రవేశపెట్టాయి. [3] V-3 మొదటి ఉత్పత్తి సంస్కరణ, డోపెల్రాబ్ III యొక్క నమూనాగా పనిచేసింది, అయినప్పటికీ వాటిలో కొన్ని మాత్రమే నిర్మించబడ్డాయి. చా"&amp;"లా వేరియంట్ డోపెల్రాబ్ IV. డోపెల్రాబ్ V లో వివరాల మెరుగుదలలు ప్రవేశపెట్టినప్పటికీ, తుది సంస్కరణలు VI మరియు VII లకు ముందు పెద్ద మార్పులు రాలేదు. వీటిలో 640 మిమీ (25.2 అంగుళాలు) రెక్కలు ఎక్కువ కాలం ఉన్నాయి మరియు తదనుగుణంగా వింగ్ ప్రాంతం పెరిగింది. వెర్షన్ V"&amp;"I యొక్క ఖాళీ బరువు 7 కిలోలు (15.4 బి) మాత్రమే పెరిగింది, కాని అధిక రెక్కతో ఎగరడం ద్వారా ఈ మోడల్ 25 కిలోల (55 ఎల్బి) ఉపయోగకరమైన లోడ్ పెరుగుతుంది. [3] 1951 లో జరిగిన మొదటి యుద్ధానంతర వాసర్కుప్పే పోటీలో డోపెల్రాబ్ మొదటిసారి బహిరంగంగా కనిపించింది. ఇది ఉత్సాహం"&amp;"గా స్వీకరించబడింది, ఇది ""ఒక విమానం యొక్క కల"" అని హన్నా రీట్ష్ చెప్పాడు. [4] దాని థర్మల్ పెరుగుతున్నది గ్రునౌ బేబీతో పోటీగా నిర్ణయించబడింది. [4] ఒక సంవత్సరం తరువాత పన్నెండు మంది యాభై మందితో ఎగురుతూ ఉన్నారు; తుది ఉత్పత్తి నాలుగు వందలకు దగ్గరగా ఉంది. సీరియ"&amp;"ల్ ఉత్పత్తిని వోల్ఫ్ హిర్త్ నిర్వహించారు; రెండు కిట్లు మరియు పూర్తయిన విమానాలు అందుబాటులో ఉన్నాయి. [2] ఫార్వర్డ్ ఫ్యూజ్‌లేజ్ ఫ్రేమ్ ఈ రెండు సందర్భాల్లోనూ ఫ్యాక్టరీ వెల్డింగ్ చేయబడింది. [3] తన బోధకుడితో అనుభవం పొందిన తరువాత, ఒక విద్యార్థి తన ప్రారంభ బ్యాడ్"&amp;"జ్‌లను పొందటానికి డోపెల్రాబ్ సోలోను ఎగురవేయగలడు, క్లబ్ ఖర్చులను తగ్గించాడు. [2] అమెరికా, ఆఫ్రికా మరియు నియర్ ఈస్ట్ రెండింటిలో ఉత్పత్తి లైసెన్సులు మంజూరు చేయబడ్డాయి; ఒక డోపెల్రాబ్ స్పిట్స్‌బెర్గెన్ వరకు ఉత్తరాన ఎగిరింది. [3] 2010 లో ఇరవై రెండు డోపెల్‌రాబ్‌"&amp;"లు యూరోపియన్ దేశాల పౌర విమాన రిజిస్టర్లలో ఉన్నాయి, బెల్జియంలో ఒకటి, నెదర్లాండ్స్‌లో ఒకటి, స్పెయిన్‌లో ఒకటి మరియు మిగిలినవి జర్మనీలో ఉన్నాయి. [5] డై బెరామెటెస్టెన్ సెగెల్ఫ్లుగ్జ్యూజ్ [3] ఓగ్డెన్, 2009 నుండి వచ్చిన డేటా [6] అన్నీ మోడల్ IV లు మరియు పబ్లిక్ డ"&amp;"ిస్ప్లేలో ఉన్నాయి. డై బెరామ్టెస్టెన్ సెగెల్ఫ్లుగ్జ్యూజ్ నుండి డేటా [3] సాధారణ లక్షణాల పనితీరు")</f>
        <v>రాబ్ డోపెల్రాబ్ 1950 ల ప్రారంభంలో ఉత్పత్తి చేయబడిన జర్మన్ ట్రైనింగ్ గ్లైడర్, ఇది గ్లైడింగ్ క్లబ్‌లతో ప్రాచుర్యం పొందింది. ఒక విద్యార్థి పైలట్ అతని వెనుక ఒక చిన్న స్థలంలో ఒక బోధకుడితో కలిసి, నియంత్రణ కాలమ్‌ను మరియు ద్వంద్వ చుక్కాని బార్‌తో పంచుకున్నాడు. తరువాత ప్రాథమిక శిక్షణ కోసం డోపెల్‌రాబ్‌ను సోలో ఎగురవేయవచ్చు. రెండవ ప్రపంచ యుద్ధానికి ముందు గ్లైడర్‌లను రూపొందించిన ఫ్రిట్జ్ రాబ్, తక్కువ ఖర్చుతో కూడిన శిక్షకుల విమానానికి యుద్ధానంతర అవసరాన్ని గుర్తించారు. 1930 లలో తక్కువ-పనితీరు, సింగిల్-సీట్, ఓపెన్-ఫ్రేమ్ ప్రాధమిక గ్లైడర్‌లను పునరుత్పత్తి చేయడానికి బదులుగా, అతను ఒక డిజైన్‌ను శిక్షకుడిగా మరియు గౌరవనీయమైన ప్రదర్శనతో ఉపయోగకరమైన గ్లైడింగ్ క్లబ్ సింగిల్-సీటర్‌గా పనిచేసే డిజైన్‌ను లక్ష్యంగా చేసుకున్నాడు. రిగ్గింగ్ యొక్క సరళత ప్రాధాన్యత. ఫలితం డోపెల్రాబ్, కొందరు దాని మూలాధార బోధకుడి స్థానం కారణంగా 1½-సీటర్లుగా అభివర్ణించారు. ఇది మిశ్రమ మెటల్-అండ్-వుడ్ ఫ్రేమ్ మరియు ప్లైవుడ్ మరియు ఫాబ్రిక్ కవరింగ్ కలిగిన స్ట్రట్-బ్రేస్డ్ హై-వింగ్ మోనోప్లేన్. [1] [2] [3] రెక్క యొక్క మధ్య విభాగం స్థిరమైన తీగను కలిగి ఉంది, ప్లైవుడ్-కప్పబడిన డి-బాక్స్ ప్రధాన స్పార్ యొక్క ముందుకు ఉంటుంది. ప్లై కవరింగ్ అంతర్గత డ్రాగ్ స్ట్రట్ ద్వారా నిర్వచించబడిన త్రిభుజాకార ప్రాంతంపై రెక్కల మూలాల వద్ద వెనుకంజలో ఉన్న అంచుకు విస్తరించింది. బయటి ప్యానెల్లు ప్రముఖ అంచు ప్లై-కప్పబడిన డి-బాక్స్‌ను కొనసాగిస్తాయి, కాని వక్ర ఐలెరాన్‌లను కలిగి ఉంటాయి, వీటికి రెక్కకు సుమారు దీర్ఘవృత్తాకార ప్రణాళికను ఇస్తుంది. ప్లై-సర్ఫేస్ చేయని చోట, రెక్క ఫాబ్రిక్-కప్పబడి ఉంటుంది. చాలా ఉత్పత్తి విమానాలు లోపలి విభాగం ఎగువ ఉపరితలంపై మిడ్-టార్డ్ స్పాయిలర్లను కలిగి ఉంటాయి. లిఫ్ట్ మరియు ల్యాండింగ్ శక్తులు దిగువ ఫ్యూజ్‌లేజ్ నుండి వింగ్ సెంటర్ విభాగాల చివరకి దగ్గరగా ఉన్న ప్రధాన స్పార్ వరకు ఫెయిర్డ్ స్ట్రట్‌ల ద్వారా భరిస్తాయి. [2] [3] డోపెల్‌రాబ్ పాడ్-అండ్-బూమ్ స్టైల్ ఫ్యూజ్‌లేజ్‌ను కలిగి ఉంది, అయినప్పటికీ కలప-ఫ్రేమ్డ్, ప్లై-స్కిన్డ్ బూమ్ చాలా లోతుగా ఉంది మరియు త్రిభుజాకార విభాగాన్ని కలిగి ఉంది. ఫాబ్రిక్-కప్పబడిన, సమాంతర తీగ క్షితిజ సమాంతర తోక, ప్రత్యేక ఎలివేటర్లను మోస్తున్న, ఫ్యూజ్‌లేజ్ పైన అమర్చబడి ఉంటుంది. ఫిన్ ఇరుకైనది మరియు ప్లై కప్పబడి ఉంటుంది, కానీ విస్తృత, ఫాబ్రిక్-కప్పబడిన చుక్కానిని మౌంట్ చేస్తుంది, ఇది ఫ్యూజ్‌లేజ్ దిగువన విస్తరించి ఉంటుంది, ఇక్కడ ఒక చిన్న అండర్ఫిన్ దానిని రక్షించి, ఒక చిన్న టెయిల్‌స్కిడ్‌ను కలిగి ఉంటుంది. వింగ్ వెనుకంజలో ఉన్న అంచు ముందుకు ఫ్యూజ్‌లేజ్ చాలా లోతుగా మారుతుంది మరియు మెటల్ ఫ్రేమ్ చేయబడింది, ఇది కాక్‌పిట్‌ను ఏర్పరుస్తుంది. ప్రోటోటైప్‌లో, విద్యార్థి యొక్క స్థానం సాంప్రదాయికమైనది మరియు ఒకే వక్రత యొక్క విండ్‌స్క్రీన్‌తో మరియు బహిరంగ వైపులా అందించబడింది; బోధకుడు విద్యార్థి వెనుక ఉన్న ఒక చిన్న ప్రదేశంలోకి దూసుకెళ్లి, మోకాలి స్థితిలో ఒక పిలియన్ సీటును అస్తవ్యస్తంగా కూర్చున్నాడు, అతని బరువు పాక్షికంగా ఫార్వర్డ్ సీటుకు ఇరువైపులా మోకాలి ప్యాడ్లచే మద్దతు ఇస్తుంది. అతను విద్యార్థిని విస్తరించిన నియంత్రణ కాలమ్ పైకి చేరుకోగలడు మరియు అతని పాదాలు నకిలీ చుక్కాని బార్‌పై విశ్రాంతి తీసుకోవడానికి వెనుకకు సూచించాయి. తరువాత ఉత్పత్తి యంత్రాలు ఈ లేఅవుట్‌ను నిలుపుకుంటాయి కాని పూర్తిగా పరివేష్టిత పందిరి మరియు కొద్దిగా పెరిగిన, బెంచ్ రకం బోధకుడి సీటును కలిగి ఉంటాయి. ప్రారంభ ప్రోటోటైప్‌లు ఫార్వర్డ్ మోనోహీల్ మరియు సైకిల్ అండర్ క్యారేజీలతో ప్రయోగాలు చేశాయి, కాని ఉత్పత్తి విమానం వెనుక వైపు ఉంచిన మోనోహీల్‌పై సుదీర్ఘ ఫార్వర్డ్ స్కిడ్‌తో స్థిరపడింది. [1] [2] [3] డోపెల్రాబ్ మొదట 5 ఆగస్టు 1951 న ప్రయాణించింది. అలాగే ప్రారంభ కాక్‌పిట్ మరియు అండర్ క్యారేజ్, V-0 మొదటి నమూనా అసాధారణమైన ఎయిర్‌బ్రేక్‌లను కలిగి ఉంది, ఇది వింగ్ స్ట్రట్ ఫెయిరింగ్‌లను 90 by ద్వారా తిప్పడం ద్వారా ఏర్పడింది. రిగ్గింగ్‌ను వేగవంతం చేయడానికి పరిచయం చేయబడిన ఈ వ్యవస్థ, [1] సంతృప్తికరంగా లేదని కనుగొనబడింది మరియు స్పాయిలర్లకు అనుకూలంగా వదిలివేయబడింది. రెండవ నమూనా, V-1, ప్రారంభంలో రెండు-చక్రాల అండర్ క్యారేజ్ ఉంది, తరువాత ఫ్రంట్ వీల్‌ను విస్తరించిన నోసెస్కిడ్ (V-1A) ద్వారా మార్చడం ద్వారా మార్చబడింది. V-2 మరియు V-3 వెనుక బెంచ్ సీటును ప్రవేశపెట్టాయి. [3] V-3 మొదటి ఉత్పత్తి సంస్కరణ, డోపెల్రాబ్ III యొక్క నమూనాగా పనిచేసింది, అయినప్పటికీ వాటిలో కొన్ని మాత్రమే నిర్మించబడ్డాయి. చాలా వేరియంట్ డోపెల్రాబ్ IV. డోపెల్రాబ్ V లో వివరాల మెరుగుదలలు ప్రవేశపెట్టినప్పటికీ, తుది సంస్కరణలు VI మరియు VII లకు ముందు పెద్ద మార్పులు రాలేదు. వీటిలో 640 మిమీ (25.2 అంగుళాలు) రెక్కలు ఎక్కువ కాలం ఉన్నాయి మరియు తదనుగుణంగా వింగ్ ప్రాంతం పెరిగింది. వెర్షన్ VI యొక్క ఖాళీ బరువు 7 కిలోలు (15.4 బి) మాత్రమే పెరిగింది, కాని అధిక రెక్కతో ఎగరడం ద్వారా ఈ మోడల్ 25 కిలోల (55 ఎల్బి) ఉపయోగకరమైన లోడ్ పెరుగుతుంది. [3] 1951 లో జరిగిన మొదటి యుద్ధానంతర వాసర్కుప్పే పోటీలో డోపెల్రాబ్ మొదటిసారి బహిరంగంగా కనిపించింది. ఇది ఉత్సాహంగా స్వీకరించబడింది, ఇది "ఒక విమానం యొక్క కల" అని హన్నా రీట్ష్ చెప్పాడు. [4] దాని థర్మల్ పెరుగుతున్నది గ్రునౌ బేబీతో పోటీగా నిర్ణయించబడింది. [4] ఒక సంవత్సరం తరువాత పన్నెండు మంది యాభై మందితో ఎగురుతూ ఉన్నారు; తుది ఉత్పత్తి నాలుగు వందలకు దగ్గరగా ఉంది. సీరియల్ ఉత్పత్తిని వోల్ఫ్ హిర్త్ నిర్వహించారు; రెండు కిట్లు మరియు పూర్తయిన విమానాలు అందుబాటులో ఉన్నాయి. [2] ఫార్వర్డ్ ఫ్యూజ్‌లేజ్ ఫ్రేమ్ ఈ రెండు సందర్భాల్లోనూ ఫ్యాక్టరీ వెల్డింగ్ చేయబడింది. [3] తన బోధకుడితో అనుభవం పొందిన తరువాత, ఒక విద్యార్థి తన ప్రారంభ బ్యాడ్జ్‌లను పొందటానికి డోపెల్రాబ్ సోలోను ఎగురవేయగలడు, క్లబ్ ఖర్చులను తగ్గించాడు. [2] అమెరికా, ఆఫ్రికా మరియు నియర్ ఈస్ట్ రెండింటిలో ఉత్పత్తి లైసెన్సులు మంజూరు చేయబడ్డాయి; ఒక డోపెల్రాబ్ స్పిట్స్‌బెర్గెన్ వరకు ఉత్తరాన ఎగిరింది. [3] 2010 లో ఇరవై రెండు డోపెల్‌రాబ్‌లు యూరోపియన్ దేశాల పౌర విమాన రిజిస్టర్లలో ఉన్నాయి, బెల్జియంలో ఒకటి, నెదర్లాండ్స్‌లో ఒకటి, స్పెయిన్‌లో ఒకటి మరియు మిగిలినవి జర్మనీలో ఉన్నాయి. [5] డై బెరామెటెస్టెన్ సెగెల్ఫ్లుగ్జ్యూజ్ [3] ఓగ్డెన్, 2009 నుండి వచ్చిన డేటా [6] అన్నీ మోడల్ IV లు మరియు పబ్లిక్ డిస్ప్లేలో ఉన్నాయి. డై బెరామ్టెస్టెన్ సెగెల్ఫ్లుగ్జ్యూజ్ నుండి డేటా [3] సాధారణ లక్షణాల పనితీరు</v>
      </c>
      <c r="E63" s="1" t="s">
        <v>1471</v>
      </c>
      <c r="F63" s="1" t="s">
        <v>1472</v>
      </c>
      <c r="G63" s="1" t="str">
        <f>IFERROR(__xludf.DUMMYFUNCTION("GOOGLETRANSLATE(F:F, ""en"", ""te"")"),"రెండు-సీట్ల గ్లైడర్")</f>
        <v>రెండు-సీట్ల గ్లైడర్</v>
      </c>
      <c r="H63" s="1" t="s">
        <v>1473</v>
      </c>
      <c r="I63" s="1" t="s">
        <v>185</v>
      </c>
      <c r="J63" s="1" t="str">
        <f>IFERROR(__xludf.DUMMYFUNCTION("GOOGLETRANSLATE(I:I, ""en"", ""te"")"),"జర్మనీ")</f>
        <v>జర్మనీ</v>
      </c>
      <c r="M63" s="1" t="str">
        <f>IFERROR(__xludf.DUMMYFUNCTION("GOOGLETRANSLATE(L:L, ""en"", ""te"")"),"#VALUE!")</f>
        <v>#VALUE!</v>
      </c>
      <c r="O63" s="1" t="s">
        <v>1474</v>
      </c>
      <c r="P63" s="1" t="str">
        <f>IFERROR(__xludf.DUMMYFUNCTION("GOOGLETRANSLATE(O:O, ""en"", ""te"")"),"ఫ్రిట్జ్ రాబ్")</f>
        <v>ఫ్రిట్జ్ రాబ్</v>
      </c>
      <c r="R63" s="4">
        <v>18845.0</v>
      </c>
      <c r="S63" s="1" t="s">
        <v>1475</v>
      </c>
      <c r="T63" s="1" t="s">
        <v>1476</v>
      </c>
      <c r="V63" s="1" t="s">
        <v>428</v>
      </c>
      <c r="W63" s="1" t="s">
        <v>1477</v>
      </c>
      <c r="X63" s="1" t="s">
        <v>1478</v>
      </c>
      <c r="Z63" s="1" t="s">
        <v>1479</v>
      </c>
      <c r="AE63" s="1">
        <v>9.74</v>
      </c>
      <c r="AG63" s="1" t="s">
        <v>1480</v>
      </c>
      <c r="AH63" s="1" t="s">
        <v>1481</v>
      </c>
      <c r="AK63" s="1">
        <v>20.0</v>
      </c>
      <c r="AL63" s="1" t="s">
        <v>1482</v>
      </c>
      <c r="AM63" s="1" t="s">
        <v>1483</v>
      </c>
      <c r="BB63" s="1" t="s">
        <v>1484</v>
      </c>
      <c r="BG63" s="2"/>
      <c r="CU63" s="1" t="s">
        <v>1485</v>
      </c>
    </row>
    <row r="64">
      <c r="A64" s="1" t="s">
        <v>1486</v>
      </c>
      <c r="B64" s="1" t="str">
        <f>IFERROR(__xludf.DUMMYFUNCTION("GOOGLETRANSLATE(A:A, ""en"", ""te"")"),"బ్రిస్టల్ బ్రబాజోన్")</f>
        <v>బ్రిస్టల్ బ్రబాజోన్</v>
      </c>
      <c r="C64" s="1" t="s">
        <v>1487</v>
      </c>
      <c r="D64" s="1" t="str">
        <f>IFERROR(__xludf.DUMMYFUNCTION("GOOGLETRANSLATE(C:C, ""en"", ""te"")"),"బ్రిస్టల్ టైప్ 167 బ్రబాజోన్ బ్రిస్టల్ ఎయిర్‌ప్లేన్ కంపెనీ రూపొందించిన పెద్ద బ్రిటిష్ పిస్టన్-ఇంజిన్ ప్రొపెల్లర్-నడిచే విమానాలు, ఇది UK మరియు అమెరికా మధ్య అట్లాంటిక్ మార్గాలను ఎగరడానికి. ఈ రకంగా బ్రబజోన్ కమిటీ మరియు దాని ఛైర్మన్, తారాకు చెందిన లార్డ్ బ్రబ"&amp;"ాజోన్ పేరు పెట్టారు, అతను విమానాల రూపకల్పన చేసిన స్పెసిఫికేషన్‌ను అభివృద్ధి చేశాడు. [1] రెండవ ప్రపంచ యుద్ధానికి ముందు మరియు సమయంలో చాలా పెద్ద విమానాలను బాంబర్ విమానాలుగా అభివృద్ధి చేసే అవకాశాలను బ్రిస్టల్ అధ్యయనం చేసినప్పటికీ, బ్రబజోన్ కమిటీ సంకలనం చేసిన "&amp;"నివేదికను విడుదల చేసింది, ఇది సంస్థ తన పెద్ద బాంబర్ ప్రతిపాదనను భావి పెద్దదిగా మార్చడానికి దారితీసింది. సుదూర అట్లాంటిక్ మార్గం కోసం చాలా పెద్ద విమానంలో టైప్ I స్పెసిఫికేషన్‌ను తీర్చడానికి సివిల్ ఎయిర్‌లైనర్. ప్రారంభంలో టైప్ 167 గా నియమించబడిన, ప్రతిపాదిత"&amp;" విమానం భారీ 25 అడుగుల (8 మీ)-డైమెటర్ ఫ్యూజ్‌లేజ్‌తో పూర్తి ఎగువ మరియు దిగువ డెక్‌లను కలిగి ఉంది, దీనిపై ప్రయాణీకులు విలాసవంతమైన పరిస్థితులలో కూర్చుంటారు; ఇది ఎనిమిది బ్రిస్టల్ సెంటారస్ రేడియల్ ఇంజిన్ల అమరికతో శక్తిని పొందింది, ఇది మొత్తం ఎనిమిది జత చేసిన"&amp;" కాంట్రా-రొటేటింగ్ ప్రొపెల్లర్లను నాలుగు ఫార్వర్డ్ ఫేసింగ్ నాసెల్ల్స్‌పై ఏర్పాటు చేసింది. బ్రిస్టల్ వైమానిక మంత్రిత్వ శాఖ స్పెసిఫికేషన్ 2/44 ను తీర్చడానికి టైప్ 167 ప్రతిపాదనను సమర్పించాలని నిర్ణయించుకుంది; క్లుప్త మూల్యాంకన కాలం తరువాత, ఒక జత ప్రోటోటైప్‌"&amp;"లను నిర్మించే ఒప్పందం బ్రిస్టల్‌కు ఇవ్వబడింది. దాని నిర్మాణం సమయంలో, బ్రబజోన్ ఇప్పటివరకు నిర్మించిన అతిపెద్ద విమానాలలో ఒకటి, ఇది చాలా తరువాత ఎయిర్‌బస్ A300 మరియు బోయింగ్ 767 విమానాల మధ్య పరిమాణంలో ఉంది. విస్తారమైన పరిమాణం ఉన్నప్పటికీ, బ్రబజోన్ మొత్తం 100 "&amp;"మంది ప్రయాణీకులను మాత్రమే తీసుకువెళ్ళడానికి రూపొందించబడింది, ప్రతి ఒక్కటి ఒక చిన్న కారు యొక్క మొత్తం లోపలి పరిమాణం గురించి వారి స్వంత విశాలమైన ప్రాంతాన్ని కేటాయించారు. 4 సెప్టెంబర్ 1949 న, మొదటి నమూనా దాని తొలి విమానాన్ని నిర్వహించింది. ఉద్దేశించిన ఉత్పత్"&amp;"తి విమానాలకు మద్దతుగా విమాన పరీక్షా కార్యక్రమంలో పాల్గొనడంతో పాటు, 1950 ఫర్న్‌బరో ఎయిర్‌షో, హీత్రో విమానాశ్రయం మరియు 1951 పారిస్ ఎయిర్ షోలో ప్రోటోటైప్ అధిక-ప్రొఫైల్ పబ్లిక్ ఫ్లయింగ్ డిస్ప్లేలను చేసింది. ఏదేమైనా, ప్రత్యామ్నాయాలతో పోలిస్తే సీటు మైలుకు అధిక "&amp;"ఖర్చు కారణంగా బ్రబాజోన్ ఈ రకానికి ఎటువంటి దృ buth మైన కట్టుబాట్లను ఆకర్షించలేకపోయింది. ఎటువంటి ఆర్డర్‌లను ఆకర్షించలేకపోతున్నందున, విమానం వాణిజ్య వైఫల్యం. 17 జూలై 1953 న, ఈ రకానికి సైనిక లేదా సివిల్ ఆర్డర్లు లేకపోవడం వల్ల బ్రబాజోన్ రద్దు చేయబడినట్లు సరఫరా "&amp;"మంత్రి డంకన్ శాండిస్ ప్రకటించారు. చివరికి, ఒకే నమూనా మాత్రమే ఎగిరింది; ఇది 1953 లో స్క్రాప్ కోసం విచ్ఛిన్నమైంది, అసంపూర్ణ టర్బోప్రాప్-శక్తితో పనిచేసే బ్రబాజోన్ I MK.II. రెండవ ప్రపంచ యుద్ధంలో, బ్రిటిష్ ప్రభుత్వం తన విమాన పరిశ్రమను పోరాట విమానాల ఉత్పత్తికి "&amp;"అంకితం చేయడానికి మరియు దాని రవాణా విమానాలలో ఎక్కువ భాగం అమెరికాలోని తయారీదారుల నుండి సోర్స్ చేయడానికి నిర్ణయం తీసుకుంది. [N 1] ఏదైనా సమర్థవంతంగా విడిచిపెట్టడం fore హించింది సివిల్ ఏవియేషన్ పరంగా అభివృద్ధి బ్రిటన్ యొక్క విమానయాన పరిశ్రమను వివాదం ముగిసిన తర"&amp;"్వాత గణనీయమైన ప్రతికూలతను కలిగిస్తుంది, 1943 లో, బ్రిటిష్ ప్రభుత్వ కమిటీ తారా యొక్క లార్డ్ బ్రబాజోన్ నాయకత్వంలో సమావేశాన్ని ప్రారంభించింది. యుద్ధ పౌర విమానయాన అవసరాలు బ్రిటన్ మరియు కామన్వెల్త్ ఆఫ్ నేషన్స్. [1] [2] కేవలం బ్రబజోన్ కమిటీగా పిలువబడే ఈ కమిటీ త"&amp;"న నివేదికను అందించింది, దీనిని బ్రబాజోన్ నివేదిక అని పిలుస్తారు. ఈ నివేదిక వారు అధ్యయనం చేసిన ఐదు డిజైన్లలో మొత్తం నాలుగు నిర్మాణానికి పిలుపునిచ్చింది. ఈ డిజైన్లలో, టైప్ I చాలా పెద్ద అట్లాంటిక్ విమానం, టైప్ II ఒక చిన్న-హాల్ విమానాలు, టైప్ III అనేది బహుళ-హ"&amp;"ాప్ 'ఎంపైర్' వాయు మార్గాలకు మీడియం-రేంజ్ వైమానిక సంస్థ, మరియు IV రకం ఒక వినూత్న జెట్-శక్తితో 500 mph (h/h) విమానయాన సంస్థ. ప్రత్యేకించి, టైప్ I మరియు టైప్ IV పరిశ్రమకు చాలా ఎక్కువ ప్రాముఖ్యత కలిగి ఉన్నాయని భావించారు, ముఖ్యంగా జెట్-శక్తితో కూడిన రకం IV, ఇద"&amp;"ి జెట్ రవాణా రంగంలో బ్రిటన్‌కు కమాండింగ్ ఆధిక్యాన్ని ఇస్తుంది. బ్రహ్మాండమైన రకం I తో సహా వివిధ vision హించిన విమానాల యొక్క స్పెసిఫికేషన్ల యొక్క రూపురేఖలు కమిటీ జారీ చేసింది. [1] 1937 లోనే, బ్రిస్టల్ ఎయిర్‌ప్లేన్ కంపెనీ ఇప్పటికే చాలా పెద్ద బాంబర్ డిజైన్లపై"&amp;" అధ్యయనాలు నిర్వహించింది, వీటిలో ఒకటి టైప్ 159 యొక్క అంతర్గత కంపెనీ హోదాను అందుకుంది మరియు మరొక డిజైన్‌ను అవాంఛనీయమైనది, ఇది బ్రాబాజోన్ యొక్క చివరికి కాన్ఫిగరేషన్‌ను విస్తృతంగా పోలి ఉంటుంది. [3] అదనంగా, బ్రిస్టల్ యొక్క రూపకల్పన బృందం ఇప్పటికే సాధారణ అట్లా"&amp;"ంటిక్ విమానాలను నిర్వహించగల సామర్థ్యం గల కాబోయే విమానం యొక్క అవసరాలను పరిశీలిస్తోంది, దీని ఫలితంగా అవసరమైన పరిమాణం, బరువు మరియు అటువంటి వైమానిక పరిధి యొక్క అంచనాలు ఉన్నాయి. వీటిలో, లాభదాయకంగా ఉండటానికి 100 మంది ప్రయాణీకుల కనీస పేలోడ్‌ను రకం ద్వారా తీసుకెళ"&amp;"్లాలని నిర్ధారించబడింది. [4] 1942 లో, వైమానిక మంత్రిత్వ శాఖ వైమానిక సిబ్బంది నుండి ముసాయిదా కార్యాచరణ అవసరాన్ని జారీ చేసింది, ఇది కనీసం 15 టన్నుల బాంబుల పేలోడ్‌ను మోయగల సామర్థ్యం గల భారీ బాంబర్ డిజైన్‌ను కోరింది. ప్రతిస్పందనగా, బ్రిస్టల్ వారి అసలు పనిని ద"&amp;"ుమ్ము దులిపి, వారి కొత్త మరియు గణనీయంగా మరింత శక్తివంతమైన బ్రిస్టల్ సెంటారస్ ఇంజిన్లను లెక్కించడానికి దానిని నవీకరించారు. ఎల్. జి. ఫ్రైజ్ మరియు ఆర్కిబాల్డ్ రస్సెల్ నేతృత్వంలోని బ్రిస్టల్ డిజైన్ బృందం, [5] అనేక కీలక పనితీరు పారామితులతో పనిచేసింది; వీటిలో 5"&amp;",000 మైళ్ళు (8,000 కిమీ), 225 అడుగులు (69 మీ) రెక్కలు, ఎనిమిది ఇంజన్లు రెక్కలలో ఖననం చేయబడ్డాయి నాలుగు పషర్ ప్రొపెల్లర్ సంస్థాపనలు మరియు అట్లాంటిక్ పరిధికి తగినంత ఇంధనం ఉన్నాయి. కాన్వెయిర్ బి -36 అనేక విధాలుగా అమెరికన్ ఈ అంచనా వేసిన ""100 టన్నుల బాంబర్"" "&amp;"కు సమానంగా ఉంది. [2] బ్రిస్టల్‌తో పాటు, ప్రముఖ బ్రిటిష్ తయారీదారులు చాలా మంది వైమానిక మంత్రిత్వ శాఖ యొక్క కార్యాచరణ అవసరానికి ప్రతిస్పందనగా అనేక ప్రాథమిక అధ్యయనాలను అందించారు; ఏదేమైనా, సుదీర్ఘ అభివృద్ధి సమయాలు మరియు విమానం యొక్క శ్రేణి, లోడ్ మరియు రక్షణాత"&amp;"్మక ఆయుధాలను సమతుల్యం చేయడంలో ఉన్న ఇబ్బందులు, మంత్రిత్వ శాఖ ఎప్పుడూ బ్రిటిష్ తయారీదారుల డిజైన్లను చేపట్టలేదు. బదులుగా, ప్రస్తుత అవ్రో లాంకాస్టర్ అభివృద్ధిని కొనసాగించాలని నిర్ణయించారు, ఇది మెరుగైన అవ్రో లింకన్ ఉత్పత్తికి దారితీసింది. [3] [6] 1942 లో, బ్రబ"&amp;"ాజోన్ నివేదిక ప్రచురించబడింది మరియు బ్రిస్టల్ ప్రతిస్పందించడానికి ఎంచుకుంది, టైప్ I అవసరాల కోసం అవసరాలను తీర్చడానికి వారి బాంబర్ యొక్క కొద్దిగా సవరించిన సంస్కరణను సమర్పించింది. బ్రిస్టల్ యొక్క మునుపటి పని బ్రబాజోన్ కమిటీ వెతుకుతున్న పనితీరును చూపించింది, "&amp;"అందువల్ల కమిటీ సంస్థకు ఆ సంవత్సరం అటువంటి విమానాలను రూపకల్పన చేయడానికి ప్రాథమిక పనితో ముందుకు సాగడానికి అధికారం ఇచ్చింది, యుద్ధకాల విమానంలో పని చేసే నిబంధన అంతరాయం కలిగించకూడదు ప్రాజెక్ట్ ద్వారా. [2] బ్రిస్టల్ త్వరలో ఒక జత ప్రోటోటైప్ విమానాలను ఉత్పత్తి చే"&amp;"సే ఒప్పందంతో జారీ చేయబడింది. [7] నవంబర్ 1944 లో, ది డిజైన్‌పై తదుపరి పని నుండి, టైప్ 167 యొక్క తుది భావన ప్రచురించబడింది. ఇది తుది భావనలో ఉన్నందున, ఈ డిజైన్‌లో పెద్ద 177 అడుగుల (54 మీ) ఫ్యూజ్‌లేజ్ ఉంది, ఇది గణనీయమైన రెక్కతో జత చేయబడింది. 230 అడుగుల (70.1 "&amp;"మీ) వింగ్స్పాన్ ఉన్న ఈ వింగ్, [n 2] అపారమైన అంతర్గత వాల్యూమ్‌ను కలిగి ఉంది, ఇది రకం కోసం vision హించిన అట్లాంటిక్ విమానాల కోసం ఇంధనాన్ని ఉంచడానికి ఉపయోగించబడింది. [1] ఇది ఎనిమిది బ్రిస్టల్ సెంటారస్ 18-సిలిండర్ రేడియల్ ఇంజిన్లతో పనిచేసింది; ఇవి ఆ సమయంలో లభ"&amp;"ించే అత్యంత శక్తివంతమైన బ్రిటిష్ నిర్మించిన పిస్టన్ ఇంజన్లు, ప్రతి ఒక్కటి 2,650 హెచ్‌పిని ఉత్పత్తి చేయగల సామర్థ్యం కలిగి ఉంటాయి. [1] ఈ ఇంజన్లు ప్రతి ఇంజిన్‌ను రెక్కలో జంటగా అమర్చడానికి ప్రత్యేకమైన అమరికలో వ్యవస్థాపించబడ్డాయి; సాధారణ క్రాంక్ షాఫ్ట్ ఉపయోగిం"&amp;"చటానికి బదులుగా, జత చేసిన ఇంజన్లు ప్రతి ఒక్కటి వారి డ్రైవ్‌షాఫ్ట్‌లను అపారమైన సెంట్రల్ గేర్‌బాక్స్ వైపు కోణించాయి. వారు ఎనిమిది జత చేసిన కాంట్రా-రొటేటింగ్ ప్రొపెల్లర్ల శ్రేణిని నడిపారు, ఇవి నాలుగు ఫార్వర్డ్ ఫేసింగ్ నాసెల్స్‌పై సెట్ చేయబడ్డాయి. [1] [8] విమ"&amp;"ానంలో ఎగురుతున్న ధనవంతులు గాలి ద్వారా సుదీర్ఘ యాత్రను అసౌకర్యంగా భావిస్తారని బ్రబజోన్ నివేదిక భావించింది, మరియు వారు ప్రతి ప్రయాణీకుడికి 200 అడుగుల (6 మీ 3) స్థలాన్ని డిమాండ్ చేసి, తదనుగుణంగా లగ్జరీ కోసం టైప్‌ను రూపొందించారు, ఇది లగ్జరీ క్లాస్ కోసం 270 అడ"&amp;"ుగుల (8 మీ 3) కు విస్తరించింది. సాంప్రదాయకంగా ఖాళీగా ఉన్న సీటింగ్‌తో తయారు చేస్తే, టైప్ 167 యొక్క కొలతలు 300 మంది ప్రయాణీకులకు అనుగుణంగా ఉంటాయి, 60 సీట్లకు బదులుగా. [1] ఆన్‌బోర్డ్ సినిమా, కాక్టెయిల్ బార్ మరియు లాంజ్ ప్రాంతం వంటి కార్యాచరణ విమానాలపై సంస్థా"&amp;"పన కోసం ఇతర హై-కామ్‌ఫోర్ట్ చర్యలు ప్రతిపాదించబడ్డాయి. రచయిత స్టెఫాన్ విల్కిన్సన్ ప్రకారం, వేగం మరియు పేలోడ్ వంటి ఇతర లక్షణాలపై ఓదార్పుపై దృష్టి పెట్టాలనే నిర్ణయం బ్రిటన్ ఆపరేటర్ల యొక్క చారిత్రాత్మక ఆసక్తిగా ఉంది, ఇది సంపన్న ప్రయాణికుల పట్ల తమ సేవలను ప్రత్"&amp;"యేకంగా తీర్చిదిద్దడానికి మరియు ఇది యుద్ధానికి పూర్వపు ఎథోస్ అని గుర్తించారు బ్రిటిష్ ఎయిర్లైన్స్ ఇంపీరియల్ ఎయిర్‌వేస్. [1] ఇంతలో, విమాన పరిశ్రమలోని కొన్ని గణాంకాలు ప్రయాణీకుల నుండి భారీ డిమాండ్ను అంచనా వేస్తున్నాయి, అప్పుడు ఓషన్ లైనర్లపై ఆధారపడతారు. [9] ఈ"&amp;" వైవిధ్యమైన అవసరాలను తీర్చడానికి, టైప్ 167 భారీ 25 అడుగుల (8 మీ)-డైమెటర్ ఫ్యూజ్‌లేజ్‌ను పేర్కొంది, ఇది 747 కన్నా 5 అడుగుల (1.5 మీ), పూర్తి-పొడవు ఎగువ మరియు దిగువ డెక్‌లతో ఉంటుంది. ఈ 80 మంది ప్రయాణికులు, భోజనాల గది, 37-సీట్ల సినిమా, ప్రొమెనేడ్ మరియు బార్ క"&amp;"ోసం ఈ స్లీపింగ్ బెర్తులు; లేదా ప్రత్యామ్నాయంగా 150 మందికి రోజు సీట్ల అమరిక. ఒకానొక సమయంలో, మొత్తం 50 మంది ప్రయాణికులను ఉంచడానికి ఉద్దేశించిన ఇరుకైన ఫ్యూజ్‌లేజ్‌ను అవలంబించాలని కమిటీ సిఫార్సు చేసింది; బ్రిటిష్ ఓవర్సీస్ ఎయిర్‌వేస్ కార్పొరేషన్ (BOAC) ఈ సిఫార"&amp;"సుతో అంగీకరించింది మరియు 25 మంది ప్రయాణీకులకు మాత్రమే వసతి కల్పించే డిజైన్‌కు దాని ప్రాధాన్యతను కూడా వ్యక్తం చేసింది. ఆగష్టు 1943 లో, [10] విమానయాన సంస్థతో చేరిన ఒక ఒప్పందం ఇంటీరియర్ లేఅవుట్ యొక్క ఎంపికకు దారితీసింది, ఇందులో ఫార్వర్డ్ ఏరియా ఆరు కంపార్ట్మె"&amp;"ంట్లు ఉన్నాయి, ఒక్కొక్కటి ఆరుగురు ప్రయాణీకులకు, కేవలం ముగ్గురు ప్రయాణీకులకు ఏడవ కంపార్ట్మెంట్; రెక్క పైన ఒక మధ్యభాగం - ఆ సమయంలో రెక్క 6 అడుగుల లోతులో ఉంది - ఇది ఒక చిన్నగది మరియు గాలీతో పాటు నాలుగు సమూహాలలో టేబుల్స్ చుట్టూ 38 సీట్లను ఏర్పాటు చేసింది; మరియ"&amp;"ు వెనుక ప్రాంతం వెనుక ఉన్న ప్రాంతం వెనుక భాగంలో 23 సీట్ల సినిమాలో, కాక్టెయిల్ బార్ మరియు లాంజ్ తో పూర్తయింది. సాండర్స్-రో యువరాణి మాదిరిగానే, బ్రబాజోన్ కాన్సెప్ట్ ప్రీవార్ మరియు యుద్ధానంతర ఆలోచన యొక్క కలయిక, అత్యంత అధునాతన డిజైన్ మరియు ఇంజనీరింగ్‌ను ఉపయోగ"&amp;"ించి యుద్ధానంతర ప్రపంచంలో ఇకపై అవసరం లేని విమానాన్ని నిర్మించడానికి. [11] 100 శాతం శక్తితో కూడిన ఫ్లయింగ్ నియంత్రణలతో తయారు చేసిన మొదటి విమానం బ్రబాజోన్; ఇది ఎలక్ట్రిక్ ఇంజిన్ నియంత్రణలను కలిగి ఉన్న మొదటిది, మరియు మొదటిది అధిక-పీడన హైడ్రాలిక్స్ కలిగి ఉంది"&amp;". [12] ఇంజిన్ల యొక్క పెద్ద వ్యవధి మరియు మౌంటు, నిర్మాణాత్మక బరువు ఆర్థిక వ్యవస్థలతో పాటు, అల్లకల్లోలంగా రెక్కల ఉపరితలాలను వంగకుండా నిరోధించడానికి కొన్ని కొత్త కొలతలను డిమాండ్ చేసింది. అందువల్ల, బ్రబజోన్ యొక్క వినూత్న లక్షణాలలో ఒకటి ఉద్దేశ్య-అభివృద్ధి చెంద"&amp;"ిన గస్ట్-అల్లేవియేషన్ వ్యవస్థ, ఇది విమానం యొక్క ముక్కు యొక్క వెలుపలి భాగంలో వ్యవస్థాపించిన గస్ట్-సెన్సింగ్ ప్రోబ్ నుండి ప్రేరేపించబడిన సర్వోస్ యొక్క కలగలుపును ఉపయోగించింది; ఈ వ్యవస్థ యొక్క మెరుగైన సంస్కరణ, పూర్తిగా ఆటోమేటెడ్ ట్రిమ్మింగ్‌తో పాటు, బ్రబాజోన్"&amp;" మార్క్ II లో మోహరించబడింది. [12] [13] [N 3] హైడ్రాలిక్ పవర్ యూనిట్లు కూడా విమానం యొక్క దిగ్గజం నియంత్రణ ఉపరితలాలను ఆపరేట్ చేయడానికి రూపొందించబడ్డాయి. 7] విమానంలో బరువును ఆదా చేయడానికి విపరీతమైన ప్రయత్నం జరిగింది. టైప్ 167 ప్రతి ప్యానెల్‌ను అవసరమైన బలానిక"&amp;"ి అనుగుణంగా స్కిన్నింగ్ యొక్క ప్రామాణికం కాని గేజ్‌లను ఉపయోగించింది, తద్వారా అనేక టన్నుల లోహాలను ఆదా చేస్తుంది. ఎయిర్ఫ్రేమ్ యొక్క అనేక భాగాలను డ్రిల్లింగ్, మిల్లింగ్, మడత మరియు రోలింగ్ కోసం బ్రిస్టల్ విప్లవాత్మక కొత్త మ్యాచింగ్ మరియు నిర్మాణ పద్ధతులను ఉపయ"&amp;"ోగించాడు. [14] ఎయిర్‌ఫ్రేమ్ అసెంబ్లీకి అవసరమైన రివెట్‌ల సంఖ్యను బాగా తగ్గించడానికి రివెట్‌లను విమాన డోప్‌లో మూసివేసింది. నిర్మాణ ప్రక్రియను సరళీకృతం చేయడం మరియు అనేక ఉత్పాదక సామర్థ్యాలను చేర్చడంపై గణనీయమైన ప్రాధాన్యత ఇవ్వబడింది. [15] విమానం కోసం కొన్ని డి"&amp;"జైన్ మరియు నిర్మాణ పనులు ఫోలాండ్ విమానాలు వంటి ఇతర బ్రిటిష్ సంస్థలకు భాగస్వామ్యం చేయబడ్డాయి. [16] బ్రబజోన్‌ను మాత్రమే తయారుచేసే చర్య ఒక సవాలుగా గుర్తించబడింది. అభివృద్ధి యొక్క మొదటి రెండు సంవత్సరాలలో, విమానం ఎలా మరియు ఎక్కడ తయారు చేయాలనే ప్రశ్న డిజైన్ బృం"&amp;"దాన్ని చుట్టుముట్టిన మరియు ప్రాజెక్టుపై పురోగతిని ఆలస్యం చేసిన అతిపెద్ద సమస్యలలో ఒకటి. [8] బ్రిస్టల్ ఫిల్టన్ విమానాశ్రయంలో బ్రిస్టల్ యొక్క ప్రస్తుత కర్మాగారం ప్రపంచంలోనే అతిపెద్ద విమానాలలో ఒకటిగా నిర్వహించడానికి చాలా చిన్నదని నిరూపించబడింది, ఈ రకాన్ని పరి"&amp;"మాణంలో ఉత్పత్తి చేయనివ్వండి, అయితే ప్రక్కనే ఉన్న 2,000 అడుగుల (610 మీ) రన్‌వే కూడా దానిని ప్రారంభించడానికి చాలా చిన్నది . సంస్థ యొక్క బాన్‌వెల్ సదుపాయాన్ని అభివృద్ధి చేయడానికి పరిగణనలు చేసినప్పటికీ, చివరికి బ్రబజాన్‌కు అనుగుణంగా ప్రధాన ఫిల్టన్ సైట్‌ను విస"&amp;"్తరించాలని నిర్ణయించారు. [17] బ్రిస్టల్ యొక్క యుద్ధకాల కట్టుబాట్లను తీర్చడం యొక్క పర్యవసానంగా ఈ ప్రాజెక్టుపై పని మందగించింది; ప్రారంభ భౌతిక దశలలో పాత నంబర్ 2 ఫ్లైట్ షెడ్‌లో పూర్తి స్థాయి చెక్క మోకాప్ నిర్మాణం ఉంది, తద్వారా భాగాలు మరియు అమరికలు వర్తించబడతా"&amp;"యి మరియు పరీక్షించబడతాయి. [14] అక్టోబర్ 1945 లో, మొదటి ప్రోటోటైప్ యొక్క ఫ్యూజ్‌లేజ్ నిర్మాణం ఇప్పటికే ఉన్న హ్యాంగర్‌లో ప్రారంభమైంది, అయితే ఎనిమిది బ్రబజన్‌ల వరకు తుది అసెంబ్లీని నిర్వహించడానికి ఒక భారీ హాల్ నిర్మించబడింది; నిర్మాణ సమయంలో, హాల్ ప్రపంచంలోనే"&amp;" అతిపెద్ద హ్యాంగర్. [14] కొత్త అసెంబ్లీ హాల్ యొక్క డిజైనర్, టి. పి. ఓసుల్లివన్, తరువాత ఈ పనికి టెల్ఫోర్డ్ ప్రీమియం లభించింది. రన్వే కూడా 8,000 అడుగుల (2,440 మీ) కు పెరిగింది, అలాగే విస్తరించబడింది; ఈ పొడిగింపు చార్ల్టన్ గ్రామంలోని నివాసులను పొరుగున ఉన్న ప"&amp;"్యాచ్‌వేకి తప్పనిసరి మార్చడం అవసరం, ఇది ఆ సమయంలో కొంతవరకు వివాదాస్పద కొలత. [14] 1940 ల ప్రారంభంలో, పెద్ద విమానాలకు ప్రొపల్షన్ అందించే ఏకైక సాధనం పెరుగుతున్న సంక్లిష్టమైన మరియు విస్తరించిన రేడియల్ ఇంజిన్లను ఉత్పత్తి చేయడం. [1] ఏదేమైనా, జెట్ ప్రొపల్షన్ యొక్"&amp;"క ఆవిర్భావం, ప్రత్యేకంగా టర్బోప్రాప్ ఇంజిన్, బ్రబాజోన్ అభివృద్ధితో సమానంగా జరిగింది. దీని ప్రకారం, అటువంటి ఇంజిన్‌ను విమానానికి వర్తింపజేయడానికి చాలా ఆసక్తి ఉంది, ఎందుకంటే ఇది అసలు సెంటారస్ పవర్‌ప్లాంట్‌కు సరళమైన మరియు శక్తివంతమైన ప్రత్యామ్నాయాన్ని అందించ"&amp;"గలదు. [1] టర్బోప్రాప్‌ల యొక్క ఇతర ప్రయోజనాలు తక్కువ వైబ్రేషన్ స్థాయిలు (ఇది ప్రయాణీకుల సౌకర్యాన్ని పెంచుతుంది) మరియు అధిక ఎత్తులో ఉన్నతమైన పనితీరును కలిగి ఉంది. [18] 1946 లో, ఎనిమిది బ్రిస్టల్ కపుల్డ్ ప్రోటీయస్ టర్బోప్రాప్ ఇంజన్లను ఉపయోగించి రెండవ నమూనాను"&amp;" నిర్మించాలని నిర్ణయించారు-జత చేసిన టర్బోప్రోప్స్ ఒక సాధారణ గేర్‌బాక్స్ ద్వారా నాలుగు-బ్లేడెడ్ స్క్రూలను నడుపుతున్నాయి. [1] [19] ఇది బ్రబజోన్ యొక్క క్రూజింగ్ వేగాన్ని 260 నుండి 330 mph (420–530 కిమీ/గం), మరియు దాని పైకప్పుకు పెరిగింది, అదే సమయంలో విమానం య"&amp;"ొక్క ఖాళీ బరువును సుమారు 10,000 పౌండ్లు (4,540 కిలోలు) తగ్గిస్తుంది. ఈ బ్రబజోన్ మార్క్ II 12 గంటల తగ్గిన సమయంలో అట్లాంటిక్ (లండన్-న్యూయార్క్) ను దాటగలిగింది. ఏదేమైనా, 1950 నాటికి, ప్రోటీయస్ ఇంజిన్ యొక్క అభివృద్ధి గణనీయమైన ఇబ్బందుల్లోకి వచ్చింది, అధిక బరువ"&amp;"ు మరియు బలహీనంగా ఉంది, అలాగే ఒక దశలో అలసట సమస్యలకు లోబడి ఉంటుంది. [18] ప్రోటీస్‌ను స్వీకరించడంతో పాటు, బ్రాబాజోన్ మార్క్ II కోసం ఇతర vision హించిన మార్పులు ఉన్నాయి. ప్రత్యేకించి, ప్రణాళిక చేయబడిన సవరించిన చక్రాల అమరిక ఉత్తర అట్లాంటిక్ మరియు సామ్రాజ్యం మార"&amp;"్గాల్లో ఎక్కువ రన్‌వేలను ఉపయోగించుకునే రకాన్ని ఎనేబుల్ చేస్తుంది. [20] సెంటారస్ కంటే ప్రోటీయస్ సన్నగా ఉన్నప్పటికీ, మార్క్ II లో రెక్కల మందం తగ్గించబడలేదు కాని ఇంజిన్ల చుట్టూ ప్రముఖ అంచు విస్తరించబడుతుంది. డిసెంబర్ 1945 లో, బ్రిస్టల్ చీఫ్ టెస్ట్ పైలట్ బిల్"&amp;" పెగ్ బ్రబాజోన్‌కు చీఫ్ పైలట్‌గా ఎంపికయ్యాడు. [12] రాబోయే విమాన పరీక్ష కోసం సన్నాహకంగా, అటువంటి విస్తారమైన విమానాలను నిర్వహించడంలో అనుభవాన్ని పొందే సాధనంగా, PEGG ఫోర్ట్ వర్త్, టెక్సాస్‌కు ప్రయాణించమని ఒప్పించే ఆహ్వానాన్ని అంగీకరించింది, వారి B-36 పీస్‌మేక"&amp;"ర్‌ను ఎగరడానికి, పెద్ద వ్యూహాత్మక బాంబర్ అమెరికా వైమానిక దళం. [18] డిసెంబర్ 1948 లో, MK.I ప్రోటోటైప్, రిజిస్ట్రేషన్ G-AGPW, ఇంజిన్ పరుగుల కోసం రూపొందించబడింది. 3 సెప్టెంబర్ 1949 న, PEGG చేత పైలట్ చేయబడిన మరియు వాల్టర్ గిబ్ చేత సహ-పైలట్ చేయబడిన ప్రోటోటైప్,"&amp;" ఎనిమిది మంది పరిశీలకులు మరియు ఫ్లైట్ ఇంజనీర్ల సిబ్బందితో పాటు, ట్రయల్ టాక్సీ పరుగుల శ్రేణిని ప్రదర్శించింది; నోస్‌వీల్ స్టీరింగ్ సరిగ్గా పనిచేయకపోవడానికి ఇవి ఏ సమస్యలను వెల్లడించలేదు, అందువల్ల ఇది తాత్కాలికంగా నిలిపివేయబడింది. [18] 4 సెప్టెంబర్ 1949 న, ప"&amp;"్రోటోటైప్ బ్రిస్టల్ ప్రాంతంపై తన తొలి విమానంలో ప్రదర్శించింది, మొత్తం 25 నిమిషాలు ఎగురుతూ, పెగ్ చేత నాయకత్వం వహించింది. టేకాఫ్‌కు ముందు, ఈ ఘనతకు సాక్ష్యమివ్వడానికి సుమారు 10,000 మంది ప్రజలు ఎయిర్‌ఫీల్డ్ చుట్టుకొలత వద్ద సమావేశమయ్యారు. [18] ఈ విమానంలో, ఇది "&amp;"160 mph (257 కిమీ/గం) వద్ద సుమారు 3,000 అడుగుల (910 మీ) కు చేరుకుంది మరియు 115 mph (185 కిమీ/గం) వద్ద దిగింది, 50 అడుగులు (15 మీ) వద్ద తిరిగి వచ్చింది. బ్రిటీష్ ప్రెస్ ప్రధానంగా ఈ సందర్భంగా అనుకూలంగా నివేదించింది, ఒక వార్తాపత్రిక ఈ విమానం ""స్కైస్ రాణి, ఇ"&amp;"ప్పటివరకు నిర్మించిన అతిపెద్ద భూమి-విమానం"" అని ప్రశంసించింది. [1] నాలుగు రోజుల తరువాత, ఈ నమూనాను ఫార్న్‌బరోలోని సొసైటీ ఆఫ్ బ్రిటిష్ ఎయిర్‌క్రాఫ్ట్ కన్స్ట్రక్టర్స్ ఎయిర్‌షోలో ప్రదర్శించారు; రచయిత ఫిలిప్ కప్లాన్ ప్రకారం, మొదటి విమాన సమయం యొక్క సమయం అటువంటి"&amp;" ఉన్నత స్థాయి ప్రారంభ రూపాన్ని నిర్వహించడానికి సెట్ చేయబడింది. [21] ఫార్న్‌బరోలో బ్రబజోన్ కనిపించడం వల్ల ప్రజల అవగాహనను వ్యాప్తి చేయడానికి వివిధ బ్రిటిష్ నగరాల పరిసరాల్లో విమానం యొక్క పరీక్షా కార్యక్రమంలో చాలావరకు అధికారిక మరియు ఉద్దేశపూర్వక కంపెనీ విధానా"&amp;"న్ని స్వీకరించడానికి దారితీస్తుంది. దీని ప్రకారం, బ్రాబాజోన్ 1950 ఫార్న్‌బరో ఎయిర్‌షోలో ప్రదర్శించబడింది, దీనిలో ఇది టేకాఫ్, క్లీన్ కాన్ఫిగరేషన్ ఫ్లైపాస్ట్ మరియు ల్యాండింగ్ చేసింది. జూన్ 1950 లో, బ్రాబాజోన్ లండన్ యొక్క హీత్రో విమానాశ్రయాన్ని సందర్శించింది"&amp;", ఈ సమయంలో ఇది అనేక విజయవంతమైన టేకాఫ్‌లు మరియు ల్యాండింగ్‌లు చేసింది; ఇది 1951 పారిస్ ఎయిర్ షోలో కూడా ప్రదర్శించబడింది. బహుళ విమానాలలో విమానాలను పైలట్-ఇన్-కమాండ్‌గా ఎగురుతున్న గిబ్, ఈ రకంతో అతని ఎగిరే అనుభవాలను సంగ్రహించాడు: ""ఇది చాలా సౌకర్యంగా ఉంది, ఇది"&amp;" చాలా బాగా ఎగిరింది. ఇది పెద్దది. మీరు టైగర్ మాత్ లాగా కొట్టలేదు లేదా స్పిట్‌ఫైర్, కానీ మీరు దీనిని డబుల్ డెక్కర్ బస్సు లేదా పెద్ద విమానంలాగా భావించినంత కాలం, మీకు అస్సలు ఎటువంటి ఇబ్బంది లేదు "". [22] బ్రబజోన్ యొక్క విమాన పరీక్షలు జరుగుతుండగా, బోక్ ఈ రకాన"&amp;"్ని నిర్వహించే అవకాశాలతో ఎక్కువగా ఆసక్తి చూపలేదు. [22] ఒక పరీక్ష విమానంలో, BOAC చైర్మన్ సర్ మైల్స్ థామస్ క్లుప్తంగా నియంత్రణలను తీసుకున్నాడు మరియు ఈ విమానం బలహీనంగా ఉందని మరియు నియంత్రణలకు ప్రతిస్పందించడానికి చాలా నెమ్మదిగా ఉందని కనుగొన్నారు. బోక్ అది వార"&amp;"ికి కాదని త్వరగా నిర్ణయించుకుంది. [23] బ్రిస్టల్ ఆర్థిక ఇబ్బందులకు లోబడి ఉంది, అయితే ప్రోటీయస్ ఇంజిన్ అభివృద్ధికి ఉద్దేశించినది, vision హించిన మరియు మెరుగైన బ్రబజోన్ మార్క్ II సమస్యాత్మకమైనదని రుజువు చేస్తుంది. విమానం యొక్క విమాన పరీక్షలు లోపలి వింగ్‌బాక్"&amp;"స్ ప్రాంతంలో కొన్ని అలసట సమస్యలను వెల్లడించాయి, [n 4] అయితే ఈ కార్యక్రమం కొనసాగుతున్నప్పుడు బ్రబాజోన్ కోసం అంచనా వేసిన నిర్వహణ ఖర్చులు పైకి సవరించబడ్డాయి. [22] బోక్, విమానం యొక్క యోగ్యతలను అంగీకరించలేదు, చివరికి ఈ రకానికి ఏదైనా ఆర్డర్‌ను ఉంచడానికి నిరాకరి"&amp;"ంచారు. [24] గిబ్ పరిస్థితి గురించి ఇలా అన్నాడు: ""యుద్ధానంతర ఎగిరేందుకు స్పెక్ సరైనది కాదు. స్పెక్స్ రాసిన వ్యక్తులు ... ఈ సౌకర్యం, బంక్‌లు మరియు తినడానికి గొప్ప భోజనాల గదితో ఒక విమానం గురించి భావించారు. మరియు, వాస్తవానికి, రోజు రండి, అది విమానయాన సంస్థలు"&amp;" కోరుకున్నది కాదు. వారు వీలైనంత ఎక్కువ మంది ప్రయాణీకులను ట్యూబ్‌లోకి రామ్ చేసి, వారి ల్యాప్‌లపై భోజనం ఇవ్వాలని వారు కోరుకున్నారు. [25] ఒక సమయంలో, కొంత ఆసక్తి చూపినప్పటికీ ప్రోటోటైప్ బ్రబాజోన్ ఉపయోగించి కార్యాచరణ విమానాలను నిర్వహించడానికి బ్రిటిష్ యూరోపియన"&amp;"్ ఎయిర్‌వేస్ (BEA), సాధారణంగా ఒక నమూనాలో ఉంటుందని భావిస్తున్న వివిధ సమస్యలు అంటే విమానం ఎప్పటికీ వాయువ్య ప్రమాణపత్రాన్ని అందుకోదు. [26] 1952 నాటికి, సుమారు 4 3.4 మిలియన్లు ఉన్నాయి అభివృద్ధికి ఖర్చు చేయబడింది మరియు ఏ విమానయాన సంస్థ అయినా కొనుగోలు సంకేతాలు "&amp;"లేవు. మార్చిలో, బ్రిటిష్ ప్రభుత్వం రెండవ నమూనాపై పనులు వాయిదా పడ్డారని ప్రకటించింది. ఈ ప్రాజెక్టు రద్దును 17 న సరఫరా మంత్రి (డంకన్ శాండిస్) ప్రకటించారు. జూలై 1953 కామన్ S, ఈ కార్యక్రమం అన్ని ఉపయోగకరమైన సాంకేతిక పరిజ్ఞానాన్ని ఇచ్చిందని, అయితే పౌర లేదా సైని"&amp;"క వినియోగదారుల నుండి ఎటువంటి ఆసక్తి లేకుండా, బ్రబాజోన్ కోసం డబ్బు ఖర్చు చేయడం కొనసాగించడానికి ఎటువంటి సమర్థన లేదు. ఈ సమయానికి, ఈ కార్యక్రమం కోసం సుమారు million 6 మిలియన్లు ఖర్చు చేశారు మరియు మార్క్ II ని పూర్తి చేయడానికి మరో million 2 మిలియన్లు అవసరమయ్యేవ"&amp;"ి. [24] [27] అక్టోబర్ 1953 లో, 382 గంటల ఎగిరే సమయం 164 విమానాల తరువాత, మొదటి నమూనా విచ్ఛిన్నమైంది, స్క్రాప్ విలువలో £ 10,000 కు విక్రయించబడింది, అసంపూర్తిగా ఉన్న MK.II ప్రోటోటైప్‌తో పాటు. [1] బ్రిస్టల్‌లోని ఎం షెడ్ మ్యూజియం మరియు స్కాట్లాండ్‌లోని నేషనల్ మ"&amp;"్యూజియం ఆఫ్ ఫ్లైట్ వద్ద మిగిలి ఉన్నవన్నీ కొన్ని భాగాలు. వైఫల్యం మరియు తెల్ల ఏనుగుగా పరిగణించబడుతున్నప్పటికీ, బ్రబాజోన్ యొక్క రికార్డు పూర్తిగా అననుకూలమైనది కాదు. ఈ ప్రాజెక్టు కోసం ఖర్చు చేసిన పెద్ద మొత్తాలలో కనీసం సగం మౌలిక సదుపాయాల నిర్మాణంతో ఖర్చు చేయబడ"&amp;"ింది, వీటిలో కొత్త పెద్ద హాంగర్లకు million 6 మిలియన్లు మరియు ఫిల్టన్ వద్ద విస్తరించిన రన్‌వే ఉన్నాయి. [27] ఈ మెరుగుదలలు అంటే ఇతర డిజైన్ల ఉత్పత్తిని కొనసాగించడానికి బ్రిస్టల్ అద్భుతమైన స్థితిలో ఉంది; అసెంబ్లీ హాల్ త్వరలో మరొక అట్లాంటిక్ విమానాలను బ్రిటానియ"&amp;"ా నిర్మించడానికి ఉపయోగించబడుతోంది. అదనంగా, బ్రాబాజోన్ ప్రాజెక్ట్ సమయంలో అభివృద్ధి చేయబడిన అనేక పద్ధతులు విమానయాన సంస్థలకు మాత్రమే కాకుండా, ఏ విమానాలకు వర్తిస్తాయి. బ్రిస్టల్‌కు టైప్ III విమానానికి కాంట్రాక్టు కూడా లభించింది, దీనికి వారు బ్రిటానియాను పంపిణ"&amp;"ీ చేశారు. బ్రబాజోన్ అభివృద్ధి సమయంలో చేసిన పురోగతిని ఉపయోగించడం ద్వారా, బ్రిస్టల్ బ్రిటానియాను అప్పటి వరకు ఏదైనా విమానంలో ఉత్తమమైన పేలోడ్ భిన్నాన్ని కలిగి ఉండటానికి రూపొందించగలిగాడు, మరియు అది చాలా సంవత్సరాలు ఆ రికార్డును కలిగి ఉంది. జెట్-శక్తితో కూడిన డి"&amp;" హవిలాండ్ కామెట్ అయిన ప్రత్యేక రకం IV తో సమస్యల తర్వాత బ్రిటానియా ఆలస్యం అయినప్పటికీ, ఇది 1970 లలో అనేక విమానయాన సంస్థలకు వర్క్‌హోర్స్‌గా నిలిచింది. ఫ్లైట్ ఇంటర్నేషనల్ నుండి డేటా. [28] సాధారణ లక్షణాలు పనితీరు సంబంధిత జాబితాలు")</f>
        <v>బ్రిస్టల్ టైప్ 167 బ్రబాజోన్ బ్రిస్టల్ ఎయిర్‌ప్లేన్ కంపెనీ రూపొందించిన పెద్ద బ్రిటిష్ పిస్టన్-ఇంజిన్ ప్రొపెల్లర్-నడిచే విమానాలు, ఇది UK మరియు అమెరికా మధ్య అట్లాంటిక్ మార్గాలను ఎగరడానికి. ఈ రకంగా బ్రబజోన్ కమిటీ మరియు దాని ఛైర్మన్, తారాకు చెందిన లార్డ్ బ్రబాజోన్ పేరు పెట్టారు, అతను విమానాల రూపకల్పన చేసిన స్పెసిఫికేషన్‌ను అభివృద్ధి చేశాడు. [1] రెండవ ప్రపంచ యుద్ధానికి ముందు మరియు సమయంలో చాలా పెద్ద విమానాలను బాంబర్ విమానాలుగా అభివృద్ధి చేసే అవకాశాలను బ్రిస్టల్ అధ్యయనం చేసినప్పటికీ, బ్రబజోన్ కమిటీ సంకలనం చేసిన నివేదికను విడుదల చేసింది, ఇది సంస్థ తన పెద్ద బాంబర్ ప్రతిపాదనను భావి పెద్దదిగా మార్చడానికి దారితీసింది. సుదూర అట్లాంటిక్ మార్గం కోసం చాలా పెద్ద విమానంలో టైప్ I స్పెసిఫికేషన్‌ను తీర్చడానికి సివిల్ ఎయిర్‌లైనర్. ప్రారంభంలో టైప్ 167 గా నియమించబడిన, ప్రతిపాదిత విమానం భారీ 25 అడుగుల (8 మీ)-డైమెటర్ ఫ్యూజ్‌లేజ్‌తో పూర్తి ఎగువ మరియు దిగువ డెక్‌లను కలిగి ఉంది, దీనిపై ప్రయాణీకులు విలాసవంతమైన పరిస్థితులలో కూర్చుంటారు; ఇది ఎనిమిది బ్రిస్టల్ సెంటారస్ రేడియల్ ఇంజిన్ల అమరికతో శక్తిని పొందింది, ఇది మొత్తం ఎనిమిది జత చేసిన కాంట్రా-రొటేటింగ్ ప్రొపెల్లర్లను నాలుగు ఫార్వర్డ్ ఫేసింగ్ నాసెల్ల్స్‌పై ఏర్పాటు చేసింది. బ్రిస్టల్ వైమానిక మంత్రిత్వ శాఖ స్పెసిఫికేషన్ 2/44 ను తీర్చడానికి టైప్ 167 ప్రతిపాదనను సమర్పించాలని నిర్ణయించుకుంది; క్లుప్త మూల్యాంకన కాలం తరువాత, ఒక జత ప్రోటోటైప్‌లను నిర్మించే ఒప్పందం బ్రిస్టల్‌కు ఇవ్వబడింది. దాని నిర్మాణం సమయంలో, బ్రబజోన్ ఇప్పటివరకు నిర్మించిన అతిపెద్ద విమానాలలో ఒకటి, ఇది చాలా తరువాత ఎయిర్‌బస్ A300 మరియు బోయింగ్ 767 విమానాల మధ్య పరిమాణంలో ఉంది. విస్తారమైన పరిమాణం ఉన్నప్పటికీ, బ్రబజోన్ మొత్తం 100 మంది ప్రయాణీకులను మాత్రమే తీసుకువెళ్ళడానికి రూపొందించబడింది, ప్రతి ఒక్కటి ఒక చిన్న కారు యొక్క మొత్తం లోపలి పరిమాణం గురించి వారి స్వంత విశాలమైన ప్రాంతాన్ని కేటాయించారు. 4 సెప్టెంబర్ 1949 న, మొదటి నమూనా దాని తొలి విమానాన్ని నిర్వహించింది. ఉద్దేశించిన ఉత్పత్తి విమానాలకు మద్దతుగా విమాన పరీక్షా కార్యక్రమంలో పాల్గొనడంతో పాటు, 1950 ఫర్న్‌బరో ఎయిర్‌షో, హీత్రో విమానాశ్రయం మరియు 1951 పారిస్ ఎయిర్ షోలో ప్రోటోటైప్ అధిక-ప్రొఫైల్ పబ్లిక్ ఫ్లయింగ్ డిస్ప్లేలను చేసింది. ఏదేమైనా, ప్రత్యామ్నాయాలతో పోలిస్తే సీటు మైలుకు అధిక ఖర్చు కారణంగా బ్రబాజోన్ ఈ రకానికి ఎటువంటి దృ buth మైన కట్టుబాట్లను ఆకర్షించలేకపోయింది. ఎటువంటి ఆర్డర్‌లను ఆకర్షించలేకపోతున్నందున, విమానం వాణిజ్య వైఫల్యం. 17 జూలై 1953 న, ఈ రకానికి సైనిక లేదా సివిల్ ఆర్డర్లు లేకపోవడం వల్ల బ్రబాజోన్ రద్దు చేయబడినట్లు సరఫరా మంత్రి డంకన్ శాండిస్ ప్రకటించారు. చివరికి, ఒకే నమూనా మాత్రమే ఎగిరింది; ఇది 1953 లో స్క్రాప్ కోసం విచ్ఛిన్నమైంది, అసంపూర్ణ టర్బోప్రాప్-శక్తితో పనిచేసే బ్రబాజోన్ I MK.II. రెండవ ప్రపంచ యుద్ధంలో, బ్రిటిష్ ప్రభుత్వం తన విమాన పరిశ్రమను పోరాట విమానాల ఉత్పత్తికి అంకితం చేయడానికి మరియు దాని రవాణా విమానాలలో ఎక్కువ భాగం అమెరికాలోని తయారీదారుల నుండి సోర్స్ చేయడానికి నిర్ణయం తీసుకుంది. [N 1] ఏదైనా సమర్థవంతంగా విడిచిపెట్టడం fore హించింది సివిల్ ఏవియేషన్ పరంగా అభివృద్ధి బ్రిటన్ యొక్క విమానయాన పరిశ్రమను వివాదం ముగిసిన తర్వాత గణనీయమైన ప్రతికూలతను కలిగిస్తుంది, 1943 లో, బ్రిటిష్ ప్రభుత్వ కమిటీ తారా యొక్క లార్డ్ బ్రబాజోన్ నాయకత్వంలో సమావేశాన్ని ప్రారంభించింది. యుద్ధ పౌర విమానయాన అవసరాలు బ్రిటన్ మరియు కామన్వెల్త్ ఆఫ్ నేషన్స్. [1] [2] కేవలం బ్రబజోన్ కమిటీగా పిలువబడే ఈ కమిటీ తన నివేదికను అందించింది, దీనిని బ్రబాజోన్ నివేదిక అని పిలుస్తారు. ఈ నివేదిక వారు అధ్యయనం చేసిన ఐదు డిజైన్లలో మొత్తం నాలుగు నిర్మాణానికి పిలుపునిచ్చింది. ఈ డిజైన్లలో, టైప్ I చాలా పెద్ద అట్లాంటిక్ విమానం, టైప్ II ఒక చిన్న-హాల్ విమానాలు, టైప్ III అనేది బహుళ-హాప్ 'ఎంపైర్' వాయు మార్గాలకు మీడియం-రేంజ్ వైమానిక సంస్థ, మరియు IV రకం ఒక వినూత్న జెట్-శక్తితో 500 mph (h/h) విమానయాన సంస్థ. ప్రత్యేకించి, టైప్ I మరియు టైప్ IV పరిశ్రమకు చాలా ఎక్కువ ప్రాముఖ్యత కలిగి ఉన్నాయని భావించారు, ముఖ్యంగా జెట్-శక్తితో కూడిన రకం IV, ఇది జెట్ రవాణా రంగంలో బ్రిటన్‌కు కమాండింగ్ ఆధిక్యాన్ని ఇస్తుంది. బ్రహ్మాండమైన రకం I తో సహా వివిధ vision హించిన విమానాల యొక్క స్పెసిఫికేషన్ల యొక్క రూపురేఖలు కమిటీ జారీ చేసింది. [1] 1937 లోనే, బ్రిస్టల్ ఎయిర్‌ప్లేన్ కంపెనీ ఇప్పటికే చాలా పెద్ద బాంబర్ డిజైన్లపై అధ్యయనాలు నిర్వహించింది, వీటిలో ఒకటి టైప్ 159 యొక్క అంతర్గత కంపెనీ హోదాను అందుకుంది మరియు మరొక డిజైన్‌ను అవాంఛనీయమైనది, ఇది బ్రాబాజోన్ యొక్క చివరికి కాన్ఫిగరేషన్‌ను విస్తృతంగా పోలి ఉంటుంది. [3] అదనంగా, బ్రిస్టల్ యొక్క రూపకల్పన బృందం ఇప్పటికే సాధారణ అట్లాంటిక్ విమానాలను నిర్వహించగల సామర్థ్యం గల కాబోయే విమానం యొక్క అవసరాలను పరిశీలిస్తోంది, దీని ఫలితంగా అవసరమైన పరిమాణం, బరువు మరియు అటువంటి వైమానిక పరిధి యొక్క అంచనాలు ఉన్నాయి. వీటిలో, లాభదాయకంగా ఉండటానికి 100 మంది ప్రయాణీకుల కనీస పేలోడ్‌ను రకం ద్వారా తీసుకెళ్లాలని నిర్ధారించబడింది. [4] 1942 లో, వైమానిక మంత్రిత్వ శాఖ వైమానిక సిబ్బంది నుండి ముసాయిదా కార్యాచరణ అవసరాన్ని జారీ చేసింది, ఇది కనీసం 15 టన్నుల బాంబుల పేలోడ్‌ను మోయగల సామర్థ్యం గల భారీ బాంబర్ డిజైన్‌ను కోరింది. ప్రతిస్పందనగా, బ్రిస్టల్ వారి అసలు పనిని దుమ్ము దులిపి, వారి కొత్త మరియు గణనీయంగా మరింత శక్తివంతమైన బ్రిస్టల్ సెంటారస్ ఇంజిన్లను లెక్కించడానికి దానిని నవీకరించారు. ఎల్. జి. ఫ్రైజ్ మరియు ఆర్కిబాల్డ్ రస్సెల్ నేతృత్వంలోని బ్రిస్టల్ డిజైన్ బృందం, [5] అనేక కీలక పనితీరు పారామితులతో పనిచేసింది; వీటిలో 5,000 మైళ్ళు (8,000 కిమీ), 225 అడుగులు (69 మీ) రెక్కలు, ఎనిమిది ఇంజన్లు రెక్కలలో ఖననం చేయబడ్డాయి నాలుగు పషర్ ప్రొపెల్లర్ సంస్థాపనలు మరియు అట్లాంటిక్ పరిధికి తగినంత ఇంధనం ఉన్నాయి. కాన్వెయిర్ బి -36 అనేక విధాలుగా అమెరికన్ ఈ అంచనా వేసిన "100 టన్నుల బాంబర్" కు సమానంగా ఉంది. [2] బ్రిస్టల్‌తో పాటు, ప్రముఖ బ్రిటిష్ తయారీదారులు చాలా మంది వైమానిక మంత్రిత్వ శాఖ యొక్క కార్యాచరణ అవసరానికి ప్రతిస్పందనగా అనేక ప్రాథమిక అధ్యయనాలను అందించారు; ఏదేమైనా, సుదీర్ఘ అభివృద్ధి సమయాలు మరియు విమానం యొక్క శ్రేణి, లోడ్ మరియు రక్షణాత్మక ఆయుధాలను సమతుల్యం చేయడంలో ఉన్న ఇబ్బందులు, మంత్రిత్వ శాఖ ఎప్పుడూ బ్రిటిష్ తయారీదారుల డిజైన్లను చేపట్టలేదు. బదులుగా, ప్రస్తుత అవ్రో లాంకాస్టర్ అభివృద్ధిని కొనసాగించాలని నిర్ణయించారు, ఇది మెరుగైన అవ్రో లింకన్ ఉత్పత్తికి దారితీసింది. [3] [6] 1942 లో, బ్రబాజోన్ నివేదిక ప్రచురించబడింది మరియు బ్రిస్టల్ ప్రతిస్పందించడానికి ఎంచుకుంది, టైప్ I అవసరాల కోసం అవసరాలను తీర్చడానికి వారి బాంబర్ యొక్క కొద్దిగా సవరించిన సంస్కరణను సమర్పించింది. బ్రిస్టల్ యొక్క మునుపటి పని బ్రబాజోన్ కమిటీ వెతుకుతున్న పనితీరును చూపించింది, అందువల్ల కమిటీ సంస్థకు ఆ సంవత్సరం అటువంటి విమానాలను రూపకల్పన చేయడానికి ప్రాథమిక పనితో ముందుకు సాగడానికి అధికారం ఇచ్చింది, యుద్ధకాల విమానంలో పని చేసే నిబంధన అంతరాయం కలిగించకూడదు ప్రాజెక్ట్ ద్వారా. [2] బ్రిస్టల్ త్వరలో ఒక జత ప్రోటోటైప్ విమానాలను ఉత్పత్తి చేసే ఒప్పందంతో జారీ చేయబడింది. [7] నవంబర్ 1944 లో, ది డిజైన్‌పై తదుపరి పని నుండి, టైప్ 167 యొక్క తుది భావన ప్రచురించబడింది. ఇది తుది భావనలో ఉన్నందున, ఈ డిజైన్‌లో పెద్ద 177 అడుగుల (54 మీ) ఫ్యూజ్‌లేజ్ ఉంది, ఇది గణనీయమైన రెక్కతో జత చేయబడింది. 230 అడుగుల (70.1 మీ) వింగ్స్పాన్ ఉన్న ఈ వింగ్, [n 2] అపారమైన అంతర్గత వాల్యూమ్‌ను కలిగి ఉంది, ఇది రకం కోసం vision హించిన అట్లాంటిక్ విమానాల కోసం ఇంధనాన్ని ఉంచడానికి ఉపయోగించబడింది. [1] ఇది ఎనిమిది బ్రిస్టల్ సెంటారస్ 18-సిలిండర్ రేడియల్ ఇంజిన్లతో పనిచేసింది; ఇవి ఆ సమయంలో లభించే అత్యంత శక్తివంతమైన బ్రిటిష్ నిర్మించిన పిస్టన్ ఇంజన్లు, ప్రతి ఒక్కటి 2,650 హెచ్‌పిని ఉత్పత్తి చేయగల సామర్థ్యం కలిగి ఉంటాయి. [1] ఈ ఇంజన్లు ప్రతి ఇంజిన్‌ను రెక్కలో జంటగా అమర్చడానికి ప్రత్యేకమైన అమరికలో వ్యవస్థాపించబడ్డాయి; సాధారణ క్రాంక్ షాఫ్ట్ ఉపయోగించటానికి బదులుగా, జత చేసిన ఇంజన్లు ప్రతి ఒక్కటి వారి డ్రైవ్‌షాఫ్ట్‌లను అపారమైన సెంట్రల్ గేర్‌బాక్స్ వైపు కోణించాయి. వారు ఎనిమిది జత చేసిన కాంట్రా-రొటేటింగ్ ప్రొపెల్లర్ల శ్రేణిని నడిపారు, ఇవి నాలుగు ఫార్వర్డ్ ఫేసింగ్ నాసెల్స్‌పై సెట్ చేయబడ్డాయి. [1] [8] విమానంలో ఎగురుతున్న ధనవంతులు గాలి ద్వారా సుదీర్ఘ యాత్రను అసౌకర్యంగా భావిస్తారని బ్రబజోన్ నివేదిక భావించింది, మరియు వారు ప్రతి ప్రయాణీకుడికి 200 అడుగుల (6 మీ 3) స్థలాన్ని డిమాండ్ చేసి, తదనుగుణంగా లగ్జరీ కోసం టైప్‌ను రూపొందించారు, ఇది లగ్జరీ క్లాస్ కోసం 270 అడుగుల (8 మీ 3) కు విస్తరించింది. సాంప్రదాయకంగా ఖాళీగా ఉన్న సీటింగ్‌తో తయారు చేస్తే, టైప్ 167 యొక్క కొలతలు 300 మంది ప్రయాణీకులకు అనుగుణంగా ఉంటాయి, 60 సీట్లకు బదులుగా. [1] ఆన్‌బోర్డ్ సినిమా, కాక్టెయిల్ బార్ మరియు లాంజ్ ప్రాంతం వంటి కార్యాచరణ విమానాలపై సంస్థాపన కోసం ఇతర హై-కామ్‌ఫోర్ట్ చర్యలు ప్రతిపాదించబడ్డాయి. రచయిత స్టెఫాన్ విల్కిన్సన్ ప్రకారం, వేగం మరియు పేలోడ్ వంటి ఇతర లక్షణాలపై ఓదార్పుపై దృష్టి పెట్టాలనే నిర్ణయం బ్రిటన్ ఆపరేటర్ల యొక్క చారిత్రాత్మక ఆసక్తిగా ఉంది, ఇది సంపన్న ప్రయాణికుల పట్ల తమ సేవలను ప్రత్యేకంగా తీర్చిదిద్దడానికి మరియు ఇది యుద్ధానికి పూర్వపు ఎథోస్ అని గుర్తించారు బ్రిటిష్ ఎయిర్లైన్స్ ఇంపీరియల్ ఎయిర్‌వేస్. [1] ఇంతలో, విమాన పరిశ్రమలోని కొన్ని గణాంకాలు ప్రయాణీకుల నుండి భారీ డిమాండ్ను అంచనా వేస్తున్నాయి, అప్పుడు ఓషన్ లైనర్లపై ఆధారపడతారు. [9] ఈ వైవిధ్యమైన అవసరాలను తీర్చడానికి, టైప్ 167 భారీ 25 అడుగుల (8 మీ)-డైమెటర్ ఫ్యూజ్‌లేజ్‌ను పేర్కొంది, ఇది 747 కన్నా 5 అడుగుల (1.5 మీ), పూర్తి-పొడవు ఎగువ మరియు దిగువ డెక్‌లతో ఉంటుంది. ఈ 80 మంది ప్రయాణికులు, భోజనాల గది, 37-సీట్ల సినిమా, ప్రొమెనేడ్ మరియు బార్ కోసం ఈ స్లీపింగ్ బెర్తులు; లేదా ప్రత్యామ్నాయంగా 150 మందికి రోజు సీట్ల అమరిక. ఒకానొక సమయంలో, మొత్తం 50 మంది ప్రయాణికులను ఉంచడానికి ఉద్దేశించిన ఇరుకైన ఫ్యూజ్‌లేజ్‌ను అవలంబించాలని కమిటీ సిఫార్సు చేసింది; బ్రిటిష్ ఓవర్సీస్ ఎయిర్‌వేస్ కార్పొరేషన్ (BOAC) ఈ సిఫారసుతో అంగీకరించింది మరియు 25 మంది ప్రయాణీకులకు మాత్రమే వసతి కల్పించే డిజైన్‌కు దాని ప్రాధాన్యతను కూడా వ్యక్తం చేసింది. ఆగష్టు 1943 లో, [10] విమానయాన సంస్థతో చేరిన ఒక ఒప్పందం ఇంటీరియర్ లేఅవుట్ యొక్క ఎంపికకు దారితీసింది, ఇందులో ఫార్వర్డ్ ఏరియా ఆరు కంపార్ట్మెంట్లు ఉన్నాయి, ఒక్కొక్కటి ఆరుగురు ప్రయాణీకులకు, కేవలం ముగ్గురు ప్రయాణీకులకు ఏడవ కంపార్ట్మెంట్; రెక్క పైన ఒక మధ్యభాగం - ఆ సమయంలో రెక్క 6 అడుగుల లోతులో ఉంది - ఇది ఒక చిన్నగది మరియు గాలీతో పాటు నాలుగు సమూహాలలో టేబుల్స్ చుట్టూ 38 సీట్లను ఏర్పాటు చేసింది; మరియు వెనుక ప్రాంతం వెనుక ఉన్న ప్రాంతం వెనుక భాగంలో 23 సీట్ల సినిమాలో, కాక్టెయిల్ బార్ మరియు లాంజ్ తో పూర్తయింది. సాండర్స్-రో యువరాణి మాదిరిగానే, బ్రబాజోన్ కాన్సెప్ట్ ప్రీవార్ మరియు యుద్ధానంతర ఆలోచన యొక్క కలయిక, అత్యంత అధునాతన డిజైన్ మరియు ఇంజనీరింగ్‌ను ఉపయోగించి యుద్ధానంతర ప్రపంచంలో ఇకపై అవసరం లేని విమానాన్ని నిర్మించడానికి. [11] 100 శాతం శక్తితో కూడిన ఫ్లయింగ్ నియంత్రణలతో తయారు చేసిన మొదటి విమానం బ్రబాజోన్; ఇది ఎలక్ట్రిక్ ఇంజిన్ నియంత్రణలను కలిగి ఉన్న మొదటిది, మరియు మొదటిది అధిక-పీడన హైడ్రాలిక్స్ కలిగి ఉంది. [12] ఇంజిన్ల యొక్క పెద్ద వ్యవధి మరియు మౌంటు, నిర్మాణాత్మక బరువు ఆర్థిక వ్యవస్థలతో పాటు, అల్లకల్లోలంగా రెక్కల ఉపరితలాలను వంగకుండా నిరోధించడానికి కొన్ని కొత్త కొలతలను డిమాండ్ చేసింది. అందువల్ల, బ్రబజోన్ యొక్క వినూత్న లక్షణాలలో ఒకటి ఉద్దేశ్య-అభివృద్ధి చెందిన గస్ట్-అల్లేవియేషన్ వ్యవస్థ, ఇది విమానం యొక్క ముక్కు యొక్క వెలుపలి భాగంలో వ్యవస్థాపించిన గస్ట్-సెన్సింగ్ ప్రోబ్ నుండి ప్రేరేపించబడిన సర్వోస్ యొక్క కలగలుపును ఉపయోగించింది; ఈ వ్యవస్థ యొక్క మెరుగైన సంస్కరణ, పూర్తిగా ఆటోమేటెడ్ ట్రిమ్మింగ్‌తో పాటు, బ్రబాజోన్ మార్క్ II లో మోహరించబడింది. [12] [13] [N 3] హైడ్రాలిక్ పవర్ యూనిట్లు కూడా విమానం యొక్క దిగ్గజం నియంత్రణ ఉపరితలాలను ఆపరేట్ చేయడానికి రూపొందించబడ్డాయి. 7] విమానంలో బరువును ఆదా చేయడానికి విపరీతమైన ప్రయత్నం జరిగింది. టైప్ 167 ప్రతి ప్యానెల్‌ను అవసరమైన బలానికి అనుగుణంగా స్కిన్నింగ్ యొక్క ప్రామాణికం కాని గేజ్‌లను ఉపయోగించింది, తద్వారా అనేక టన్నుల లోహాలను ఆదా చేస్తుంది. ఎయిర్ఫ్రేమ్ యొక్క అనేక భాగాలను డ్రిల్లింగ్, మిల్లింగ్, మడత మరియు రోలింగ్ కోసం బ్రిస్టల్ విప్లవాత్మక కొత్త మ్యాచింగ్ మరియు నిర్మాణ పద్ధతులను ఉపయోగించాడు. [14] ఎయిర్‌ఫ్రేమ్ అసెంబ్లీకి అవసరమైన రివెట్‌ల సంఖ్యను బాగా తగ్గించడానికి రివెట్‌లను విమాన డోప్‌లో మూసివేసింది. నిర్మాణ ప్రక్రియను సరళీకృతం చేయడం మరియు అనేక ఉత్పాదక సామర్థ్యాలను చేర్చడంపై గణనీయమైన ప్రాధాన్యత ఇవ్వబడింది. [15] విమానం కోసం కొన్ని డిజైన్ మరియు నిర్మాణ పనులు ఫోలాండ్ విమానాలు వంటి ఇతర బ్రిటిష్ సంస్థలకు భాగస్వామ్యం చేయబడ్డాయి. [16] బ్రబజోన్‌ను మాత్రమే తయారుచేసే చర్య ఒక సవాలుగా గుర్తించబడింది. అభివృద్ధి యొక్క మొదటి రెండు సంవత్సరాలలో, విమానం ఎలా మరియు ఎక్కడ తయారు చేయాలనే ప్రశ్న డిజైన్ బృందాన్ని చుట్టుముట్టిన మరియు ప్రాజెక్టుపై పురోగతిని ఆలస్యం చేసిన అతిపెద్ద సమస్యలలో ఒకటి. [8] బ్రిస్టల్ ఫిల్టన్ విమానాశ్రయంలో బ్రిస్టల్ యొక్క ప్రస్తుత కర్మాగారం ప్రపంచంలోనే అతిపెద్ద విమానాలలో ఒకటిగా నిర్వహించడానికి చాలా చిన్నదని నిరూపించబడింది, ఈ రకాన్ని పరిమాణంలో ఉత్పత్తి చేయనివ్వండి, అయితే ప్రక్కనే ఉన్న 2,000 అడుగుల (610 మీ) రన్‌వే కూడా దానిని ప్రారంభించడానికి చాలా చిన్నది . సంస్థ యొక్క బాన్‌వెల్ సదుపాయాన్ని అభివృద్ధి చేయడానికి పరిగణనలు చేసినప్పటికీ, చివరికి బ్రబజాన్‌కు అనుగుణంగా ప్రధాన ఫిల్టన్ సైట్‌ను విస్తరించాలని నిర్ణయించారు. [17] బ్రిస్టల్ యొక్క యుద్ధకాల కట్టుబాట్లను తీర్చడం యొక్క పర్యవసానంగా ఈ ప్రాజెక్టుపై పని మందగించింది; ప్రారంభ భౌతిక దశలలో పాత నంబర్ 2 ఫ్లైట్ షెడ్‌లో పూర్తి స్థాయి చెక్క మోకాప్ నిర్మాణం ఉంది, తద్వారా భాగాలు మరియు అమరికలు వర్తించబడతాయి మరియు పరీక్షించబడతాయి. [14] అక్టోబర్ 1945 లో, మొదటి ప్రోటోటైప్ యొక్క ఫ్యూజ్‌లేజ్ నిర్మాణం ఇప్పటికే ఉన్న హ్యాంగర్‌లో ప్రారంభమైంది, అయితే ఎనిమిది బ్రబజన్‌ల వరకు తుది అసెంబ్లీని నిర్వహించడానికి ఒక భారీ హాల్ నిర్మించబడింది; నిర్మాణ సమయంలో, హాల్ ప్రపంచంలోనే అతిపెద్ద హ్యాంగర్. [14] కొత్త అసెంబ్లీ హాల్ యొక్క డిజైనర్, టి. పి. ఓసుల్లివన్, తరువాత ఈ పనికి టెల్ఫోర్డ్ ప్రీమియం లభించింది. రన్వే కూడా 8,000 అడుగుల (2,440 మీ) కు పెరిగింది, అలాగే విస్తరించబడింది; ఈ పొడిగింపు చార్ల్టన్ గ్రామంలోని నివాసులను పొరుగున ఉన్న ప్యాచ్‌వేకి తప్పనిసరి మార్చడం అవసరం, ఇది ఆ సమయంలో కొంతవరకు వివాదాస్పద కొలత. [14] 1940 ల ప్రారంభంలో, పెద్ద విమానాలకు ప్రొపల్షన్ అందించే ఏకైక సాధనం పెరుగుతున్న సంక్లిష్టమైన మరియు విస్తరించిన రేడియల్ ఇంజిన్లను ఉత్పత్తి చేయడం. [1] ఏదేమైనా, జెట్ ప్రొపల్షన్ యొక్క ఆవిర్భావం, ప్రత్యేకంగా టర్బోప్రాప్ ఇంజిన్, బ్రబాజోన్ అభివృద్ధితో సమానంగా జరిగింది. దీని ప్రకారం, అటువంటి ఇంజిన్‌ను విమానానికి వర్తింపజేయడానికి చాలా ఆసక్తి ఉంది, ఎందుకంటే ఇది అసలు సెంటారస్ పవర్‌ప్లాంట్‌కు సరళమైన మరియు శక్తివంతమైన ప్రత్యామ్నాయాన్ని అందించగలదు. [1] టర్బోప్రాప్‌ల యొక్క ఇతర ప్రయోజనాలు తక్కువ వైబ్రేషన్ స్థాయిలు (ఇది ప్రయాణీకుల సౌకర్యాన్ని పెంచుతుంది) మరియు అధిక ఎత్తులో ఉన్నతమైన పనితీరును కలిగి ఉంది. [18] 1946 లో, ఎనిమిది బ్రిస్టల్ కపుల్డ్ ప్రోటీయస్ టర్బోప్రాప్ ఇంజన్లను ఉపయోగించి రెండవ నమూనాను నిర్మించాలని నిర్ణయించారు-జత చేసిన టర్బోప్రోప్స్ ఒక సాధారణ గేర్‌బాక్స్ ద్వారా నాలుగు-బ్లేడెడ్ స్క్రూలను నడుపుతున్నాయి. [1] [19] ఇది బ్రబజోన్ యొక్క క్రూజింగ్ వేగాన్ని 260 నుండి 330 mph (420–530 కిమీ/గం), మరియు దాని పైకప్పుకు పెరిగింది, అదే సమయంలో విమానం యొక్క ఖాళీ బరువును సుమారు 10,000 పౌండ్లు (4,540 కిలోలు) తగ్గిస్తుంది. ఈ బ్రబజోన్ మార్క్ II 12 గంటల తగ్గిన సమయంలో అట్లాంటిక్ (లండన్-న్యూయార్క్) ను దాటగలిగింది. ఏదేమైనా, 1950 నాటికి, ప్రోటీయస్ ఇంజిన్ యొక్క అభివృద్ధి గణనీయమైన ఇబ్బందుల్లోకి వచ్చింది, అధిక బరువు మరియు బలహీనంగా ఉంది, అలాగే ఒక దశలో అలసట సమస్యలకు లోబడి ఉంటుంది. [18] ప్రోటీస్‌ను స్వీకరించడంతో పాటు, బ్రాబాజోన్ మార్క్ II కోసం ఇతర vision హించిన మార్పులు ఉన్నాయి. ప్రత్యేకించి, ప్రణాళిక చేయబడిన సవరించిన చక్రాల అమరిక ఉత్తర అట్లాంటిక్ మరియు సామ్రాజ్యం మార్గాల్లో ఎక్కువ రన్‌వేలను ఉపయోగించుకునే రకాన్ని ఎనేబుల్ చేస్తుంది. [20] సెంటారస్ కంటే ప్రోటీయస్ సన్నగా ఉన్నప్పటికీ, మార్క్ II లో రెక్కల మందం తగ్గించబడలేదు కాని ఇంజిన్ల చుట్టూ ప్రముఖ అంచు విస్తరించబడుతుంది. డిసెంబర్ 1945 లో, బ్రిస్టల్ చీఫ్ టెస్ట్ పైలట్ బిల్ పెగ్ బ్రబాజోన్‌కు చీఫ్ పైలట్‌గా ఎంపికయ్యాడు. [12] రాబోయే విమాన పరీక్ష కోసం సన్నాహకంగా, అటువంటి విస్తారమైన విమానాలను నిర్వహించడంలో అనుభవాన్ని పొందే సాధనంగా, PEGG ఫోర్ట్ వర్త్, టెక్సాస్‌కు ప్రయాణించమని ఒప్పించే ఆహ్వానాన్ని అంగీకరించింది, వారి B-36 పీస్‌మేకర్‌ను ఎగరడానికి, పెద్ద వ్యూహాత్మక బాంబర్ అమెరికా వైమానిక దళం. [18] డిసెంబర్ 1948 లో, MK.I ప్రోటోటైప్, రిజిస్ట్రేషన్ G-AGPW, ఇంజిన్ పరుగుల కోసం రూపొందించబడింది. 3 సెప్టెంబర్ 1949 న, PEGG చేత పైలట్ చేయబడిన మరియు వాల్టర్ గిబ్ చేత సహ-పైలట్ చేయబడిన ప్రోటోటైప్, ఎనిమిది మంది పరిశీలకులు మరియు ఫ్లైట్ ఇంజనీర్ల సిబ్బందితో పాటు, ట్రయల్ టాక్సీ పరుగుల శ్రేణిని ప్రదర్శించింది; నోస్‌వీల్ స్టీరింగ్ సరిగ్గా పనిచేయకపోవడానికి ఇవి ఏ సమస్యలను వెల్లడించలేదు, అందువల్ల ఇది తాత్కాలికంగా నిలిపివేయబడింది. [18] 4 సెప్టెంబర్ 1949 న, ప్రోటోటైప్ బ్రిస్టల్ ప్రాంతంపై తన తొలి విమానంలో ప్రదర్శించింది, మొత్తం 25 నిమిషాలు ఎగురుతూ, పెగ్ చేత నాయకత్వం వహించింది. టేకాఫ్‌కు ముందు, ఈ ఘనతకు సాక్ష్యమివ్వడానికి సుమారు 10,000 మంది ప్రజలు ఎయిర్‌ఫీల్డ్ చుట్టుకొలత వద్ద సమావేశమయ్యారు. [18] ఈ విమానంలో, ఇది 160 mph (257 కిమీ/గం) వద్ద సుమారు 3,000 అడుగుల (910 మీ) కు చేరుకుంది మరియు 115 mph (185 కిమీ/గం) వద్ద దిగింది, 50 అడుగులు (15 మీ) వద్ద తిరిగి వచ్చింది. బ్రిటీష్ ప్రెస్ ప్రధానంగా ఈ సందర్భంగా అనుకూలంగా నివేదించింది, ఒక వార్తాపత్రిక ఈ విమానం "స్కైస్ రాణి, ఇప్పటివరకు నిర్మించిన అతిపెద్ద భూమి-విమానం" అని ప్రశంసించింది. [1] నాలుగు రోజుల తరువాత, ఈ నమూనాను ఫార్న్‌బరోలోని సొసైటీ ఆఫ్ బ్రిటిష్ ఎయిర్‌క్రాఫ్ట్ కన్స్ట్రక్టర్స్ ఎయిర్‌షోలో ప్రదర్శించారు; రచయిత ఫిలిప్ కప్లాన్ ప్రకారం, మొదటి విమాన సమయం యొక్క సమయం అటువంటి ఉన్నత స్థాయి ప్రారంభ రూపాన్ని నిర్వహించడానికి సెట్ చేయబడింది. [21] ఫార్న్‌బరోలో బ్రబజోన్ కనిపించడం వల్ల ప్రజల అవగాహనను వ్యాప్తి చేయడానికి వివిధ బ్రిటిష్ నగరాల పరిసరాల్లో విమానం యొక్క పరీక్షా కార్యక్రమంలో చాలావరకు అధికారిక మరియు ఉద్దేశపూర్వక కంపెనీ విధానాన్ని స్వీకరించడానికి దారితీస్తుంది. దీని ప్రకారం, బ్రాబాజోన్ 1950 ఫార్న్‌బరో ఎయిర్‌షోలో ప్రదర్శించబడింది, దీనిలో ఇది టేకాఫ్, క్లీన్ కాన్ఫిగరేషన్ ఫ్లైపాస్ట్ మరియు ల్యాండింగ్ చేసింది. జూన్ 1950 లో, బ్రాబాజోన్ లండన్ యొక్క హీత్రో విమానాశ్రయాన్ని సందర్శించింది, ఈ సమయంలో ఇది అనేక విజయవంతమైన టేకాఫ్‌లు మరియు ల్యాండింగ్‌లు చేసింది; ఇది 1951 పారిస్ ఎయిర్ షోలో కూడా ప్రదర్శించబడింది. బహుళ విమానాలలో విమానాలను పైలట్-ఇన్-కమాండ్‌గా ఎగురుతున్న గిబ్, ఈ రకంతో అతని ఎగిరే అనుభవాలను సంగ్రహించాడు: "ఇది చాలా సౌకర్యంగా ఉంది, ఇది చాలా బాగా ఎగిరింది. ఇది పెద్దది. మీరు టైగర్ మాత్ లాగా కొట్టలేదు లేదా స్పిట్‌ఫైర్, కానీ మీరు దీనిని డబుల్ డెక్కర్ బస్సు లేదా పెద్ద విమానంలాగా భావించినంత కాలం, మీకు అస్సలు ఎటువంటి ఇబ్బంది లేదు ". [22] బ్రబజోన్ యొక్క విమాన పరీక్షలు జరుగుతుండగా, బోక్ ఈ రకాన్ని నిర్వహించే అవకాశాలతో ఎక్కువగా ఆసక్తి చూపలేదు. [22] ఒక పరీక్ష విమానంలో, BOAC చైర్మన్ సర్ మైల్స్ థామస్ క్లుప్తంగా నియంత్రణలను తీసుకున్నాడు మరియు ఈ విమానం బలహీనంగా ఉందని మరియు నియంత్రణలకు ప్రతిస్పందించడానికి చాలా నెమ్మదిగా ఉందని కనుగొన్నారు. బోక్ అది వారికి కాదని త్వరగా నిర్ణయించుకుంది. [23] బ్రిస్టల్ ఆర్థిక ఇబ్బందులకు లోబడి ఉంది, అయితే ప్రోటీయస్ ఇంజిన్ అభివృద్ధికి ఉద్దేశించినది, vision హించిన మరియు మెరుగైన బ్రబజోన్ మార్క్ II సమస్యాత్మకమైనదని రుజువు చేస్తుంది. విమానం యొక్క విమాన పరీక్షలు లోపలి వింగ్‌బాక్స్ ప్రాంతంలో కొన్ని అలసట సమస్యలను వెల్లడించాయి, [n 4] అయితే ఈ కార్యక్రమం కొనసాగుతున్నప్పుడు బ్రబాజోన్ కోసం అంచనా వేసిన నిర్వహణ ఖర్చులు పైకి సవరించబడ్డాయి. [22] బోక్, విమానం యొక్క యోగ్యతలను అంగీకరించలేదు, చివరికి ఈ రకానికి ఏదైనా ఆర్డర్‌ను ఉంచడానికి నిరాకరించారు. [24] గిబ్ పరిస్థితి గురించి ఇలా అన్నాడు: "యుద్ధానంతర ఎగిరేందుకు స్పెక్ సరైనది కాదు. స్పెక్స్ రాసిన వ్యక్తులు ... ఈ సౌకర్యం, బంక్‌లు మరియు తినడానికి గొప్ప భోజనాల గదితో ఒక విమానం గురించి భావించారు. మరియు, వాస్తవానికి, రోజు రండి, అది విమానయాన సంస్థలు కోరుకున్నది కాదు. వారు వీలైనంత ఎక్కువ మంది ప్రయాణీకులను ట్యూబ్‌లోకి రామ్ చేసి, వారి ల్యాప్‌లపై భోజనం ఇవ్వాలని వారు కోరుకున్నారు. [25] ఒక సమయంలో, కొంత ఆసక్తి చూపినప్పటికీ ప్రోటోటైప్ బ్రబాజోన్ ఉపయోగించి కార్యాచరణ విమానాలను నిర్వహించడానికి బ్రిటిష్ యూరోపియన్ ఎయిర్‌వేస్ (BEA), సాధారణంగా ఒక నమూనాలో ఉంటుందని భావిస్తున్న వివిధ సమస్యలు అంటే విమానం ఎప్పటికీ వాయువ్య ప్రమాణపత్రాన్ని అందుకోదు. [26] 1952 నాటికి, సుమారు 4 3.4 మిలియన్లు ఉన్నాయి అభివృద్ధికి ఖర్చు చేయబడింది మరియు ఏ విమానయాన సంస్థ అయినా కొనుగోలు సంకేతాలు లేవు. మార్చిలో, బ్రిటిష్ ప్రభుత్వం రెండవ నమూనాపై పనులు వాయిదా పడ్డారని ప్రకటించింది. ఈ ప్రాజెక్టు రద్దును 17 న సరఫరా మంత్రి (డంకన్ శాండిస్) ప్రకటించారు. జూలై 1953 కామన్ S, ఈ కార్యక్రమం అన్ని ఉపయోగకరమైన సాంకేతిక పరిజ్ఞానాన్ని ఇచ్చిందని, అయితే పౌర లేదా సైనిక వినియోగదారుల నుండి ఎటువంటి ఆసక్తి లేకుండా, బ్రబాజోన్ కోసం డబ్బు ఖర్చు చేయడం కొనసాగించడానికి ఎటువంటి సమర్థన లేదు. ఈ సమయానికి, ఈ కార్యక్రమం కోసం సుమారు million 6 మిలియన్లు ఖర్చు చేశారు మరియు మార్క్ II ని పూర్తి చేయడానికి మరో million 2 మిలియన్లు అవసరమయ్యేవి. [24] [27] అక్టోబర్ 1953 లో, 382 గంటల ఎగిరే సమయం 164 విమానాల తరువాత, మొదటి నమూనా విచ్ఛిన్నమైంది, స్క్రాప్ విలువలో £ 10,000 కు విక్రయించబడింది, అసంపూర్తిగా ఉన్న MK.II ప్రోటోటైప్‌తో పాటు. [1] బ్రిస్టల్‌లోని ఎం షెడ్ మ్యూజియం మరియు స్కాట్లాండ్‌లోని నేషనల్ మ్యూజియం ఆఫ్ ఫ్లైట్ వద్ద మిగిలి ఉన్నవన్నీ కొన్ని భాగాలు. వైఫల్యం మరియు తెల్ల ఏనుగుగా పరిగణించబడుతున్నప్పటికీ, బ్రబాజోన్ యొక్క రికార్డు పూర్తిగా అననుకూలమైనది కాదు. ఈ ప్రాజెక్టు కోసం ఖర్చు చేసిన పెద్ద మొత్తాలలో కనీసం సగం మౌలిక సదుపాయాల నిర్మాణంతో ఖర్చు చేయబడింది, వీటిలో కొత్త పెద్ద హాంగర్లకు million 6 మిలియన్లు మరియు ఫిల్టన్ వద్ద విస్తరించిన రన్‌వే ఉన్నాయి. [27] ఈ మెరుగుదలలు అంటే ఇతర డిజైన్ల ఉత్పత్తిని కొనసాగించడానికి బ్రిస్టల్ అద్భుతమైన స్థితిలో ఉంది; అసెంబ్లీ హాల్ త్వరలో మరొక అట్లాంటిక్ విమానాలను బ్రిటానియా నిర్మించడానికి ఉపయోగించబడుతోంది. అదనంగా, బ్రాబాజోన్ ప్రాజెక్ట్ సమయంలో అభివృద్ధి చేయబడిన అనేక పద్ధతులు విమానయాన సంస్థలకు మాత్రమే కాకుండా, ఏ విమానాలకు వర్తిస్తాయి. బ్రిస్టల్‌కు టైప్ III విమానానికి కాంట్రాక్టు కూడా లభించింది, దీనికి వారు బ్రిటానియాను పంపిణీ చేశారు. బ్రబాజోన్ అభివృద్ధి సమయంలో చేసిన పురోగతిని ఉపయోగించడం ద్వారా, బ్రిస్టల్ బ్రిటానియాను అప్పటి వరకు ఏదైనా విమానంలో ఉత్తమమైన పేలోడ్ భిన్నాన్ని కలిగి ఉండటానికి రూపొందించగలిగాడు, మరియు అది చాలా సంవత్సరాలు ఆ రికార్డును కలిగి ఉంది. జెట్-శక్తితో కూడిన డి హవిలాండ్ కామెట్ అయిన ప్రత్యేక రకం IV తో సమస్యల తర్వాత బ్రిటానియా ఆలస్యం అయినప్పటికీ, ఇది 1970 లలో అనేక విమానయాన సంస్థలకు వర్క్‌హోర్స్‌గా నిలిచింది. ఫ్లైట్ ఇంటర్నేషనల్ నుండి డేటా. [28] సాధారణ లక్షణాలు పనితీరు సంబంధిత జాబితాలు</v>
      </c>
      <c r="E64" s="1" t="s">
        <v>1488</v>
      </c>
      <c r="F64" s="1" t="s">
        <v>212</v>
      </c>
      <c r="G64" s="1" t="str">
        <f>IFERROR(__xludf.DUMMYFUNCTION("GOOGLETRANSLATE(F:F, ""en"", ""te"")"),"విమానాల")</f>
        <v>విమానాల</v>
      </c>
      <c r="H64" s="3" t="s">
        <v>213</v>
      </c>
      <c r="L64" s="1" t="s">
        <v>1489</v>
      </c>
      <c r="M64" s="1" t="str">
        <f>IFERROR(__xludf.DUMMYFUNCTION("GOOGLETRANSLATE(L:L, ""en"", ""te"")"),"బ్రిస్టల్ ఎయిర్‌ప్లేన్ కంపెనీ")</f>
        <v>బ్రిస్టల్ ఎయిర్‌ప్లేన్ కంపెనీ</v>
      </c>
      <c r="N64" s="1" t="s">
        <v>1490</v>
      </c>
      <c r="R64" s="4">
        <v>18145.0</v>
      </c>
      <c r="S64" s="1" t="s">
        <v>1491</v>
      </c>
      <c r="V64" s="1" t="s">
        <v>1492</v>
      </c>
      <c r="W64" s="1" t="s">
        <v>1493</v>
      </c>
      <c r="X64" s="1" t="s">
        <v>1494</v>
      </c>
      <c r="Y64" s="1" t="s">
        <v>542</v>
      </c>
      <c r="Z64" s="1" t="s">
        <v>1495</v>
      </c>
      <c r="AF64" s="1" t="s">
        <v>247</v>
      </c>
      <c r="AG64" s="1" t="s">
        <v>1496</v>
      </c>
      <c r="AM64" s="1" t="s">
        <v>1497</v>
      </c>
      <c r="AQ64" s="1">
        <v>1953.0</v>
      </c>
      <c r="AV64" s="1" t="s">
        <v>1498</v>
      </c>
      <c r="AW64" s="1" t="s">
        <v>1499</v>
      </c>
      <c r="AX64" s="1" t="s">
        <v>1500</v>
      </c>
      <c r="AY64" s="1" t="str">
        <f>IFERROR(__xludf.DUMMYFUNCTION("GOOGLETRANSLATE(AX:AX, ""en"", ""te"")"),"8 × బ్రిస్టల్ సెంటారస్ 18-సిలిండర్ ఎయిర్-కూల్డ్ రేడియల్ స్లీవ్-వాల్వ్ పిస్టన్ ఇంజన్లు, 2,650 హెచ్‌పి (1,980 కిలోవాట్) ఒక్కొక్కటి జత చేసిన, గేర్‌బాక్స్‌లను కలపడం ద్వారా కాంట్రా-ప్రాప్‌లను నడిపిస్తాయి.")</f>
        <v>8 × బ్రిస్టల్ సెంటారస్ 18-సిలిండర్ ఎయిర్-కూల్డ్ రేడియల్ స్లీవ్-వాల్వ్ పిస్టన్ ఇంజన్లు, 2,650 హెచ్‌పి (1,980 కిలోవాట్) ఒక్కొక్కటి జత చేసిన, గేర్‌బాక్స్‌లను కలపడం ద్వారా కాంట్రా-ప్రాప్‌లను నడిపిస్తాయి.</v>
      </c>
      <c r="AZ64" s="1" t="s">
        <v>1501</v>
      </c>
      <c r="BA64" s="1" t="str">
        <f>IFERROR(__xludf.DUMMYFUNCTION("GOOGLETRANSLATE(AZ:AZ, ""en"", ""te"")"),"3-బ్లేడెడ్ రోటోల్, 16 అడుగుల (4.9 మీ) వ్యాసం పూర్తిగా-ఈట కాంట్రా-రొటేటింగ్ ప్రొపెల్లర్లు [28]")</f>
        <v>3-బ్లేడెడ్ రోటోల్, 16 అడుగుల (4.9 మీ) వ్యాసం పూర్తిగా-ఈట కాంట్రా-రొటేటింగ్ ప్రొపెల్లర్లు [28]</v>
      </c>
      <c r="BB64" s="1" t="s">
        <v>1502</v>
      </c>
      <c r="BC64" s="1" t="s">
        <v>1503</v>
      </c>
      <c r="BD64" s="1" t="s">
        <v>1023</v>
      </c>
      <c r="BE64" s="1" t="s">
        <v>1504</v>
      </c>
      <c r="BG64" s="2"/>
      <c r="BS64" s="1" t="s">
        <v>1103</v>
      </c>
      <c r="BT64" s="1" t="s">
        <v>1505</v>
      </c>
      <c r="BU64" s="1" t="s">
        <v>958</v>
      </c>
      <c r="BV64" s="1" t="str">
        <f>IFERROR(__xludf.DUMMYFUNCTION("GOOGLETRANSLATE(BU:BU, ""en"", ""te"")"),"రద్దు")</f>
        <v>రద్దు</v>
      </c>
      <c r="BX64" s="1"/>
      <c r="BY64" s="1" t="s">
        <v>1506</v>
      </c>
    </row>
    <row r="65">
      <c r="A65" s="1" t="s">
        <v>1507</v>
      </c>
      <c r="B65" s="1" t="str">
        <f>IFERROR(__xludf.DUMMYFUNCTION("GOOGLETRANSLATE(A:A, ""en"", ""te"")"),"బ్రిస్టల్ రకం 138")</f>
        <v>బ్రిస్టల్ రకం 138</v>
      </c>
      <c r="C65" s="1" t="s">
        <v>1508</v>
      </c>
      <c r="D65" s="1" t="str">
        <f>IFERROR(__xludf.DUMMYFUNCTION("GOOGLETRANSLATE(C:C, ""en"", ""te"")"),"బ్రిస్టల్ టైప్ 138 హై ఆల్టిట్యూడ్ మోనోప్లేన్ 1930 లలో బ్రిస్టల్ ఎయిర్‌ప్లేన్ కంపెనీ అభివృద్ధి చేసిన మరియు ఉత్పత్తి చేసిన బ్రిటిష్ అధిక ఎత్తులో ఉన్న సింగిల్-ఇంజిన్, తక్కువ-వింగ్ మోనోప్లేన్ పరిశోధన విమానం. ఇది తొమ్మిది ప్రపంచ ఆల్టిట్యూడ్ రికార్డులను నెలకొల్"&amp;"పింది, గరిష్ట ఎత్తులో 30 జూన్ 1937 న 53,937 అడుగుల (16,440 మీ) సాధించింది, 2¼ గంటల విమానంలో. టైప్ 138 బిగా నియమించబడిన రెండవ విమానం 1935 లో ఆదేశించబడింది, కాని 1937 లో అది ఎగిరిపోకుండా పనిని వదిలివేసింది. ఏవియేషన్ తయారీదారుల మధ్య తీవ్రమైన పోటీ కాలంలో 138 "&amp;"రకం నిర్మించబడింది. ప్రెస్టీజ్ మరియు ఉపయోగకరమైన సాంకేతిక పురోగతి ఎయిర్‌స్పీడ్, దూరం మరియు ఎత్తు వంటి ప్రధాన విమానయాన రికార్డులను బద్దలు కొట్టడం ద్వారా వచ్చింది, కాని 1930 ల నాటికి, ఈ రికార్డులను సాధించడానికి అవసరమైన వనరులు మరియు అభివృద్ధి పనులు వ్యక్తిగత "&amp;"సంస్థలకు మించినవి మరియు ప్రభుత్వ సహాయం అవసరం. [1] [2] బ్రిస్టల్ జర్మనీ, ఇటలీ, అమెరికా మరియు యునైటెడ్ కింగ్‌డమ్ నుండి ఇతర సంస్థల కంటే వెనుకబడి ఉన్నట్లు గుర్తించారు. [2] 1929 మరియు 1934 మధ్య, ప్రత్యర్థి విమానాలచే స్థాపించబడిన ఆల్టిట్యూడ్ రికార్డులు జంకర్స్ "&amp;"W.34, విక్కర్స్ వెస్పా మరియు కాప్రోని CA.113 బిప్‌లేన్, అలాగే 1933 లో వెస్ట్‌ల్యాండ్ వాలెస్‌ల ద్వారా ఎవరెస్ట్‌పై మొదటి విమానంలో ఉన్నాయి. అన్నీ ఉన్నాయి. అన్నీ ఉన్నాయి. ఈ విమానాలలో బ్రిస్టల్ ఇంజిన్ల ద్వారా శక్తినిచ్చారు. [3] 1928 మరియు 1938 మధ్య, ఆల్టిట్యూడ"&amp;"్ రికార్డ్ 10 సార్లు విచ్ఛిన్నమైంది, ఒకసారి బృహస్పతి ఇంజిన్‌ను మరియు ఐదుసార్లు పెగసాస్ ఇంజిన్‌లను ఉపయోగించి బ్రిస్టల్ ఇంజిన్‌లకు ప్రధాన సాధనగా భావించబడింది. [2] నవంబర్ 1933 లో, ఎవరెస్ట్ ఫ్లైట్ విజయవంతం అయిన తరువాత బ్రిటిష్ వైమానిక మంత్రిత్వ శాఖ ఆసక్తిని గ"&amp;"మనించిన ఏరోనాటికల్ ఇంజనీర్ ఫ్రాంక్ బార్న్‌వెల్ ఒక ఉద్దేశ్యంతో నిర్మించిన అధిక-ఎత్తు పరిశోధన విమానాలను ప్రతిపాదించారు. ఈ ప్రతిపాదన, టైప్ 138 ను నియమించింది, ఇది పెద్ద సింగిల్-ఇంజిన్, సింగిల్-సీట్ల మోనోప్లేన్, ఇది ముడుచుకునే అండర్ క్యారేజ్ మరియు సూపర్ఛార్జ్"&amp;"డ్ పెగసాస్ రేడియల్ ఇంజిన్ కలిగి ఉంది. [4] [2] ఏప్రిల్ 1934 న ఇటాలియన్ పైలట్ రెనాటో డోనాటి కొత్త ప్రపంచ రికార్డును సాధించినంత వరకు దీనికి ఏమీ రాలేదు, ప్రభుత్వ ప్రాయోజిత రికార్డు ప్రయత్నానికి అనుకూలంగా స్వింగ్ చేయమని ప్రజల అభిప్రాయాన్ని ప్రేరేపించింది. [3] "&amp;"[2] జూన్ 1934 లో, 50,000 అడుగుల (15,000 మీ) ఎత్తుకు చేరుకోగల సామర్థ్యం గల ఒక జత ప్రోటోటైప్‌ల కోసం వైమానిక మంత్రిత్వ శాఖ 2/34 స్పెసిఫికేషన్ జారీ చేసింది. [5] టెండర్ ప్రతిపాదనలకు ఆహ్వానించబడిన సంస్థలలో బ్రిస్టల్ కూడా ఉంది. [2] బార్న్‌వెల్ టైప్ 138 ప్రతిపాదన"&amp;"ను సవరించాడు, టైప్ 138 ఎని ఉత్పత్తి చేస్తాయి, దీని పరిమాణం మరియు ఆకృతీకరణ అదే విధంగా ఉంది, కాని ముడుచుకునే అండర్ క్యారేజ్ బరువును తగ్గించడానికి స్థిర రూపకల్పనతో భర్తీ చేయబడింది [6] [2] మరియు ఇది రెండు-దశల సూపర్ఛార్జ్డ్ పెగసస్ చేత శక్తిని పొందుతుంది పరిశీల"&amp;"కునికి ఇంజిన్ మరియు నిబంధనలు జరిగాయి. [6] పెగసస్‌ను ఉపయోగించడం ప్రచారం ఉత్పత్తి చేస్తుంది మరియు అమ్మకాలను పెంచుతుంది. [2] విమానం రూపకల్పనను చక్కగా తీర్చిదిద్దడానికి, పైలట్ ధరించడానికి నమ్మదగిన పీడన దావాను అభివృద్ధి చేయడానికి రాయల్ ఎయిర్క్రాఫ్ట్ ఎస్టాబ్లిష"&amp;"్మెంట్ (RAE) మరియు నేషనల్ ఫిజికల్ లాబొరేటరీ రెండూ గణనీయమైన పరిశోధనలు జరిగాయి. సీబ్ గోర్మాన్ యొక్క సర్ రాబర్ట్ డేవిస్ మరియు ప్రొఫెసర్ జె.ఎస్. హెల్మెట్‌ను అభివృద్ధి చేయడంలో హల్దానే కీలకపాత్ర పోషించాడు. [7] పరీక్షల సమయంలో, ప్రెజర్ సూట్ 80,000 అడుగుల (24,000 "&amp;"మీ) సమానమైన ఎత్తుకు పరీక్షించబడింది. [8] 1936 ప్రారంభంలో, ఎయిర్ఫ్రేమ్ పూర్తయింది మరియు 11 మే 1936 న టైప్ 138 ఎ మొదటిసారిగా బ్రిస్టల్ యొక్క చీఫ్ టెస్ట్ పైలట్ సిరిల్ ఉవిన్స్ చేత ఎగురవేయబడింది, గతంలో విక్కర్స్ వెస్పాను ప్రపంచ రికార్డ్ ఫ్లైట్ లో ఎగురవేసింది. "&amp;"[9] ఇంజిన్ సిద్ధంగా లేనందున, ఇది ప్రారంభ విమానాల కోసం మూడు-బ్లేడెడ్ ప్రొపెల్లర్‌ను నడుపుతున్న ప్రామాణిక పెగసస్ IV ద్వారా శక్తిని పొందింది. [2] ఫార్న్‌బరో [2] వద్ద RAE కి విమానానికి ముందు రెండు అదనపు విమానాలు ఫిల్టన్ వద్ద జరిగాయి, ఇక్కడ ప్రత్యేక పెగసాస్ ఇం"&amp;"జిన్ మరియు నాలుగు-బ్లేడ్ ప్రొపెల్లర్ యొక్క సంస్థాపన కోసం విమానం ఫిల్టన్‌కు తిరిగి రాకముందే ప్రెజర్ హెల్మెట్ పరీక్షించబడింది. 5 సెప్టెంబర్ 1936 న, టైప్ 138 ఎ మరిన్ని పరీక్ష విమానాల కోసం ఫార్న్‌బరోకు తిరిగి వచ్చింది. [10] [2] బ్రిస్టల్ 138 అనేది తక్కువ-వింగ"&amp;"్ కాంటిలివర్ మోనోప్లేన్, ఈ యుగానికి చాలా ఎక్కువ ఎత్తులో ప్రయాణించేలా రూపొందించబడింది. ఏవియేషన్ పబ్లికేషన్ 'ఫ్లైట్ విమానాన్ని గమనించింది: ""దాని పరిమాణం మినహా, చిన్న బ్రిస్టల్ బ్రౌనీని చాలా గుర్తు చేస్తుంది .... ఈ యంత్రం ఇప్పటివరకు నిర్మించిన అతిపెద్ద సింగ"&amp;"ిల్-సీటర్ విమానం"". [11] పైలట్ విశాలమైన కాక్‌పిట్‌లో కూర్చున్నాడు, ఇది రెక్కల లోపల అమర్చిన ఆయిల్ కూలర్ల నుండి గాలి ద్వారా వేడి చేయబడింది, దీనిని సర్దుబాటు చేయవచ్చు. [12] ఇన్స్ట్రుమెంటేషన్‌లో ఫోర్-అండ్-ఫాక్ట్ లెవల్స్, ఆయిల్ ప్రెజర్ గేజ్‌లు, ఎయిర్‌స్పీడ్ ఇం"&amp;"డికేటర్ మరియు ఇంధన గేజ్, ఇంజిన్ స్పీడ్ ఇండికేటర్ మరియు పైరోమీటర్ ఉన్నాయి. RAE చే అభివృద్ధి చేయబడిన ప్రయోజన-నిర్మిత రికార్డింగ్ ఆల్టిమీటర్లు రెక్కల లోపల ఉంచబడ్డాయి, కాక్‌పిట్‌లో ప్రత్యేక ఆల్టైమీటర్ వ్యవస్థాపించబడింది. [13] 138 అధిక పీడన రెండు-దశల సూపర్ఛార్"&amp;"జర్‌తో అమర్చిన ఒకే బ్రిస్టల్ పెగసాస్ ఇంజిన్‌తో శక్తిని పొందింది, ఇది అవసరమైన పనితీరును ఎత్తులో అందించడానికి ఇంజిన్‌ను ఎనేబుల్ చేయడంలో కీలకం. [2] [14] మొదటి దశ కంప్రెసర్ శాశ్వతంగా నిశ్చితార్థం చేయబడింది, అయితే సరైన ఎత్తును సాధించడంలో రెండవ దశను మానవీయంగా న"&amp;"ిమగ్నం చేయడానికి ఒక క్లచ్ ఉపయోగించబడింది, ఇది తక్కువ ఎత్తులో ఎగిరినప్పుడు అధిక ఛార్జీని నివారించడానికి అవసరం. [14] ఇది మొదటి మరియు రెండవ దశల మధ్య ఇంటర్‌కూలర్‌ను ఉపయోగించింది. [15] బరువు ఆదా చేయడం ఒక ప్రాధాన్యత మరియు స్టీల్ ట్యూబ్ ఇంజిన్ మౌంట్ మరియు కౌలింగ"&amp;"్ కాకుండా ఎయిర్ఫ్రేమ్ ఒక కలప షెల్ను ఉపయోగించింది. [14] [2] ఇది ఒక ప్లైవుడ్ చర్మంతో మహోగని లాంగన్స్ మరియు స్ట్రట్‌లకు అతుక్కొని అంతర్గత నిర్మాణాన్ని ఏర్పరుస్తుంది, ఇది డ్రాగ్‌ను తగ్గించడానికి అంతటా సరసమైనది. సాంప్రదాయిక స్థిర అండర్ క్యారేజ్ ఉపయోగించబడింది "&amp;"మరియు డ్రాగ్ కంటే బరువును తగ్గించడం చాలా ముఖ్యం, మరియు ముడుచుకునే అండర్ క్యారేజ్ ప్రతికూలంగా ఉండేది. [14] రెక్కలు మూడు విభాగాలలో ఫ్యూజ్‌లేజ్‌తో సమగ్రంగా ఉన్న సెంటర్ విభాగంతో నిర్మించబడ్డాయి. ప్లైవుడ్ వెబ్‌లు మరియు మహోగని ఫ్లాంగ్‌లతో మూడు స్పార్‌లు ఉపయోగిం"&amp;"చబడ్డాయి, వీటిని ప్లైవుడ్ షీటింగ్‌తో కప్పారు. [14] విపరీతమైన ఎత్తులను ఎదుర్కోవటానికి, పైలట్ ప్రత్యేకంగా అభివృద్ధి చెందిన రెండు-ముక్కల సూట్‌ను ఉపయోగించాడు. [7] ఇది ప్రధానంగా ఒక రకమైన పైప్-క్లిప్ ఉపయోగించి నడుము వద్ద చేరిన రబ్బరైజ్డ్ ఫాబ్రిక్‌తో రూపొందించబడ"&amp;"ింది. ఇది హెల్మెట్‌తో అందించబడింది, ఇది వీక్షణను అందించడానికి పెద్ద ఫార్వర్డ్ విండోను కలిగి ఉంది. [8] ఇది క్లోజ్డ్-సర్క్యూట్ శ్వాస ఉపకరణంతో పూర్తయింది, ఆక్సిజన్ గాలి ప్రసరణను అందించడానికి చిన్న ఇంజెక్టర్ జెట్ ద్వారా పంపిణీ చేయబడుతుంది. పైలట్‌కు తిరిగి రాక"&amp;"ముందే దాన్ని పునరుద్ధరించడానికి కార్బన్ డయాక్సైడ్-శోషక రసాయనాలను కలిగి ఉన్న డబ్బాకు బాహ్య గొట్టం ద్వారా ప్రయాణించే గాలి. [8] 138 లో అంతర్గత ఇంధన సామర్థ్యం 82 ఇంప్ గల్ (370 ఎల్; 98 యుఎస్ గాల్), 70 ఇంప్ గల్ (320 ఎల్; 84 యుఎస్ గాల్) లోయర్ ట్యాంక్ మరియు 12 ఇం"&amp;"ప్ గల్ (55 ఎల్; 14 యుఎస్ గాల్) మధ్య విభజన ట్యాంక్. [14] ప్రామాణిక గ్రేడ్ షెల్ ఇథైల్ ఏవియేషన్ గ్యాసోలిన్ నుండి తీసుకోబడిన ఆల్టిట్యూడ్ రికార్డ్ ఫ్లైట్ కోసం S.A.F.4 అని పిలువబడే ప్రత్యేకంగా అభివృద్ధి చెందిన ఇంధనం ఉపయోగించబడింది. గమనించదగినది, ఈ ఇంధనం అధిక యా"&amp;"ంటీ-నాక్ విలువను కలిగి ఉంది; సూపర్ఛార్జ్ యొక్క అధిక స్థాయిలో ఇంధన మిశ్రమం అధిక ఉష్ణోగ్రతలకు చేరుకుంటుంది, ఇది సాధారణంగా పేలుడు యొక్క సామర్థ్యాన్ని పెంచుతుంది, తద్వారా అధిక యాంటీ-నాక్ విలువ క్లిష్టమైన ప్రాముఖ్యత కలిగి ఉంది. [14] స్క్వాడ్రన్ నాయకుడు F.R.D. "&amp;"1933 లో RAE యొక్క ప్రయోగాత్మక విభాగంలో చేరిన స్వైన్, అధిక ఎత్తులో ఉన్న విమానాలను పైలట్ చేయడానికి ఎంపికయ్యాడు. [9] సాధారణ పరిశోధన కార్యక్రమం మరియు మొదటి రికార్డ్ ఆల్టిట్యూడ్ ఫ్లైట్ కోసం సన్నాహాలు రెండూ వైమానిక మంత్రిత్వ శాఖలో శాస్త్రీయ పరిశోధన డైరెక్టర్ మి"&amp;"స్టర్ హెచ్. ఇ. వింపెరిస్ ఆధ్వర్యంలో చేపట్టబడ్డాయి. [9] 28 సెప్టెంబర్ 1936 న, స్వైన్ ఫార్న్‌బరో నుండి టైప్ 138 ఎలో బయలుదేరాడు; అతను 51,000 అడుగుల (16,000 మీ) సూచించిన ఎత్తుకు ఎక్కాడు, ఈ సమయంలో అతను 35,000 అడుగుల (11,000 మీ) వద్ద సహాయక సూపర్ఛార్జర్‌ను నిమగ్"&amp;"నం చేశాడు. స్వైన్ రెండు గంటల విమానంలో ఆక్సిజన్ మీద తక్కువగా పరిగెత్తాడు మరియు సురక్షితమైన ఎత్తుకు దిగిన తరువాత అతని ప్రెజర్ హెల్మెట్ కిటికీని విచ్ఛిన్నం చేయాల్సి వచ్చింది. [2] ఈ ఫ్లైట్ నుండి వచ్చిన డేటాను 49,967 అడుగుల (15,230 మీ) ప్రపంచ రికార్డుగా ఫెడరేష"&amp;"న్ ఏరోనాటిక్ ఇంటర్నేషనల్ గుర్తించింది. [15] [9] ఈ ఫ్లైట్ తరువాత, మరింత అభివృద్ధి పని ఫలితంగా విమానానికి అనేక చిన్న మార్పులు వచ్చాయి, వీటి యొక్క విలక్షణమైన లక్ష్యం బరువు పొదుపు మరియు సూపర్ఛార్జర్ యొక్క పనితీరును మెరుగుపరుస్తుంది. [2] స్వల్పంగా సవరించిన ఈ ర"&amp;"ూపంలో, టైప్ 138 ఎ మరో ఆరు విమానాలను నిర్వహించింది, గరిష్టంగా 50,000 అడుగుల (15,000 మీ) ఎత్తును సాధించింది. ఈ కాలంలో, ఇటలీ రికార్డును తిరిగి పొందగలిగింది, రికార్డ్ చేసిన గరిష్ట ఎత్తు 51,364 అడుగులు (15,656 మీ). [2] ప్రతిస్పందనగా, 30 జూన్ 1937 న, ఫ్లైట్ లెఫ"&amp;"్టినెంట్ M.J. ఆడమ్ 2¼-గంటల విమానంలో చేపట్టాడు, దీనిలో అతను రికార్డు ఎత్తును సాధించాడు, ఇది విమానంలో పందిరితో బాధపడుతున్నప్పటికీ 53,937 అడుగుల (16,440 మీ) గా ధృవీకరించబడింది మరియు ఆడమ్ రక్షించబడింది అతని ప్రెజర్ సూట్ మరియు హెల్మెట్ ద్వారా గాయం నుండి. [5] ["&amp;"2] పరిశోధనా విమానాలు కొనసాగాయి, కాని రికార్డులను బద్దలు కొట్టడానికి ఎటువంటి ప్రయత్నాలు జరగలేదు. బ్రిటిష్ ఏరోస్పేస్ కంపెనీ BAE సిస్టమ్స్ ప్రకారం, పరీక్ష విమానాలు అమూల్యమైన విమాన డేటాను పొందాయి, ముఖ్యంగా ఒత్తిడి రంగంలో. [2] 1935 లో, రెండవ యంత్రాన్ని ఆదేశించ"&amp;"ారు, ఇది టైప్ 138 బి. [2] ఇది రోల్స్ రాయిస్ కెస్ట్రెల్ యొక్క ఇంజిన్ చేత శక్తినిచ్చే రెండు-సీట్ల, ఇదే విధమైన రెండు-దశల సూపర్ఛార్జర్ సంస్థాపనతో అమర్చబడి ఉంటుంది, ఇది 500 HP (370 kW) ను ఉత్పత్తి చేయడానికి వీలు కల్పిస్తుంది. 1937 లో, ఎయిర్‌ఫ్రేమ్ పూర్తి కావడా"&amp;"నికి ఫార్న్‌బరో ఎయిర్‌ఫీల్డ్‌కు పంపిణీ చేయబడింది, కాని ఇంజిన్ ఎప్పుడూ వ్యవస్థాపించబడలేదు, [6] మరియు 138 బి బదులుగా గ్రౌండ్ ఇన్స్ట్రక్షనల్ ట్రైనర్‌గా ఉపయోగించబడింది మరియు ఎగరలేదు. [2] 1910 నుండి బ్రిస్టల్ విమానం నుండి వచ్చిన డేటా, [16] BAE వ్యవస్థలు [2] సా"&amp;"ధారణ లక్షణాలు పనితీరు పనితీరు, కాన్ఫిగరేషన్ మరియు ERA సంబంధిత జాబితాల పనితీరు విమానం")</f>
        <v>బ్రిస్టల్ టైప్ 138 హై ఆల్టిట్యూడ్ మోనోప్లేన్ 1930 లలో బ్రిస్టల్ ఎయిర్‌ప్లేన్ కంపెనీ అభివృద్ధి చేసిన మరియు ఉత్పత్తి చేసిన బ్రిటిష్ అధిక ఎత్తులో ఉన్న సింగిల్-ఇంజిన్, తక్కువ-వింగ్ మోనోప్లేన్ పరిశోధన విమానం. ఇది తొమ్మిది ప్రపంచ ఆల్టిట్యూడ్ రికార్డులను నెలకొల్పింది, గరిష్ట ఎత్తులో 30 జూన్ 1937 న 53,937 అడుగుల (16,440 మీ) సాధించింది, 2¼ గంటల విమానంలో. టైప్ 138 బిగా నియమించబడిన రెండవ విమానం 1935 లో ఆదేశించబడింది, కాని 1937 లో అది ఎగిరిపోకుండా పనిని వదిలివేసింది. ఏవియేషన్ తయారీదారుల మధ్య తీవ్రమైన పోటీ కాలంలో 138 రకం నిర్మించబడింది. ప్రెస్టీజ్ మరియు ఉపయోగకరమైన సాంకేతిక పురోగతి ఎయిర్‌స్పీడ్, దూరం మరియు ఎత్తు వంటి ప్రధాన విమానయాన రికార్డులను బద్దలు కొట్టడం ద్వారా వచ్చింది, కాని 1930 ల నాటికి, ఈ రికార్డులను సాధించడానికి అవసరమైన వనరులు మరియు అభివృద్ధి పనులు వ్యక్తిగత సంస్థలకు మించినవి మరియు ప్రభుత్వ సహాయం అవసరం. [1] [2] బ్రిస్టల్ జర్మనీ, ఇటలీ, అమెరికా మరియు యునైటెడ్ కింగ్‌డమ్ నుండి ఇతర సంస్థల కంటే వెనుకబడి ఉన్నట్లు గుర్తించారు. [2] 1929 మరియు 1934 మధ్య, ప్రత్యర్థి విమానాలచే స్థాపించబడిన ఆల్టిట్యూడ్ రికార్డులు జంకర్స్ W.34, విక్కర్స్ వెస్పా మరియు కాప్రోని CA.113 బిప్‌లేన్, అలాగే 1933 లో వెస్ట్‌ల్యాండ్ వాలెస్‌ల ద్వారా ఎవరెస్ట్‌పై మొదటి విమానంలో ఉన్నాయి. అన్నీ ఉన్నాయి. అన్నీ ఉన్నాయి. ఈ విమానాలలో బ్రిస్టల్ ఇంజిన్ల ద్వారా శక్తినిచ్చారు. [3] 1928 మరియు 1938 మధ్య, ఆల్టిట్యూడ్ రికార్డ్ 10 సార్లు విచ్ఛిన్నమైంది, ఒకసారి బృహస్పతి ఇంజిన్‌ను మరియు ఐదుసార్లు పెగసాస్ ఇంజిన్‌లను ఉపయోగించి బ్రిస్టల్ ఇంజిన్‌లకు ప్రధాన సాధనగా భావించబడింది. [2] నవంబర్ 1933 లో, ఎవరెస్ట్ ఫ్లైట్ విజయవంతం అయిన తరువాత బ్రిటిష్ వైమానిక మంత్రిత్వ శాఖ ఆసక్తిని గమనించిన ఏరోనాటికల్ ఇంజనీర్ ఫ్రాంక్ బార్న్‌వెల్ ఒక ఉద్దేశ్యంతో నిర్మించిన అధిక-ఎత్తు పరిశోధన విమానాలను ప్రతిపాదించారు. ఈ ప్రతిపాదన, టైప్ 138 ను నియమించింది, ఇది పెద్ద సింగిల్-ఇంజిన్, సింగిల్-సీట్ల మోనోప్లేన్, ఇది ముడుచుకునే అండర్ క్యారేజ్ మరియు సూపర్ఛార్జ్డ్ పెగసాస్ రేడియల్ ఇంజిన్ కలిగి ఉంది. [4] [2] ఏప్రిల్ 1934 న ఇటాలియన్ పైలట్ రెనాటో డోనాటి కొత్త ప్రపంచ రికార్డును సాధించినంత వరకు దీనికి ఏమీ రాలేదు, ప్రభుత్వ ప్రాయోజిత రికార్డు ప్రయత్నానికి అనుకూలంగా స్వింగ్ చేయమని ప్రజల అభిప్రాయాన్ని ప్రేరేపించింది. [3] [2] జూన్ 1934 లో, 50,000 అడుగుల (15,000 మీ) ఎత్తుకు చేరుకోగల సామర్థ్యం గల ఒక జత ప్రోటోటైప్‌ల కోసం వైమానిక మంత్రిత్వ శాఖ 2/34 స్పెసిఫికేషన్ జారీ చేసింది. [5] టెండర్ ప్రతిపాదనలకు ఆహ్వానించబడిన సంస్థలలో బ్రిస్టల్ కూడా ఉంది. [2] బార్న్‌వెల్ టైప్ 138 ప్రతిపాదనను సవరించాడు, టైప్ 138 ఎని ఉత్పత్తి చేస్తాయి, దీని పరిమాణం మరియు ఆకృతీకరణ అదే విధంగా ఉంది, కాని ముడుచుకునే అండర్ క్యారేజ్ బరువును తగ్గించడానికి స్థిర రూపకల్పనతో భర్తీ చేయబడింది [6] [2] మరియు ఇది రెండు-దశల సూపర్ఛార్జ్డ్ పెగసస్ చేత శక్తిని పొందుతుంది పరిశీలకునికి ఇంజిన్ మరియు నిబంధనలు జరిగాయి. [6] పెగసస్‌ను ఉపయోగించడం ప్రచారం ఉత్పత్తి చేస్తుంది మరియు అమ్మకాలను పెంచుతుంది. [2] విమానం రూపకల్పనను చక్కగా తీర్చిదిద్దడానికి, పైలట్ ధరించడానికి నమ్మదగిన పీడన దావాను అభివృద్ధి చేయడానికి రాయల్ ఎయిర్క్రాఫ్ట్ ఎస్టాబ్లిష్మెంట్ (RAE) మరియు నేషనల్ ఫిజికల్ లాబొరేటరీ రెండూ గణనీయమైన పరిశోధనలు జరిగాయి. సీబ్ గోర్మాన్ యొక్క సర్ రాబర్ట్ డేవిస్ మరియు ప్రొఫెసర్ జె.ఎస్. హెల్మెట్‌ను అభివృద్ధి చేయడంలో హల్దానే కీలకపాత్ర పోషించాడు. [7] పరీక్షల సమయంలో, ప్రెజర్ సూట్ 80,000 అడుగుల (24,000 మీ) సమానమైన ఎత్తుకు పరీక్షించబడింది. [8] 1936 ప్రారంభంలో, ఎయిర్ఫ్రేమ్ పూర్తయింది మరియు 11 మే 1936 న టైప్ 138 ఎ మొదటిసారిగా బ్రిస్టల్ యొక్క చీఫ్ టెస్ట్ పైలట్ సిరిల్ ఉవిన్స్ చేత ఎగురవేయబడింది, గతంలో విక్కర్స్ వెస్పాను ప్రపంచ రికార్డ్ ఫ్లైట్ లో ఎగురవేసింది. [9] ఇంజిన్ సిద్ధంగా లేనందున, ఇది ప్రారంభ విమానాల కోసం మూడు-బ్లేడెడ్ ప్రొపెల్లర్‌ను నడుపుతున్న ప్రామాణిక పెగసస్ IV ద్వారా శక్తిని పొందింది. [2] ఫార్న్‌బరో [2] వద్ద RAE కి విమానానికి ముందు రెండు అదనపు విమానాలు ఫిల్టన్ వద్ద జరిగాయి, ఇక్కడ ప్రత్యేక పెగసాస్ ఇంజిన్ మరియు నాలుగు-బ్లేడ్ ప్రొపెల్లర్ యొక్క సంస్థాపన కోసం విమానం ఫిల్టన్‌కు తిరిగి రాకముందే ప్రెజర్ హెల్మెట్ పరీక్షించబడింది. 5 సెప్టెంబర్ 1936 న, టైప్ 138 ఎ మరిన్ని పరీక్ష విమానాల కోసం ఫార్న్‌బరోకు తిరిగి వచ్చింది. [10] [2] బ్రిస్టల్ 138 అనేది తక్కువ-వింగ్ కాంటిలివర్ మోనోప్లేన్, ఈ యుగానికి చాలా ఎక్కువ ఎత్తులో ప్రయాణించేలా రూపొందించబడింది. ఏవియేషన్ పబ్లికేషన్ 'ఫ్లైట్ విమానాన్ని గమనించింది: "దాని పరిమాణం మినహా, చిన్న బ్రిస్టల్ బ్రౌనీని చాలా గుర్తు చేస్తుంది .... ఈ యంత్రం ఇప్పటివరకు నిర్మించిన అతిపెద్ద సింగిల్-సీటర్ విమానం". [11] పైలట్ విశాలమైన కాక్‌పిట్‌లో కూర్చున్నాడు, ఇది రెక్కల లోపల అమర్చిన ఆయిల్ కూలర్ల నుండి గాలి ద్వారా వేడి చేయబడింది, దీనిని సర్దుబాటు చేయవచ్చు. [12] ఇన్స్ట్రుమెంటేషన్‌లో ఫోర్-అండ్-ఫాక్ట్ లెవల్స్, ఆయిల్ ప్రెజర్ గేజ్‌లు, ఎయిర్‌స్పీడ్ ఇండికేటర్ మరియు ఇంధన గేజ్, ఇంజిన్ స్పీడ్ ఇండికేటర్ మరియు పైరోమీటర్ ఉన్నాయి. RAE చే అభివృద్ధి చేయబడిన ప్రయోజన-నిర్మిత రికార్డింగ్ ఆల్టిమీటర్లు రెక్కల లోపల ఉంచబడ్డాయి, కాక్‌పిట్‌లో ప్రత్యేక ఆల్టైమీటర్ వ్యవస్థాపించబడింది. [13] 138 అధిక పీడన రెండు-దశల సూపర్ఛార్జర్‌తో అమర్చిన ఒకే బ్రిస్టల్ పెగసాస్ ఇంజిన్‌తో శక్తిని పొందింది, ఇది అవసరమైన పనితీరును ఎత్తులో అందించడానికి ఇంజిన్‌ను ఎనేబుల్ చేయడంలో కీలకం. [2] [14] మొదటి దశ కంప్రెసర్ శాశ్వతంగా నిశ్చితార్థం చేయబడింది, అయితే సరైన ఎత్తును సాధించడంలో రెండవ దశను మానవీయంగా నిమగ్నం చేయడానికి ఒక క్లచ్ ఉపయోగించబడింది, ఇది తక్కువ ఎత్తులో ఎగిరినప్పుడు అధిక ఛార్జీని నివారించడానికి అవసరం. [14] ఇది మొదటి మరియు రెండవ దశల మధ్య ఇంటర్‌కూలర్‌ను ఉపయోగించింది. [15] బరువు ఆదా చేయడం ఒక ప్రాధాన్యత మరియు స్టీల్ ట్యూబ్ ఇంజిన్ మౌంట్ మరియు కౌలింగ్ కాకుండా ఎయిర్ఫ్రేమ్ ఒక కలప షెల్ను ఉపయోగించింది. [14] [2] ఇది ఒక ప్లైవుడ్ చర్మంతో మహోగని లాంగన్స్ మరియు స్ట్రట్‌లకు అతుక్కొని అంతర్గత నిర్మాణాన్ని ఏర్పరుస్తుంది, ఇది డ్రాగ్‌ను తగ్గించడానికి అంతటా సరసమైనది. సాంప్రదాయిక స్థిర అండర్ క్యారేజ్ ఉపయోగించబడింది మరియు డ్రాగ్ కంటే బరువును తగ్గించడం చాలా ముఖ్యం, మరియు ముడుచుకునే అండర్ క్యారేజ్ ప్రతికూలంగా ఉండేది. [14] రెక్కలు మూడు విభాగాలలో ఫ్యూజ్‌లేజ్‌తో సమగ్రంగా ఉన్న సెంటర్ విభాగంతో నిర్మించబడ్డాయి. ప్లైవుడ్ వెబ్‌లు మరియు మహోగని ఫ్లాంగ్‌లతో మూడు స్పార్‌లు ఉపయోగించబడ్డాయి, వీటిని ప్లైవుడ్ షీటింగ్‌తో కప్పారు. [14] విపరీతమైన ఎత్తులను ఎదుర్కోవటానికి, పైలట్ ప్రత్యేకంగా అభివృద్ధి చెందిన రెండు-ముక్కల సూట్‌ను ఉపయోగించాడు. [7] ఇది ప్రధానంగా ఒక రకమైన పైప్-క్లిప్ ఉపయోగించి నడుము వద్ద చేరిన రబ్బరైజ్డ్ ఫాబ్రిక్‌తో రూపొందించబడింది. ఇది హెల్మెట్‌తో అందించబడింది, ఇది వీక్షణను అందించడానికి పెద్ద ఫార్వర్డ్ విండోను కలిగి ఉంది. [8] ఇది క్లోజ్డ్-సర్క్యూట్ శ్వాస ఉపకరణంతో పూర్తయింది, ఆక్సిజన్ గాలి ప్రసరణను అందించడానికి చిన్న ఇంజెక్టర్ జెట్ ద్వారా పంపిణీ చేయబడుతుంది. పైలట్‌కు తిరిగి రాకముందే దాన్ని పునరుద్ధరించడానికి కార్బన్ డయాక్సైడ్-శోషక రసాయనాలను కలిగి ఉన్న డబ్బాకు బాహ్య గొట్టం ద్వారా ప్రయాణించే గాలి. [8] 138 లో అంతర్గత ఇంధన సామర్థ్యం 82 ఇంప్ గల్ (370 ఎల్; 98 యుఎస్ గాల్), 70 ఇంప్ గల్ (320 ఎల్; 84 యుఎస్ గాల్) లోయర్ ట్యాంక్ మరియు 12 ఇంప్ గల్ (55 ఎల్; 14 యుఎస్ గాల్) మధ్య విభజన ట్యాంక్. [14] ప్రామాణిక గ్రేడ్ షెల్ ఇథైల్ ఏవియేషన్ గ్యాసోలిన్ నుండి తీసుకోబడిన ఆల్టిట్యూడ్ రికార్డ్ ఫ్లైట్ కోసం S.A.F.4 అని పిలువబడే ప్రత్యేకంగా అభివృద్ధి చెందిన ఇంధనం ఉపయోగించబడింది. గమనించదగినది, ఈ ఇంధనం అధిక యాంటీ-నాక్ విలువను కలిగి ఉంది; సూపర్ఛార్జ్ యొక్క అధిక స్థాయిలో ఇంధన మిశ్రమం అధిక ఉష్ణోగ్రతలకు చేరుకుంటుంది, ఇది సాధారణంగా పేలుడు యొక్క సామర్థ్యాన్ని పెంచుతుంది, తద్వారా అధిక యాంటీ-నాక్ విలువ క్లిష్టమైన ప్రాముఖ్యత కలిగి ఉంది. [14] స్క్వాడ్రన్ నాయకుడు F.R.D. 1933 లో RAE యొక్క ప్రయోగాత్మక విభాగంలో చేరిన స్వైన్, అధిక ఎత్తులో ఉన్న విమానాలను పైలట్ చేయడానికి ఎంపికయ్యాడు. [9] సాధారణ పరిశోధన కార్యక్రమం మరియు మొదటి రికార్డ్ ఆల్టిట్యూడ్ ఫ్లైట్ కోసం సన్నాహాలు రెండూ వైమానిక మంత్రిత్వ శాఖలో శాస్త్రీయ పరిశోధన డైరెక్టర్ మిస్టర్ హెచ్. ఇ. వింపెరిస్ ఆధ్వర్యంలో చేపట్టబడ్డాయి. [9] 28 సెప్టెంబర్ 1936 న, స్వైన్ ఫార్న్‌బరో నుండి టైప్ 138 ఎలో బయలుదేరాడు; అతను 51,000 అడుగుల (16,000 మీ) సూచించిన ఎత్తుకు ఎక్కాడు, ఈ సమయంలో అతను 35,000 అడుగుల (11,000 మీ) వద్ద సహాయక సూపర్ఛార్జర్‌ను నిమగ్నం చేశాడు. స్వైన్ రెండు గంటల విమానంలో ఆక్సిజన్ మీద తక్కువగా పరిగెత్తాడు మరియు సురక్షితమైన ఎత్తుకు దిగిన తరువాత అతని ప్రెజర్ హెల్మెట్ కిటికీని విచ్ఛిన్నం చేయాల్సి వచ్చింది. [2] ఈ ఫ్లైట్ నుండి వచ్చిన డేటాను 49,967 అడుగుల (15,230 మీ) ప్రపంచ రికార్డుగా ఫెడరేషన్ ఏరోనాటిక్ ఇంటర్నేషనల్ గుర్తించింది. [15] [9] ఈ ఫ్లైట్ తరువాత, మరింత అభివృద్ధి పని ఫలితంగా విమానానికి అనేక చిన్న మార్పులు వచ్చాయి, వీటి యొక్క విలక్షణమైన లక్ష్యం బరువు పొదుపు మరియు సూపర్ఛార్జర్ యొక్క పనితీరును మెరుగుపరుస్తుంది. [2] స్వల్పంగా సవరించిన ఈ రూపంలో, టైప్ 138 ఎ మరో ఆరు విమానాలను నిర్వహించింది, గరిష్టంగా 50,000 అడుగుల (15,000 మీ) ఎత్తును సాధించింది. ఈ కాలంలో, ఇటలీ రికార్డును తిరిగి పొందగలిగింది, రికార్డ్ చేసిన గరిష్ట ఎత్తు 51,364 అడుగులు (15,656 మీ). [2] ప్రతిస్పందనగా, 30 జూన్ 1937 న, ఫ్లైట్ లెఫ్టినెంట్ M.J. ఆడమ్ 2¼-గంటల విమానంలో చేపట్టాడు, దీనిలో అతను రికార్డు ఎత్తును సాధించాడు, ఇది విమానంలో పందిరితో బాధపడుతున్నప్పటికీ 53,937 అడుగుల (16,440 మీ) గా ధృవీకరించబడింది మరియు ఆడమ్ రక్షించబడింది అతని ప్రెజర్ సూట్ మరియు హెల్మెట్ ద్వారా గాయం నుండి. [5] [2] పరిశోధనా విమానాలు కొనసాగాయి, కాని రికార్డులను బద్దలు కొట్టడానికి ఎటువంటి ప్రయత్నాలు జరగలేదు. బ్రిటిష్ ఏరోస్పేస్ కంపెనీ BAE సిస్టమ్స్ ప్రకారం, పరీక్ష విమానాలు అమూల్యమైన విమాన డేటాను పొందాయి, ముఖ్యంగా ఒత్తిడి రంగంలో. [2] 1935 లో, రెండవ యంత్రాన్ని ఆదేశించారు, ఇది టైప్ 138 బి. [2] ఇది రోల్స్ రాయిస్ కెస్ట్రెల్ యొక్క ఇంజిన్ చేత శక్తినిచ్చే రెండు-సీట్ల, ఇదే విధమైన రెండు-దశల సూపర్ఛార్జర్ సంస్థాపనతో అమర్చబడి ఉంటుంది, ఇది 500 HP (370 kW) ను ఉత్పత్తి చేయడానికి వీలు కల్పిస్తుంది. 1937 లో, ఎయిర్‌ఫ్రేమ్ పూర్తి కావడానికి ఫార్న్‌బరో ఎయిర్‌ఫీల్డ్‌కు పంపిణీ చేయబడింది, కాని ఇంజిన్ ఎప్పుడూ వ్యవస్థాపించబడలేదు, [6] మరియు 138 బి బదులుగా గ్రౌండ్ ఇన్స్ట్రక్షనల్ ట్రైనర్‌గా ఉపయోగించబడింది మరియు ఎగరలేదు. [2] 1910 నుండి బ్రిస్టల్ విమానం నుండి వచ్చిన డేటా, [16] BAE వ్యవస్థలు [2] సాధారణ లక్షణాలు పనితీరు పనితీరు, కాన్ఫిగరేషన్ మరియు ERA సంబంధిత జాబితాల పనితీరు విమానం</v>
      </c>
      <c r="E65" s="1" t="s">
        <v>1509</v>
      </c>
      <c r="F65" s="1" t="s">
        <v>1510</v>
      </c>
      <c r="G65" s="1" t="str">
        <f>IFERROR(__xludf.DUMMYFUNCTION("GOOGLETRANSLATE(F:F, ""en"", ""te"")"),"అధిక ఎత్తులో ఉన్న పరిశోధన విమానం")</f>
        <v>అధిక ఎత్తులో ఉన్న పరిశోధన విమానం</v>
      </c>
      <c r="L65" s="1" t="s">
        <v>1489</v>
      </c>
      <c r="M65" s="1" t="str">
        <f>IFERROR(__xludf.DUMMYFUNCTION("GOOGLETRANSLATE(L:L, ""en"", ""te"")"),"బ్రిస్టల్ ఎయిర్‌ప్లేన్ కంపెనీ")</f>
        <v>బ్రిస్టల్ ఎయిర్‌ప్లేన్ కంపెనీ</v>
      </c>
      <c r="N65" s="1" t="s">
        <v>1490</v>
      </c>
      <c r="O65" s="1" t="s">
        <v>1511</v>
      </c>
      <c r="P65" s="1" t="str">
        <f>IFERROR(__xludf.DUMMYFUNCTION("GOOGLETRANSLATE(O:O, ""en"", ""te"")"),"ఫ్రాంక్ బార్న్‌వెల్")</f>
        <v>ఫ్రాంక్ బార్న్‌వెల్</v>
      </c>
      <c r="Q65" s="1" t="s">
        <v>1512</v>
      </c>
      <c r="R65" s="4">
        <v>13281.0</v>
      </c>
      <c r="S65" s="1" t="s">
        <v>1513</v>
      </c>
      <c r="T65" s="1" t="s">
        <v>1514</v>
      </c>
      <c r="V65" s="1" t="s">
        <v>819</v>
      </c>
      <c r="W65" s="1" t="s">
        <v>1515</v>
      </c>
      <c r="X65" s="1" t="s">
        <v>1516</v>
      </c>
      <c r="Y65" s="1" t="s">
        <v>1517</v>
      </c>
      <c r="Z65" s="1" t="s">
        <v>1518</v>
      </c>
      <c r="AG65" s="1" t="s">
        <v>1519</v>
      </c>
      <c r="AH65" s="1" t="s">
        <v>1520</v>
      </c>
      <c r="AM65" s="1" t="s">
        <v>1521</v>
      </c>
      <c r="AN65" s="1" t="s">
        <v>1522</v>
      </c>
      <c r="AW65" s="1" t="s">
        <v>1523</v>
      </c>
      <c r="AX65" s="1" t="s">
        <v>1524</v>
      </c>
      <c r="AY65" s="1" t="str">
        <f>IFERROR(__xludf.DUMMYFUNCTION("GOOGLETRANSLATE(AX:AX, ""en"", ""te"")"),"1 × బ్రిస్టల్ పెగసాస్ P.E.6S 9-సిలిండర్ ఎయిర్-కూల్డ్ రేడియల్ పిస్టన్ ఇంజిన్, 500 హెచ్‌పి (370 కిలోవాట్) ఇంటర్‌కోలర్‌తో సూపర్-ఛార్జ్")</f>
        <v>1 × బ్రిస్టల్ పెగసాస్ P.E.6S 9-సిలిండర్ ఎయిర్-కూల్డ్ రేడియల్ పిస్టన్ ఇంజిన్, 500 హెచ్‌పి (370 కిలోవాట్) ఇంటర్‌కోలర్‌తో సూపర్-ఛార్జ్</v>
      </c>
      <c r="AZ65" s="1" t="s">
        <v>1525</v>
      </c>
      <c r="BA65" s="1" t="str">
        <f>IFERROR(__xludf.DUMMYFUNCTION("GOOGLETRANSLATE(AZ:AZ, ""en"", ""te"")"),"4-బ్లేడెడ్ ఫిక్స్‌డ్-పిచ్ ప్రొపెల్లర్")</f>
        <v>4-బ్లేడెడ్ ఫిక్స్‌డ్-పిచ్ ప్రొపెల్లర్</v>
      </c>
      <c r="BB65" s="1" t="s">
        <v>1526</v>
      </c>
      <c r="BD65" s="1" t="s">
        <v>1527</v>
      </c>
      <c r="BE65" s="1" t="s">
        <v>1528</v>
      </c>
      <c r="BF65" s="1" t="s">
        <v>976</v>
      </c>
      <c r="BG65" s="2" t="str">
        <f>IFERROR(__xludf.DUMMYFUNCTION("GOOGLETRANSLATE(BF:BF, ""en"", ""te"")"),"రాయల్ ఎయిర్క్రాఫ్ట్ స్థాపన")</f>
        <v>రాయల్ ఎయిర్క్రాఫ్ట్ స్థాపన</v>
      </c>
      <c r="BH65" s="1" t="s">
        <v>977</v>
      </c>
      <c r="BS65" s="1" t="s">
        <v>1529</v>
      </c>
      <c r="BZ65" s="1" t="s">
        <v>1530</v>
      </c>
    </row>
    <row r="66">
      <c r="A66" s="1" t="s">
        <v>1531</v>
      </c>
      <c r="B66" s="1" t="str">
        <f>IFERROR(__xludf.DUMMYFUNCTION("GOOGLETRANSLATE(A:A, ""en"", ""te"")"),"ఇకరస్ MM-2")</f>
        <v>ఇకరస్ MM-2</v>
      </c>
      <c r="C66" s="1" t="s">
        <v>1532</v>
      </c>
      <c r="D66" s="1" t="str">
        <f>IFERROR(__xludf.DUMMYFUNCTION("GOOGLETRANSLATE(C:C, ""en"", ""te"")"),"ఇకరస్ MM-2 (సెర్బియన్ సిరిలిక్: иарతారు MM-2) 1940 ప్రోటోటైప్ సింగిల్ ఇంజిన్ లో-వింగ్ మోనోప్లేన్ అధునాతన శిక్షణా విమానం మిశ్రమ (కలప మరియు లోహం) నిర్మాణం మరియు యుగోస్లేవియన్ ఇకరస్ ఫ్యాక్టరీలో ఉత్పత్తి చేయబడిన ముడుచుకునే అండర్ క్యారేజ్. ఇకరస్ MM-2 ZMAJ FIZI"&amp;"R FN కి బదులుగా అభివృద్ధి చేయబడింది, ఇది 1941 వరకు యుగోస్లావ్ రాయల్ వైమానిక దళం యొక్క సాధారణంగా ఉపయోగించే శిక్షణా విమానం. ఇది ముప్పైల మధ్యలో ట్రైనర్ విమానాలలో ఈ ఫలితంగా ఉంది. యుగోస్లావ్ రాయల్ ఎయిర్ ఫోర్స్ గరిష్టంగా గరిష్టంగా 200 కిమీ/గం మరియు ఆధునిక పోరాట"&amp;" విమానాలు రెట్టింపుగా ఉంటాయి. 1936 ఇంజిన్లో. డ్రాగుటిన్ మిలోసెవిక్ యుగోస్లావ్ వైమానిక దళం కోసం కొత్త అధునాతన శిక్షకుడి ప్రాజెక్టుపై పనిచేయడానికి ప్రైవేటులో ప్రారంభించండి. ఈ మొదటి విమానం M-1 గా గుర్తించబడింది, M డిజైనర్ యొక్క చివరి పేరు నుండి వచ్చింది. అదే"&amp;" సమయంలో, రెండు వేర్వేరు ప్రాథమిక శిక్షణా విమానాలు, తక్కువ-వింగ్ ఇకరస్ ఏరో 2 మరియు రోగోసార్స్కి బ్రూకోపై ప్రాజెక్ట్ ప్రారంభించబడింది. డిజైన్ ఇన్లైన్ రెనాల్ట్ ఇంజిన్ మరియు పైలట్లను సమిష్టిగా ప్రతిపాదించింది. విమానం మరియు జ్యామితి నిర్మాణం ఆధునికమైనది, తక్కు"&amp;"వ వింగ్ మరియు ముడుచుకునే ల్యాండింగ్ గేర్‌తో. దిగుమతి చేసుకున్న భాగాలను ఉపయోగించడం వల్ల M-1 హోదాలో అతని ప్రాజెక్ట్ ప్రధాన కార్యాలయ వైమానిక దళానికి క్షీణించింది (రెనో షెడ్యూల్ ఇంజిన్). 1937 లో, 1939 మధ్యలో పూర్తయిన M-2 హోదాలో ఎయిర్క్రాఫ్ట్ ఇంజిన్ IAM లోకల్ "&amp;"K-7 (లైసెన్స్ గ్నామ్-రోన్ 7 కె) యొక్క పున es రూపకల్పనను ప్రారంభించింది. ఈ కారణంగా, విమానం ఇప్పుడు తక్కువగా ఉంది, వింగ్ అదే నిలుపుకుంది మరియు బరువు 60 కిలోలకు పెంచబడింది. అదే సంవత్సరం, ఈఫిల్ విండ్ టన్నెల్ మోడల్‌లో పరీక్ష పూర్తయింది, ఇది అన్ని బడ్జెట్‌లను న"&amp;"ిర్ధారించింది. ఆ సమయంలో అతను ప్రాజెక్ట్ ఇంజనీర్ మేజర్ జార్డ్జే మనోజ్లోవిక్లో చేరాడు, అతను ఈ ప్రాజెక్టును త్వరగా అంగీకరించడానికి తన కనెక్షన్ల తరువాత వచ్చాడు. ఈ ప్రాజెక్ట్ Miloseević - మనోజ్లోవిక్ చేత MM -2 హోదాను పొందింది. ఆ సమయంలో మూడు కొత్త ప్రాజెక్టులలో"&amp;" పనిచేసే ఇకరస్‌కు ప్రోటోటైప్ అప్పగించబడింది (విమానం: ఓర్కాన్, ఏరో -2 మరియు బి -5). [1] ఇకరస్ ”ప్రోటోటైప్ తయారీ కోసం ఈ ప్రాజెక్టును తీసుకున్నారు మరియు ఈ ప్రాజెక్ట్ మార్చి 25 న 1940 లో విడుదలైంది. ఈ విమానం నవంబర్ 1940 లో పూర్తిగా పూర్తయింది. మొదటి విమాన పరీ"&amp;"క్ష డిసెంబర్ 1940 లో జరిగింది మరియు టెస్ట్ పైలట్ వాసిలిజే స్టోజనోవిక్. మొత్తం 45 ఫ్యాక్టరీ టెస్ట్ ఫ్లైట్ 20 ఫ్లయింగ్ గంటలతో తయారు చేయబడింది. చాలా మంచి నిర్వహణ లక్షణాలతో విమానం చాలా స్థిరంగా ఉంది. విమానం అద్భుతమైన లక్షణాలను చూపించినట్లుగా, వైమానిక దళం కమాం"&amp;"డ్ ప్రోటోటైప్‌ను కొనుగోలు చేసింది, ఇది 4 ఏప్రిల్ 1941 న క్రాల్జెవోలోని జెమున్ నుండి ప్రయోగం గ్రూప్ యుగోస్లావ్ రాయల్ ఎయిర్ ఫోర్స్‌తో కలిసి ప్రయాణించింది. ఆయుధాలు రెండు డార్న్ 7, 7 మిమీ ఆయుధాలను రెక్కలో మొత్తం 2175 రౌండ్లతో కలిగి ఉండాలి. దిగువ ఫ్యూజ్‌లేజ్‌ల"&amp;"ో నాలుగు బాంబుల కాల్ కోసం కనెక్షన్‌తో బాంబు పైలాన్‌ను జతచేయవచ్చు. 10 కిలోలు. ఫ్రంట్ పీస్ ఆఫ్ ఫ్యూజ్‌లేజ్ మెటల్ ప్లేట్ వెనుక భాగం ఫాబ్రిక్ కప్పబడి ఉంటుంది. రెక్కలు వింగ్ సెంటర్ విభాగం మరియు బయటి రెక్కలతో నిర్మించబడ్డాయి. సెంటర్ విభాగం మెటల్ ప్యానెల్స్‌తో ప"&amp;"ూర్తిగా లోహ నిర్మాణంలో ఉంది, బయటి రెక్కలు చెక్క నిర్మాణంలో ఉన్నాయి. కాక్‌పిట్ జతచేయబడింది. ఎలక్ట్రికల్ ఇన్‌స్టాలేషన్ 24 V మరియు సిరీస్‌లో తయారీలో “టెలిఫంకెన్” ఫూ GVII రేడియో స్టేషన్ ప్రణాళిక చేయబడింది. 50 విమానాల క్రమాన్ని విడుదల చేయడానికి was హించారు, కా"&amp;"ని యుద్ధం ప్రారంభం ఈ ప్రణాళికలను అడ్డుకుంది. యుద్ధం రెండు రోజులు ప్రారంభమైనప్పటి నుండి, ఈ విమానం జర్మన్ ఆర్మీ విమానం చెక్కుచెదరకుండా బంధించబడింది మరియు సెప్టెంబర్ క్రొయేషియన్ సైన్యంలో తన మిత్రులను ఇచ్చింది, ఇది 6301 వ సంఖ్య కింద కొరియర్ వ్యాపారానికి ఎగిరి"&amp;"ంది. [2] 13 మే 1942 విమానాశ్రయంలో రాజ్లోవాక్ విమానాశ్రయంలో దిగేటప్పుడు పతనం సమయంలో ఇది నాశనం చేయబడింది. నష్టం 90%పతనం అయినందున విమానం పునరుద్ధరించబడలేదు. మోడల్ విమానం మరియు డాక్యుమెంటేషన్ బెల్గ్రేడ్‌లోని విమానాశ్రయంలో యుగోస్లావ్ మ్యూజియం ఆఫ్ ఏవియేషన్‌లో ఉ"&amp;"ంచబడింది. నుండి డేటా: ఏవియన్ మిమా -2 (ii) యుద్ధానికి పూర్వం యుగోస్లావ్ ఏవియేషన్ పరిశ్రమ యొక్క ఆభరణాలు [1] సాధారణ లక్షణాలు పనితీరు సంబంధిత అభివృద్ధి విమానం పోల్చదగిన పాత్ర, కాన్ఫిగరేషన్ మరియు యుగం సంబంధిత జాబితాలు")</f>
        <v>ఇకరస్ MM-2 (సెర్బియన్ సిరిలిక్: иарతారు MM-2) 1940 ప్రోటోటైప్ సింగిల్ ఇంజిన్ లో-వింగ్ మోనోప్లేన్ అధునాతన శిక్షణా విమానం మిశ్రమ (కలప మరియు లోహం) నిర్మాణం మరియు యుగోస్లేవియన్ ఇకరస్ ఫ్యాక్టరీలో ఉత్పత్తి చేయబడిన ముడుచుకునే అండర్ క్యారేజ్. ఇకరస్ MM-2 ZMAJ FIZIR FN కి బదులుగా అభివృద్ధి చేయబడింది, ఇది 1941 వరకు యుగోస్లావ్ రాయల్ వైమానిక దళం యొక్క సాధారణంగా ఉపయోగించే శిక్షణా విమానం. ఇది ముప్పైల మధ్యలో ట్రైనర్ విమానాలలో ఈ ఫలితంగా ఉంది. యుగోస్లావ్ రాయల్ ఎయిర్ ఫోర్స్ గరిష్టంగా గరిష్టంగా 200 కిమీ/గం మరియు ఆధునిక పోరాట విమానాలు రెట్టింపుగా ఉంటాయి. 1936 ఇంజిన్లో. డ్రాగుటిన్ మిలోసెవిక్ యుగోస్లావ్ వైమానిక దళం కోసం కొత్త అధునాతన శిక్షకుడి ప్రాజెక్టుపై పనిచేయడానికి ప్రైవేటులో ప్రారంభించండి. ఈ మొదటి విమానం M-1 గా గుర్తించబడింది, M డిజైనర్ యొక్క చివరి పేరు నుండి వచ్చింది. అదే సమయంలో, రెండు వేర్వేరు ప్రాథమిక శిక్షణా విమానాలు, తక్కువ-వింగ్ ఇకరస్ ఏరో 2 మరియు రోగోసార్స్కి బ్రూకోపై ప్రాజెక్ట్ ప్రారంభించబడింది. డిజైన్ ఇన్లైన్ రెనాల్ట్ ఇంజిన్ మరియు పైలట్లను సమిష్టిగా ప్రతిపాదించింది. విమానం మరియు జ్యామితి నిర్మాణం ఆధునికమైనది, తక్కువ వింగ్ మరియు ముడుచుకునే ల్యాండింగ్ గేర్‌తో. దిగుమతి చేసుకున్న భాగాలను ఉపయోగించడం వల్ల M-1 హోదాలో అతని ప్రాజెక్ట్ ప్రధాన కార్యాలయ వైమానిక దళానికి క్షీణించింది (రెనో షెడ్యూల్ ఇంజిన్). 1937 లో, 1939 మధ్యలో పూర్తయిన M-2 హోదాలో ఎయిర్క్రాఫ్ట్ ఇంజిన్ IAM లోకల్ K-7 (లైసెన్స్ గ్నామ్-రోన్ 7 కె) యొక్క పున es రూపకల్పనను ప్రారంభించింది. ఈ కారణంగా, విమానం ఇప్పుడు తక్కువగా ఉంది, వింగ్ అదే నిలుపుకుంది మరియు బరువు 60 కిలోలకు పెంచబడింది. అదే సంవత్సరం, ఈఫిల్ విండ్ టన్నెల్ మోడల్‌లో పరీక్ష పూర్తయింది, ఇది అన్ని బడ్జెట్‌లను నిర్ధారించింది. ఆ సమయంలో అతను ప్రాజెక్ట్ ఇంజనీర్ మేజర్ జార్డ్జే మనోజ్లోవిక్లో చేరాడు, అతను ఈ ప్రాజెక్టును త్వరగా అంగీకరించడానికి తన కనెక్షన్ల తరువాత వచ్చాడు. ఈ ప్రాజెక్ట్ Miloseević - మనోజ్లోవిక్ చేత MM -2 హోదాను పొందింది. ఆ సమయంలో మూడు కొత్త ప్రాజెక్టులలో పనిచేసే ఇకరస్‌కు ప్రోటోటైప్ అప్పగించబడింది (విమానం: ఓర్కాన్, ఏరో -2 మరియు బి -5). [1] ఇకరస్ ”ప్రోటోటైప్ తయారీ కోసం ఈ ప్రాజెక్టును తీసుకున్నారు మరియు ఈ ప్రాజెక్ట్ మార్చి 25 న 1940 లో విడుదలైంది. ఈ విమానం నవంబర్ 1940 లో పూర్తిగా పూర్తయింది. మొదటి విమాన పరీక్ష డిసెంబర్ 1940 లో జరిగింది మరియు టెస్ట్ పైలట్ వాసిలిజే స్టోజనోవిక్. మొత్తం 45 ఫ్యాక్టరీ టెస్ట్ ఫ్లైట్ 20 ఫ్లయింగ్ గంటలతో తయారు చేయబడింది. చాలా మంచి నిర్వహణ లక్షణాలతో విమానం చాలా స్థిరంగా ఉంది. విమానం అద్భుతమైన లక్షణాలను చూపించినట్లుగా, వైమానిక దళం కమాండ్ ప్రోటోటైప్‌ను కొనుగోలు చేసింది, ఇది 4 ఏప్రిల్ 1941 న క్రాల్జెవోలోని జెమున్ నుండి ప్రయోగం గ్రూప్ యుగోస్లావ్ రాయల్ ఎయిర్ ఫోర్స్‌తో కలిసి ప్రయాణించింది. ఆయుధాలు రెండు డార్న్ 7, 7 మిమీ ఆయుధాలను రెక్కలో మొత్తం 2175 రౌండ్లతో కలిగి ఉండాలి. దిగువ ఫ్యూజ్‌లేజ్‌లో నాలుగు బాంబుల కాల్ కోసం కనెక్షన్‌తో బాంబు పైలాన్‌ను జతచేయవచ్చు. 10 కిలోలు. ఫ్రంట్ పీస్ ఆఫ్ ఫ్యూజ్‌లేజ్ మెటల్ ప్లేట్ వెనుక భాగం ఫాబ్రిక్ కప్పబడి ఉంటుంది. రెక్కలు వింగ్ సెంటర్ విభాగం మరియు బయటి రెక్కలతో నిర్మించబడ్డాయి. సెంటర్ విభాగం మెటల్ ప్యానెల్స్‌తో పూర్తిగా లోహ నిర్మాణంలో ఉంది, బయటి రెక్కలు చెక్క నిర్మాణంలో ఉన్నాయి. కాక్‌పిట్ జతచేయబడింది. ఎలక్ట్రికల్ ఇన్‌స్టాలేషన్ 24 V మరియు సిరీస్‌లో తయారీలో “టెలిఫంకెన్” ఫూ GVII రేడియో స్టేషన్ ప్రణాళిక చేయబడింది. 50 విమానాల క్రమాన్ని విడుదల చేయడానికి was హించారు, కాని యుద్ధం ప్రారంభం ఈ ప్రణాళికలను అడ్డుకుంది. యుద్ధం రెండు రోజులు ప్రారంభమైనప్పటి నుండి, ఈ విమానం జర్మన్ ఆర్మీ విమానం చెక్కుచెదరకుండా బంధించబడింది మరియు సెప్టెంబర్ క్రొయేషియన్ సైన్యంలో తన మిత్రులను ఇచ్చింది, ఇది 6301 వ సంఖ్య కింద కొరియర్ వ్యాపారానికి ఎగిరింది. [2] 13 మే 1942 విమానాశ్రయంలో రాజ్లోవాక్ విమానాశ్రయంలో దిగేటప్పుడు పతనం సమయంలో ఇది నాశనం చేయబడింది. నష్టం 90%పతనం అయినందున విమానం పునరుద్ధరించబడలేదు. మోడల్ విమానం మరియు డాక్యుమెంటేషన్ బెల్గ్రేడ్‌లోని విమానాశ్రయంలో యుగోస్లావ్ మ్యూజియం ఆఫ్ ఏవియేషన్‌లో ఉంచబడింది. నుండి డేటా: ఏవియన్ మిమా -2 (ii) యుద్ధానికి పూర్వం యుగోస్లావ్ ఏవియేషన్ పరిశ్రమ యొక్క ఆభరణాలు [1] సాధారణ లక్షణాలు పనితీరు సంబంధిత అభివృద్ధి విమానం పోల్చదగిన పాత్ర, కాన్ఫిగరేషన్ మరియు యుగం సంబంధిత జాబితాలు</v>
      </c>
      <c r="E66" s="1" t="s">
        <v>1533</v>
      </c>
      <c r="F66" s="1" t="s">
        <v>1534</v>
      </c>
      <c r="G66" s="1" t="str">
        <f>IFERROR(__xludf.DUMMYFUNCTION("GOOGLETRANSLATE(F:F, ""en"", ""te"")"),"విమానం")</f>
        <v>విమానం</v>
      </c>
      <c r="H66" s="1" t="s">
        <v>1535</v>
      </c>
      <c r="I66" s="1" t="s">
        <v>268</v>
      </c>
      <c r="J66" s="1" t="str">
        <f>IFERROR(__xludf.DUMMYFUNCTION("GOOGLETRANSLATE(I:I, ""en"", ""te"")"),"యుగోస్లేవియా")</f>
        <v>యుగోస్లేవియా</v>
      </c>
      <c r="K66" s="3" t="s">
        <v>1536</v>
      </c>
      <c r="L66" s="1" t="s">
        <v>1537</v>
      </c>
      <c r="M66" s="1" t="str">
        <f>IFERROR(__xludf.DUMMYFUNCTION("GOOGLETRANSLATE(L:L, ""en"", ""te"")"),"ఫాబ్రికా ఏరో ఐ హిడ్రోప్లానా ఇకరస్ ఎ.డి. జెమున్ - బెల్గ్రేడ్")</f>
        <v>ఫాబ్రికా ఏరో ఐ హిడ్రోప్లానా ఇకరస్ ఎ.డి. జెమున్ - బెల్గ్రేడ్</v>
      </c>
      <c r="N66" s="1" t="s">
        <v>1538</v>
      </c>
      <c r="O66" s="1" t="s">
        <v>1539</v>
      </c>
      <c r="P66" s="1" t="str">
        <f>IFERROR(__xludf.DUMMYFUNCTION("GOOGLETRANSLATE(O:O, ""en"", ""te"")"),"డ్రాగూటిన్ మిలోసెవిక్ మరియు జార్డ్జే మనోజ్లోవిక్")</f>
        <v>డ్రాగూటిన్ మిలోసెవిక్ మరియు జార్డ్జే మనోజ్లోవిక్</v>
      </c>
      <c r="R66" s="5">
        <v>14946.0</v>
      </c>
      <c r="S66" s="1">
        <v>1.0</v>
      </c>
      <c r="V66" s="1">
        <v>2.0</v>
      </c>
      <c r="W66" s="1" t="s">
        <v>1540</v>
      </c>
      <c r="X66" s="1" t="s">
        <v>1541</v>
      </c>
      <c r="Y66" s="1" t="s">
        <v>1542</v>
      </c>
      <c r="Z66" s="1" t="s">
        <v>1543</v>
      </c>
      <c r="AG66" s="1" t="s">
        <v>1544</v>
      </c>
      <c r="AO66" s="1" t="s">
        <v>1545</v>
      </c>
      <c r="AQ66" s="1">
        <v>1942.0</v>
      </c>
      <c r="AW66" s="1">
        <v>160.0</v>
      </c>
      <c r="AX66" s="1" t="s">
        <v>1546</v>
      </c>
      <c r="AY66" s="1" t="str">
        <f>IFERROR(__xludf.DUMMYFUNCTION("GOOGLETRANSLATE(AX:AX, ""en"", ""te"")"),"1 × IAM, K-7 (7-సిలిండర్ రేడియల్ ఇంజిన్), 310 kW (420 HP)")</f>
        <v>1 × IAM, K-7 (7-సిలిండర్ రేడియల్ ఇంజిన్), 310 kW (420 HP)</v>
      </c>
      <c r="AZ66" s="1" t="s">
        <v>1547</v>
      </c>
      <c r="BA66" s="1" t="str">
        <f>IFERROR(__xludf.DUMMYFUNCTION("GOOGLETRANSLATE(AZ:AZ, ""en"", ""te"")"),"2-బ్లేడెడ్")</f>
        <v>2-బ్లేడెడ్</v>
      </c>
      <c r="BB66" s="1" t="s">
        <v>1548</v>
      </c>
      <c r="BC66" s="1" t="s">
        <v>1549</v>
      </c>
      <c r="BD66" s="1" t="s">
        <v>1550</v>
      </c>
      <c r="BF66" s="1" t="s">
        <v>1551</v>
      </c>
      <c r="BG66" s="2" t="str">
        <f>IFERROR(__xludf.DUMMYFUNCTION("GOOGLETRANSLATE(BF:BF, ""en"", ""te"")"),"యుగోస్లావ్ రాయల్ ఎయిర్ ఫోర్స్")</f>
        <v>యుగోస్లావ్ రాయల్ ఎయిర్ ఫోర్స్</v>
      </c>
      <c r="BH66" s="1" t="s">
        <v>1552</v>
      </c>
      <c r="BI66" s="1" t="s">
        <v>1553</v>
      </c>
      <c r="BJ66" s="1" t="s">
        <v>1554</v>
      </c>
      <c r="BS66" s="1" t="s">
        <v>1555</v>
      </c>
      <c r="BT66" s="1" t="s">
        <v>1556</v>
      </c>
      <c r="BU66" s="1" t="s">
        <v>1557</v>
      </c>
      <c r="BV66" s="1" t="str">
        <f>IFERROR(__xludf.DUMMYFUNCTION("GOOGLETRANSLATE(BU:BU, ""en"", ""te"")"),"క్రియారహితం")</f>
        <v>క్రియారహితం</v>
      </c>
      <c r="BX66" s="1"/>
      <c r="BY66" s="1" t="s">
        <v>1558</v>
      </c>
      <c r="CU66" s="1" t="s">
        <v>1559</v>
      </c>
    </row>
    <row r="67">
      <c r="A67" s="1" t="s">
        <v>1560</v>
      </c>
      <c r="B67" s="1" t="str">
        <f>IFERROR(__xludf.DUMMYFUNCTION("GOOGLETRANSLATE(A:A, ""en"", ""te"")"),"నార్త్రోప్ xft")</f>
        <v>నార్త్రోప్ xft</v>
      </c>
      <c r="C67" s="1" t="s">
        <v>1561</v>
      </c>
      <c r="D67" s="1" t="str">
        <f>IFERROR(__xludf.DUMMYFUNCTION("GOOGLETRANSLATE(C:C, ""en"", ""te"")"),"నార్త్రోప్ XFT 1930 లలో ఒక అమెరికన్ ప్రోటోటైప్ ఫైటర్ విమానం. ఒకే ఇంజిన్ తక్కువ-రెక్కల మోనోప్లేన్, ఇది ఒక అధునాతన క్యారియర్ ఆధారిత ఫైటర్ కోసం అమెరికా నేవీ ఆర్డర్‌ను తీర్చడానికి రూపొందించబడింది మరియు నిర్మించబడింది. ఇది పేలవమైన నిర్వహణను ప్రదర్శించింది మరియ"&amp;"ు నేవీ తిరస్కరించింది, సింగిల్ ప్రోటోటైప్ క్రాష్‌లో కోల్పోయింది. ఒక వేరియంట్, నార్త్రోప్ 3 ఎ కూడా విజయవంతం కాలేదు. 1930 ల ప్రారంభంలో, అమెరికా నావికాదళం ఆధునిక, మోనోప్లేన్లను ఫైటర్ విమానాల వాడకాన్ని పరిశోధించడానికి ఆసక్తి చూపింది, దాని ఫైటర్ స్క్వాడ్రన్లను"&amp;" కలిగి ఉన్న బైప్లేన్లను భర్తీ చేయడానికి. డిసెంబర్ 1932 లో, ఇది XF7B ని బోయింగ్ నుండి ఆదేశించింది మరియు నార్త్రోప్ యొక్క గామా మరియు డెల్టా యొక్క అద్భుతమైన పనితీరు ఆధారంగా, రెండూ స్కిన్ మోనోప్లేన్లను నొక్కిచెప్పాయి, మే 8, 1933 న ఒకే ప్రోటోటైప్ ఫైటర్, నియమిం"&amp;"చబడిన XFT-1 కోసం నార్త్రోప్‌తో ఒక ఆర్డర్‌ను ఉంచారు. [[. 22 ఫలితంగా వచ్చిన విమానం, దీనిని ఎడ్ హీన్మాన్ నేతృత్వంలోని బృందం రూపొందించింది, స్కేల్డ్-డౌన్ నార్త్రోప్ డెల్టాను పోలి ఉంది. ఇది తక్కువ రెక్కల మోనోప్లేన్, ఆల్-మెటల్ ఒత్తిడితో కూడిన చర్మం నిర్మాణం. ఇద"&amp;"ి ఒక స్థిర టెయిల్‌వీల్ అండర్ క్యారేజీని కలిగి ఉంది, దాని ప్రధాన గేర్‌తో ప్యాంటు ఫెయిరింగ్‌లను క్రమబద్ధీకరించారు. పైలట్ స్లైడింగ్ పందిరితో పరివేష్టిత కాక్‌పిట్‌లో కూర్చున్నాడు. ఇది ఒకే రైట్ R-1510 రేడియల్ ఇంజిన్ ద్వారా శక్తిని పొందింది. [3] XFT-1 మొదటిసారి"&amp;" జనవరి 16, 1934 న ఎగిరింది, నావికాదళం మూల్యాంకనం కోసం NAS అనాకోస్టియాకు పంపిణీ చేయబడింది. ఇది యు.ఎస్. నేవీ ఇంకా పరీక్షించిన వేగవంతమైన ఫైటర్ అయితే, దాని నిర్వహణ లక్షణాలు పేలవంగా ఉన్నాయి. దాని ల్యాండింగ్ వేగాన్ని తగ్గించడానికి ఇది ఫ్లాప్‌లతో అమర్చినప్పటికీ,"&amp;" తక్కువ వేగంతో నియంత్రించడం చాలా కష్టం, మరియు ఫార్వర్డ్ దృశ్యమానతను కలిగి ఉంది, విమానం క్యారియర్‌లను ఆపరేట్ చేయడానికి ఉద్దేశించిన విమానానికి ప్రధాన సమస్యలు ఉన్నాయి. అయినప్పటికీ, దాని అత్యంత తీవ్రమైన సమస్య, స్పిన్నింగ్ చేసేటప్పుడు దాని ప్రవర్తన, ఇక్కడ తోక "&amp;"తీవ్రమైన బఫేట్కు లోబడి ఉంటుంది. ఫిబ్రవరి 1934 లో, టెస్ట్ పైలట్ వాన్స్ బ్రీస్ ఒక కర్టిస్ రైట్ టెక్నికల్ ఇన్స్టిట్యూట్ లొకేషన్‌లో గ్లెన్‌డేల్ కాలిఫోర్నియాలో అధికారం లేకుండా XFT-1 ను దిగింది, మరియు XFT-1 యొక్క చిత్రాలు జేన్స్ AWA కి లీక్ అయ్యాయి. [4] ఇది ఆగష"&amp;"్టు 1934 లో మరింత శక్తివంతమైన R-1510 ఇంజిన్‌తో అమర్చబడింది, కానీ ఇది పనితీరును మెరుగుపరచలేదు మరియు ఇది మరింత పెద్ద మార్పుల కోసం నార్త్రోప్‌కు తిరిగి ఇవ్వబడింది, పెద్ద తోక ఉపరితలాలు మరియు ప్రాట్ &amp; విట్నీ R-1535 ట్విన్ WASP జూనియర్లతో అమర్చబడి ఉంది రేడియల్ "&amp;"ఇంజిన్, XFT-2 ను పున es రూపకల్పన చేస్తుంది. [5] XFT-2 ఏప్రిల్ 1936 లో అనకోస్టియాకు పునర్నిర్వచించబడింది, [6] దాని పనితీరు కొద్దిగా మెరుగుపడింది, దాని నిర్వహణ మునుపటి కంటే పేదగా ఉందని, మరియు దీనిని యు.ఎస్. నేవీ అనూహ్యంగా తిరస్కరించింది. [2] ఇది నార్త్రోప్‌"&amp;"కు తిరిగి ఇవ్వమని ఆదేశించబడింది మరియు విమానాన్ని నార్త్రోప్ యొక్క ఎల్ సెగుండో ఫ్యాక్టరీకి తిరిగి పంపించే సూచనలను విస్మరించింది, ఒక పరీక్ష పైలట్ XFT-2 ను తిరిగి కాలిఫోర్నియాకు ఎగరడానికి ప్రయత్నించాడు, విమానం ఒక స్పిన్‌లోకి ప్రవేశించి, అల్లెఘేనీ పర్వతాలను ద"&amp;"ాటినప్పుడు క్రాష్ అవుతుంది జూలై 21, 1936. [6] ఈ డిజైన్ నార్త్రోప్ 3 ఎ యొక్క ఆధారాన్ని ఏర్పరుస్తుంది, ఇది ముడుచుకునే అండర్ క్యారేజ్ మినహా దాదాపుగా XFT కి సమానంగా ఉంటుంది, ఇది మొదట 1935 లో ప్రయాణించింది. ఇది మరొక వైఫల్యం, అనుకోకుండా స్పిన్‌ల ధోరణిని కలిగి ఉ"&amp;"ంది. 3A మరియు దాని టెస్ట్ పైలట్, లెఫ్టినెంట్ ఫ్రాంక్ స్కేర్, జూలై 30, 1935 న కాలిఫోర్నియాకు దూరంగా పసిఫిక్ మహాసముద్రం మీదుగా విమానంలో ట్రేస్ లేకుండా అదృశ్యమయ్యారు, నార్త్రోప్ 3A ప్రాజెక్టును వదిలివేసింది మరియు దాని బ్లూప్రింట్లను ఛాన్స్ వోట్ విలేషన్ కోసం "&amp;"విక్రయించింది, అక్కడ ఇది వోట్ వి- 141. [7] [8] 1920 నుండి మెక్‌డోనెల్ డగ్లస్ విమానం నుండి వచ్చిన డేటా [9] సాధారణ లక్షణాలు పనితీరు ఆయుధ సంబంధిత అభివృద్ధి అభివృద్ధి విమానం పోల్చదగిన పాత్ర, కాన్ఫిగరేషన్ మరియు ERA")</f>
        <v>నార్త్రోప్ XFT 1930 లలో ఒక అమెరికన్ ప్రోటోటైప్ ఫైటర్ విమానం. ఒకే ఇంజిన్ తక్కువ-రెక్కల మోనోప్లేన్, ఇది ఒక అధునాతన క్యారియర్ ఆధారిత ఫైటర్ కోసం అమెరికా నేవీ ఆర్డర్‌ను తీర్చడానికి రూపొందించబడింది మరియు నిర్మించబడింది. ఇది పేలవమైన నిర్వహణను ప్రదర్శించింది మరియు నేవీ తిరస్కరించింది, సింగిల్ ప్రోటోటైప్ క్రాష్‌లో కోల్పోయింది. ఒక వేరియంట్, నార్త్రోప్ 3 ఎ కూడా విజయవంతం కాలేదు. 1930 ల ప్రారంభంలో, అమెరికా నావికాదళం ఆధునిక, మోనోప్లేన్లను ఫైటర్ విమానాల వాడకాన్ని పరిశోధించడానికి ఆసక్తి చూపింది, దాని ఫైటర్ స్క్వాడ్రన్లను కలిగి ఉన్న బైప్లేన్లను భర్తీ చేయడానికి. డిసెంబర్ 1932 లో, ఇది XF7B ని బోయింగ్ నుండి ఆదేశించింది మరియు నార్త్రోప్ యొక్క గామా మరియు డెల్టా యొక్క అద్భుతమైన పనితీరు ఆధారంగా, రెండూ స్కిన్ మోనోప్లేన్లను నొక్కిచెప్పాయి, మే 8, 1933 న ఒకే ప్రోటోటైప్ ఫైటర్, నియమించబడిన XFT-1 కోసం నార్త్రోప్‌తో ఒక ఆర్డర్‌ను ఉంచారు. [[. 22 ఫలితంగా వచ్చిన విమానం, దీనిని ఎడ్ హీన్మాన్ నేతృత్వంలోని బృందం రూపొందించింది, స్కేల్డ్-డౌన్ నార్త్రోప్ డెల్టాను పోలి ఉంది. ఇది తక్కువ రెక్కల మోనోప్లేన్, ఆల్-మెటల్ ఒత్తిడితో కూడిన చర్మం నిర్మాణం. ఇది ఒక స్థిర టెయిల్‌వీల్ అండర్ క్యారేజీని కలిగి ఉంది, దాని ప్రధాన గేర్‌తో ప్యాంటు ఫెయిరింగ్‌లను క్రమబద్ధీకరించారు. పైలట్ స్లైడింగ్ పందిరితో పరివేష్టిత కాక్‌పిట్‌లో కూర్చున్నాడు. ఇది ఒకే రైట్ R-1510 రేడియల్ ఇంజిన్ ద్వారా శక్తిని పొందింది. [3] XFT-1 మొదటిసారి జనవరి 16, 1934 న ఎగిరింది, నావికాదళం మూల్యాంకనం కోసం NAS అనాకోస్టియాకు పంపిణీ చేయబడింది. ఇది యు.ఎస్. నేవీ ఇంకా పరీక్షించిన వేగవంతమైన ఫైటర్ అయితే, దాని నిర్వహణ లక్షణాలు పేలవంగా ఉన్నాయి. దాని ల్యాండింగ్ వేగాన్ని తగ్గించడానికి ఇది ఫ్లాప్‌లతో అమర్చినప్పటికీ, తక్కువ వేగంతో నియంత్రించడం చాలా కష్టం, మరియు ఫార్వర్డ్ దృశ్యమానతను కలిగి ఉంది, విమానం క్యారియర్‌లను ఆపరేట్ చేయడానికి ఉద్దేశించిన విమానానికి ప్రధాన సమస్యలు ఉన్నాయి. అయినప్పటికీ, దాని అత్యంత తీవ్రమైన సమస్య, స్పిన్నింగ్ చేసేటప్పుడు దాని ప్రవర్తన, ఇక్కడ తోక తీవ్రమైన బఫేట్కు లోబడి ఉంటుంది. ఫిబ్రవరి 1934 లో, టెస్ట్ పైలట్ వాన్స్ బ్రీస్ ఒక కర్టిస్ రైట్ టెక్నికల్ ఇన్స్టిట్యూట్ లొకేషన్‌లో గ్లెన్‌డేల్ కాలిఫోర్నియాలో అధికారం లేకుండా XFT-1 ను దిగింది, మరియు XFT-1 యొక్క చిత్రాలు జేన్స్ AWA కి లీక్ అయ్యాయి. [4] ఇది ఆగష్టు 1934 లో మరింత శక్తివంతమైన R-1510 ఇంజిన్‌తో అమర్చబడింది, కానీ ఇది పనితీరును మెరుగుపరచలేదు మరియు ఇది మరింత పెద్ద మార్పుల కోసం నార్త్రోప్‌కు తిరిగి ఇవ్వబడింది, పెద్ద తోక ఉపరితలాలు మరియు ప్రాట్ &amp; విట్నీ R-1535 ట్విన్ WASP జూనియర్లతో అమర్చబడి ఉంది రేడియల్ ఇంజిన్, XFT-2 ను పున es రూపకల్పన చేస్తుంది. [5] XFT-2 ఏప్రిల్ 1936 లో అనకోస్టియాకు పునర్నిర్వచించబడింది, [6] దాని పనితీరు కొద్దిగా మెరుగుపడింది, దాని నిర్వహణ మునుపటి కంటే పేదగా ఉందని, మరియు దీనిని యు.ఎస్. నేవీ అనూహ్యంగా తిరస్కరించింది. [2] ఇది నార్త్రోప్‌కు తిరిగి ఇవ్వమని ఆదేశించబడింది మరియు విమానాన్ని నార్త్రోప్ యొక్క ఎల్ సెగుండో ఫ్యాక్టరీకి తిరిగి పంపించే సూచనలను విస్మరించింది, ఒక పరీక్ష పైలట్ XFT-2 ను తిరిగి కాలిఫోర్నియాకు ఎగరడానికి ప్రయత్నించాడు, విమానం ఒక స్పిన్‌లోకి ప్రవేశించి, అల్లెఘేనీ పర్వతాలను దాటినప్పుడు క్రాష్ అవుతుంది జూలై 21, 1936. [6] ఈ డిజైన్ నార్త్రోప్ 3 ఎ యొక్క ఆధారాన్ని ఏర్పరుస్తుంది, ఇది ముడుచుకునే అండర్ క్యారేజ్ మినహా దాదాపుగా XFT కి సమానంగా ఉంటుంది, ఇది మొదట 1935 లో ప్రయాణించింది. ఇది మరొక వైఫల్యం, అనుకోకుండా స్పిన్‌ల ధోరణిని కలిగి ఉంది. 3A మరియు దాని టెస్ట్ పైలట్, లెఫ్టినెంట్ ఫ్రాంక్ స్కేర్, జూలై 30, 1935 న కాలిఫోర్నియాకు దూరంగా పసిఫిక్ మహాసముద్రం మీదుగా విమానంలో ట్రేస్ లేకుండా అదృశ్యమయ్యారు, నార్త్రోప్ 3A ప్రాజెక్టును వదిలివేసింది మరియు దాని బ్లూప్రింట్లను ఛాన్స్ వోట్ విలేషన్ కోసం విక్రయించింది, అక్కడ ఇది వోట్ వి- 141. [7] [8] 1920 నుండి మెక్‌డోనెల్ డగ్లస్ విమానం నుండి వచ్చిన డేటా [9] సాధారణ లక్షణాలు పనితీరు ఆయుధ సంబంధిత అభివృద్ధి అభివృద్ధి విమానం పోల్చదగిన పాత్ర, కాన్ఫిగరేషన్ మరియు ERA</v>
      </c>
      <c r="E67" s="1" t="s">
        <v>1562</v>
      </c>
      <c r="F67" s="1" t="s">
        <v>421</v>
      </c>
      <c r="G67" s="1" t="str">
        <f>IFERROR(__xludf.DUMMYFUNCTION("GOOGLETRANSLATE(F:F, ""en"", ""te"")"),"యుద్ధ")</f>
        <v>యుద్ధ</v>
      </c>
      <c r="H67" s="3" t="s">
        <v>754</v>
      </c>
      <c r="L67" s="1" t="s">
        <v>1563</v>
      </c>
      <c r="M67" s="1" t="str">
        <f>IFERROR(__xludf.DUMMYFUNCTION("GOOGLETRANSLATE(L:L, ""en"", ""te"")"),"నార్త్రోప్ కార్పొరేషన్")</f>
        <v>నార్త్రోప్ కార్పొరేషన్</v>
      </c>
      <c r="N67" s="1" t="s">
        <v>1564</v>
      </c>
      <c r="R67" s="1" t="s">
        <v>1565</v>
      </c>
      <c r="S67" s="1">
        <v>1.0</v>
      </c>
      <c r="T67" s="1" t="s">
        <v>216</v>
      </c>
      <c r="V67" s="1" t="s">
        <v>518</v>
      </c>
      <c r="W67" s="1" t="s">
        <v>1566</v>
      </c>
      <c r="X67" s="1" t="s">
        <v>1567</v>
      </c>
      <c r="Y67" s="1" t="s">
        <v>1568</v>
      </c>
      <c r="Z67" s="1" t="s">
        <v>1569</v>
      </c>
      <c r="AG67" s="1" t="s">
        <v>1570</v>
      </c>
      <c r="AH67" s="1" t="s">
        <v>1571</v>
      </c>
      <c r="AX67" s="1" t="s">
        <v>1572</v>
      </c>
      <c r="AY67" s="1" t="str">
        <f>IFERROR(__xludf.DUMMYFUNCTION("GOOGLETRANSLATE(AX:AX, ""en"", ""te"")"),"1 × రైట్ R-1510-26 14-సిలిండర్ ఎయిర్ కూల్డ్ రేడియల్ ఇంజిన్, 625 HP (466 kW)")</f>
        <v>1 × రైట్ R-1510-26 14-సిలిండర్ ఎయిర్ కూల్డ్ రేడియల్ ఇంజిన్, 625 HP (466 kW)</v>
      </c>
      <c r="BB67" s="1" t="s">
        <v>1573</v>
      </c>
      <c r="BD67" s="1" t="s">
        <v>1574</v>
      </c>
      <c r="BG67" s="2"/>
      <c r="BI67" s="1" t="s">
        <v>1575</v>
      </c>
      <c r="BJ67" s="1" t="s">
        <v>1576</v>
      </c>
      <c r="BT67" s="1" t="s">
        <v>1577</v>
      </c>
      <c r="BX67" s="1"/>
      <c r="BY67" s="1" t="s">
        <v>1578</v>
      </c>
      <c r="CC67" s="1" t="s">
        <v>1579</v>
      </c>
      <c r="CD67" s="1" t="str">
        <f>IFERROR(__xludf.DUMMYFUNCTION("GOOGLETRANSLATE(CC:CC, ""en"", ""te"")"),"2 × .30 ఇన్ (7.62 మిమీ) M1919 బ్రౌనింగ్ మెషిన్ గన్స్")</f>
        <v>2 × .30 ఇన్ (7.62 మిమీ) M1919 బ్రౌనింగ్ మెషిన్ గన్స్</v>
      </c>
      <c r="CE67" s="1" t="s">
        <v>1580</v>
      </c>
      <c r="CF67" s="1" t="str">
        <f>IFERROR(__xludf.DUMMYFUNCTION("GOOGLETRANSLATE(CE:CE, ""en"", ""te"")"),"2 × 116 పౌండ్లు (53 కిలోలు) బాంబులు")</f>
        <v>2 × 116 పౌండ్లు (53 కిలోలు) బాంబులు</v>
      </c>
      <c r="CR67" s="1" t="s">
        <v>1581</v>
      </c>
      <c r="CS67" s="1" t="s">
        <v>1582</v>
      </c>
      <c r="DX67" s="1" t="s">
        <v>1583</v>
      </c>
    </row>
    <row r="68">
      <c r="A68" s="1" t="s">
        <v>1584</v>
      </c>
      <c r="B68" s="1" t="str">
        <f>IFERROR(__xludf.DUMMYFUNCTION("GOOGLETRANSLATE(A:A, ""en"", ""te"")"),"కాస్పర్ సి 35")</f>
        <v>కాస్పర్ సి 35</v>
      </c>
      <c r="C68" s="1" t="s">
        <v>1585</v>
      </c>
      <c r="D68" s="1" t="str">
        <f>IFERROR(__xludf.DUMMYFUNCTION("GOOGLETRANSLATE(C:C, ""en"", ""te"")"),"కాస్పర్ సి 35 ప్రివాల్ (ప్రివాల్ ద్వీపకల్పం కోసం) 1920 ల చివరలో ఒక జర్మన్ విమానాలు, వీటిలో ఒక్క ఉదాహరణ మాత్రమే నిర్మించబడింది. ఇది స్థిర టెయిల్‌స్కిడ్ అండర్ క్యారేజీతో సాంప్రదాయిక కాన్ఫిగరేషన్ యొక్క పెద్ద, సింగిల్-ఇంజిన్, సింగిల్-బే బైప్‌లేన్. అస్థిరమైన, "&amp;"సమాన-స్పాన్ రెక్కలను పెద్ద ఐ-స్ట్రట్‌తో కలుపుతారు. ప్రయాణీకులు పూర్తిగా పరివేష్టిత క్యాబిన్లో కూర్చున్నారు, కానీ ఫ్లైట్ డెక్ కూడా పూర్తిగా జతచేయబడింది. ఏకైక సి 35 ను డ్యూయిష్ లుఫ్ట్ హన్సా నిర్వహించింది, రోస్టాక్ నామకరణం చేసింది. ఇది జూలై 1930 లో నాశనం చేయ"&amp;"బడింది. జేన్ యొక్క అన్ని ప్రపంచ విమానాల నుండి డేటా 1928 [1] సాధారణ లక్షణాల పనితీరు")</f>
        <v>కాస్పర్ సి 35 ప్రివాల్ (ప్రివాల్ ద్వీపకల్పం కోసం) 1920 ల చివరలో ఒక జర్మన్ విమానాలు, వీటిలో ఒక్క ఉదాహరణ మాత్రమే నిర్మించబడింది. ఇది స్థిర టెయిల్‌స్కిడ్ అండర్ క్యారేజీతో సాంప్రదాయిక కాన్ఫిగరేషన్ యొక్క పెద్ద, సింగిల్-ఇంజిన్, సింగిల్-బే బైప్‌లేన్. అస్థిరమైన, సమాన-స్పాన్ రెక్కలను పెద్ద ఐ-స్ట్రట్‌తో కలుపుతారు. ప్రయాణీకులు పూర్తిగా పరివేష్టిత క్యాబిన్లో కూర్చున్నారు, కానీ ఫ్లైట్ డెక్ కూడా పూర్తిగా జతచేయబడింది. ఏకైక సి 35 ను డ్యూయిష్ లుఫ్ట్ హన్సా నిర్వహించింది, రోస్టాక్ నామకరణం చేసింది. ఇది జూలై 1930 లో నాశనం చేయబడింది. జేన్ యొక్క అన్ని ప్రపంచ విమానాల నుండి డేటా 1928 [1] సాధారణ లక్షణాల పనితీరు</v>
      </c>
      <c r="E68" s="1" t="s">
        <v>1586</v>
      </c>
      <c r="F68" s="1" t="s">
        <v>212</v>
      </c>
      <c r="G68" s="1" t="str">
        <f>IFERROR(__xludf.DUMMYFUNCTION("GOOGLETRANSLATE(F:F, ""en"", ""te"")"),"విమానాల")</f>
        <v>విమానాల</v>
      </c>
      <c r="L68" s="1" t="s">
        <v>1587</v>
      </c>
      <c r="M68" s="1" t="str">
        <f>IFERROR(__xludf.DUMMYFUNCTION("GOOGLETRANSLATE(L:L, ""en"", ""te"")"),"కాస్పర్-వర్కే")</f>
        <v>కాస్పర్-వర్కే</v>
      </c>
      <c r="N68" s="3" t="s">
        <v>1588</v>
      </c>
      <c r="O68" s="1" t="s">
        <v>1589</v>
      </c>
      <c r="P68" s="1" t="str">
        <f>IFERROR(__xludf.DUMMYFUNCTION("GOOGLETRANSLATE(O:O, ""en"", ""te"")"),"హెచ్ హెర్మాన్")</f>
        <v>హెచ్ హెర్మాన్</v>
      </c>
      <c r="R68" s="1">
        <v>1928.0</v>
      </c>
      <c r="S68" s="1">
        <v>1.0</v>
      </c>
      <c r="V68" s="1">
        <v>2.0</v>
      </c>
      <c r="W68" s="1" t="s">
        <v>1590</v>
      </c>
      <c r="X68" s="1" t="s">
        <v>1591</v>
      </c>
      <c r="Y68" s="1" t="s">
        <v>1592</v>
      </c>
      <c r="Z68" s="1" t="s">
        <v>1593</v>
      </c>
      <c r="AG68" s="1" t="s">
        <v>1594</v>
      </c>
      <c r="AH68" s="1" t="s">
        <v>1595</v>
      </c>
      <c r="AM68" s="1" t="s">
        <v>1596</v>
      </c>
      <c r="AN68" s="3" t="s">
        <v>1597</v>
      </c>
      <c r="AV68" s="1" t="s">
        <v>1275</v>
      </c>
      <c r="AX68" s="1" t="s">
        <v>1598</v>
      </c>
      <c r="AY68" s="1" t="str">
        <f>IFERROR(__xludf.DUMMYFUNCTION("GOOGLETRANSLATE(AX:AX, ""en"", ""te"")"),"1 × BMW VIU V-12 వాటర్-కూల్డ్ పిస్టన్ ఇంజిన్, 370 kW (500 HP) / 450 kW (600 HP)")</f>
        <v>1 × BMW VIU V-12 వాటర్-కూల్డ్ పిస్టన్ ఇంజిన్, 370 kW (500 HP) / 450 kW (600 HP)</v>
      </c>
      <c r="AZ68" s="1" t="s">
        <v>1599</v>
      </c>
      <c r="BA68" s="1" t="str">
        <f>IFERROR(__xludf.DUMMYFUNCTION("GOOGLETRANSLATE(AZ:AZ, ""en"", ""te"")"),"4-బ్లేడెడ్ స్థిర పిచ్ చెక్క ప్రొపెల్లర్")</f>
        <v>4-బ్లేడెడ్ స్థిర పిచ్ చెక్క ప్రొపెల్లర్</v>
      </c>
      <c r="BB68" s="1" t="s">
        <v>1600</v>
      </c>
      <c r="BC68" s="1" t="s">
        <v>1601</v>
      </c>
      <c r="BD68" s="1" t="s">
        <v>746</v>
      </c>
      <c r="BE68" s="1" t="s">
        <v>1602</v>
      </c>
      <c r="BG68" s="2"/>
      <c r="BT68" s="1" t="s">
        <v>879</v>
      </c>
      <c r="CA68" s="1" t="s">
        <v>1603</v>
      </c>
      <c r="CB68" s="1" t="s">
        <v>1604</v>
      </c>
    </row>
    <row r="69">
      <c r="A69" s="1" t="s">
        <v>1605</v>
      </c>
      <c r="B69" s="1" t="str">
        <f>IFERROR(__xludf.DUMMYFUNCTION("GOOGLETRANSLATE(A:A, ""en"", ""te"")"),"Tupolev tu-324")</f>
        <v>Tupolev tu-324</v>
      </c>
      <c r="C69" s="1" t="s">
        <v>1606</v>
      </c>
      <c r="D69" s="1" t="str">
        <f>IFERROR(__xludf.DUMMYFUNCTION("GOOGLETRANSLATE(C:C, ""en"", ""te"")"),"టుపోలేవ్ టియు -324 30-50 సీట్ల ప్రాంతీయ జెట్ ప్యాసింజర్ విమానం. జెట్ ఇవ్చెంకో-ప్రోగ్రెస్ AI-22 లేదా రోల్స్ రాయిస్ BR710 టర్బోఫాన్ ఇంజన్లచే జంటతో నడిచేది. ఈ విమానం ఎనిమిది -టెన్ ఎగ్జిక్యూటివ్‌లకు కార్పొరేట్ విమానంగా లభిస్తుంది. మూడు విమాన వేరియంట్ల పరిధి 2"&amp;"500 కిమీ, 5000 కిమీ మరియు 7000 కి.మీ. కార్గో వెర్షన్ 3000 కిలోల సరుకును మరియు 5900 కిలోమీటర్ల పరిధిని కలిగి ఉంటుంది. రష్యా యొక్క ప్రాంతీయ మార్గాల్లో వృద్ధాప్య YAK-40, TU-134, AN-24 మరియు AN-26 లను భర్తీ చేయడానికి TU-324 రూపొందించబడింది. ఎగ్జిక్యూటివ్ వెర్"&amp;"షన్‌లో ఉపగ్రహ ఫోన్, ఫ్యాక్స్ మరియు పిసి అవుట్‌లెట్ ఉంటాయి. టుపోలెవ్ టియు -324 కంకర మరియు మురికి వైమానిక క్షేత్రాల నుండి పనిచేయగలదు, ప్రయాణీకుల భద్రత మరియు సౌకర్యాన్ని అందిస్తుంది. తుపోలేవ్ టియు -324 రష్యాలోని కజాన్లోని S.P.Gorbunov విమాన ఉత్పత్తి సంఘంలో ఉ"&amp;"త్పత్తి చేయబడుతుంది. అంచనా ధర $ 19–23 మిలియన్ డాలర్లు. ఇటీవలి సంవత్సరాలలో, టాటార్స్తాన్ ప్రాంత రాజకీయ నాయకులు ఈ ప్రాజెక్ట్ కోసం పోరాడుతున్నప్పటికీ, [1] సుఖోయి సూపర్జెట్, ఆంటోనోవ్ AN-148 మరియు ఇర్కట్ MC-21 ప్రాజెక్టులను ప్రోత్సహించడంపై యునైటెడ్ ఎయిర్క్రాఫ్"&amp;"ట్ కార్పొరేషన్ దృష్టి సారించినందున తక్కువ పురోగతి మాత్రమే జరిగింది. 2016 లో, TU-324 యొక్క తయారీ ఇలాంటి ప్రాజెక్టులలో ప్రతిపాదించబడింది, కాని యునైటెడ్ ఎయిర్క్రాఫ్ట్ కార్పొరేషన్ బదులుగా ఇలూషిన్ IL-114 ఉత్పత్తిని పున art ప్రారంభించాలని నిర్ణయించింది. [2] [సై"&amp;"టేషన్ అవసరం] నుండి డేటా సాధారణ లక్షణాల పనితీరు")</f>
        <v>టుపోలేవ్ టియు -324 30-50 సీట్ల ప్రాంతీయ జెట్ ప్యాసింజర్ విమానం. జెట్ ఇవ్చెంకో-ప్రోగ్రెస్ AI-22 లేదా రోల్స్ రాయిస్ BR710 టర్బోఫాన్ ఇంజన్లచే జంటతో నడిచేది. ఈ విమానం ఎనిమిది -టెన్ ఎగ్జిక్యూటివ్‌లకు కార్పొరేట్ విమానంగా లభిస్తుంది. మూడు విమాన వేరియంట్ల పరిధి 2500 కిమీ, 5000 కిమీ మరియు 7000 కి.మీ. కార్గో వెర్షన్ 3000 కిలోల సరుకును మరియు 5900 కిలోమీటర్ల పరిధిని కలిగి ఉంటుంది. రష్యా యొక్క ప్రాంతీయ మార్గాల్లో వృద్ధాప్య YAK-40, TU-134, AN-24 మరియు AN-26 లను భర్తీ చేయడానికి TU-324 రూపొందించబడింది. ఎగ్జిక్యూటివ్ వెర్షన్‌లో ఉపగ్రహ ఫోన్, ఫ్యాక్స్ మరియు పిసి అవుట్‌లెట్ ఉంటాయి. టుపోలెవ్ టియు -324 కంకర మరియు మురికి వైమానిక క్షేత్రాల నుండి పనిచేయగలదు, ప్రయాణీకుల భద్రత మరియు సౌకర్యాన్ని అందిస్తుంది. తుపోలేవ్ టియు -324 రష్యాలోని కజాన్లోని S.P.Gorbunov విమాన ఉత్పత్తి సంఘంలో ఉత్పత్తి చేయబడుతుంది. అంచనా ధర $ 19–23 మిలియన్ డాలర్లు. ఇటీవలి సంవత్సరాలలో, టాటార్స్తాన్ ప్రాంత రాజకీయ నాయకులు ఈ ప్రాజెక్ట్ కోసం పోరాడుతున్నప్పటికీ, [1] సుఖోయి సూపర్జెట్, ఆంటోనోవ్ AN-148 మరియు ఇర్కట్ MC-21 ప్రాజెక్టులను ప్రోత్సహించడంపై యునైటెడ్ ఎయిర్క్రాఫ్ట్ కార్పొరేషన్ దృష్టి సారించినందున తక్కువ పురోగతి మాత్రమే జరిగింది. 2016 లో, TU-324 యొక్క తయారీ ఇలాంటి ప్రాజెక్టులలో ప్రతిపాదించబడింది, కాని యునైటెడ్ ఎయిర్క్రాఫ్ట్ కార్పొరేషన్ బదులుగా ఇలూషిన్ IL-114 ఉత్పత్తిని పున art ప్రారంభించాలని నిర్ణయించింది. [2] [సైటేషన్ అవసరం] నుండి డేటా సాధారణ లక్షణాల పనితీరు</v>
      </c>
      <c r="E69" s="1" t="s">
        <v>1607</v>
      </c>
      <c r="F69" s="1" t="s">
        <v>1608</v>
      </c>
      <c r="G69" s="1" t="str">
        <f>IFERROR(__xludf.DUMMYFUNCTION("GOOGLETRANSLATE(F:F, ""en"", ""te"")"),"జెట్ విమానాలు")</f>
        <v>జెట్ విమానాలు</v>
      </c>
      <c r="H69" s="1" t="s">
        <v>1609</v>
      </c>
      <c r="L69" s="1" t="s">
        <v>1364</v>
      </c>
      <c r="M69" s="1" t="str">
        <f>IFERROR(__xludf.DUMMYFUNCTION("GOOGLETRANSLATE(L:L, ""en"", ""te"")"),"Tupolev")</f>
        <v>Tupolev</v>
      </c>
      <c r="N69" s="3" t="s">
        <v>1365</v>
      </c>
      <c r="S69" s="1">
        <v>0.0</v>
      </c>
      <c r="T69" s="1" t="s">
        <v>1610</v>
      </c>
      <c r="V69" s="1">
        <v>2.0</v>
      </c>
      <c r="W69" s="1" t="s">
        <v>1611</v>
      </c>
      <c r="X69" s="1" t="s">
        <v>1612</v>
      </c>
      <c r="Y69" s="1" t="s">
        <v>1613</v>
      </c>
      <c r="AH69" s="1" t="s">
        <v>1614</v>
      </c>
      <c r="AS69" s="1" t="s">
        <v>1615</v>
      </c>
      <c r="AV69" s="1" t="s">
        <v>1616</v>
      </c>
      <c r="AX69" s="1" t="s">
        <v>1617</v>
      </c>
      <c r="AY69" s="1" t="str">
        <f>IFERROR(__xludf.DUMMYFUNCTION("GOOGLETRANSLATE(AX:AX, ""en"", ""te"")"),"2 × ivchenko-progress ai-22 లేదా రోల్స్ రాయిస్ BR710 టర్బోఫాన్ ఇంజన్లు")</f>
        <v>2 × ivchenko-progress ai-22 లేదా రోల్స్ రాయిస్ BR710 టర్బోఫాన్ ఇంజన్లు</v>
      </c>
      <c r="BC69" s="1" t="s">
        <v>1618</v>
      </c>
      <c r="BG69" s="2"/>
      <c r="BI69" s="1" t="s">
        <v>1619</v>
      </c>
      <c r="BJ69" s="1" t="s">
        <v>1620</v>
      </c>
      <c r="BT69" s="1" t="s">
        <v>1621</v>
      </c>
      <c r="BU69" s="1" t="s">
        <v>1622</v>
      </c>
      <c r="BV69" s="1" t="str">
        <f>IFERROR(__xludf.DUMMYFUNCTION("GOOGLETRANSLATE(BU:BU, ""en"", ""te"")"),"అభివృద్ధిలో, నిధుల కొరత కారణంగా రద్దు చేయవచ్చు.")</f>
        <v>అభివృద్ధిలో, నిధుల కొరత కారణంగా రద్దు చేయవచ్చు.</v>
      </c>
    </row>
    <row r="70">
      <c r="A70" s="1" t="s">
        <v>1623</v>
      </c>
      <c r="B70" s="1" t="str">
        <f>IFERROR(__xludf.DUMMYFUNCTION("GOOGLETRANSLATE(A:A, ""en"", ""te"")"),"PZL.44 WICHER")</f>
        <v>PZL.44 WICHER</v>
      </c>
      <c r="C70" s="1" t="s">
        <v>1624</v>
      </c>
      <c r="D70" s="1" t="str">
        <f>IFERROR(__xludf.DUMMYFUNCTION("GOOGLETRANSLATE(C:C, ""en"", ""te"")"),"PZL.44 WICHER (GALE) అనేది 14-సీట్ల, జంట-ఇంజిన్ పోలిష్ విమానాల యొక్క నమూనా, ఇది 1938 లో Państwowe zakłady lotniczesze (PZL) లో నిర్మించబడింది. ఇది DC-2 మరియు లాక్‌హీడ్ సూపర్ ఎలెక్ట్రాతో పోటీ పడటం. 1930 ల మధ్యలో, పోలిష్ కమ్యూనికేషన్ మంత్రిత్వ శాఖ లాట్ పోలి"&amp;"ష్ విమానయాన సంస్థల కోసం సొంత ప్రయాణీకుల విమానం అభివృద్ధి చేయాలని ఆదేశించింది, ఇప్పటివరకు దిగుమతి చేసుకున్న విమానాలను ఉపయోగిస్తుంది, ఎక్కువగా లాక్‌హీడ్ మోడల్ 10 ఎలెక్ట్రా మరియు డిసి -2. ఈ విమానం 1936-1937లో WSIEWOYOOD JAKIMIUK దర్శకత్వంలో PAESSTWOWE ZAKAAD"&amp;"Y LOTNICZE స్టేట్ ఫ్యాక్టరీలో రూపొందించబడింది. ఈ నమూనాను మార్చి 12, 1938 న బోలెస్సా ఓర్లియస్కీ ఎగురవేసింది. ఈ విమానం PZL.44 WICHER గా నియమించబడింది. డిసెంబర్ 1938 లో ఇది రిజిస్ట్రేషన్ ఎస్పీ-బిపిజెతో మూల్యాంకనం కోసం చాలా ఇవ్వబడింది. ప్రారంభంలో లాట్ ఎయిర్‌ల"&amp;"ైన్స్ 10 PZL.44 లను ఆదేశించింది, కాని ఒకే విమానం యొక్క అధిక వ్యయం మరియు అభివృద్ధిలో ఆలస్యం 1939 లో దీన్ని రద్దు చేసినందుకు కారణాలు 4 కి కారణాలు. బదులుగా. విచెర్ పోలాండ్‌లో రూపొందించిన మొట్టమొదటి ఆధునిక విమానంలో. దీని నిర్మాణం చాలా ఆధునికమైనది, కానీ మొత్తం"&amp;" కార్యక్రమం చాలా ప్రతిష్టాత్మకమైనదని అంచనా వేయబడింది, ఎందుకంటే ఎగుమతిపై ఎక్కువ ఆశ లేకుండా సొంత ప్రయాణీకుల విమానం యొక్క అభివృద్ధి లాభదాయకం కాదు. అంతేకాకుండా, లాట్ ఎయిర్‌లైన్స్ బాగా నిరూపించబడిన లాక్‌హీడ్ సూపర్ ఎలెక్ట్రా యొక్క ఆపరేషన్ లక్షణాలను మరింత సంతృప్"&amp;"తికరంగా కనుగొన్నాయి. లాక్‌హీడ్ లైసెన్స్ ఉత్పత్తికి కూడా అవకాశం ఇచ్చింది. అంతేకాకుండా, WICHER అభివృద్ధి PZL.50 JASTRZąB వంటి కొత్త ఫైటర్ విమానాల అభివృద్ధిలో ఆలస్యం అయ్యింది, ఇవి యుద్ధం యొక్క ఆగమనంలో మరింత అవసరం. ఆల్-మెటల్ కన్స్ట్రక్షన్ యొక్క ట్విన్-ఇంజిన్ "&amp;"లో-వింగ్ కాంటిలివర్ మోనోప్లేన్, మెటల్ కవర్ (ఆల్క్లాడ్ షీట్ తో). ఫ్యూజ్‌లేజ్ సెమీ మోనోకోక్. 4 మంది సిబ్బందితో సిబ్బంది కాక్‌పిట్: ఇద్దరు పైలట్లు, రేడియో ఆపరేటర్ మరియు మెకానిక్. రెండు వరుసలలో 14 సీట్లతో ప్రయాణీకుల క్యాబ్, కొలతలు: పొడవు 9 మీ, వెడల్పు 1.7 మీ,"&amp;" ఎత్తు 1.85 మీ. వెనుక భాగంలో, స్టీవార్డ్ సీటుతో WC మరియు (ప్రణాళిక) బఫే. ముందు ఎడమ వైపున ఉన్న సిబ్బంది తలుపులు, వెనుక భాగంలో ఎడమ వైపున ప్రయాణీకుల తలుపులు. సామాను స్థలం కాక్‌పిట్ మరియు ప్రయాణీకుల క్యాబ్ మధ్య మరియు తోక విభాగంలో, సామర్థ్యం: 5 m³. ఎలిప్టికల్ "&amp;"వింగ్ (pzl.37 łoś బాంబర్ మాదిరిగానే ఆకారం). రెక్కలలో ఇంజిన్ నాసెల్లెస్. మూడు-బ్లేడ్ హామిల్టన్ స్టాండర్డ్ ప్రొపెల్లర్స్. ముడుచుకునే సాంప్రదాయిక ల్యాండింగ్ గేర్ - సింగిల్ వీల్స్ కలిగిన ప్రధాన గేర్ ఇంజిన్ నాసెల్స్‌కు ముడుచుకుంటుంది. డబుల్ ఎలిప్టికల్ టెయిల్‌ఫ"&amp;"ిన్. రెక్కలలో ఇంధన ట్యాంకులు 2200 ఎల్ (సాధారణ లోడ్ 1800 ఎల్). రెండవ ప్రపంచ యుద్ధం ప్రారంభమైన తరువాత, 1 సెప్టెంబర్ 1939 న, ప్రోటోటైప్ వార్సా నుండి LWéow కు ఖాళీ చేయబడింది, కాని ఇది ల్యాండింగ్ గేర్‌ను దెబ్బతీసింది మరియు అక్కడే మిగిలిపోయింది. ఇది తరువాత ఆక్ర"&amp;"మణ సోవియట్ చేత స్వాధీనం చేసుకుంది మరియు మాస్కోలో మూల్యాంకనం చేయబడింది. పోలిష్ విమానం నుండి డేటా 1893-1939 [1] పోల్చదగిన పాత్ర, కాన్ఫిగరేషన్ మరియు ERA యొక్క సాధారణ లక్షణాల పనితీరు విమానం పనితీరు")</f>
        <v>PZL.44 WICHER (GALE) అనేది 14-సీట్ల, జంట-ఇంజిన్ పోలిష్ విమానాల యొక్క నమూనా, ఇది 1938 లో Państwowe zakłady lotniczesze (PZL) లో నిర్మించబడింది. ఇది DC-2 మరియు లాక్‌హీడ్ సూపర్ ఎలెక్ట్రాతో పోటీ పడటం. 1930 ల మధ్యలో, పోలిష్ కమ్యూనికేషన్ మంత్రిత్వ శాఖ లాట్ పోలిష్ విమానయాన సంస్థల కోసం సొంత ప్రయాణీకుల విమానం అభివృద్ధి చేయాలని ఆదేశించింది, ఇప్పటివరకు దిగుమతి చేసుకున్న విమానాలను ఉపయోగిస్తుంది, ఎక్కువగా లాక్‌హీడ్ మోడల్ 10 ఎలెక్ట్రా మరియు డిసి -2. ఈ విమానం 1936-1937లో WSIEWOYOOD JAKIMIUK దర్శకత్వంలో PAESSTWOWE ZAKAADY LOTNICZE స్టేట్ ఫ్యాక్టరీలో రూపొందించబడింది. ఈ నమూనాను మార్చి 12, 1938 న బోలెస్సా ఓర్లియస్కీ ఎగురవేసింది. ఈ విమానం PZL.44 WICHER గా నియమించబడింది. డిసెంబర్ 1938 లో ఇది రిజిస్ట్రేషన్ ఎస్పీ-బిపిజెతో మూల్యాంకనం కోసం చాలా ఇవ్వబడింది. ప్రారంభంలో లాట్ ఎయిర్‌లైన్స్ 10 PZL.44 లను ఆదేశించింది, కాని ఒకే విమానం యొక్క అధిక వ్యయం మరియు అభివృద్ధిలో ఆలస్యం 1939 లో దీన్ని రద్దు చేసినందుకు కారణాలు 4 కి కారణాలు. బదులుగా. విచెర్ పోలాండ్‌లో రూపొందించిన మొట్టమొదటి ఆధునిక విమానంలో. దీని నిర్మాణం చాలా ఆధునికమైనది, కానీ మొత్తం కార్యక్రమం చాలా ప్రతిష్టాత్మకమైనదని అంచనా వేయబడింది, ఎందుకంటే ఎగుమతిపై ఎక్కువ ఆశ లేకుండా సొంత ప్రయాణీకుల విమానం యొక్క అభివృద్ధి లాభదాయకం కాదు. అంతేకాకుండా, లాట్ ఎయిర్‌లైన్స్ బాగా నిరూపించబడిన లాక్‌హీడ్ సూపర్ ఎలెక్ట్రా యొక్క ఆపరేషన్ లక్షణాలను మరింత సంతృప్తికరంగా కనుగొన్నాయి. లాక్‌హీడ్ లైసెన్స్ ఉత్పత్తికి కూడా అవకాశం ఇచ్చింది. అంతేకాకుండా, WICHER అభివృద్ధి PZL.50 JASTRZąB వంటి కొత్త ఫైటర్ విమానాల అభివృద్ధిలో ఆలస్యం అయ్యింది, ఇవి యుద్ధం యొక్క ఆగమనంలో మరింత అవసరం. ఆల్-మెటల్ కన్స్ట్రక్షన్ యొక్క ట్విన్-ఇంజిన్ లో-వింగ్ కాంటిలివర్ మోనోప్లేన్, మెటల్ కవర్ (ఆల్క్లాడ్ షీట్ తో). ఫ్యూజ్‌లేజ్ సెమీ మోనోకోక్. 4 మంది సిబ్బందితో సిబ్బంది కాక్‌పిట్: ఇద్దరు పైలట్లు, రేడియో ఆపరేటర్ మరియు మెకానిక్. రెండు వరుసలలో 14 సీట్లతో ప్రయాణీకుల క్యాబ్, కొలతలు: పొడవు 9 మీ, వెడల్పు 1.7 మీ, ఎత్తు 1.85 మీ. వెనుక భాగంలో, స్టీవార్డ్ సీటుతో WC మరియు (ప్రణాళిక) బఫే. ముందు ఎడమ వైపున ఉన్న సిబ్బంది తలుపులు, వెనుక భాగంలో ఎడమ వైపున ప్రయాణీకుల తలుపులు. సామాను స్థలం కాక్‌పిట్ మరియు ప్రయాణీకుల క్యాబ్ మధ్య మరియు తోక విభాగంలో, సామర్థ్యం: 5 m³. ఎలిప్టికల్ వింగ్ (pzl.37 łoś బాంబర్ మాదిరిగానే ఆకారం). రెక్కలలో ఇంజిన్ నాసెల్లెస్. మూడు-బ్లేడ్ హామిల్టన్ స్టాండర్డ్ ప్రొపెల్లర్స్. ముడుచుకునే సాంప్రదాయిక ల్యాండింగ్ గేర్ - సింగిల్ వీల్స్ కలిగిన ప్రధాన గేర్ ఇంజిన్ నాసెల్స్‌కు ముడుచుకుంటుంది. డబుల్ ఎలిప్టికల్ టెయిల్‌ఫిన్. రెక్కలలో ఇంధన ట్యాంకులు 2200 ఎల్ (సాధారణ లోడ్ 1800 ఎల్). రెండవ ప్రపంచ యుద్ధం ప్రారంభమైన తరువాత, 1 సెప్టెంబర్ 1939 న, ప్రోటోటైప్ వార్సా నుండి LWéow కు ఖాళీ చేయబడింది, కాని ఇది ల్యాండింగ్ గేర్‌ను దెబ్బతీసింది మరియు అక్కడే మిగిలిపోయింది. ఇది తరువాత ఆక్రమణ సోవియట్ చేత స్వాధీనం చేసుకుంది మరియు మాస్కోలో మూల్యాంకనం చేయబడింది. పోలిష్ విమానం నుండి డేటా 1893-1939 [1] పోల్చదగిన పాత్ర, కాన్ఫిగరేషన్ మరియు ERA యొక్క సాధారణ లక్షణాల పనితీరు విమానం పనితీరు</v>
      </c>
      <c r="E70" s="1" t="s">
        <v>1625</v>
      </c>
      <c r="F70" s="1" t="s">
        <v>1626</v>
      </c>
      <c r="G70" s="1" t="str">
        <f>IFERROR(__xludf.DUMMYFUNCTION("GOOGLETRANSLATE(F:F, ""en"", ""te"")"),"ప్రయాణీకుల విమానం")</f>
        <v>ప్రయాణీకుల విమానం</v>
      </c>
      <c r="L70" s="1" t="s">
        <v>1627</v>
      </c>
      <c r="M70" s="1" t="str">
        <f>IFERROR(__xludf.DUMMYFUNCTION("GOOGLETRANSLATE(L:L, ""en"", ""te"")"),"Państwowe zakłady lotnicze")</f>
        <v>Państwowe zakłady lotnicze</v>
      </c>
      <c r="N70" s="1" t="s">
        <v>1628</v>
      </c>
      <c r="R70" s="4">
        <v>13951.0</v>
      </c>
      <c r="S70" s="1" t="s">
        <v>1629</v>
      </c>
      <c r="V70" s="1">
        <v>4.0</v>
      </c>
      <c r="W70" s="1" t="s">
        <v>1630</v>
      </c>
      <c r="X70" s="1" t="s">
        <v>1631</v>
      </c>
      <c r="Y70" s="1" t="s">
        <v>1632</v>
      </c>
      <c r="Z70" s="1" t="s">
        <v>220</v>
      </c>
      <c r="AG70" s="1" t="s">
        <v>1633</v>
      </c>
      <c r="AH70" s="1" t="s">
        <v>1634</v>
      </c>
      <c r="AM70" s="1" t="s">
        <v>1635</v>
      </c>
      <c r="AQ70" s="1">
        <v>1939.0</v>
      </c>
      <c r="AV70" s="1" t="s">
        <v>1636</v>
      </c>
      <c r="AW70" s="1" t="s">
        <v>1637</v>
      </c>
      <c r="AX70" s="1" t="s">
        <v>1638</v>
      </c>
      <c r="AY70" s="1" t="str">
        <f>IFERROR(__xludf.DUMMYFUNCTION("GOOGLETRANSLATE(AX:AX, ""en"", ""te"")"),"1 × రైట్ GR-1820-G2 తుఫాను 9-సిలిండర్ ఎయిర్-కూల్డ్ రేడియల్ పిస్టన్ ఇంజిన్, 750 kW (1,000 HP)")</f>
        <v>1 × రైట్ GR-1820-G2 తుఫాను 9-సిలిండర్ ఎయిర్-కూల్డ్ రేడియల్ పిస్టన్ ఇంజిన్, 750 kW (1,000 HP)</v>
      </c>
      <c r="AZ70" s="1" t="s">
        <v>1639</v>
      </c>
      <c r="BA70" s="1" t="str">
        <f>IFERROR(__xludf.DUMMYFUNCTION("GOOGLETRANSLATE(AZ:AZ, ""en"", ""te"")"),"3-బ్లేడెడ్ హామిల్టన్-ప్రామాణిక స్థిరమైన-స్పీడ్ ప్రొపెల్లర్లు")</f>
        <v>3-బ్లేడెడ్ హామిల్టన్-ప్రామాణిక స్థిరమైన-స్పీడ్ ప్రొపెల్లర్లు</v>
      </c>
      <c r="BB70" s="1" t="s">
        <v>1640</v>
      </c>
      <c r="BC70" s="1" t="s">
        <v>1641</v>
      </c>
      <c r="BD70" s="1" t="s">
        <v>1642</v>
      </c>
      <c r="BE70" s="1" t="s">
        <v>1643</v>
      </c>
      <c r="BF70" s="1" t="s">
        <v>1644</v>
      </c>
      <c r="BG70" s="2" t="str">
        <f>IFERROR(__xludf.DUMMYFUNCTION("GOOGLETRANSLATE(BF:BF, ""en"", ""te"")"),"లాట్ పోలిష్ విమానయాన సంస్థలు")</f>
        <v>లాట్ పోలిష్ విమానయాన సంస్థలు</v>
      </c>
      <c r="BH70" s="1" t="s">
        <v>1645</v>
      </c>
      <c r="BR70" s="1" t="s">
        <v>827</v>
      </c>
      <c r="BS70" s="1" t="s">
        <v>1646</v>
      </c>
      <c r="BT70" s="1" t="s">
        <v>1647</v>
      </c>
      <c r="BU70" s="1" t="s">
        <v>1648</v>
      </c>
      <c r="BV70" s="1" t="str">
        <f>IFERROR(__xludf.DUMMYFUNCTION("GOOGLETRANSLATE(BU:BU, ""en"", ""te"")"),"ప్రోటోటైప్")</f>
        <v>ప్రోటోటైప్</v>
      </c>
      <c r="BW70" s="1">
        <v>1938.0</v>
      </c>
      <c r="BX70" s="1"/>
      <c r="BY70" s="1" t="s">
        <v>222</v>
      </c>
      <c r="DY70" s="1" t="s">
        <v>1649</v>
      </c>
    </row>
    <row r="71">
      <c r="A71" s="1" t="s">
        <v>1650</v>
      </c>
      <c r="B71" s="1" t="str">
        <f>IFERROR(__xludf.DUMMYFUNCTION("GOOGLETRANSLATE(A:A, ""en"", ""te"")"),"Fma i.ae. 37")</f>
        <v>Fma i.ae. 37</v>
      </c>
      <c r="C71" s="1" t="s">
        <v>1651</v>
      </c>
      <c r="D71" s="1" t="str">
        <f>IFERROR(__xludf.DUMMYFUNCTION("GOOGLETRANSLATE(C:C, ""en"", ""te"")"),"Fma i.ae. [37] 1950 లలో అర్జెంటీనాలో అభివృద్ధి చేసిన ప్రోటోటైప్ జెట్ ఫైటర్. ఇది ఎప్పుడూ ప్రయాణించలేదు మరియు 1960 లో రద్దు చేయబడింది. [1] రీమార్ హోర్టెన్ I.AE లో పని ప్రారంభించాడు. [37] 1952 లో, అతని మునుపటి ఫ్లయింగ్ వింగ్ ప్రాజెక్టులు 1951 లో రద్దు చేయబడి"&amp;"న తరువాత. ఇది సింగిల్-ఇంజిన్ జెట్ ఫైటర్, ఇది డెల్టా వింగ్ ఫ్లయింగ్ వింగ్ నిర్మాణాన్ని ముక్కు యొక్క ప్రతి వైపు పార్శ్వ ఇంజిన్ ఇన్లెట్లతో ఉపయోగించింది. విండ్ టన్నెల్ పరీక్షలు 1953 లో ప్రారంభమయ్యాయి, స్కేల్ మోడళ్లను 200 కిమీ/గం (120 mph) వరకు వేగంతో పరీక్షిం"&amp;"చారు. పూర్తి స్థాయి గ్లైడర్ నిర్మించబడింది మరియు 1 అక్టోబర్ 1954 న దాని మొదటి విమానంలో ఉంది. చాలా అసాధారణంగా పైలట్ వేసుకుని స్పష్టమైన ముక్కు ద్వారా చూశాడు. ఫ్లైట్ పనితీరు అద్భుతమైనదిగా భావించబడింది మరియు రోల్స్ రాయిస్ డెర్వెంట్ V చేత శక్తినిచ్చే ప్రోటోటైప"&amp;"్ యొక్క తయారీ 1955 లో ప్రారంభమైంది. ఈ ఇంజిన్ ఇది తక్షణమే అందుబాటులో ఉన్నందున ఎంపిక చేయబడింది, కాని ఫైటర్ కోసం కోరుకున్న థ్రస్ట్ లేదు. గ్లైడర్ 1956 లో సాధారణ కాక్‌పిట్‌తో సవరించబడింది. కొంతకాలం తర్వాత ప్రోగ్రామ్ విభజించబడింది 48, రెక్కల క్రింద రెండు పాడ్డ్"&amp;" ఇంజన్లతో మరియు మాక్ 2.2 (గంటకు 2,700 కిమీ) చేరుకోవడానికి ఉద్దేశించబడింది. ఏదేమైనా, రెండు ప్రాజెక్టులు 1960 లో ఆర్థిక కొలతగా రద్దు చేయబడ్డాయి, I.AE. 37 ఎగరడం. [2] రివాస్ 2008 నుండి డేటా, పే. 170 జనరల్ లక్షణాల పనితీరు")</f>
        <v>Fma i.ae. [37] 1950 లలో అర్జెంటీనాలో అభివృద్ధి చేసిన ప్రోటోటైప్ జెట్ ఫైటర్. ఇది ఎప్పుడూ ప్రయాణించలేదు మరియు 1960 లో రద్దు చేయబడింది. [1] రీమార్ హోర్టెన్ I.AE లో పని ప్రారంభించాడు. [37] 1952 లో, అతని మునుపటి ఫ్లయింగ్ వింగ్ ప్రాజెక్టులు 1951 లో రద్దు చేయబడిన తరువాత. ఇది సింగిల్-ఇంజిన్ జెట్ ఫైటర్, ఇది డెల్టా వింగ్ ఫ్లయింగ్ వింగ్ నిర్మాణాన్ని ముక్కు యొక్క ప్రతి వైపు పార్శ్వ ఇంజిన్ ఇన్లెట్లతో ఉపయోగించింది. విండ్ టన్నెల్ పరీక్షలు 1953 లో ప్రారంభమయ్యాయి, స్కేల్ మోడళ్లను 200 కిమీ/గం (120 mph) వరకు వేగంతో పరీక్షించారు. పూర్తి స్థాయి గ్లైడర్ నిర్మించబడింది మరియు 1 అక్టోబర్ 1954 న దాని మొదటి విమానంలో ఉంది. చాలా అసాధారణంగా పైలట్ వేసుకుని స్పష్టమైన ముక్కు ద్వారా చూశాడు. ఫ్లైట్ పనితీరు అద్భుతమైనదిగా భావించబడింది మరియు రోల్స్ రాయిస్ డెర్వెంట్ V చేత శక్తినిచ్చే ప్రోటోటైప్ యొక్క తయారీ 1955 లో ప్రారంభమైంది. ఈ ఇంజిన్ ఇది తక్షణమే అందుబాటులో ఉన్నందున ఎంపిక చేయబడింది, కాని ఫైటర్ కోసం కోరుకున్న థ్రస్ట్ లేదు. గ్లైడర్ 1956 లో సాధారణ కాక్‌పిట్‌తో సవరించబడింది. కొంతకాలం తర్వాత ప్రోగ్రామ్ విభజించబడింది 48, రెక్కల క్రింద రెండు పాడ్డ్ ఇంజన్లతో మరియు మాక్ 2.2 (గంటకు 2,700 కిమీ) చేరుకోవడానికి ఉద్దేశించబడింది. ఏదేమైనా, రెండు ప్రాజెక్టులు 1960 లో ఆర్థిక కొలతగా రద్దు చేయబడ్డాయి, I.AE. 37 ఎగరడం. [2] రివాస్ 2008 నుండి డేటా, పే. 170 జనరల్ లక్షణాల పనితీరు</v>
      </c>
      <c r="E71" s="1" t="s">
        <v>1652</v>
      </c>
      <c r="F71" s="1" t="s">
        <v>1653</v>
      </c>
      <c r="G71" s="1" t="str">
        <f>IFERROR(__xludf.DUMMYFUNCTION("GOOGLETRANSLATE(F:F, ""en"", ""te"")"),"ఇంటర్‌సెప్టర్")</f>
        <v>ఇంటర్‌సెప్టర్</v>
      </c>
      <c r="I71" s="1" t="s">
        <v>1654</v>
      </c>
      <c r="J71" s="1" t="str">
        <f>IFERROR(__xludf.DUMMYFUNCTION("GOOGLETRANSLATE(I:I, ""en"", ""te"")"),"అర్జెంటీనా")</f>
        <v>అర్జెంటీనా</v>
      </c>
      <c r="K71" s="3" t="s">
        <v>1655</v>
      </c>
      <c r="L71" s="1" t="s">
        <v>1656</v>
      </c>
      <c r="M71" s="1" t="str">
        <f>IFERROR(__xludf.DUMMYFUNCTION("GOOGLETRANSLATE(L:L, ""en"", ""te"")"),"ఫాబ్రికా మిలిటార్ డి ఏవియోన్స్")</f>
        <v>ఫాబ్రికా మిలిటార్ డి ఏవియోన్స్</v>
      </c>
      <c r="N71" s="1" t="s">
        <v>1657</v>
      </c>
      <c r="O71" s="1" t="s">
        <v>1658</v>
      </c>
      <c r="P71" s="1" t="str">
        <f>IFERROR(__xludf.DUMMYFUNCTION("GOOGLETRANSLATE(O:O, ""en"", ""te"")"),"రీమార్ హోర్టెన్")</f>
        <v>రీమార్ హోర్టెన్</v>
      </c>
      <c r="Q71" s="1" t="s">
        <v>1659</v>
      </c>
      <c r="V71" s="1">
        <v>1.0</v>
      </c>
      <c r="W71" s="1" t="s">
        <v>1660</v>
      </c>
      <c r="X71" s="1" t="s">
        <v>722</v>
      </c>
      <c r="Y71" s="1" t="s">
        <v>1661</v>
      </c>
      <c r="Z71" s="1" t="s">
        <v>1662</v>
      </c>
      <c r="AG71" s="1" t="s">
        <v>1663</v>
      </c>
      <c r="AH71" s="1" t="s">
        <v>1664</v>
      </c>
      <c r="AX71" s="1" t="s">
        <v>1665</v>
      </c>
      <c r="AY71" s="1" t="str">
        <f>IFERROR(__xludf.DUMMYFUNCTION("GOOGLETRANSLATE(AX:AX, ""en"", ""te"")"),"1 × రోల్స్ రాయిస్ డెర్వెంట్ వి టర్బోజెట్, 16.02 కెఎన్ (3,600 ఎల్బిఎఫ్) థ్రస్ట్")</f>
        <v>1 × రోల్స్ రాయిస్ డెర్వెంట్ వి టర్బోజెట్, 16.02 కెఎన్ (3,600 ఎల్బిఎఫ్) థ్రస్ట్</v>
      </c>
      <c r="BB71" s="1" t="s">
        <v>1618</v>
      </c>
      <c r="BD71" s="1" t="s">
        <v>1666</v>
      </c>
      <c r="BG71" s="2"/>
      <c r="BT71" s="1" t="s">
        <v>1667</v>
      </c>
      <c r="BU71" s="1" t="s">
        <v>1668</v>
      </c>
      <c r="BV71" s="1" t="str">
        <f>IFERROR(__xludf.DUMMYFUNCTION("GOOGLETRANSLATE(BU:BU, ""en"", ""te"")"),"రద్దు చేయబడింది 1960")</f>
        <v>రద్దు చేయబడింది 1960</v>
      </c>
    </row>
    <row r="72">
      <c r="A72" s="1" t="s">
        <v>1669</v>
      </c>
      <c r="B72" s="1" t="str">
        <f>IFERROR(__xludf.DUMMYFUNCTION("GOOGLETRANSLATE(A:A, ""en"", ""te"")"),"బ్లోమ్ &amp; వోస్ బివి 40")</f>
        <v>బ్లోమ్ &amp; వోస్ బివి 40</v>
      </c>
      <c r="C72" s="1" t="s">
        <v>1670</v>
      </c>
      <c r="D72" s="1" t="str">
        <f>IFERROR(__xludf.DUMMYFUNCTION("GOOGLETRANSLATE(C:C, ""en"", ""te"")"),"బ్లోమ్ &amp; వోస్ బివి 40 నాజీ జర్మనీపై బాంబు దాడుల సమయంలో మిత్రరాజ్యాల బాంబర్ నిర్మాణాలపై దాడి చేయడానికి రూపొందించిన జర్మన్ గ్లైడర్ ఫైటర్. BV 40 అనేది చిన్న గ్లైడర్, ఇది సాయుధ కాక్‌పిట్ మరియు రెండు ఫిరంగి పరిమిత మందుగుండు సామగ్రిని కలిగి ఉంటుంది. ఇంజిన్‌ను త"&amp;"ొలగించడం ద్వారా మరియు పైలట్‌ను పీడిత స్థితిలో (అనగా అతని ముందు) పడుకోవడం ద్వారా, ఫ్యూజ్‌లేజ్ యొక్క క్రాస్ సెక్షనల్ ప్రాంతం చాలా తగ్గింది, బాంబర్ గన్నర్లకు BV 40 కష్టతరం చేస్తుంది. [1] ఈ విమానం వ్యూహరహిత పదార్థాలను ఉపయోగించడానికి మరియు నైపుణ్యం లేని కార్మి"&amp;"కులు సాధ్యమైనంత తక్కువ సమయంలో నిర్మించడానికి రూపొందించబడింది. ఫ్యూజ్‌లేజ్ దాదాపు పూర్తిగా చెక్కతో నిర్మించబడింది. [2] ఇది సాంప్రదాయిక లేఅవుట్, గ్లైడర్ అధిక-మౌంటెడ్, స్ట్రెయిట్ అన్‌పెర్డ్ వింగ్ కలిగి ఉంది, అదేవిధంగా ఆకారంలో ఉన్న టెయిల్‌ప్లేన్‌తో ఫ్యూజ్‌లేజ"&amp;"్ పైన ఉన్న ఫిన్ మీద అమర్చారు. పైలట్ విమానం యొక్క ముక్కులో సాయుధ ఉక్కు కాక్‌పిట్‌లోకి దూసుకెళ్లాడు. ఫ్రంట్ స్టీల్ ప్లేట్ 20 మిల్లీమీటర్ల (0.79 అంగుళాలు) మందంగా ఉంది మరియు 120-మిల్లీమీటర్ల (4.7 అంగుళాలు) మందపాటి, సాయుధ గాజు [3] యొక్క విండ్‌స్క్రీన్‌తో అమర్చ"&amp;"బడి ఉంది, ఇది విమానం మొద్దుబారిన ముక్కు రూపాన్ని ఇచ్చింది. రెండు 30 మిమీ (1.18 అంగుళాలు) MK 108 ఫిరంగిని రెక్క మూలాలలో అమర్చారు. సాంప్రదాయిక అండర్ క్యారేజ్ లేదు. గ్లైడర్ గాలిలో ఉన్నప్పుడు టేకాఫ్ కోసం జంట-చక్రాల డాలీని టేకాఫ్ కోసం ఉపయోగించారు మరియు పడిపోయి"&amp;"ంది. ముక్కు కింద ఒక స్కిడ్ ల్యాండింగ్ కోసం తగ్గించబడింది. BV 40 ఇంటర్‌సెప్టర్ గ్లైడర్‌ను బ్లోమ్ &amp; వోస్ యొక్క చీఫ్ డిజైనర్ మరియు టెక్నికల్ డైరెక్టర్ డాక్టర్ రిచర్డ్ వోగ్ట్ రూపొందించారు, [3] ప్రపంచంలోని చివరి భాగంలో జర్మనీని వినాశకరమైన చేస్తున్న మిత్రరాజ్యా"&amp;"ల బాంబర్ నిర్మాణాల సమస్యకు తక్కువ-ధర అత్యవసర పరిష్కారం యుద్ధం II. దీనిని మెసర్‌ష్మిట్ బిఎఫ్ 109 కార్యాచరణ ఎత్తుకు లాగడం మరియు అనుబంధ బాంబర్స్ కంబాట్ బాక్స్ పైన విడుదల చేయబడింది. [4] విడుదలైన తర్వాత, అది శత్రు బాంబర్ విమానాల వైపు పదునైన కోణంలో మునిగిపోతుంద"&amp;"ి. దాని చిన్న దాడి సమయంలో, BV 40 దాని ఆయుధాలను కాల్చివేస్తుంది, తరువాత తిరిగి భూమికి గ్లైడ్ చేస్తుంది. అనేక ప్రోటోటైప్‌లు పూర్తయ్యాయి మరియు ఎగిరిపోయాయి, మెసర్‌ష్మిట్ బిఎఫ్ 110 వెనుకకు లాగబడ్డాయి. మొదటి ఫ్లైట్ మే 1944 లో జరిగింది. క్రాఫ్ట్ గంటకు 292 మైళ్ళు"&amp;" (గంటకు 470 కిమీ) చేరుకోగలదని కనుగొనబడింది మరియు ఇది వెళ్ళే అవకాశం ఉందని భావించబడింది చాలా వేగంగా. [3] సంవత్సరం తరువాత ఈ ప్రాజెక్ట్ రద్దు చేయబడటానికి ముందు, అవసరానికి మరియు డిజైన్‌కు వివిధ మార్పులు చర్చించబడ్డాయి. మొత్తం మీద ఏడు విమానాలు పూర్తయ్యాయి మరియు"&amp;" వాటిలో ఐదు ఎగిరిపోయాయి. ఈ ప్రమాదకరమైన విమానం యొక్క ఆపరేషన్‌లో అంతర్లీనంగా ఉన్న పైలట్‌కు సంభావ్య ప్రమాదాల కారణంగా, BV 40 కొన్నిసార్లు ఆత్మహత్య ఆయుధంగా జాబితా చేయబడుతుంది, కానీ ఇది ఉద్దేశించినది కాదు. [5] థర్డ్ రీచ్ యొక్క వార్‌ప్లానేస్ నుండి డేటా, [6] డై డ"&amp;"్యూయిష్ లుఫ్‌ట్రూస్టంగ్ 1933-1945 వాల్యూమ్ 1-AEG-డోర్నియర్ [7] సాధారణ లక్షణాలు పనితీరు ఆయుధ సంబంధిత జాబితాలు")</f>
        <v>బ్లోమ్ &amp; వోస్ బివి 40 నాజీ జర్మనీపై బాంబు దాడుల సమయంలో మిత్రరాజ్యాల బాంబర్ నిర్మాణాలపై దాడి చేయడానికి రూపొందించిన జర్మన్ గ్లైడర్ ఫైటర్. BV 40 అనేది చిన్న గ్లైడర్, ఇది సాయుధ కాక్‌పిట్ మరియు రెండు ఫిరంగి పరిమిత మందుగుండు సామగ్రిని కలిగి ఉంటుంది. ఇంజిన్‌ను తొలగించడం ద్వారా మరియు పైలట్‌ను పీడిత స్థితిలో (అనగా అతని ముందు) పడుకోవడం ద్వారా, ఫ్యూజ్‌లేజ్ యొక్క క్రాస్ సెక్షనల్ ప్రాంతం చాలా తగ్గింది, బాంబర్ గన్నర్లకు BV 40 కష్టతరం చేస్తుంది. [1] ఈ విమానం వ్యూహరహిత పదార్థాలను ఉపయోగించడానికి మరియు నైపుణ్యం లేని కార్మికులు సాధ్యమైనంత తక్కువ సమయంలో నిర్మించడానికి రూపొందించబడింది. ఫ్యూజ్‌లేజ్ దాదాపు పూర్తిగా చెక్కతో నిర్మించబడింది. [2] ఇది సాంప్రదాయిక లేఅవుట్, గ్లైడర్ అధిక-మౌంటెడ్, స్ట్రెయిట్ అన్‌పెర్డ్ వింగ్ కలిగి ఉంది, అదేవిధంగా ఆకారంలో ఉన్న టెయిల్‌ప్లేన్‌తో ఫ్యూజ్‌లేజ్ పైన ఉన్న ఫిన్ మీద అమర్చారు. పైలట్ విమానం యొక్క ముక్కులో సాయుధ ఉక్కు కాక్‌పిట్‌లోకి దూసుకెళ్లాడు. ఫ్రంట్ స్టీల్ ప్లేట్ 20 మిల్లీమీటర్ల (0.79 అంగుళాలు) మందంగా ఉంది మరియు 120-మిల్లీమీటర్ల (4.7 అంగుళాలు) మందపాటి, సాయుధ గాజు [3] యొక్క విండ్‌స్క్రీన్‌తో అమర్చబడి ఉంది, ఇది విమానం మొద్దుబారిన ముక్కు రూపాన్ని ఇచ్చింది. రెండు 30 మిమీ (1.18 అంగుళాలు) MK 108 ఫిరంగిని రెక్క మూలాలలో అమర్చారు. సాంప్రదాయిక అండర్ క్యారేజ్ లేదు. గ్లైడర్ గాలిలో ఉన్నప్పుడు టేకాఫ్ కోసం జంట-చక్రాల డాలీని టేకాఫ్ కోసం ఉపయోగించారు మరియు పడిపోయింది. ముక్కు కింద ఒక స్కిడ్ ల్యాండింగ్ కోసం తగ్గించబడింది. BV 40 ఇంటర్‌సెప్టర్ గ్లైడర్‌ను బ్లోమ్ &amp; వోస్ యొక్క చీఫ్ డిజైనర్ మరియు టెక్నికల్ డైరెక్టర్ డాక్టర్ రిచర్డ్ వోగ్ట్ రూపొందించారు, [3] ప్రపంచంలోని చివరి భాగంలో జర్మనీని వినాశకరమైన చేస్తున్న మిత్రరాజ్యాల బాంబర్ నిర్మాణాల సమస్యకు తక్కువ-ధర అత్యవసర పరిష్కారం యుద్ధం II. దీనిని మెసర్‌ష్మిట్ బిఎఫ్ 109 కార్యాచరణ ఎత్తుకు లాగడం మరియు అనుబంధ బాంబర్స్ కంబాట్ బాక్స్ పైన విడుదల చేయబడింది. [4] విడుదలైన తర్వాత, అది శత్రు బాంబర్ విమానాల వైపు పదునైన కోణంలో మునిగిపోతుంది. దాని చిన్న దాడి సమయంలో, BV 40 దాని ఆయుధాలను కాల్చివేస్తుంది, తరువాత తిరిగి భూమికి గ్లైడ్ చేస్తుంది. అనేక ప్రోటోటైప్‌లు పూర్తయ్యాయి మరియు ఎగిరిపోయాయి, మెసర్‌ష్మిట్ బిఎఫ్ 110 వెనుకకు లాగబడ్డాయి. మొదటి ఫ్లైట్ మే 1944 లో జరిగింది. క్రాఫ్ట్ గంటకు 292 మైళ్ళు (గంటకు 470 కిమీ) చేరుకోగలదని కనుగొనబడింది మరియు ఇది వెళ్ళే అవకాశం ఉందని భావించబడింది చాలా వేగంగా. [3] సంవత్సరం తరువాత ఈ ప్రాజెక్ట్ రద్దు చేయబడటానికి ముందు, అవసరానికి మరియు డిజైన్‌కు వివిధ మార్పులు చర్చించబడ్డాయి. మొత్తం మీద ఏడు విమానాలు పూర్తయ్యాయి మరియు వాటిలో ఐదు ఎగిరిపోయాయి. ఈ ప్రమాదకరమైన విమానం యొక్క ఆపరేషన్‌లో అంతర్లీనంగా ఉన్న పైలట్‌కు సంభావ్య ప్రమాదాల కారణంగా, BV 40 కొన్నిసార్లు ఆత్మహత్య ఆయుధంగా జాబితా చేయబడుతుంది, కానీ ఇది ఉద్దేశించినది కాదు. [5] థర్డ్ రీచ్ యొక్క వార్‌ప్లానేస్ నుండి డేటా, [6] డై డ్యూయిష్ లుఫ్‌ట్రూస్టంగ్ 1933-1945 వాల్యూమ్ 1-AEG-డోర్నియర్ [7] సాధారణ లక్షణాలు పనితీరు ఆయుధ సంబంధిత జాబితాలు</v>
      </c>
      <c r="E72" s="1" t="s">
        <v>1671</v>
      </c>
      <c r="F72" s="1" t="s">
        <v>1672</v>
      </c>
      <c r="G72" s="1" t="str">
        <f>IFERROR(__xludf.DUMMYFUNCTION("GOOGLETRANSLATE(F:F, ""en"", ""te"")"),"ఫైటర్ గ్లైడర్")</f>
        <v>ఫైటర్ గ్లైడర్</v>
      </c>
      <c r="L72" s="1" t="s">
        <v>1673</v>
      </c>
      <c r="M72" s="1" t="str">
        <f>IFERROR(__xludf.DUMMYFUNCTION("GOOGLETRANSLATE(L:L, ""en"", ""te"")"),"బ్లోమ్ &amp; వోస్")</f>
        <v>బ్లోమ్ &amp; వోస్</v>
      </c>
      <c r="N72" s="1" t="s">
        <v>1674</v>
      </c>
      <c r="R72" s="4">
        <v>16198.0</v>
      </c>
      <c r="S72" s="1">
        <v>7.0</v>
      </c>
      <c r="V72" s="1">
        <v>1.0</v>
      </c>
      <c r="W72" s="1" t="s">
        <v>1675</v>
      </c>
      <c r="X72" s="1" t="s">
        <v>1676</v>
      </c>
      <c r="Y72" s="1" t="s">
        <v>1677</v>
      </c>
      <c r="Z72" s="1" t="s">
        <v>1678</v>
      </c>
      <c r="AG72" s="1" t="s">
        <v>1679</v>
      </c>
      <c r="AH72" s="1" t="s">
        <v>1680</v>
      </c>
      <c r="AI72" s="1" t="s">
        <v>1681</v>
      </c>
      <c r="BG72" s="2"/>
      <c r="CA72" s="1" t="s">
        <v>1682</v>
      </c>
      <c r="CC72" s="1" t="s">
        <v>1683</v>
      </c>
      <c r="CD72" s="1" t="str">
        <f>IFERROR(__xludf.DUMMYFUNCTION("GOOGLETRANSLATE(CC:CC, ""en"", ""te"")"),"2 × స్థిర, ఫార్వర్డ్-ఫైరింగ్ 30 మిమీ (1.181 అంగుళాలు) 35 ఆర్‌పిజితో రీన్‌మెటాల్-బోర్సిగ్ ఎమ్‌కె 108 ఫిరంగి")</f>
        <v>2 × స్థిర, ఫార్వర్డ్-ఫైరింగ్ 30 మిమీ (1.181 అంగుళాలు) 35 ఆర్‌పిజితో రీన్‌మెటాల్-బోర్సిగ్ ఎమ్‌కె 108 ఫిరంగి</v>
      </c>
    </row>
    <row r="73">
      <c r="A73" s="1" t="s">
        <v>1684</v>
      </c>
      <c r="B73" s="1" t="str">
        <f>IFERROR(__xludf.DUMMYFUNCTION("GOOGLETRANSLATE(A:A, ""en"", ""te"")"),"బ్రిస్టల్ XLRQ")</f>
        <v>బ్రిస్టల్ XLRQ</v>
      </c>
      <c r="C73" s="1" t="s">
        <v>1685</v>
      </c>
      <c r="D73" s="1" t="str">
        <f>IFERROR(__xludf.DUMMYFUNCTION("GOOGLETRANSLATE(C:C, ""en"", ""te"")"),"బ్రిస్టల్ XLRQ-1 బ్రిస్టల్ ఏరోనాటికల్ కార్పొరేషన్, న్యూ హెవెన్, కనెక్టికట్ (USA) యొక్క 12-సీట్ల ఉభయచర గ్లైడర్, 1942-43లో అమెరికా మెరైన్ కార్ప్స్ కోసం అభివృద్ధి చేయబడింది. 1943 లో యుఎస్‌ఎంసి గ్లైడర్ వాడకం ఆలోచనను రద్దు చేయడానికి ముందే రెండు ప్రోటోటైప్‌లు మ"&amp;"ాత్రమే నిర్మించబడ్డాయి. జర్మనీ గ్లైడర్‌ల వాడకం నుండి ప్రేరణ పొందింది, అమెరికా నేవీ మరియు యుఎస్‌ఎంసి మే 1941 లో గ్లైడర్ ప్రోగ్రామ్‌ను ప్రారంభించాయి. 24 సీట్ల రకం. నావికాదళ విమాన కర్మాగారం గ్లైడర్‌ల యొక్క ప్రాథమిక రూపకల్పనను చేపట్టాలని అభ్యర్థించబడింది, వీట"&amp;"ిని కలప లేదా మిశ్రమ పదార్థాలతో నిర్మించారు. ఒక బెటాలియన్ మెరైన్స్ (715 మంది పురుషులు) పరికరాలతో రవాణా చేయడానికి తగినంత గ్లైడర్‌లు ఉండాలనే ఆలోచన ఉంది. కన్సాలిడేటెడ్ పిబిఐలను గ్లైడర్‌లను లాగడానికి ఉపయోగించాలి. [1] మెరైన్స్ ల్యాండింగ్ చేయగల గ్లైడర్‌ను అభ్యర్"&amp;"థించారు మరియు భూమి మరియు నీరు రెండింటి నుండి బయలుదేరండి, స్టాటిక్ లైన్ పారాచూట్ జంపింగ్ చేయగల సామర్థ్యం కలిగి ఉంటుంది మరియు బాహ్య మెషిన్ గన్స్ కలిగి ఉంటుంది. [2] 1942 లో, యుఎస్‌ఎంసి సౌత్ కరోలినా (యుఎస్‌ఎ) లోని ప్యారిస్ ద్వీపంలోని పేజ్ ఫీల్డ్ వద్ద మెరైన్ గ"&amp;"్లైడర్ గ్రూప్ 71 ను ఏర్పాటు చేసింది, ష్వీజర్ ఎల్‌ఎన్ఎస్ -1 మరియు ప్రాట్-రీడ్ ఎల్ఎన్ఇ -1 ను ఉపయోగించి, తరువాత శిక్షణ కోసం ఏరోన్కా ఎల్‌ఎన్‌ఆర్ -1 గ్లైడర్‌లను కూడా ఉపయోగించింది. లాగు కోసం యూనిట్ N3N కానరీ బిప్‌లేన్ శిక్షకులు మరియు J2F డక్ ఉభయచరాలను ఉపయోగించి"&amp;"ంది. 12-సీట్ల రకం బీచ్ దాడి పాత్ర కోసం, యు.ఎస్. నేవీ ప్రోటోటైప్స్, అలైడ్ ఏవియేషన్ కార్పొరేషన్ XLRA-1 మరియు బ్రిస్టల్ ఏరోనాటికల్ కార్పొరేషన్ XLRQ-1 ను ఆదేశించింది. సాంకేతికంగా, గ్లైడర్‌లు విజయవంతమైన నమూనాలు, మరియు ప్రతి ఒక్కటి 100 ఆదేశించబడ్డాయి. ఎల్‌ఆర్‌ఎ"&amp;"న్ -1 vision హించినందున నావికాదళ విమాన కర్మాగారం ద్వారా లైసెన్స్ ఉత్పత్తి. [3] యు.ఎస్. నేవీ నాలుగు XLRQ-1 ప్రోటోటైప్‌లను ఆదేశించినప్పటికీ, రెండు మాత్రమే నిర్మించబడ్డాయి (BUNO లు 11561 మరియు 11562). గ్లైడర్‌లో ముడుచుకునే ల్యాండింగ్ గేర్ ఉంది మరియు వింగ్ మూ"&amp;"లాలు నీటిపై పార్శ్వ స్థిరత్వాన్ని అందించాయి. ఏదేమైనా, పసిఫిక్‌లోని చిన్న, భారీగా రక్షించబడిన ద్వీపాలకు వ్యతిరేకంగా గ్లైడర్ దాడి వ్యూహాత్మకంగా సాధ్యం కాలేదు, కర్మాగారాల నుండి తగినంత గ్లైడర్‌లు రావడం లేదు మరియు చాలా మంది పైలట్‌లను గ్లైడర్ కార్యక్రమానికి కేట"&amp;"ాయించారు. [4] అందువల్ల, ఈ కార్యక్రమం 1943 లో రద్దు చేయబడింది. [5] రెండవ ప్రపంచ యుద్ధం యొక్క గ్లైడర్‌ల నుండి డేటా [6] పోల్చదగిన పాత్ర, కాన్ఫిగరేషన్ మరియు ERA సంబంధిత జాబితాల సాధారణ లక్షణాల పనితీరు విమానం")</f>
        <v>బ్రిస్టల్ XLRQ-1 బ్రిస్టల్ ఏరోనాటికల్ కార్పొరేషన్, న్యూ హెవెన్, కనెక్టికట్ (USA) యొక్క 12-సీట్ల ఉభయచర గ్లైడర్, 1942-43లో అమెరికా మెరైన్ కార్ప్స్ కోసం అభివృద్ధి చేయబడింది. 1943 లో యుఎస్‌ఎంసి గ్లైడర్ వాడకం ఆలోచనను రద్దు చేయడానికి ముందే రెండు ప్రోటోటైప్‌లు మాత్రమే నిర్మించబడ్డాయి. జర్మనీ గ్లైడర్‌ల వాడకం నుండి ప్రేరణ పొందింది, అమెరికా నేవీ మరియు యుఎస్‌ఎంసి మే 1941 లో గ్లైడర్ ప్రోగ్రామ్‌ను ప్రారంభించాయి. 24 సీట్ల రకం. నావికాదళ విమాన కర్మాగారం గ్లైడర్‌ల యొక్క ప్రాథమిక రూపకల్పనను చేపట్టాలని అభ్యర్థించబడింది, వీటిని కలప లేదా మిశ్రమ పదార్థాలతో నిర్మించారు. ఒక బెటాలియన్ మెరైన్స్ (715 మంది పురుషులు) పరికరాలతో రవాణా చేయడానికి తగినంత గ్లైడర్‌లు ఉండాలనే ఆలోచన ఉంది. కన్సాలిడేటెడ్ పిబిఐలను గ్లైడర్‌లను లాగడానికి ఉపయోగించాలి. [1] మెరైన్స్ ల్యాండింగ్ చేయగల గ్లైడర్‌ను అభ్యర్థించారు మరియు భూమి మరియు నీరు రెండింటి నుండి బయలుదేరండి, స్టాటిక్ లైన్ పారాచూట్ జంపింగ్ చేయగల సామర్థ్యం కలిగి ఉంటుంది మరియు బాహ్య మెషిన్ గన్స్ కలిగి ఉంటుంది. [2] 1942 లో, యుఎస్‌ఎంసి సౌత్ కరోలినా (యుఎస్‌ఎ) లోని ప్యారిస్ ద్వీపంలోని పేజ్ ఫీల్డ్ వద్ద మెరైన్ గ్లైడర్ గ్రూప్ 71 ను ఏర్పాటు చేసింది, ష్వీజర్ ఎల్‌ఎన్ఎస్ -1 మరియు ప్రాట్-రీడ్ ఎల్ఎన్ఇ -1 ను ఉపయోగించి, తరువాత శిక్షణ కోసం ఏరోన్కా ఎల్‌ఎన్‌ఆర్ -1 గ్లైడర్‌లను కూడా ఉపయోగించింది. లాగు కోసం యూనిట్ N3N కానరీ బిప్‌లేన్ శిక్షకులు మరియు J2F డక్ ఉభయచరాలను ఉపయోగించింది. 12-సీట్ల రకం బీచ్ దాడి పాత్ర కోసం, యు.ఎస్. నేవీ ప్రోటోటైప్స్, అలైడ్ ఏవియేషన్ కార్పొరేషన్ XLRA-1 మరియు బ్రిస్టల్ ఏరోనాటికల్ కార్పొరేషన్ XLRQ-1 ను ఆదేశించింది. సాంకేతికంగా, గ్లైడర్‌లు విజయవంతమైన నమూనాలు, మరియు ప్రతి ఒక్కటి 100 ఆదేశించబడ్డాయి. ఎల్‌ఆర్‌ఎన్ -1 vision హించినందున నావికాదళ విమాన కర్మాగారం ద్వారా లైసెన్స్ ఉత్పత్తి. [3] యు.ఎస్. నేవీ నాలుగు XLRQ-1 ప్రోటోటైప్‌లను ఆదేశించినప్పటికీ, రెండు మాత్రమే నిర్మించబడ్డాయి (BUNO లు 11561 మరియు 11562). గ్లైడర్‌లో ముడుచుకునే ల్యాండింగ్ గేర్ ఉంది మరియు వింగ్ మూలాలు నీటిపై పార్శ్వ స్థిరత్వాన్ని అందించాయి. ఏదేమైనా, పసిఫిక్‌లోని చిన్న, భారీగా రక్షించబడిన ద్వీపాలకు వ్యతిరేకంగా గ్లైడర్ దాడి వ్యూహాత్మకంగా సాధ్యం కాలేదు, కర్మాగారాల నుండి తగినంత గ్లైడర్‌లు రావడం లేదు మరియు చాలా మంది పైలట్‌లను గ్లైడర్ కార్యక్రమానికి కేటాయించారు. [4] అందువల్ల, ఈ కార్యక్రమం 1943 లో రద్దు చేయబడింది. [5] రెండవ ప్రపంచ యుద్ధం యొక్క గ్లైడర్‌ల నుండి డేటా [6] పోల్చదగిన పాత్ర, కాన్ఫిగరేషన్ మరియు ERA సంబంధిత జాబితాల సాధారణ లక్షణాల పనితీరు విమానం</v>
      </c>
      <c r="E73" s="1" t="s">
        <v>1686</v>
      </c>
      <c r="F73" s="1" t="s">
        <v>1687</v>
      </c>
      <c r="G73" s="1" t="str">
        <f>IFERROR(__xludf.DUMMYFUNCTION("GOOGLETRANSLATE(F:F, ""en"", ""te"")"),"రవాణా ఎగిరే బోట్ గ్లైడర్")</f>
        <v>రవాణా ఎగిరే బోట్ గ్లైడర్</v>
      </c>
      <c r="L73" s="1" t="s">
        <v>1688</v>
      </c>
      <c r="M73" s="1" t="str">
        <f>IFERROR(__xludf.DUMMYFUNCTION("GOOGLETRANSLATE(L:L, ""en"", ""te"")"),"బ్రిస్టల్ ఏరోనాటికల్ కార్పొరేషన్")</f>
        <v>బ్రిస్టల్ ఏరోనాటికల్ కార్పొరేషన్</v>
      </c>
      <c r="N73" s="1" t="s">
        <v>1689</v>
      </c>
      <c r="R73" s="5">
        <v>15707.0</v>
      </c>
      <c r="S73" s="1">
        <v>2.0</v>
      </c>
      <c r="V73" s="1">
        <v>2.0</v>
      </c>
      <c r="W73" s="1" t="s">
        <v>1690</v>
      </c>
      <c r="X73" s="1" t="s">
        <v>1691</v>
      </c>
      <c r="Y73" s="1" t="s">
        <v>1692</v>
      </c>
      <c r="Z73" s="1" t="s">
        <v>1693</v>
      </c>
      <c r="AV73" s="1" t="s">
        <v>1694</v>
      </c>
      <c r="BF73" s="1" t="s">
        <v>251</v>
      </c>
      <c r="BG73" s="2" t="str">
        <f>IFERROR(__xludf.DUMMYFUNCTION("GOOGLETRANSLATE(BF:BF, ""en"", ""te"")"),"అమెరికా నేవీ")</f>
        <v>అమెరికా నేవీ</v>
      </c>
      <c r="BH73" s="1" t="s">
        <v>252</v>
      </c>
    </row>
    <row r="74">
      <c r="A74" s="1" t="s">
        <v>1695</v>
      </c>
      <c r="B74" s="1" t="str">
        <f>IFERROR(__xludf.DUMMYFUNCTION("GOOGLETRANSLATE(A:A, ""en"", ""te"")"),"ఫ్లీట్వింగ్స్ బిటి -12 సోఫోమోర్")</f>
        <v>ఫ్లీట్వింగ్స్ బిటి -12 సోఫోమోర్</v>
      </c>
      <c r="C74" s="1" t="s">
        <v>1696</v>
      </c>
      <c r="D74" s="1" t="str">
        <f>IFERROR(__xludf.DUMMYFUNCTION("GOOGLETRANSLATE(C:C, ""en"", ""te"")"),"కంపెనీ హోదా మోడల్ 23 అని కూడా పిలువబడే ఫ్లీట్వింగ్స్ బిటి -12 సోఫోమోర్ 1940 ల ఆల్-మెటల్ బేసిక్ ట్రైనింగ్ మోనోప్లేన్ ఫర్ ది అమెరికా ఆర్మీ ఎయిర్ ఫోర్సెస్. ఒప్పందం రద్దు చేయబడటానికి ముందు ఈ రకానికి 24 ఉత్పత్తి ఉదాహరణలు మాత్రమే నిర్మించబడ్డాయి. రెండవ ప్రపంచ య"&amp;"ుద్ధం ప్రారంభంతో, అమెరికా ఆర్మీ ఎయిర్ కార్ప్స్ (తరువాత యు.ఎస్. ఆర్మీ ఎయిర్ ఫోర్సెస్) ఒక పెద్ద యుద్ధానికి అనారోగ్యానికి గురైంది. వీలైనన్ని ఎక్కువ విమానాలను పొందే ప్రయత్నంలో, యుఎస్ఎఎఫ్ షీట్ స్టెయిన్లెస్ స్టీల్ యొక్క స్పెషలిస్ట్ ఫాబ్రికేటర్ అయిన ఫ్లీట్వింగ్స"&amp;"్, [1] ప్రాథమిక శిక్షణా మోనోప్లేన్ను ఉత్పత్తి చేయడానికి. ఒక ప్రోటోటైప్ మోడల్ 23 ను 1939 లో XBT-12 గా ఆదేశించారు. [2] XBT-12 అనేది ఆల్-మెటల్ లో-వింగ్ కాంటిలివర్ మోనోప్లేన్, ఇది స్థిర టెయిల్‌వీల్ ల్యాండింగ్ గేర్‌తో మరియు ప్రాట్ &amp; విట్నీ R-985 ఇంజిన్ చేత శక్"&amp;"తినిస్తుంది. ఈ విమానం నిరంతర పందిరితో కప్పబడిన బోధకుడు మరియు విద్యార్థికి రెండు ఒకేలా టెన్డం కాక్‌పిట్‌లను కలిగి ఉంది. ప్రధానంగా వెల్డెడ్ స్టెయిన్లెస్ స్టీల్ నుండి నిర్మించిన మొట్టమొదటి సైనిక విమానం ఇది. [3] 1939 చివరలో ప్రారంభమయ్యే XBT-12 యొక్క మూల్యాంకన"&amp;"ం తరువాత, [4] 176 ఉత్పత్తి విమానాల కోసం ఒక ఆర్డర్, BT-12 గా నియమించబడింది. [5] ఒప్పందం రద్దు చేయడానికి ముందు 24 విమానాలు మాత్రమే పంపిణీ చేయబడ్డాయి, 1942 లో ఒకటి మరియు 1943 లో 23, [6], [2] తరువాతి వ్యక్తి BT-13 ప్రాధాన్యత ఇవ్వబడింది. [1] ఇలస్ట్రేటెడ్ ఎన్సై"&amp;"క్లోపీడియా ఆఫ్ ఎయిర్క్రాఫ్ట్ (పార్ట్ వర్క్ 1982-1985), 1985, ఆర్బిస్ ​​పబ్లిషింగ్ నుండి డేటా; అలాగే [4] సాధారణ లక్షణాలు పోల్చదగిన పాత్ర, కాన్ఫిగరేషన్ మరియు ERA సంబంధిత జాబితాల పనితీరు విమానం")</f>
        <v>కంపెనీ హోదా మోడల్ 23 అని కూడా పిలువబడే ఫ్లీట్వింగ్స్ బిటి -12 సోఫోమోర్ 1940 ల ఆల్-మెటల్ బేసిక్ ట్రైనింగ్ మోనోప్లేన్ ఫర్ ది అమెరికా ఆర్మీ ఎయిర్ ఫోర్సెస్. ఒప్పందం రద్దు చేయబడటానికి ముందు ఈ రకానికి 24 ఉత్పత్తి ఉదాహరణలు మాత్రమే నిర్మించబడ్డాయి. రెండవ ప్రపంచ యుద్ధం ప్రారంభంతో, అమెరికా ఆర్మీ ఎయిర్ కార్ప్స్ (తరువాత యు.ఎస్. ఆర్మీ ఎయిర్ ఫోర్సెస్) ఒక పెద్ద యుద్ధానికి అనారోగ్యానికి గురైంది. వీలైనన్ని ఎక్కువ విమానాలను పొందే ప్రయత్నంలో, యుఎస్ఎఎఫ్ షీట్ స్టెయిన్లెస్ స్టీల్ యొక్క స్పెషలిస్ట్ ఫాబ్రికేటర్ అయిన ఫ్లీట్వింగ్స్, [1] ప్రాథమిక శిక్షణా మోనోప్లేన్ను ఉత్పత్తి చేయడానికి. ఒక ప్రోటోటైప్ మోడల్ 23 ను 1939 లో XBT-12 గా ఆదేశించారు. [2] XBT-12 అనేది ఆల్-మెటల్ లో-వింగ్ కాంటిలివర్ మోనోప్లేన్, ఇది స్థిర టెయిల్‌వీల్ ల్యాండింగ్ గేర్‌తో మరియు ప్రాట్ &amp; విట్నీ R-985 ఇంజిన్ చేత శక్తినిస్తుంది. ఈ విమానం నిరంతర పందిరితో కప్పబడిన బోధకుడు మరియు విద్యార్థికి రెండు ఒకేలా టెన్డం కాక్‌పిట్‌లను కలిగి ఉంది. ప్రధానంగా వెల్డెడ్ స్టెయిన్లెస్ స్టీల్ నుండి నిర్మించిన మొట్టమొదటి సైనిక విమానం ఇది. [3] 1939 చివరలో ప్రారంభమయ్యే XBT-12 యొక్క మూల్యాంకనం తరువాత, [4] 176 ఉత్పత్తి విమానాల కోసం ఒక ఆర్డర్, BT-12 గా నియమించబడింది. [5] ఒప్పందం రద్దు చేయడానికి ముందు 24 విమానాలు మాత్రమే పంపిణీ చేయబడ్డాయి, 1942 లో ఒకటి మరియు 1943 లో 23, [6], [2] తరువాతి వ్యక్తి BT-13 ప్రాధాన్యత ఇవ్వబడింది. [1] ఇలస్ట్రేటెడ్ ఎన్సైక్లోపీడియా ఆఫ్ ఎయిర్క్రాఫ్ట్ (పార్ట్ వర్క్ 1982-1985), 1985, ఆర్బిస్ ​​పబ్లిషింగ్ నుండి డేటా; అలాగే [4] సాధారణ లక్షణాలు పోల్చదగిన పాత్ర, కాన్ఫిగరేషన్ మరియు ERA సంబంధిత జాబితాల పనితీరు విమానం</v>
      </c>
      <c r="E74" s="1" t="s">
        <v>1697</v>
      </c>
      <c r="F74" s="1" t="s">
        <v>1698</v>
      </c>
      <c r="G74" s="1" t="str">
        <f>IFERROR(__xludf.DUMMYFUNCTION("GOOGLETRANSLATE(F:F, ""en"", ""te"")"),"ప్రాథమిక శిక్షకుడు")</f>
        <v>ప్రాథమిక శిక్షకుడు</v>
      </c>
      <c r="I74" s="1" t="s">
        <v>447</v>
      </c>
      <c r="J74" s="1" t="str">
        <f>IFERROR(__xludf.DUMMYFUNCTION("GOOGLETRANSLATE(I:I, ""en"", ""te"")"),"అమెరికా")</f>
        <v>అమెరికా</v>
      </c>
      <c r="L74" s="1" t="s">
        <v>1699</v>
      </c>
      <c r="M74" s="1" t="str">
        <f>IFERROR(__xludf.DUMMYFUNCTION("GOOGLETRANSLATE(L:L, ""en"", ""te"")"),"ఫ్లీట్వింగ్స్")</f>
        <v>ఫ్లీట్వింగ్స్</v>
      </c>
      <c r="N74" s="3" t="s">
        <v>1700</v>
      </c>
      <c r="R74" s="1">
        <v>1939.0</v>
      </c>
      <c r="S74" s="1">
        <v>25.0</v>
      </c>
      <c r="T74" s="1" t="s">
        <v>216</v>
      </c>
      <c r="V74" s="1" t="s">
        <v>1701</v>
      </c>
      <c r="W74" s="1" t="s">
        <v>1702</v>
      </c>
      <c r="X74" s="1" t="s">
        <v>541</v>
      </c>
      <c r="Y74" s="1" t="s">
        <v>1703</v>
      </c>
      <c r="Z74" s="1" t="s">
        <v>1704</v>
      </c>
      <c r="AG74" s="1" t="s">
        <v>1705</v>
      </c>
      <c r="AH74" s="1" t="s">
        <v>1706</v>
      </c>
      <c r="AX74" s="1" t="s">
        <v>1707</v>
      </c>
      <c r="AY74" s="1" t="str">
        <f>IFERROR(__xludf.DUMMYFUNCTION("GOOGLETRANSLATE(AX:AX, ""en"", ""te"")"),"1 × ప్రాట్ &amp; విట్నీ R-985-AN-1 WASP జూనియర్ రేడియల్ ఇంజిన్, 450 HP (340 kW)")</f>
        <v>1 × ప్రాట్ &amp; విట్నీ R-985-AN-1 WASP జూనియర్ రేడియల్ ఇంజిన్, 450 HP (340 kW)</v>
      </c>
      <c r="BB74" s="1" t="s">
        <v>1708</v>
      </c>
      <c r="BC74" s="1" t="s">
        <v>1709</v>
      </c>
      <c r="BD74" s="1" t="s">
        <v>1710</v>
      </c>
      <c r="BF74" s="1" t="s">
        <v>1711</v>
      </c>
      <c r="BG74" s="2" t="str">
        <f>IFERROR(__xludf.DUMMYFUNCTION("GOOGLETRANSLATE(BF:BF, ""en"", ""te"")"),"అమెరికా ఆర్మీ ఎయిర్ ఫోర్సెస్")</f>
        <v>అమెరికా ఆర్మీ ఎయిర్ ఫోర్సెస్</v>
      </c>
      <c r="BH74" s="1" t="s">
        <v>1712</v>
      </c>
      <c r="BT74" s="1" t="s">
        <v>1713</v>
      </c>
      <c r="BW74" s="1" t="s">
        <v>1714</v>
      </c>
      <c r="CB74" s="1" t="s">
        <v>1715</v>
      </c>
    </row>
    <row r="75">
      <c r="A75" s="1" t="s">
        <v>1716</v>
      </c>
      <c r="B75" s="1" t="str">
        <f>IFERROR(__xludf.DUMMYFUNCTION("GOOGLETRANSLATE(A:A, ""en"", ""te"")"),"హఫ్నర్ రోటాబగ్గీ")</f>
        <v>హఫ్నర్ రోటాబగ్గీ</v>
      </c>
      <c r="C75" s="1" t="s">
        <v>1717</v>
      </c>
      <c r="D75" s="1" t="str">
        <f>IFERROR(__xludf.DUMMYFUNCTION("GOOGLETRANSLATE(C:C, ""en"", ""te"")"),"హాఫ్నర్ రోటాబగ్గీ (అధికారికంగా మాల్కం రోటాప్లేన్ [1] మరియు ""M.L. ప్రయాణించే ఆఫ్-రోడ్ వాహనాల మార్గాన్ని ఉత్పత్తి చేస్తుంది. రోటాచ్యూట్ అభివృద్ధి కొంత విజయాన్ని సాధించిన తరువాత వైమానిక దళాల ప్రయోగాత్మక స్థాపన (AFEEE) యొక్క రౌల్ హాఫ్నర్ దీనిని రూపొందించారు."&amp;" ఈ నమూనాను 1942 లో వైట్ వాల్తామ్ వద్ద ఆర్. మాల్కం &amp; కో. ప్రాజెక్ట్. [3] ప్రారంభ పరీక్షలో వాహనం దెబ్బతినకుండా విల్లీస్ MB ను 2.35 మీటర్ల (7.7 అడుగులు) వరకు ఎత్తులు నుండి వదిలివేయవచ్చని తేలింది. 12.4 మీటర్లు (40 అడుగుల 8.2 అంగుళాలు) వ్యాసం కలిగిన రోటర్ జతచే"&amp;"యబడింది, తోక ఫెయిరింగ్ మరియు రెక్కలతో పాటు, కానీ రడ్డర్లు లేవు. ఇద్దరు పురుషులు విమానాన్ని పైలట్ చేయవలసి ఉంది: ఒకరు దానిని ఆటోమొబైల్‌గా నడపడం మరియు ఒకరు నియంత్రణ కాలమ్ ఉపయోగించి గాలిలో పైలట్ చేయాలి. ప్రారంభంలో దీనికి ""బ్లిట్జ్ బగ్గీ"" అని పేరు పెట్టారు, "&amp;"కాని అది త్వరలోనే ""రోటాబగ్గీ"" కోసం తొలగించబడింది. [4] మొదటి ట్రయల్ 16 నవంబర్ 1943 న జరిగింది, యూనిట్ డైమండ్ టి లారీ వెనుక లాగబడింది, కాని రోటాబగ్గీని గాలిలో ఉంచడానికి లారీకి తగినంత వేగం రాలేదు. [5] మరింత శక్తివంతమైన వాహనం, సూపర్ఛార్జ్డ్ 4.5-లీటర్ బెంట్ల"&amp;"ీ ఆటోమొబైల్, నవంబర్ 27 న, చివరకు యంత్రం వాయుమార్గానికి మారడానికి మరియు పరీక్షలో 45 mph వేగంతో గ్లైడ్ వేగాన్ని పొందవచ్చు. తరువాత పరీక్షలు ఆర్మ్‌స్ట్రాంగ్-వైట్‌వర్త్ విట్లీ బాంబర్ వెనుక లాగబడ్డాయి. [6] ప్రారంభ పరీక్షలు రోటాబగ్గీ గంటకు 45 మైళ్ల (72 కిమీ/గం) "&amp;"కంటే ఎక్కువ వేగంతో తీవ్రమైన కంపనానికి గురవుతున్నాయని తేలింది, మెరుగుదలలతో రోటాబగ్గీ 1 ఫిబ్రవరి 1944 న 70 mph (113 కిమీ/గం) విమాన వేగాన్ని సాధించింది. చివరి టెస్ట్ ఫ్లైట్ సెప్టెంబర్ 1944 లో జరిగింది, ఇక్కడ యూనిట్ 10 నిమిషాలు 400 అడుగుల (121.9 మీ) ఎత్తులో మ"&amp;"రియు 65 mph (105 కిమీ/గం) వేగం, విట్లీ బాంబర్ విడుదల చేసిన తరువాత ఎగిరింది మరియు మరియు వర్ణించబడింది ""అధిక సంతృప్తికరంగా"". ఏదేమైనా, వాహనాలను మోయగల గ్లైడర్‌ల పరిచయం (వాకో హాడ్రియన్ మరియు ఎయిర్‌స్పీడ్ హార్సా వంటివి) రోటబగీ నిరుపయోగంగా మారింది మరియు మరింత "&amp;"అభివృద్ధి రద్దు చేయబడింది. [7] రోటాబగ్గీ యొక్క ప్రతిరూపం మిడిల్ వాలప్‌లో ఎగురుతున్న మ్యూజియం ఆఫ్ ఆర్మీలో ప్రదర్శించబడుతుంది. వాలెంటైన్ ట్యాంక్ ఉపయోగించి అదేవిధంగా దుస్తులను ""రోటట్యాంక్"" అనే ఆలోచనతో హాఫ్నర్ కూడా వచ్చాడు, కానీ అది ఎప్పుడూ నిర్మించబడలేదు. "&amp;"ఏదీ నుండి డేటా సాహసించలేదు ... [8] సాధారణ లక్షణాల పనితీరు")</f>
        <v>హాఫ్నర్ రోటాబగ్గీ (అధికారికంగా మాల్కం రోటాప్లేన్ [1] మరియు "M.L. ప్రయాణించే ఆఫ్-రోడ్ వాహనాల మార్గాన్ని ఉత్పత్తి చేస్తుంది. రోటాచ్యూట్ అభివృద్ధి కొంత విజయాన్ని సాధించిన తరువాత వైమానిక దళాల ప్రయోగాత్మక స్థాపన (AFEEE) యొక్క రౌల్ హాఫ్నర్ దీనిని రూపొందించారు. ఈ నమూనాను 1942 లో వైట్ వాల్తామ్ వద్ద ఆర్. మాల్కం &amp; కో. ప్రాజెక్ట్. [3] ప్రారంభ పరీక్షలో వాహనం దెబ్బతినకుండా విల్లీస్ MB ను 2.35 మీటర్ల (7.7 అడుగులు) వరకు ఎత్తులు నుండి వదిలివేయవచ్చని తేలింది. 12.4 మీటర్లు (40 అడుగుల 8.2 అంగుళాలు) వ్యాసం కలిగిన రోటర్ జతచేయబడింది, తోక ఫెయిరింగ్ మరియు రెక్కలతో పాటు, కానీ రడ్డర్లు లేవు. ఇద్దరు పురుషులు విమానాన్ని పైలట్ చేయవలసి ఉంది: ఒకరు దానిని ఆటోమొబైల్‌గా నడపడం మరియు ఒకరు నియంత్రణ కాలమ్ ఉపయోగించి గాలిలో పైలట్ చేయాలి. ప్రారంభంలో దీనికి "బ్లిట్జ్ బగ్గీ" అని పేరు పెట్టారు, కాని అది త్వరలోనే "రోటాబగ్గీ" కోసం తొలగించబడింది. [4] మొదటి ట్రయల్ 16 నవంబర్ 1943 న జరిగింది, యూనిట్ డైమండ్ టి లారీ వెనుక లాగబడింది, కాని రోటాబగ్గీని గాలిలో ఉంచడానికి లారీకి తగినంత వేగం రాలేదు. [5] మరింత శక్తివంతమైన వాహనం, సూపర్ఛార్జ్డ్ 4.5-లీటర్ బెంట్లీ ఆటోమొబైల్, నవంబర్ 27 న, చివరకు యంత్రం వాయుమార్గానికి మారడానికి మరియు పరీక్షలో 45 mph వేగంతో గ్లైడ్ వేగాన్ని పొందవచ్చు. తరువాత పరీక్షలు ఆర్మ్‌స్ట్రాంగ్-వైట్‌వర్త్ విట్లీ బాంబర్ వెనుక లాగబడ్డాయి. [6] ప్రారంభ పరీక్షలు రోటాబగ్గీ గంటకు 45 మైళ్ల (72 కిమీ/గం) కంటే ఎక్కువ వేగంతో తీవ్రమైన కంపనానికి గురవుతున్నాయని తేలింది, మెరుగుదలలతో రోటాబగ్గీ 1 ఫిబ్రవరి 1944 న 70 mph (113 కిమీ/గం) విమాన వేగాన్ని సాధించింది. చివరి టెస్ట్ ఫ్లైట్ సెప్టెంబర్ 1944 లో జరిగింది, ఇక్కడ యూనిట్ 10 నిమిషాలు 400 అడుగుల (121.9 మీ) ఎత్తులో మరియు 65 mph (105 కిమీ/గం) వేగం, విట్లీ బాంబర్ విడుదల చేసిన తరువాత ఎగిరింది మరియు మరియు వర్ణించబడింది "అధిక సంతృప్తికరంగా". ఏదేమైనా, వాహనాలను మోయగల గ్లైడర్‌ల పరిచయం (వాకో హాడ్రియన్ మరియు ఎయిర్‌స్పీడ్ హార్సా వంటివి) రోటబగీ నిరుపయోగంగా మారింది మరియు మరింత అభివృద్ధి రద్దు చేయబడింది. [7] రోటాబగ్గీ యొక్క ప్రతిరూపం మిడిల్ వాలప్‌లో ఎగురుతున్న మ్యూజియం ఆఫ్ ఆర్మీలో ప్రదర్శించబడుతుంది. వాలెంటైన్ ట్యాంక్ ఉపయోగించి అదేవిధంగా దుస్తులను "రోటట్యాంక్" అనే ఆలోచనతో హాఫ్నర్ కూడా వచ్చాడు, కానీ అది ఎప్పుడూ నిర్మించబడలేదు. ఏదీ నుండి డేటా సాహసించలేదు ... [8] సాధారణ లక్షణాల పనితీరు</v>
      </c>
      <c r="E75" s="1" t="s">
        <v>1718</v>
      </c>
      <c r="F75" s="1" t="s">
        <v>1719</v>
      </c>
      <c r="G75" s="1" t="str">
        <f>IFERROR(__xludf.DUMMYFUNCTION("GOOGLETRANSLATE(F:F, ""en"", ""te"")"),"మిలిటరీ రోటర్ కైట్")</f>
        <v>మిలిటరీ రోటర్ కైట్</v>
      </c>
      <c r="H75" s="1" t="s">
        <v>1720</v>
      </c>
      <c r="I75" s="1" t="s">
        <v>1721</v>
      </c>
      <c r="J75" s="1" t="str">
        <f>IFERROR(__xludf.DUMMYFUNCTION("GOOGLETRANSLATE(I:I, ""en"", ""te"")"),"యుకె")</f>
        <v>యుకె</v>
      </c>
      <c r="L75" s="1" t="s">
        <v>1722</v>
      </c>
      <c r="M75" s="1" t="str">
        <f>IFERROR(__xludf.DUMMYFUNCTION("GOOGLETRANSLATE(L:L, ""en"", ""te"")"),"R మాల్కం లిమిటెడ్")</f>
        <v>R మాల్కం లిమిటెడ్</v>
      </c>
      <c r="N75" s="1" t="s">
        <v>1723</v>
      </c>
      <c r="O75" s="1" t="s">
        <v>1724</v>
      </c>
      <c r="P75" s="1" t="str">
        <f>IFERROR(__xludf.DUMMYFUNCTION("GOOGLETRANSLATE(O:O, ""en"", ""te"")"),"రౌల్ హాఫ్నర్")</f>
        <v>రౌల్ హాఫ్నర్</v>
      </c>
      <c r="Q75" s="1" t="s">
        <v>1725</v>
      </c>
      <c r="R75" s="1">
        <v>1943.0</v>
      </c>
      <c r="V75" s="1">
        <v>2.0</v>
      </c>
      <c r="W75" s="1" t="s">
        <v>1726</v>
      </c>
      <c r="Y75" s="1" t="s">
        <v>1727</v>
      </c>
      <c r="AG75" s="1" t="s">
        <v>1728</v>
      </c>
      <c r="AH75" s="1" t="s">
        <v>1729</v>
      </c>
      <c r="AL75" s="1" t="s">
        <v>1730</v>
      </c>
      <c r="BB75" s="1" t="s">
        <v>1731</v>
      </c>
      <c r="BG75" s="2"/>
      <c r="BW75" s="1">
        <v>1.0</v>
      </c>
      <c r="DL75" s="1" t="s">
        <v>1732</v>
      </c>
      <c r="DM75" s="1" t="s">
        <v>1733</v>
      </c>
      <c r="DZ75" s="1" t="s">
        <v>1734</v>
      </c>
    </row>
    <row r="76">
      <c r="A76" s="1" t="s">
        <v>1735</v>
      </c>
      <c r="B76" s="1" t="str">
        <f>IFERROR(__xludf.DUMMYFUNCTION("GOOGLETRANSLATE(A:A, ""en"", ""te"")"),"యోకోసుకా MXY5")</f>
        <v>యోకోసుకా MXY5</v>
      </c>
      <c r="C76" s="1" t="s">
        <v>1736</v>
      </c>
      <c r="D76" s="1" t="str">
        <f>IFERROR(__xludf.DUMMYFUNCTION("GOOGLETRANSLATE(C:C, ""en"", ""te"")"),"యోకోసుకా MXY5 రెండవ ప్రపంచ యుద్ధంలో ఇంపీరియల్ జపనీస్ నేవీ కోసం ఉత్పత్తి చేయబడిన జపనీస్ మిలిటరీ గ్లైడర్. గ్లైడర్ ఒక గొట్టపు ఉక్కు చట్రాన్ని కప్పి ఉంచే ఫాబ్రిక్-చుట్టిన ప్లైవుడ్ కలిగి ఉంది. ఈ డిజైన్‌లో ముడుచుకునే అండర్ క్యారేజీతో పాటు అత్యవసర స్కిడ్ కూడా ఉం"&amp;"ది. ఈ డిజైన్ 1942 లో విమానంలో పరీక్షించబడింది. 12 మాత్రమే ఉత్పత్తి చేయబడ్డాయి మరియు ఏదీ కార్యాచరణతో ఉపయోగించబడలేదు. .")</f>
        <v>యోకోసుకా MXY5 రెండవ ప్రపంచ యుద్ధంలో ఇంపీరియల్ జపనీస్ నేవీ కోసం ఉత్పత్తి చేయబడిన జపనీస్ మిలిటరీ గ్లైడర్. గ్లైడర్ ఒక గొట్టపు ఉక్కు చట్రాన్ని కప్పి ఉంచే ఫాబ్రిక్-చుట్టిన ప్లైవుడ్ కలిగి ఉంది. ఈ డిజైన్‌లో ముడుచుకునే అండర్ క్యారేజీతో పాటు అత్యవసర స్కిడ్ కూడా ఉంది. ఈ డిజైన్ 1942 లో విమానంలో పరీక్షించబడింది. 12 మాత్రమే ఉత్పత్తి చేయబడ్డాయి మరియు ఏదీ కార్యాచరణతో ఉపయోగించబడలేదు. .</v>
      </c>
      <c r="E76" s="1" t="s">
        <v>1737</v>
      </c>
      <c r="F76" s="1" t="s">
        <v>1738</v>
      </c>
      <c r="G76" s="1" t="str">
        <f>IFERROR(__xludf.DUMMYFUNCTION("GOOGLETRANSLATE(F:F, ""en"", ""te"")"),"రవాణా గ్లైడర్")</f>
        <v>రవాణా గ్లైడర్</v>
      </c>
      <c r="I76" s="1" t="s">
        <v>581</v>
      </c>
      <c r="J76" s="1" t="str">
        <f>IFERROR(__xludf.DUMMYFUNCTION("GOOGLETRANSLATE(I:I, ""en"", ""te"")"),"జపాన్")</f>
        <v>జపాన్</v>
      </c>
      <c r="L76" s="1" t="s">
        <v>1739</v>
      </c>
      <c r="M76" s="1" t="str">
        <f>IFERROR(__xludf.DUMMYFUNCTION("GOOGLETRANSLATE(L:L, ""en"", ""te"")"),"యోకోసుకా నావల్ ఎయిర్ టెక్నికల్ ఆర్సెనల్")</f>
        <v>యోకోసుకా నావల్ ఎయిర్ టెక్నికల్ ఆర్సెనల్</v>
      </c>
      <c r="N76" s="1" t="s">
        <v>1740</v>
      </c>
      <c r="S76" s="1">
        <v>12.0</v>
      </c>
      <c r="T76" s="1" t="s">
        <v>216</v>
      </c>
      <c r="V76" s="1">
        <v>2.0</v>
      </c>
      <c r="W76" s="1" t="s">
        <v>1741</v>
      </c>
      <c r="X76" s="1" t="s">
        <v>1742</v>
      </c>
      <c r="Z76" s="1" t="s">
        <v>1743</v>
      </c>
      <c r="AG76" s="1" t="s">
        <v>1744</v>
      </c>
      <c r="AH76" s="1" t="s">
        <v>1745</v>
      </c>
      <c r="AV76" s="1" t="s">
        <v>1746</v>
      </c>
      <c r="BG76" s="2"/>
    </row>
    <row r="77">
      <c r="A77" s="1" t="s">
        <v>1747</v>
      </c>
      <c r="B77" s="1" t="str">
        <f>IFERROR(__xludf.DUMMYFUNCTION("GOOGLETRANSLATE(A:A, ""en"", ""te"")"),"సుఖోయి-గల్ఫ్ స్ట్రీమ్ ఎస్ -21")</f>
        <v>సుఖోయి-గల్ఫ్ స్ట్రీమ్ ఎస్ -21</v>
      </c>
      <c r="C77" s="1" t="s">
        <v>1748</v>
      </c>
      <c r="D77" s="1" t="str">
        <f>IFERROR(__xludf.DUMMYFUNCTION("GOOGLETRANSLATE(C:C, ""en"", ""te"")"),"సుఖోయి-గల్ఫ్ స్ట్రీమ్ ఎస్ -21 అనేది రష్యన్-అమెరికన్ సూపర్సోనిక్ బిజినెస్ జెట్. 1990 ల ప్రారంభంలో, గల్ఫ్‌స్ట్రీమ్ ఏరోస్పేస్ మరియు సుఖోయ్ డిజైన్ బ్యూరో S-21 అనే కోడ్ అనే సూపర్సోనిక్ చిన్న వ్యాపార జెట్ను అభివృద్ధి చేయడానికి ఉమ్మడి ప్రయత్నాన్ని ప్రారంభించాయి."&amp;" వాణిజ్య సూపర్సోనిక్ విమాన ప్రయాణానికి ప్రశ్నార్థకమైన మార్కెట్ డిమాండ్ కారణంగా, ప్రాజెక్టుకు నిబద్ధత బలహీనపడింది మరియు ఆలస్యం జరిగింది. [1] గల్ఫ్‌స్ట్రీమ్ చివరికి భాగస్వామ్యాన్ని కరిగించాడు, అయినప్పటికీ సుఖోయ్ ఎస్ -21 లో పనిని కొనసాగించాడు. S-21 మాక్ 2+ వ"&amp;"ద్ద నిరంతర క్రూయిజ్‌ను కలిగి ఉంటుంది మరియు చాలా పరిశోధన మరియు అభివృద్ధి మాక్ 1 ఎయిర్ స్పీడ్స్‌తో సంబంధం ఉన్న సమస్యాత్మక ట్రాన్సోనిక్ ఎఫెక్ట్స్ దృగ్విషయం నిర్వహణలోకి వెళ్ళాయి. 2012 నాటికి, ఈ ప్రాజెక్టుకు 2013-2025 అభివృద్ధి కాలానికి ఎటువంటి నిధులు రాలేదు మ"&amp;"రియు రద్దు చేయబడినట్లు కనిపించింది. [2] సాధారణ లక్షణాలు వికీమీడియా కామన్స్ వద్ద సుఖోయి ఎస్ -21 కు సంబంధించిన మీడియాను పోల్చదగిన పాత్ర, కాన్ఫిగరేషన్ మరియు యుగం సంబంధిత జాబితాల పనితీరు విమానం")</f>
        <v>సుఖోయి-గల్ఫ్ స్ట్రీమ్ ఎస్ -21 అనేది రష్యన్-అమెరికన్ సూపర్సోనిక్ బిజినెస్ జెట్. 1990 ల ప్రారంభంలో, గల్ఫ్‌స్ట్రీమ్ ఏరోస్పేస్ మరియు సుఖోయ్ డిజైన్ బ్యూరో S-21 అనే కోడ్ అనే సూపర్సోనిక్ చిన్న వ్యాపార జెట్ను అభివృద్ధి చేయడానికి ఉమ్మడి ప్రయత్నాన్ని ప్రారంభించాయి. వాణిజ్య సూపర్సోనిక్ విమాన ప్రయాణానికి ప్రశ్నార్థకమైన మార్కెట్ డిమాండ్ కారణంగా, ప్రాజెక్టుకు నిబద్ధత బలహీనపడింది మరియు ఆలస్యం జరిగింది. [1] గల్ఫ్‌స్ట్రీమ్ చివరికి భాగస్వామ్యాన్ని కరిగించాడు, అయినప్పటికీ సుఖోయ్ ఎస్ -21 లో పనిని కొనసాగించాడు. S-21 మాక్ 2+ వద్ద నిరంతర క్రూయిజ్‌ను కలిగి ఉంటుంది మరియు చాలా పరిశోధన మరియు అభివృద్ధి మాక్ 1 ఎయిర్ స్పీడ్స్‌తో సంబంధం ఉన్న సమస్యాత్మక ట్రాన్సోనిక్ ఎఫెక్ట్స్ దృగ్విషయం నిర్వహణలోకి వెళ్ళాయి. 2012 నాటికి, ఈ ప్రాజెక్టుకు 2013-2025 అభివృద్ధి కాలానికి ఎటువంటి నిధులు రాలేదు మరియు రద్దు చేయబడినట్లు కనిపించింది. [2] సాధారణ లక్షణాలు వికీమీడియా కామన్స్ వద్ద సుఖోయి ఎస్ -21 కు సంబంధించిన మీడియాను పోల్చదగిన పాత్ర, కాన్ఫిగరేషన్ మరియు యుగం సంబంధిత జాబితాల పనితీరు విమానం</v>
      </c>
      <c r="E77" s="1" t="s">
        <v>1749</v>
      </c>
      <c r="F77" s="1" t="s">
        <v>1750</v>
      </c>
      <c r="G77" s="1" t="str">
        <f>IFERROR(__xludf.DUMMYFUNCTION("GOOGLETRANSLATE(F:F, ""en"", ""te"")"),"సూపర్సోనిక్ బిజినెస్ జెట్")</f>
        <v>సూపర్సోనిక్ బిజినెస్ జెట్</v>
      </c>
      <c r="H77" s="1" t="s">
        <v>1751</v>
      </c>
      <c r="L77" s="1" t="s">
        <v>1752</v>
      </c>
      <c r="M77" s="1" t="str">
        <f>IFERROR(__xludf.DUMMYFUNCTION("GOOGLETRANSLATE(L:L, ""en"", ""te"")"),"సుఖోయ్ డిజైన్ బ్యూరో/గల్ఫ్ స్ట్రీమ్ ఏరోస్పేస్")</f>
        <v>సుఖోయ్ డిజైన్ బ్యూరో/గల్ఫ్ స్ట్రీమ్ ఏరోస్పేస్</v>
      </c>
      <c r="N77" s="1" t="s">
        <v>1753</v>
      </c>
      <c r="V77" s="1">
        <v>2.0</v>
      </c>
      <c r="W77" s="1" t="s">
        <v>1754</v>
      </c>
      <c r="X77" s="1" t="s">
        <v>1755</v>
      </c>
      <c r="Y77" s="1" t="s">
        <v>1756</v>
      </c>
      <c r="AG77" s="1" t="s">
        <v>1757</v>
      </c>
      <c r="AV77" s="1" t="s">
        <v>1758</v>
      </c>
      <c r="AX77" s="1" t="s">
        <v>1759</v>
      </c>
      <c r="AY77" s="1" t="str">
        <f>IFERROR(__xludf.DUMMYFUNCTION("GOOGLETRANSLATE(AX:AX, ""en"", ""te"")"),"3 × AVIADVIGATEL D-21A1 టర్బోఫాన్, 16,535 LBF (73.55 kN) ప్రతి త్రష్")</f>
        <v>3 × AVIADVIGATEL D-21A1 టర్బోఫాన్, 16,535 LBF (73.55 kN) ప్రతి త్రష్</v>
      </c>
      <c r="BB77" s="1" t="s">
        <v>1760</v>
      </c>
      <c r="BD77" s="1" t="s">
        <v>1761</v>
      </c>
      <c r="BG77" s="2"/>
      <c r="BT77" s="1" t="s">
        <v>1762</v>
      </c>
      <c r="BX77" s="1"/>
      <c r="BY77" s="1" t="s">
        <v>1763</v>
      </c>
      <c r="EA77" s="1" t="s">
        <v>1764</v>
      </c>
      <c r="EB77" s="1" t="s">
        <v>1765</v>
      </c>
      <c r="EC77" s="1">
        <v>0.43</v>
      </c>
    </row>
    <row r="78">
      <c r="A78" s="1" t="s">
        <v>1553</v>
      </c>
      <c r="B78" s="1" t="str">
        <f>IFERROR(__xludf.DUMMYFUNCTION("GOOGLETRANSLATE(A:A, ""en"", ""te"")"),"Zmaj fizir fn")</f>
        <v>Zmaj fizir fn</v>
      </c>
      <c r="C78" s="1" t="s">
        <v>1766</v>
      </c>
      <c r="D78" s="1" t="str">
        <f>IFERROR(__xludf.DUMMYFUNCTION("GOOGLETRANSLATE(C:C, ""en"", ""te"")"),"రోగోసార్స్కి అల్బాట్రోస్ శ్రీమ్స్కా మిట్రోవికా ZMAJ FIZIR FN (సెర్బియన్ సిరిలిక్: змај Kear) అనేది రెండవ ప్రపంచ యుద్ధానికి ముందు యుగోస్లేవియాలో పైలట్ల శిక్షణ కోసం రూపొందించిన విమానం. ఇది బెల్గ్రేడ్‌లోని రోగోసార్స్కి కర్మాగారంలో జెమున్ ఆధారిత కర్మాగారమైన Z"&amp;"mmaj లో మరియు శ్రీంస్కా మిట్రోవికాలోని అల్బాట్రోస్‌లో నిర్మించబడింది. ఫిజిర్ ఎఫ్ఎన్ అసాధారణమైన తక్కువ-స్పీడ్ స్థిరత్వాన్ని కలిగి ఉంది, ఇది శిక్షణా విమానానికి కావాల్సిన లక్షణం, మరియు నమ్మదగినది మరియు నిర్వహించడం సులభం. [4] ఇది క్రీడా విమానంగా కూడా విస్తృతం"&amp;"గా ఉపయోగించబడింది. [1] ఫిజిర్ ఎఫ్ఎన్ (ఫిజిర్ ట్రైనర్) విమానం యొక్క మొట్టమొదటి నమూనా 1929 లో పెట్రోవరాడిన్‌లోని రుడాల్ఫ్ ఫిజిర్ వర్క్‌షాప్‌లో రూపొందించబడింది మరియు తయారు చేయబడింది. రుడాల్ఫ్ ఫిజిర్ యొక్క వర్క్‌షాప్‌కు విమానాల పారిశ్రామిక ఉత్పత్తి సామర్థ్యం "&amp;"లేదు, వారి పని ప్రాంతం డిజైన్ మరియు ప్రోటోటైపింగ్. చిన్నది అయినప్పటికీ, ఈ వర్క్‌షాప్ యుగోస్లావ్ ఏరోనాటిక్స్ అభివృద్ధిలో ముఖ్యమైన పాత్ర పోషించింది మరియు అది ఉద్భవించిన తరువాత మరియు ఇంజనీర్ల శిక్షణ కోసం ఉపయోగించబడింది, తరువాత మా ఏరోనాటికల్ ఇంజనీరింగ్‌లో ముఖ"&amp;"్యమైన మరియు ప్రసిద్ధి చెందినవారు. [5] ఈ వర్క్‌షాప్ నుండి అనేక విజయవంతమైన విమాన ప్రోటోటైప్‌లు తరువాత యుగోస్లావ్ విమాన కర్మాగారాల్లో ఉత్పత్తి చేయబడ్డాయి. ఫిజిర్ ఎఫ్ఎన్ సింగిల్-ఇంజిన్ రెండు-సీట్ల బిప్‌లేన్ ట్రైనర్, ప్రతి వైపు ఒక జత స్ట్రట్‌లతో ఉంటుంది. చిట్క"&amp;"ాల వద్ద రెక్కలు గుండ్రంగా ఉన్నాయి మరియు ఫ్లాప్స్ దిగువ మరియు ఎగువ రెక్కలలో ఉన్నాయి. ల్యాండింగ్ గేర్ కీలు అక్షానికి పరిష్కరించబడింది. రుణ విమోచన కోసం కాయిల్ స్ప్రింగ్స్ మరియు రబ్బరు (పాత రకం) లేదా ఇసుక రింగులు (తరువాత రకాలు) ఉపయోగించబడ్డాయి. ఫ్యూజ్‌లేజ్ మర"&amp;"ియు రెక్కల చెక్క నిర్మాణం కాన్వాస్‌తో కప్పబడి ఉంది. విమానం ఉత్పత్తిలో ఉన్నప్పటికీ, ఇది అనేక మెరుగుదలలకు గురైంది, విమానాలు నిరంతరం శుద్ధి చేయబడుతున్నాయి, తద్వారా ఈ విమానాలలో అనేక ఉప రకాలు ఉన్నాయి, ఇది వ్యవస్థాపించబడిన ఇంజిన్‌లను బట్టి ఉంటుంది. మొదటి మూడు వ"&amp;"ిమానాలను ఏరో క్లబ్ కోసం ZMAJ ఎయిర్క్రాఫ్ట్ ఫ్యాక్టరీ నిర్మించింది. [6] అద్భుతమైన విమాన లక్షణాలను బట్టి, ఎయిర్ ఫోర్స్ కమాండ్ గతంలో ప్రాథమిక శిక్షణ కోసం వాడుకలో ఉన్న అన్ని శిక్షణా విమానాలను భర్తీ చేయడానికి దీనిని ఉపయోగించాలని నిర్ణయించింది. ఆ సమయంలో బేసిక్ "&amp;"పైలట్ శిక్షణా పాఠశాలలు 73 కిలోవాట్ల (98 హెచ్‌పి) మెర్సిడెస్ ఇంజిన్‌తో ఇకరస్ ఎస్బి -1 (మాలి బ్రాండెన్‌బర్గ్) ను ఉపయోగించాయి, జెఎంఎజ్ 1928 లో తయారు చేసిన 90 కిలోవాట్ల (120 హెచ్‌పి) సాల్మ్సన్ ఇంజిన్‌లతో హాన్రియోట్ హెచ్ -320 ను నిర్మించారు. ప్రారంభంలో. 1931 ల"&amp;"ో, ZMAJ వాల్టర్ NZ 120 రేడియల్ ఇంజిన్‌తో మొదటి 20 సీరియల్ ఫిజిర్ ఎఫ్ఎన్ విమానాన్ని మరియు 89 kW (120 HP) మెర్సిడెస్ D.II ఇన్లైన్ ఇంజిన్‌తో 10 ను ఉత్పత్తి చేసి పంపిణీ చేసింది. [1] 1939 నాటికి, ZMAJ 137 విమానాలను ఉత్పత్తి చేసింది, రోగోసార్స్కి 40 విమానాలను క"&amp;"ల్పించాడు మరియు 1940 లో శ్రీంస్కా మిట్రోవికాకు చెందిన అల్బాట్రోస్ ఫ్యాక్టరీ ఈ రకమైన అదనపు 20 విమానాలను ఉత్పత్తి చేసింది. యుద్ధానికి ముందు, నేవీ ఏవియేషన్ నాలుగు హైడ్రో ఫిజిర్ ఎఫ్ఎన్ (ఫ్లోట్‌ప్లేన్) ను ఫ్లోట్‌లతో మరియు మరింత శక్తివంతమైన 106 కిలోవాట్ల (142 హ"&amp;"ెచ్‌పి) వాల్టర్ మార్స్ ఐ ఇంజిన్‌తో ఆదేశించింది. చివరి 10 ఫిజిర్ ఎఫ్ఎన్ విమానాల ఉత్పత్తి 1943 లో క్రొయేషియన్ వైమానిక దళం కోసం ZMAJ లో ప్రారంభమైంది, కాని విముక్తి వరకు పూర్తి కాలేదు, వాటిని యుగోస్లేవియా యొక్క ఏరోనాటికల్ ఫెడరేషన్ కు అప్పగించినప్పుడు. [2] రెం"&amp;"డవ ప్రపంచ యుద్ధంలో, యుగోస్లావ్-మాన్యుఫ్యాక్చర్డ్ విమానాలను ఇటలీ అల్బేనియాలో మరియు ఇండిపెండెంట్ స్టేట్ ఆఫ్ క్రొయేషియా చేత ఉపయోగించారు. ఎయిర్క్రాఫ్ట్ ఫిజిర్ ఎఫ్ఎన్ నమ్మదగినది, ఎగరడం మరియు నిర్వహించడం సులభం, కాబట్టి ఈ విమానం చాలా సంవత్సరాలు (దాదాపు 1950 వరకు"&amp;") పనిచేస్తూనే ఉంది, ప్రాథమిక పైలట్ శిక్షణా విమానాలు, సైనిక మరియు పౌర విమానయానంలో, స్పోర్ట్స్ ఫ్లయింగ్‌తో సహా. మనుగడలో ఉన్న రెండు ఫిజిర్ ఎఫ్ఎన్ విమానం ఉన్నాయి. [1] ఒకటి (సీరియల్ నంబర్ 9009, రిజిస్ట్రేషన్ యు-కే) బెల్గ్రేడ్ నికోలా టెస్లా విమానాశ్రయంలో యుగోస్"&amp;"లావ్ ఏవియేషన్ మ్యూజియంలో ఉంచబడింది. [7] మరొకటి, ఫిజిర్ ఎఫ్ఎన్హెచ్, ఇది ఫ్లోట్ ప్లేన్ (సీరియల్ నంబర్ 9002, రిజిస్ట్రేషన్ యు-సిజిఓ) గా మార్చబడిన ఫిజిర్ ఎఫ్ఎన్, టెక్నికల్ మ్యూజియం, జాగ్రెబ్ లో ఉంచబడింది. [8] [10] సాధారణ లక్షణాల పనితీరు నుండి డేటా")</f>
        <v>రోగోసార్స్కి అల్బాట్రోస్ శ్రీమ్స్కా మిట్రోవికా ZMAJ FIZIR FN (సెర్బియన్ సిరిలిక్: змај Kear) అనేది రెండవ ప్రపంచ యుద్ధానికి ముందు యుగోస్లేవియాలో పైలట్ల శిక్షణ కోసం రూపొందించిన విమానం. ఇది బెల్గ్రేడ్‌లోని రోగోసార్స్కి కర్మాగారంలో జెమున్ ఆధారిత కర్మాగారమైన Zmmaj లో మరియు శ్రీంస్కా మిట్రోవికాలోని అల్బాట్రోస్‌లో నిర్మించబడింది. ఫిజిర్ ఎఫ్ఎన్ అసాధారణమైన తక్కువ-స్పీడ్ స్థిరత్వాన్ని కలిగి ఉంది, ఇది శిక్షణా విమానానికి కావాల్సిన లక్షణం, మరియు నమ్మదగినది మరియు నిర్వహించడం సులభం. [4] ఇది క్రీడా విమానంగా కూడా విస్తృతంగా ఉపయోగించబడింది. [1] ఫిజిర్ ఎఫ్ఎన్ (ఫిజిర్ ట్రైనర్) విమానం యొక్క మొట్టమొదటి నమూనా 1929 లో పెట్రోవరాడిన్‌లోని రుడాల్ఫ్ ఫిజిర్ వర్క్‌షాప్‌లో రూపొందించబడింది మరియు తయారు చేయబడింది. రుడాల్ఫ్ ఫిజిర్ యొక్క వర్క్‌షాప్‌కు విమానాల పారిశ్రామిక ఉత్పత్తి సామర్థ్యం లేదు, వారి పని ప్రాంతం డిజైన్ మరియు ప్రోటోటైపింగ్. చిన్నది అయినప్పటికీ, ఈ వర్క్‌షాప్ యుగోస్లావ్ ఏరోనాటిక్స్ అభివృద్ధిలో ముఖ్యమైన పాత్ర పోషించింది మరియు అది ఉద్భవించిన తరువాత మరియు ఇంజనీర్ల శిక్షణ కోసం ఉపయోగించబడింది, తరువాత మా ఏరోనాటికల్ ఇంజనీరింగ్‌లో ముఖ్యమైన మరియు ప్రసిద్ధి చెందినవారు. [5] ఈ వర్క్‌షాప్ నుండి అనేక విజయవంతమైన విమాన ప్రోటోటైప్‌లు తరువాత యుగోస్లావ్ విమాన కర్మాగారాల్లో ఉత్పత్తి చేయబడ్డాయి. ఫిజిర్ ఎఫ్ఎన్ సింగిల్-ఇంజిన్ రెండు-సీట్ల బిప్‌లేన్ ట్రైనర్, ప్రతి వైపు ఒక జత స్ట్రట్‌లతో ఉంటుంది. చిట్కాల వద్ద రెక్కలు గుండ్రంగా ఉన్నాయి మరియు ఫ్లాప్స్ దిగువ మరియు ఎగువ రెక్కలలో ఉన్నాయి. ల్యాండింగ్ గేర్ కీలు అక్షానికి పరిష్కరించబడింది. రుణ విమోచన కోసం కాయిల్ స్ప్రింగ్స్ మరియు రబ్బరు (పాత రకం) లేదా ఇసుక రింగులు (తరువాత రకాలు) ఉపయోగించబడ్డాయి. ఫ్యూజ్‌లేజ్ మరియు రెక్కల చెక్క నిర్మాణం కాన్వాస్‌తో కప్పబడి ఉంది. విమానం ఉత్పత్తిలో ఉన్నప్పటికీ, ఇది అనేక మెరుగుదలలకు గురైంది, విమానాలు నిరంతరం శుద్ధి చేయబడుతున్నాయి, తద్వారా ఈ విమానాలలో అనేక ఉప రకాలు ఉన్నాయి, ఇది వ్యవస్థాపించబడిన ఇంజిన్‌లను బట్టి ఉంటుంది. మొదటి మూడు విమానాలను ఏరో క్లబ్ కోసం ZMAJ ఎయిర్క్రాఫ్ట్ ఫ్యాక్టరీ నిర్మించింది. [6] అద్భుతమైన విమాన లక్షణాలను బట్టి, ఎయిర్ ఫోర్స్ కమాండ్ గతంలో ప్రాథమిక శిక్షణ కోసం వాడుకలో ఉన్న అన్ని శిక్షణా విమానాలను భర్తీ చేయడానికి దీనిని ఉపయోగించాలని నిర్ణయించింది. ఆ సమయంలో బేసిక్ పైలట్ శిక్షణా పాఠశాలలు 73 కిలోవాట్ల (98 హెచ్‌పి) మెర్సిడెస్ ఇంజిన్‌తో ఇకరస్ ఎస్బి -1 (మాలి బ్రాండెన్‌బర్గ్) ను ఉపయోగించాయి, జెఎంఎజ్ 1928 లో తయారు చేసిన 90 కిలోవాట్ల (120 హెచ్‌పి) సాల్మ్సన్ ఇంజిన్‌లతో హాన్రియోట్ హెచ్ -320 ను నిర్మించారు. ప్రారంభంలో. 1931 లో, ZMAJ వాల్టర్ NZ 120 రేడియల్ ఇంజిన్‌తో మొదటి 20 సీరియల్ ఫిజిర్ ఎఫ్ఎన్ విమానాన్ని మరియు 89 kW (120 HP) మెర్సిడెస్ D.II ఇన్లైన్ ఇంజిన్‌తో 10 ను ఉత్పత్తి చేసి పంపిణీ చేసింది. [1] 1939 నాటికి, ZMAJ 137 విమానాలను ఉత్పత్తి చేసింది, రోగోసార్స్కి 40 విమానాలను కల్పించాడు మరియు 1940 లో శ్రీంస్కా మిట్రోవికాకు చెందిన అల్బాట్రోస్ ఫ్యాక్టరీ ఈ రకమైన అదనపు 20 విమానాలను ఉత్పత్తి చేసింది. యుద్ధానికి ముందు, నేవీ ఏవియేషన్ నాలుగు హైడ్రో ఫిజిర్ ఎఫ్ఎన్ (ఫ్లోట్‌ప్లేన్) ను ఫ్లోట్‌లతో మరియు మరింత శక్తివంతమైన 106 కిలోవాట్ల (142 హెచ్‌పి) వాల్టర్ మార్స్ ఐ ఇంజిన్‌తో ఆదేశించింది. చివరి 10 ఫిజిర్ ఎఫ్ఎన్ విమానాల ఉత్పత్తి 1943 లో క్రొయేషియన్ వైమానిక దళం కోసం ZMAJ లో ప్రారంభమైంది, కాని విముక్తి వరకు పూర్తి కాలేదు, వాటిని యుగోస్లేవియా యొక్క ఏరోనాటికల్ ఫెడరేషన్ కు అప్పగించినప్పుడు. [2] రెండవ ప్రపంచ యుద్ధంలో, యుగోస్లావ్-మాన్యుఫ్యాక్చర్డ్ విమానాలను ఇటలీ అల్బేనియాలో మరియు ఇండిపెండెంట్ స్టేట్ ఆఫ్ క్రొయేషియా చేత ఉపయోగించారు. ఎయిర్క్రాఫ్ట్ ఫిజిర్ ఎఫ్ఎన్ నమ్మదగినది, ఎగరడం మరియు నిర్వహించడం సులభం, కాబట్టి ఈ విమానం చాలా సంవత్సరాలు (దాదాపు 1950 వరకు) పనిచేస్తూనే ఉంది, ప్రాథమిక పైలట్ శిక్షణా విమానాలు, సైనిక మరియు పౌర విమానయానంలో, స్పోర్ట్స్ ఫ్లయింగ్‌తో సహా. మనుగడలో ఉన్న రెండు ఫిజిర్ ఎఫ్ఎన్ విమానం ఉన్నాయి. [1] ఒకటి (సీరియల్ నంబర్ 9009, రిజిస్ట్రేషన్ యు-కే) బెల్గ్రేడ్ నికోలా టెస్లా విమానాశ్రయంలో యుగోస్లావ్ ఏవియేషన్ మ్యూజియంలో ఉంచబడింది. [7] మరొకటి, ఫిజిర్ ఎఫ్ఎన్హెచ్, ఇది ఫ్లోట్ ప్లేన్ (సీరియల్ నంబర్ 9002, రిజిస్ట్రేషన్ యు-సిజిఓ) గా మార్చబడిన ఫిజిర్ ఎఫ్ఎన్, టెక్నికల్ మ్యూజియం, జాగ్రెబ్ లో ఉంచబడింది. [8] [10] సాధారణ లక్షణాల పనితీరు నుండి డేటా</v>
      </c>
      <c r="E78" s="1" t="s">
        <v>1767</v>
      </c>
      <c r="F78" s="1" t="s">
        <v>1534</v>
      </c>
      <c r="G78" s="1" t="str">
        <f>IFERROR(__xludf.DUMMYFUNCTION("GOOGLETRANSLATE(F:F, ""en"", ""te"")"),"విమానం")</f>
        <v>విమానం</v>
      </c>
      <c r="H78" s="1" t="s">
        <v>1535</v>
      </c>
      <c r="I78" s="1" t="s">
        <v>1768</v>
      </c>
      <c r="J78" s="1" t="str">
        <f>IFERROR(__xludf.DUMMYFUNCTION("GOOGLETRANSLATE(I:I, ""en"", ""te"")"),"యుగోస్లావ్")</f>
        <v>యుగోస్లావ్</v>
      </c>
      <c r="K78" s="3" t="s">
        <v>1769</v>
      </c>
      <c r="L78" s="1" t="s">
        <v>1770</v>
      </c>
      <c r="M78" s="1" t="str">
        <f>IFERROR(__xludf.DUMMYFUNCTION("GOOGLETRANSLATE(L:L, ""en"", ""te"")"),"Zmaj విమానం, రోగోసార్స్కి అల్బాట్రోస్ శ్రీమ్స్కా మిట్రోవికా")</f>
        <v>Zmaj విమానం, రోగోసార్స్కి అల్బాట్రోస్ శ్రీమ్స్కా మిట్రోవికా</v>
      </c>
      <c r="N78" s="1" t="s">
        <v>1771</v>
      </c>
      <c r="O78" s="1" t="s">
        <v>1772</v>
      </c>
      <c r="P78" s="1" t="str">
        <f>IFERROR(__xludf.DUMMYFUNCTION("GOOGLETRANSLATE(O:O, ""en"", ""te"")"),"రుడాల్ఫ్ ఫిజిర్, డుకాన్ స్టాంకోవ్ మరియు ఇవాన్ రుకావినా")</f>
        <v>రుడాల్ఫ్ ఫిజిర్, డుకాన్ స్టాంకోవ్ మరియు ఇవాన్ రుకావినా</v>
      </c>
      <c r="Q78" s="1" t="s">
        <v>1773</v>
      </c>
      <c r="R78" s="1" t="s">
        <v>1774</v>
      </c>
      <c r="S78" s="1" t="s">
        <v>1775</v>
      </c>
      <c r="T78" s="1" t="s">
        <v>1776</v>
      </c>
      <c r="V78" s="1">
        <v>2.0</v>
      </c>
      <c r="W78" s="1" t="s">
        <v>1296</v>
      </c>
      <c r="X78" s="1" t="s">
        <v>1777</v>
      </c>
      <c r="Y78" s="1" t="s">
        <v>1778</v>
      </c>
      <c r="Z78" s="1" t="s">
        <v>1779</v>
      </c>
      <c r="AG78" s="1" t="s">
        <v>1780</v>
      </c>
      <c r="AH78" s="1" t="s">
        <v>1781</v>
      </c>
      <c r="AO78" s="1">
        <v>1931.0</v>
      </c>
      <c r="AQ78" s="1">
        <v>1950.0</v>
      </c>
      <c r="AX78" s="1" t="s">
        <v>1782</v>
      </c>
      <c r="AY78" s="1" t="str">
        <f>IFERROR(__xludf.DUMMYFUNCTION("GOOGLETRANSLATE(AX:AX, ""en"", ""te"")"),"1 × వాల్టర్ NZ 120 7-సిలిండర్ రేడియల్, 88 kW (118 HP)")</f>
        <v>1 × వాల్టర్ NZ 120 7-సిలిండర్ రేడియల్, 88 kW (118 HP)</v>
      </c>
      <c r="AZ78" s="1" t="s">
        <v>1547</v>
      </c>
      <c r="BA78" s="1" t="str">
        <f>IFERROR(__xludf.DUMMYFUNCTION("GOOGLETRANSLATE(AZ:AZ, ""en"", ""te"")"),"2-బ్లేడెడ్")</f>
        <v>2-బ్లేడెడ్</v>
      </c>
      <c r="BB78" s="1" t="s">
        <v>1783</v>
      </c>
      <c r="BC78" s="1" t="s">
        <v>1784</v>
      </c>
      <c r="BD78" s="1" t="s">
        <v>1785</v>
      </c>
      <c r="BF78" s="1" t="s">
        <v>1551</v>
      </c>
      <c r="BG78" s="2" t="str">
        <f>IFERROR(__xludf.DUMMYFUNCTION("GOOGLETRANSLATE(BF:BF, ""en"", ""te"")"),"యుగోస్లావ్ రాయల్ ఎయిర్ ఫోర్స్")</f>
        <v>యుగోస్లావ్ రాయల్ ఎయిర్ ఫోర్స్</v>
      </c>
      <c r="BH78" s="1" t="s">
        <v>1552</v>
      </c>
      <c r="BT78" s="1" t="s">
        <v>1786</v>
      </c>
    </row>
    <row r="79">
      <c r="A79" s="1" t="s">
        <v>1787</v>
      </c>
      <c r="B79" s="1" t="str">
        <f>IFERROR(__xludf.DUMMYFUNCTION("GOOGLETRANSLATE(A:A, ""en"", ""te"")"),"ప్రతినిధి 1")</f>
        <v>ప్రతినిధి 1</v>
      </c>
      <c r="C79" s="1" t="s">
        <v>1788</v>
      </c>
      <c r="D79" s="1" t="str">
        <f>IFERROR(__xludf.DUMMYFUNCTION("GOOGLETRANSLATE(C:C, ""en"", ""te"")"),"ది ఎస్నాల్ట్-పెల్టెరీ R.E.P. 1 మరియు R.E.P. 2 ఇరవయ్యవ శతాబ్దం ప్రారంభంలో రాబర్ట్ ఎస్నాల్ట్-పెల్టెరీ చేత ఫ్రాన్స్‌లో నిర్మించిన మరియు ఎగిరిన ప్రయోగాత్మక విమానాలు. ఈ విమానాలు చారిత్రాత్మకంగా ముఖ్యమైనవి, ఎందుకంటే వారు తమ ప్రధాన విమాన నియంత్రణగా జాయ్‌స్టిక్‌న"&amp;"ు ఉపయోగించిన మొదటి వ్యక్తి. రెప్ 1 అనేది 22 కిలోవాట్ల (30 హెచ్‌పి) ఏడు-సిలిండర్ల రెండు-వరుసల సెమీ-రేడియల్ ఇంజిన్ [1] చేత శక్తినిచ్చే సింగిల్-సీట్ల ట్రాక్టర్ కాన్ఫిగరేషన్ మోనోప్లేన్, అల్యూమినియం బ్లేడ్‌లతో నాలుగు-బ్లేడెడ్ ప్రొపెల్లర్‌ను ఉక్కు గొట్టాలకు రివ"&amp;"ర్ట్‌గా నడుపుతుంది. ఫ్యూజ్‌లేజ్ ఎక్కువగా ఉక్కు గొట్టాలతో తయారు చేయబడింది, వార్నిష్డ్ పట్టు మరియు కలప రెక్కలతో కప్పబడి ఉంటుంది. ఒక పొడుగుచేసిన త్రిభుజాకార స్థిర క్షితిజ సమాంతర స్టెబిలైజర్ వెనుక ఫ్యూజ్‌లేజ్ పైన ఒక దీర్ఘచతురస్రాకార ఎలివేటర్‌తో వెనుకంజలో ఉన్న"&amp;" అంచున అమర్చబడి, ఒక స్థిర ఫిన్ మరియు చుక్కాని ఫ్యూజ్‌లేజ్ కింద అమర్చారు. వింగ్-వార్పింగ్ ద్వారా పార్శ్వ నియంత్రణను ప్రభావితం చేశారు. ప్రధాన ల్యాండింగ్ గేర్‌లో న్యూమాటిక్ డంపర్‌పై అమర్చిన ఒకే కేంద్రంగా అమర్చిన చక్రం ఉంటుంది, చిన్న టెయిల్‌వీల్ చుక్కానిపై అమ"&amp;"ర్చబడి ఉంటుంది. రెక్కల చిట్కాలకు పెద్ద అవుట్రిగ్గర్ చక్రాలు అమర్చబడ్డాయి, ఇందులో గుర్తించబడిన అన్హెడ్రల్ ఉంది. [2] ఎస్నాల్ట్-పెల్టెరీ R.E.P. 1 సెప్టెంబర్ 1907 లో, ప్రారంభంలో శక్తితో కూడిన విమానాలను ప్రయత్నించే ముందు విమానాన్ని గ్లైడర్‌గా ఎగురుతుంది. అక్టో"&amp;"బర్ అంతా, ఈ విమానాలు విజయవంతమయ్యాయి. R.E.P. 1 పారిస్‌లోని మ్యూసీ డెస్ ఆర్ట్స్ ఎట్ మాటియర్స్ వద్ద భద్రపరచబడింది. R.E.P. 2 R.E.P నుండి భిన్నంగా ఉంటుంది. 1 పెద్ద వెంట్రల్ సమతుల్య చుక్కానితో పాటు కొద్దిగా భిన్నమైన అండర్ క్యారేజ్ (అదే సాధారణ అమరికలో) కలిగి ఉండ"&amp;"టం. R.E.P తో పరీక్షలు. 2 జూన్ 1908 లో ప్రారంభమైంది, మరియు జూన్ 8 న 1,200 మీ (3,900 అడుగులు) ఫ్లైట్ తయారు చేయబడింది, ఇది 30 మీ (100 అడుగులు) ఎత్తుకు చేరుకుంది, మోనోప్లేన్లకు ఎత్తు మరియు దూర రికార్డును సృష్టించింది. [3] R.E.P. ను సృష్టించడానికి, ట్రాపెజోయిడ"&amp;"ల్ డోర్సల్ ఫిన్ చేరిక ద్వారా ఈ విమానం సవరించబడింది. బిస్. ఈ రూపంలో, M. చాటియాక్స్ పైలట్ చేయబడిన ఇది మూడవ AE.C.F. 21 నవంబర్ 1908 న 200 మీటర్లకు పైగా విమానానికి బహుమతి, అధికారికంగా గమనించిన ఫ్లైట్ 316 మీ (1,037 అడుగులు). [4] ఇది డిసెంబర్ 1908 లో పారిస్ ఏరో "&amp;"సెలూన్లో మరియు 1909 లో లండన్లోని ఒలింపియాలో జరిగిన ఏరో షోలో ప్రదర్శించబడింది. ఇది 1909 ఆగస్టులో రీమ్స్‌లో గ్రాండే సెమిన్ డి ఏవియేషన్ కోసం ప్రవేశించింది, కాని ఎస్నాల్ట్-పెలటరీ అక్కడే పోటీ చేయలేదు. అతని చేతికి గాయం. [5] ఎల్'అరోఫైల్, అక్టోబర్ 1907, పేజీలు 29"&amp;"0-1 జనరల్ లక్షణాల పనితీరు")</f>
        <v>ది ఎస్నాల్ట్-పెల్టెరీ R.E.P. 1 మరియు R.E.P. 2 ఇరవయ్యవ శతాబ్దం ప్రారంభంలో రాబర్ట్ ఎస్నాల్ట్-పెల్టెరీ చేత ఫ్రాన్స్‌లో నిర్మించిన మరియు ఎగిరిన ప్రయోగాత్మక విమానాలు. ఈ విమానాలు చారిత్రాత్మకంగా ముఖ్యమైనవి, ఎందుకంటే వారు తమ ప్రధాన విమాన నియంత్రణగా జాయ్‌స్టిక్‌ను ఉపయోగించిన మొదటి వ్యక్తి. రెప్ 1 అనేది 22 కిలోవాట్ల (30 హెచ్‌పి) ఏడు-సిలిండర్ల రెండు-వరుసల సెమీ-రేడియల్ ఇంజిన్ [1] చేత శక్తినిచ్చే సింగిల్-సీట్ల ట్రాక్టర్ కాన్ఫిగరేషన్ మోనోప్లేన్, అల్యూమినియం బ్లేడ్‌లతో నాలుగు-బ్లేడెడ్ ప్రొపెల్లర్‌ను ఉక్కు గొట్టాలకు రివర్ట్‌గా నడుపుతుంది. ఫ్యూజ్‌లేజ్ ఎక్కువగా ఉక్కు గొట్టాలతో తయారు చేయబడింది, వార్నిష్డ్ పట్టు మరియు కలప రెక్కలతో కప్పబడి ఉంటుంది. ఒక పొడుగుచేసిన త్రిభుజాకార స్థిర క్షితిజ సమాంతర స్టెబిలైజర్ వెనుక ఫ్యూజ్‌లేజ్ పైన ఒక దీర్ఘచతురస్రాకార ఎలివేటర్‌తో వెనుకంజలో ఉన్న అంచున అమర్చబడి, ఒక స్థిర ఫిన్ మరియు చుక్కాని ఫ్యూజ్‌లేజ్ కింద అమర్చారు. వింగ్-వార్పింగ్ ద్వారా పార్శ్వ నియంత్రణను ప్రభావితం చేశారు. ప్రధాన ల్యాండింగ్ గేర్‌లో న్యూమాటిక్ డంపర్‌పై అమర్చిన ఒకే కేంద్రంగా అమర్చిన చక్రం ఉంటుంది, చిన్న టెయిల్‌వీల్ చుక్కానిపై అమర్చబడి ఉంటుంది. రెక్కల చిట్కాలకు పెద్ద అవుట్రిగ్గర్ చక్రాలు అమర్చబడ్డాయి, ఇందులో గుర్తించబడిన అన్హెడ్రల్ ఉంది. [2] ఎస్నాల్ట్-పెల్టెరీ R.E.P. 1 సెప్టెంబర్ 1907 లో, ప్రారంభంలో శక్తితో కూడిన విమానాలను ప్రయత్నించే ముందు విమానాన్ని గ్లైడర్‌గా ఎగురుతుంది. అక్టోబర్ అంతా, ఈ విమానాలు విజయవంతమయ్యాయి. R.E.P. 1 పారిస్‌లోని మ్యూసీ డెస్ ఆర్ట్స్ ఎట్ మాటియర్స్ వద్ద భద్రపరచబడింది. R.E.P. 2 R.E.P నుండి భిన్నంగా ఉంటుంది. 1 పెద్ద వెంట్రల్ సమతుల్య చుక్కానితో పాటు కొద్దిగా భిన్నమైన అండర్ క్యారేజ్ (అదే సాధారణ అమరికలో) కలిగి ఉండటం. R.E.P తో పరీక్షలు. 2 జూన్ 1908 లో ప్రారంభమైంది, మరియు జూన్ 8 న 1,200 మీ (3,900 అడుగులు) ఫ్లైట్ తయారు చేయబడింది, ఇది 30 మీ (100 అడుగులు) ఎత్తుకు చేరుకుంది, మోనోప్లేన్లకు ఎత్తు మరియు దూర రికార్డును సృష్టించింది. [3] R.E.P. ను సృష్టించడానికి, ట్రాపెజోయిడల్ డోర్సల్ ఫిన్ చేరిక ద్వారా ఈ విమానం సవరించబడింది. బిస్. ఈ రూపంలో, M. చాటియాక్స్ పైలట్ చేయబడిన ఇది మూడవ AE.C.F. 21 నవంబర్ 1908 న 200 మీటర్లకు పైగా విమానానికి బహుమతి, అధికారికంగా గమనించిన ఫ్లైట్ 316 మీ (1,037 అడుగులు). [4] ఇది డిసెంబర్ 1908 లో పారిస్ ఏరో సెలూన్లో మరియు 1909 లో లండన్లోని ఒలింపియాలో జరిగిన ఏరో షోలో ప్రదర్శించబడింది. ఇది 1909 ఆగస్టులో రీమ్స్‌లో గ్రాండే సెమిన్ డి ఏవియేషన్ కోసం ప్రవేశించింది, కాని ఎస్నాల్ట్-పెలటరీ అక్కడే పోటీ చేయలేదు. అతని చేతికి గాయం. [5] ఎల్'అరోఫైల్, అక్టోబర్ 1907, పేజీలు 290-1 జనరల్ లక్షణాల పనితీరు</v>
      </c>
      <c r="E79" s="1" t="s">
        <v>1789</v>
      </c>
      <c r="F79" s="1" t="s">
        <v>1120</v>
      </c>
      <c r="G79" s="1" t="str">
        <f>IFERROR(__xludf.DUMMYFUNCTION("GOOGLETRANSLATE(F:F, ""en"", ""te"")"),"ప్రయోగాత్మక విమానం")</f>
        <v>ప్రయోగాత్మక విమానం</v>
      </c>
      <c r="L79" s="1" t="s">
        <v>1790</v>
      </c>
      <c r="M79" s="1" t="str">
        <f>IFERROR(__xludf.DUMMYFUNCTION("GOOGLETRANSLATE(L:L, ""en"", ""te"")"),"రాబర్ట్ ఎస్నాల్ట్-పెల్టెరీ")</f>
        <v>రాబర్ట్ ఎస్నాల్ట్-పెల్టెరీ</v>
      </c>
      <c r="N79" s="1" t="s">
        <v>1791</v>
      </c>
      <c r="O79" s="1" t="s">
        <v>1790</v>
      </c>
      <c r="P79" s="1" t="str">
        <f>IFERROR(__xludf.DUMMYFUNCTION("GOOGLETRANSLATE(O:O, ""en"", ""te"")"),"రాబర్ట్ ఎస్నాల్ట్-పెల్టెరీ")</f>
        <v>రాబర్ట్ ఎస్నాల్ట్-పెల్టెరీ</v>
      </c>
      <c r="Q79" s="1" t="s">
        <v>1791</v>
      </c>
      <c r="R79" s="4">
        <v>2849.0</v>
      </c>
      <c r="S79" s="1">
        <v>2.0</v>
      </c>
      <c r="V79" s="1">
        <v>1.0</v>
      </c>
      <c r="W79" s="1" t="s">
        <v>1792</v>
      </c>
      <c r="X79" s="1" t="s">
        <v>1793</v>
      </c>
      <c r="Z79" s="1" t="s">
        <v>1479</v>
      </c>
      <c r="AG79" s="1" t="s">
        <v>1794</v>
      </c>
      <c r="AH79" s="1" t="s">
        <v>1795</v>
      </c>
      <c r="AN79" s="1" t="s">
        <v>1796</v>
      </c>
      <c r="AX79" s="1" t="s">
        <v>1797</v>
      </c>
      <c r="AY79" s="1" t="str">
        <f>IFERROR(__xludf.DUMMYFUNCTION("GOOGLETRANSLATE(AX:AX, ""en"", ""te"")"),"1 × R.E.P. 7-సిలిండర్ రెండు-వరుస సెమీ రేడియల్ పిస్టన్ ఇంజిన్, 22 kW (30 hp)")</f>
        <v>1 × R.E.P. 7-సిలిండర్ రెండు-వరుస సెమీ రేడియల్ పిస్టన్ ఇంజిన్, 22 kW (30 hp)</v>
      </c>
      <c r="BB79" s="1" t="s">
        <v>1798</v>
      </c>
      <c r="BG79" s="2"/>
    </row>
    <row r="80">
      <c r="A80" s="1" t="s">
        <v>1799</v>
      </c>
      <c r="B80" s="1" t="str">
        <f>IFERROR(__xludf.DUMMYFUNCTION("GOOGLETRANSLATE(A:A, ""en"", ""te"")"),"హిస్పానో ఏవియాసియన్ HA-11112")</f>
        <v>హిస్పానో ఏవియాసియన్ HA-11112</v>
      </c>
      <c r="C80" s="1" t="s">
        <v>1800</v>
      </c>
      <c r="D80" s="1" t="str">
        <f>IFERROR(__xludf.DUMMYFUNCTION("GOOGLETRANSLATE(C:C, ""en"", ""te"")"),"హిస్పానో ఏవియాసియన్ HA-11109 మరియు HA-1112 రెండవ ప్రపంచ యుద్ధ సమయంలో మరియు తరువాత స్పెయిన్లో అభివృద్ధి చేసిన మెసెర్స్చ్మిట్ BF 109G-2 యొక్క లైసెన్స్-నిర్మించిన సంస్కరణలు. 1942 లో, స్పానిష్ ప్రభుత్వం బిఎఫ్ 109 జి -2 ను నిర్మించడానికి మెసెర్స్చ్మిట్ ఎగ్‌తో "&amp;"తయారీ లైసెన్స్‌ను ఏర్పాటు చేసింది, అయినప్పటికీ డిబి 605 ఎ ఇంజన్లు, ప్రొపెల్లర్లు, వాయిద్యాలు మరియు ఆయుధాలను జర్మనీ నుండి సరఫరా చేయాల్సి ఉంది. జర్మనీ తన సొంత అవసరాలను తీర్చడానికి అసమర్థంగా ఉన్నందున ఇది అసాధ్యమని నిరూపించబడింది, స్పెయిన్ మాత్రమే కాకుండా, 25"&amp;" ఎయిర్ఫ్రేమ్‌లు (వాటి తోకలు లేకుండా) మరియు సగం కంటే తక్కువ అవసరమైన డ్రాయింగ్‌లు వాస్తవానికి పంపిణీ చేయబడ్డాయి. [1] పర్యవసానంగా, హిస్పానో ఏవియాసియన్ DB 605A ఇంజిన్‌ను 1,600 HP HS 89-12Z తో భర్తీ చేసింది మరియు ఈ ప్రాజెక్టుకు BF 109J గా మెసెర్స్చ్మిట్ పేరు మ"&amp;"ార్చారు. [2] HS 89-12Z ఇంజిన్ 1944 లో బార్సిలోనాలో ఫ్లయింగ్ టెస్ట్‌బెడ్‌గా ఉపయోగించిన BF 109E లో విజయవంతమైన విమానంలో ప్రదర్శించింది, మరియు మొదటి HA-11109-J1L తన తొలి విమానంలో తన తొలి విమాన ప్రయాణానికి, 2 మార్చి 1945 న సెవిల్లెలో VDM ప్రొపెల్లర్ మరియు కొరడ"&amp;"ా దెబ్బలను ఉపయోగించి చేసింది ఇంజిన్ మౌంటు. [3] మిగిలిన 24 ఎయిర్‌ఫ్రేమ్‌లను 1947–9లో ఎస్చెర్-వైస్ ప్రాప్స్‌తో ఎగురవేయారు, కానీ ఎప్పుడూ పనిచేయలేదు. మే 1951 లో, అభివృద్ధి చెందిన సంస్కరణ, HA-1112-K1L, హిస్పానో-సుజా, HS 17-12Z ఇంజిన్ ఇన్‌స్టాలేషన్‌ను మెరుగుపరి"&amp;"చింది మరియు ఒకటి లేదా రెండు 12.7 మిమీ బ్రెడా మెషిన్ గన్స్ మరియు పిలాటస్ ఎనిమిది-ప్యాక్‌లను 80 మిమీ రాకెట్లను కలిగి ఉంది. దాని మూడు-బ్లేడెడ్ డి హవిలాండ్ హైడ్రోమాటిక్ ప్రొపెల్లర్ దీనికి త్రిపాలా (""మూడు బ్లేడ్లు"") అనే మారుపేరును సంపాదించింది. [3] ఇది మొదట "&amp;"1951 లో ప్రయాణించింది, మరియు 200 మంది ప్రణాళిక చేయబడినప్పటికీ 65 మాత్రమే నిర్మించబడ్డాయి. హిస్పానో ఇంజిన్ BF 109 లో ఉపయోగించిన విలోమ V12 డైమ్లెర్-బెంజ్ DB 601 &amp; 605 ఇంజిన్లకు బదులుగా నిటారుగా ఉన్న V12, అయితే, కాంపాక్ట్ డిజైన్‌లో ఉన్నందున, ఇది BF 109 యొక్క"&amp;" ఎయిర్‌ఫ్రేమ్‌ను బాగా అమర్చారు మరియు BF 109 ను విశ్వసనీయంగా సూచించగలిగింది జర్మన్ 1957 చిత్రం డెర్ స్టెర్న్ వాన్ ఆఫ్రికా (ఆఫ్రికా యొక్క స్టార్) లో లుఫ్ట్‌వాఫ్ ఏస్ హన్స్-జోచిమ్ మార్సెయిల్ గురించి. అసలు డిజైన్, BF 109F తో ప్రారంభమవుతుంది, డైమ్లెర్-బెంజ్ యొక"&amp;"్క సవ్యదిశలో భ్రమణం నుండి టార్క్ను ఎదుర్కోవటానికి ఎడమ విక్షేపంతో అసమాన తోక-ఫిన్ ఏరోఫాయిల్ ఉంది. హిస్పానో V12 అపసవ్య దిశలో భ్రమణం ఉన్నప్పటికీ ఇది బుచన్లో మారలేదు కాబట్టి, తోక మరియు ఇంజిన్ కలిసి టేకాఫ్‌లో కుడి స్వింగ్‌ను ప్రేరేపించాయి, అది ఎదుర్కోవడం కష్టం."&amp;" రెండవ వెర్షన్, HA-1110-K1L, రెండు-ప్రదేశాల టెన్డం ట్రైనర్ మోడల్. [3] చివరి వేరియంట్ HA-1112-M1L బుచన్ (POUTER), ఇది స్పానిష్ భాషలో మగ పావురం. ఇది మొదట 29 మార్చి 1954 న 1,600 హెచ్‌పి రోల్స్ రాయిస్ మెర్లిన్ 500-45 [4] ఇంజిన్ మరియు రోటోల్ ప్రొపెల్లర్‌తో ప్ర"&amp;"యాణించింది, రెండూ UK నుండి మిగులుగా కొనుగోలు చేయబడ్డాయి. [4] ఈ ఇంజిన్‌లో గడ్డం తీసుకోవడం ఉంది, అది BF 109 యొక్క ఎయిర్‌ఫ్రేమ్ యొక్క పంక్తులను మార్చింది. ఇది పాత భాగాల యొక్క మెరుగైన అసెంబ్లీ, కానీ ఆఫ్రికాలోని స్పానిష్ వలసరాజ్యాల భూభాగాలను నియంత్రించే ఉద్దేశ"&amp;"ించిన ఉద్దేశ్యానికి ఇది తగినది, ఇక్కడ మరింత అధునాతన సాంకేతికత అనవసరంగా ఉంది మరియు ఆ సమయంలో వివిక్త స్పెయిన్‌లో అందుబాటులో లేదు. ఇది రెండు 20 మిమీ హిస్పానో-సుయిజా 404/408 ఫిరంగులు మరియు రెండు ఓర్లికాన్ లేదా పిలాటస్ 80 మిమీ రాకెట్లలో ఎనిమిది ప్యాక్లను కలిగి"&amp;" ఉంది మరియు 27 డిసెంబర్ 1965 వరకు సేవలో ఉంది. వారి దీర్ఘాయువు కారణంగా, బుచాన్స్ అనేక యుద్ధ చిత్రాలలో BF 109ES మరియు Gs. బాటిల్ ఆఫ్ బ్రిటన్ (కాసా 2.111 బాంబర్స్ తో పాటు, ది హీంకెల్ హి 111 యొక్క స్పానిష్ నిర్మించిన వెర్షన్), డెర్ స్టెర్న్ వాన్ ఆఫ్రికా, మెంఫ"&amp;"ిస్ బెల్లె, డంకిర్క్ మరియు టుస్కీగీ ఎయిర్‌మెన్ వంటి సినిమాల్లో. బ్రిటన్ యుద్ధంలో ఒక సన్నివేశంలో బుకోన్స్ బిఎఫ్ 109 యొక్క ప్రతిపక్షమైన హాకర్ హరికేన్ కూడా పోషించారు. సాధారణ లక్షణాలు పనితీరు ఆయుధ సంబంధిత అభివృద్ధి అభివృద్ధి విమానం పోల్చదగిన పాత్ర, కాన్ఫిగరేష"&amp;"న్ మరియు ERA")</f>
        <v>హిస్పానో ఏవియాసియన్ HA-11109 మరియు HA-1112 రెండవ ప్రపంచ యుద్ధ సమయంలో మరియు తరువాత స్పెయిన్లో అభివృద్ధి చేసిన మెసెర్స్చ్మిట్ BF 109G-2 యొక్క లైసెన్స్-నిర్మించిన సంస్కరణలు. 1942 లో, స్పానిష్ ప్రభుత్వం బిఎఫ్ 109 జి -2 ను నిర్మించడానికి మెసెర్స్చ్మిట్ ఎగ్‌తో తయారీ లైసెన్స్‌ను ఏర్పాటు చేసింది, అయినప్పటికీ డిబి 605 ఎ ఇంజన్లు, ప్రొపెల్లర్లు, వాయిద్యాలు మరియు ఆయుధాలను జర్మనీ నుండి సరఫరా చేయాల్సి ఉంది. జర్మనీ తన సొంత అవసరాలను తీర్చడానికి అసమర్థంగా ఉన్నందున ఇది అసాధ్యమని నిరూపించబడింది, స్పెయిన్ మాత్రమే కాకుండా, 25 ఎయిర్ఫ్రేమ్‌లు (వాటి తోకలు లేకుండా) మరియు సగం కంటే తక్కువ అవసరమైన డ్రాయింగ్‌లు వాస్తవానికి పంపిణీ చేయబడ్డాయి. [1] పర్యవసానంగా, హిస్పానో ఏవియాసియన్ DB 605A ఇంజిన్‌ను 1,600 HP HS 89-12Z తో భర్తీ చేసింది మరియు ఈ ప్రాజెక్టుకు BF 109J గా మెసెర్స్చ్మిట్ పేరు మార్చారు. [2] HS 89-12Z ఇంజిన్ 1944 లో బార్సిలోనాలో ఫ్లయింగ్ టెస్ట్‌బెడ్‌గా ఉపయోగించిన BF 109E లో విజయవంతమైన విమానంలో ప్రదర్శించింది, మరియు మొదటి HA-11109-J1L తన తొలి విమానంలో తన తొలి విమాన ప్రయాణానికి, 2 మార్చి 1945 న సెవిల్లెలో VDM ప్రొపెల్లర్ మరియు కొరడా దెబ్బలను ఉపయోగించి చేసింది ఇంజిన్ మౌంటు. [3] మిగిలిన 24 ఎయిర్‌ఫ్రేమ్‌లను 1947–9లో ఎస్చెర్-వైస్ ప్రాప్స్‌తో ఎగురవేయారు, కానీ ఎప్పుడూ పనిచేయలేదు. మే 1951 లో, అభివృద్ధి చెందిన సంస్కరణ, HA-1112-K1L, హిస్పానో-సుజా, HS 17-12Z ఇంజిన్ ఇన్‌స్టాలేషన్‌ను మెరుగుపరిచింది మరియు ఒకటి లేదా రెండు 12.7 మిమీ బ్రెడా మెషిన్ గన్స్ మరియు పిలాటస్ ఎనిమిది-ప్యాక్‌లను 80 మిమీ రాకెట్లను కలిగి ఉంది. దాని మూడు-బ్లేడెడ్ డి హవిలాండ్ హైడ్రోమాటిక్ ప్రొపెల్లర్ దీనికి త్రిపాలా ("మూడు బ్లేడ్లు") అనే మారుపేరును సంపాదించింది. [3] ఇది మొదట 1951 లో ప్రయాణించింది, మరియు 200 మంది ప్రణాళిక చేయబడినప్పటికీ 65 మాత్రమే నిర్మించబడ్డాయి. హిస్పానో ఇంజిన్ BF 109 లో ఉపయోగించిన విలోమ V12 డైమ్లెర్-బెంజ్ DB 601 &amp; 605 ఇంజిన్లకు బదులుగా నిటారుగా ఉన్న V12, అయితే, కాంపాక్ట్ డిజైన్‌లో ఉన్నందున, ఇది BF 109 యొక్క ఎయిర్‌ఫ్రేమ్‌ను బాగా అమర్చారు మరియు BF 109 ను విశ్వసనీయంగా సూచించగలిగింది జర్మన్ 1957 చిత్రం డెర్ స్టెర్న్ వాన్ ఆఫ్రికా (ఆఫ్రికా యొక్క స్టార్) లో లుఫ్ట్‌వాఫ్ ఏస్ హన్స్-జోచిమ్ మార్సెయిల్ గురించి. అసలు డిజైన్, BF 109F తో ప్రారంభమవుతుంది, డైమ్లెర్-బెంజ్ యొక్క సవ్యదిశలో భ్రమణం నుండి టార్క్ను ఎదుర్కోవటానికి ఎడమ విక్షేపంతో అసమాన తోక-ఫిన్ ఏరోఫాయిల్ ఉంది. హిస్పానో V12 అపసవ్య దిశలో భ్రమణం ఉన్నప్పటికీ ఇది బుచన్లో మారలేదు కాబట్టి, తోక మరియు ఇంజిన్ కలిసి టేకాఫ్‌లో కుడి స్వింగ్‌ను ప్రేరేపించాయి, అది ఎదుర్కోవడం కష్టం. రెండవ వెర్షన్, HA-1110-K1L, రెండు-ప్రదేశాల టెన్డం ట్రైనర్ మోడల్. [3] చివరి వేరియంట్ HA-1112-M1L బుచన్ (POUTER), ఇది స్పానిష్ భాషలో మగ పావురం. ఇది మొదట 29 మార్చి 1954 న 1,600 హెచ్‌పి రోల్స్ రాయిస్ మెర్లిన్ 500-45 [4] ఇంజిన్ మరియు రోటోల్ ప్రొపెల్లర్‌తో ప్రయాణించింది, రెండూ UK నుండి మిగులుగా కొనుగోలు చేయబడ్డాయి. [4] ఈ ఇంజిన్‌లో గడ్డం తీసుకోవడం ఉంది, అది BF 109 యొక్క ఎయిర్‌ఫ్రేమ్ యొక్క పంక్తులను మార్చింది. ఇది పాత భాగాల యొక్క మెరుగైన అసెంబ్లీ, కానీ ఆఫ్రికాలోని స్పానిష్ వలసరాజ్యాల భూభాగాలను నియంత్రించే ఉద్దేశించిన ఉద్దేశ్యానికి ఇది తగినది, ఇక్కడ మరింత అధునాతన సాంకేతికత అనవసరంగా ఉంది మరియు ఆ సమయంలో వివిక్త స్పెయిన్‌లో అందుబాటులో లేదు. ఇది రెండు 20 మిమీ హిస్పానో-సుయిజా 404/408 ఫిరంగులు మరియు రెండు ఓర్లికాన్ లేదా పిలాటస్ 80 మిమీ రాకెట్లలో ఎనిమిది ప్యాక్లను కలిగి ఉంది మరియు 27 డిసెంబర్ 1965 వరకు సేవలో ఉంది. వారి దీర్ఘాయువు కారణంగా, బుచాన్స్ అనేక యుద్ధ చిత్రాలలో BF 109ES మరియు Gs. బాటిల్ ఆఫ్ బ్రిటన్ (కాసా 2.111 బాంబర్స్ తో పాటు, ది హీంకెల్ హి 111 యొక్క స్పానిష్ నిర్మించిన వెర్షన్), డెర్ స్టెర్న్ వాన్ ఆఫ్రికా, మెంఫిస్ బెల్లె, డంకిర్క్ మరియు టుస్కీగీ ఎయిర్‌మెన్ వంటి సినిమాల్లో. బ్రిటన్ యుద్ధంలో ఒక సన్నివేశంలో బుకోన్స్ బిఎఫ్ 109 యొక్క ప్రతిపక్షమైన హాకర్ హరికేన్ కూడా పోషించారు. సాధారణ లక్షణాలు పనితీరు ఆయుధ సంబంధిత అభివృద్ధి అభివృద్ధి విమానం పోల్చదగిన పాత్ర, కాన్ఫిగరేషన్ మరియు ERA</v>
      </c>
      <c r="E80" s="1" t="s">
        <v>1801</v>
      </c>
      <c r="F80" s="1" t="s">
        <v>421</v>
      </c>
      <c r="G80" s="1" t="str">
        <f>IFERROR(__xludf.DUMMYFUNCTION("GOOGLETRANSLATE(F:F, ""en"", ""te"")"),"యుద్ధ")</f>
        <v>యుద్ధ</v>
      </c>
      <c r="L80" s="1" t="s">
        <v>1802</v>
      </c>
      <c r="M80" s="1" t="str">
        <f>IFERROR(__xludf.DUMMYFUNCTION("GOOGLETRANSLATE(L:L, ""en"", ""te"")"),"మెసెర్స్చ్మిట్ హిస్పానో ఏవియాసియన్")</f>
        <v>మెసెర్స్చ్మిట్ హిస్పానో ఏవియాసియన్</v>
      </c>
      <c r="N80" s="1" t="s">
        <v>1803</v>
      </c>
      <c r="R80" s="4">
        <v>19812.0</v>
      </c>
      <c r="S80" s="1">
        <v>239.0</v>
      </c>
      <c r="T80" s="1" t="s">
        <v>1804</v>
      </c>
      <c r="V80" s="1" t="s">
        <v>518</v>
      </c>
      <c r="W80" s="1" t="s">
        <v>1805</v>
      </c>
      <c r="X80" s="1" t="s">
        <v>1806</v>
      </c>
      <c r="Y80" s="1" t="s">
        <v>1807</v>
      </c>
      <c r="Z80" s="1" t="s">
        <v>1808</v>
      </c>
      <c r="AG80" s="1" t="s">
        <v>1809</v>
      </c>
      <c r="AM80" s="1" t="s">
        <v>1810</v>
      </c>
      <c r="AQ80" s="4">
        <v>24103.0</v>
      </c>
      <c r="AX80" s="1" t="s">
        <v>1811</v>
      </c>
      <c r="AY80" s="1" t="str">
        <f>IFERROR(__xludf.DUMMYFUNCTION("GOOGLETRANSLATE(AX:AX, ""en"", ""te"")"),"1 × హిస్పానో-సుయిజా 12Z-17 V-12 లిక్విడ్-కూల్డ్ పిస్టన్ ఇంజిన్, 1,200 కిలోవాట్ (1,600 హెచ్‌పి)")</f>
        <v>1 × హిస్పానో-సుయిజా 12Z-17 V-12 లిక్విడ్-కూల్డ్ పిస్టన్ ఇంజిన్, 1,200 కిలోవాట్ (1,600 హెచ్‌పి)</v>
      </c>
      <c r="AZ80" s="1" t="s">
        <v>1812</v>
      </c>
      <c r="BA80" s="1" t="str">
        <f>IFERROR(__xludf.DUMMYFUNCTION("GOOGLETRANSLATE(AZ:AZ, ""en"", ""te"")"),"3-బ్లేడెడ్ హామిల్టన్-ప్రామాణిక స్థిరమైన స్పీడ్ ప్రొపెల్లర్")</f>
        <v>3-బ్లేడెడ్ హామిల్టన్-ప్రామాణిక స్థిరమైన స్పీడ్ ప్రొపెల్లర్</v>
      </c>
      <c r="BB80" s="1" t="s">
        <v>1813</v>
      </c>
      <c r="BC80" s="1" t="s">
        <v>1814</v>
      </c>
      <c r="BD80" s="1" t="s">
        <v>1815</v>
      </c>
      <c r="BF80" s="1" t="s">
        <v>1238</v>
      </c>
      <c r="BG80" s="2" t="str">
        <f>IFERROR(__xludf.DUMMYFUNCTION("GOOGLETRANSLATE(BF:BF, ""en"", ""te"")"),"స్పానిష్ వైమానిక దళం")</f>
        <v>స్పానిష్ వైమానిక దళం</v>
      </c>
      <c r="BH80" s="1" t="s">
        <v>1239</v>
      </c>
      <c r="BI80" s="1" t="s">
        <v>1816</v>
      </c>
      <c r="BJ80" s="1" t="s">
        <v>1817</v>
      </c>
      <c r="BS80" s="1" t="s">
        <v>1818</v>
      </c>
      <c r="BT80" s="1" t="s">
        <v>1819</v>
      </c>
      <c r="BU80" s="1" t="s">
        <v>36</v>
      </c>
      <c r="BV80" s="1" t="str">
        <f>IFERROR(__xludf.DUMMYFUNCTION("GOOGLETRANSLATE(BU:BU, ""en"", ""te"")"),"రిటైర్డ్")</f>
        <v>రిటైర్డ్</v>
      </c>
      <c r="BX80" s="1"/>
      <c r="BY80" s="1" t="s">
        <v>1820</v>
      </c>
      <c r="CC80" s="1" t="s">
        <v>1821</v>
      </c>
      <c r="CD80" s="1" t="str">
        <f>IFERROR(__xludf.DUMMYFUNCTION("GOOGLETRANSLATE(CC:CC, ""en"", ""te"")"),"2x 20 మిమీ హిస్పానో-సుయిజా హెచ్ఎస్ .404/408 ఫిరంగి")</f>
        <v>2x 20 మిమీ హిస్పానో-సుయిజా హెచ్ఎస్ .404/408 ఫిరంగి</v>
      </c>
      <c r="DK80" s="1" t="s">
        <v>1822</v>
      </c>
    </row>
    <row r="81">
      <c r="A81" s="1" t="s">
        <v>1823</v>
      </c>
      <c r="B81" s="1" t="str">
        <f>IFERROR(__xludf.DUMMYFUNCTION("GOOGLETRANSLATE(A:A, ""en"", ""te"")"),"అవ్రో అవోసెట్")</f>
        <v>అవ్రో అవోసెట్</v>
      </c>
      <c r="C81" s="1" t="s">
        <v>1824</v>
      </c>
      <c r="D81" s="1" t="str">
        <f>IFERROR(__xludf.DUMMYFUNCTION("GOOGLETRANSLATE(C:C, ""en"", ""te"")"),"అవ్రో టైప్ 584 అవోసెట్ బ్రిటిష్ సింగిల్-ఇంజిన్ నావికా ఫైటర్ ప్రోటోటైప్, ఇది అవ్రో చేత రూపొందించబడింది మరియు నిర్మించింది. అవోసెట్ సంఖ్యలో నిర్మించబడనప్పటికీ, ప్రోటోటైప్‌లలో ఒకటి రాయల్ ఎయిర్ ఫోర్స్ (RAF) హై స్పీడ్ ఫ్లైట్ కోసం సీప్లేన్ ట్రైనర్‌గా ఉపయోగించబడ"&amp;"ింది. అవ్రో 584 అవోసెట్‌ను అవ్రో యొక్క చీఫ్ డిజైనర్ రాయ్ చాడ్విక్ రూపొందించారు, నావికాదళ పోరాట యోధుడి కోసం స్పెసిఫికేషన్ 17/25 యొక్క అవసరాలను తీర్చడానికి. [1] ఇది సింగిల్-ఇంజిన్, ఆల్-మెటల్ బిప్‌లేన్, ఇది 230 హెచ్‌పి ఆర్మ్‌స్ట్రాంగ్ సిడ్లీ లింక్స్ ఇంజిన్‌త"&amp;"ో నడిచేది, మార్చుకోగలిగిన చక్రాలు మరియు ఫ్లోట్‌లను కలిగి ఉంటుంది. దీనికి మడత రెక్కలు లేనప్పటికీ, ఇది బోర్డు షిప్‌లో నిల్వ చేయడానికి సులభంగా కూల్చివేయడానికి రూపొందించబడింది. రెండు ప్రోటోటైప్‌లు నిర్మించబడ్డాయి, మొట్టమొదటిసారిగా డిసెంబర్ 1927 లో ల్యాండ్‌ప్ల"&amp;"ేన్‌గా ఎగురుతూ మరియు రెండవ ప్రోటోటైప్ ఏప్రిల్ 1928 లో సీప్లేన్‌గా ఎగురుతుంది. [1] రెండు ప్రోటోటైప్‌లను RAF మార్ట్‌లెషామ్ హీత్ వద్ద ఫ్లీట్ ఎయిర్ ఆర్మ్ కోసం మూల్యాంకనం చేశారు, ఇక్కడ, తక్కువ శక్తితో పనిచేసే ఇంజిన్ కారణంగా, వారి పనితీరు ఆకట్టుకోలేనిదిగా కనిపి"&amp;"స్తుంది, [2] మరియు ఇది ఉత్పత్తికి ఆదేశించబడలేదు. ఉత్పత్తి జరగనప్పటికీ, రెండవ నమూనాను కాల్‌షాట్ వద్ద RAF యొక్క హై స్పీడ్ ఫ్లైట్ ష్నైడర్ ట్రోఫీ పైలట్లకు సీప్లేన్ ట్రైనర్‌గా ఉపయోగించారు. [2] 1912 నుండి బ్రిటిష్ ఫైటర్ నుండి వచ్చిన డేటా [1] సాధారణ లక్షణాలు పని"&amp;"తీరు ఆయుధాలు, కాన్ఫిగరేషన్ మరియు ERA యొక్క ఆయుధ విమానం")</f>
        <v>అవ్రో టైప్ 584 అవోసెట్ బ్రిటిష్ సింగిల్-ఇంజిన్ నావికా ఫైటర్ ప్రోటోటైప్, ఇది అవ్రో చేత రూపొందించబడింది మరియు నిర్మించింది. అవోసెట్ సంఖ్యలో నిర్మించబడనప్పటికీ, ప్రోటోటైప్‌లలో ఒకటి రాయల్ ఎయిర్ ఫోర్స్ (RAF) హై స్పీడ్ ఫ్లైట్ కోసం సీప్లేన్ ట్రైనర్‌గా ఉపయోగించబడింది. అవ్రో 584 అవోసెట్‌ను అవ్రో యొక్క చీఫ్ డిజైనర్ రాయ్ చాడ్విక్ రూపొందించారు, నావికాదళ పోరాట యోధుడి కోసం స్పెసిఫికేషన్ 17/25 యొక్క అవసరాలను తీర్చడానికి. [1] ఇది సింగిల్-ఇంజిన్, ఆల్-మెటల్ బిప్‌లేన్, ఇది 230 హెచ్‌పి ఆర్మ్‌స్ట్రాంగ్ సిడ్లీ లింక్స్ ఇంజిన్‌తో నడిచేది, మార్చుకోగలిగిన చక్రాలు మరియు ఫ్లోట్‌లను కలిగి ఉంటుంది. దీనికి మడత రెక్కలు లేనప్పటికీ, ఇది బోర్డు షిప్‌లో నిల్వ చేయడానికి సులభంగా కూల్చివేయడానికి రూపొందించబడింది. రెండు ప్రోటోటైప్‌లు నిర్మించబడ్డాయి, మొట్టమొదటిసారిగా డిసెంబర్ 1927 లో ల్యాండ్‌ప్లేన్‌గా ఎగురుతూ మరియు రెండవ ప్రోటోటైప్ ఏప్రిల్ 1928 లో సీప్లేన్‌గా ఎగురుతుంది. [1] రెండు ప్రోటోటైప్‌లను RAF మార్ట్‌లెషామ్ హీత్ వద్ద ఫ్లీట్ ఎయిర్ ఆర్మ్ కోసం మూల్యాంకనం చేశారు, ఇక్కడ, తక్కువ శక్తితో పనిచేసే ఇంజిన్ కారణంగా, వారి పనితీరు ఆకట్టుకోలేనిదిగా కనిపిస్తుంది, [2] మరియు ఇది ఉత్పత్తికి ఆదేశించబడలేదు. ఉత్పత్తి జరగనప్పటికీ, రెండవ నమూనాను కాల్‌షాట్ వద్ద RAF యొక్క హై స్పీడ్ ఫ్లైట్ ష్నైడర్ ట్రోఫీ పైలట్లకు సీప్లేన్ ట్రైనర్‌గా ఉపయోగించారు. [2] 1912 నుండి బ్రిటిష్ ఫైటర్ నుండి వచ్చిన డేటా [1] సాధారణ లక్షణాలు పనితీరు ఆయుధాలు, కాన్ఫిగరేషన్ మరియు ERA యొక్క ఆయుధ విమానం</v>
      </c>
      <c r="E81" s="1" t="s">
        <v>1825</v>
      </c>
      <c r="F81" s="1" t="s">
        <v>421</v>
      </c>
      <c r="G81" s="1" t="str">
        <f>IFERROR(__xludf.DUMMYFUNCTION("GOOGLETRANSLATE(F:F, ""en"", ""te"")"),"యుద్ధ")</f>
        <v>యుద్ధ</v>
      </c>
      <c r="L81" s="1" t="s">
        <v>1826</v>
      </c>
      <c r="M81" s="1" t="str">
        <f>IFERROR(__xludf.DUMMYFUNCTION("GOOGLETRANSLATE(L:L, ""en"", ""te"")"),"అవ్రో")</f>
        <v>అవ్రో</v>
      </c>
      <c r="N81" s="3" t="s">
        <v>1827</v>
      </c>
      <c r="O81" s="1" t="s">
        <v>1828</v>
      </c>
      <c r="P81" s="1" t="str">
        <f>IFERROR(__xludf.DUMMYFUNCTION("GOOGLETRANSLATE(O:O, ""en"", ""te"")"),"రాయ్ చాడ్విక్")</f>
        <v>రాయ్ చాడ్విక్</v>
      </c>
      <c r="Q81" s="1" t="s">
        <v>1829</v>
      </c>
      <c r="R81" s="5">
        <v>10197.0</v>
      </c>
      <c r="S81" s="1" t="s">
        <v>1039</v>
      </c>
      <c r="V81" s="1">
        <v>1.0</v>
      </c>
      <c r="W81" s="1" t="s">
        <v>1830</v>
      </c>
      <c r="X81" s="1" t="s">
        <v>1831</v>
      </c>
      <c r="Y81" s="1" t="s">
        <v>1832</v>
      </c>
      <c r="Z81" s="1" t="s">
        <v>1833</v>
      </c>
      <c r="AG81" s="1" t="s">
        <v>1834</v>
      </c>
      <c r="AH81" s="1" t="s">
        <v>1835</v>
      </c>
      <c r="AM81" s="1" t="s">
        <v>1836</v>
      </c>
      <c r="AX81" s="1" t="s">
        <v>1837</v>
      </c>
      <c r="AY81" s="1" t="str">
        <f>IFERROR(__xludf.DUMMYFUNCTION("GOOGLETRANSLATE(AX:AX, ""en"", ""te"")"),"1 × ఆర్మ్‌స్ట్రాంగ్ సిడ్లీ లింక్స్ IV 7-సిలిండర్ ఎయిర్-కూల్డ్ రేడియల్ పిస్టన్ ఇంజిన్, 230 హెచ్‌పి (170 కిలోవాట్)")</f>
        <v>1 × ఆర్మ్‌స్ట్రాంగ్ సిడ్లీ లింక్స్ IV 7-సిలిండర్ ఎయిర్-కూల్డ్ రేడియల్ పిస్టన్ ఇంజిన్, 230 హెచ్‌పి (170 కిలోవాట్)</v>
      </c>
      <c r="AZ81" s="1" t="s">
        <v>297</v>
      </c>
      <c r="BA81" s="1" t="str">
        <f>IFERROR(__xludf.DUMMYFUNCTION("GOOGLETRANSLATE(AZ:AZ, ""en"", ""te"")"),"2-బ్లేడెడ్ ఫిక్స్‌డ్-పిచ్ ప్రొపెల్లర్")</f>
        <v>2-బ్లేడెడ్ ఫిక్స్‌డ్-పిచ్ ప్రొపెల్లర్</v>
      </c>
      <c r="BB81" s="1" t="s">
        <v>1838</v>
      </c>
      <c r="BD81" s="1" t="s">
        <v>1839</v>
      </c>
      <c r="BE81" s="1" t="s">
        <v>1840</v>
      </c>
      <c r="BF81" s="1" t="s">
        <v>610</v>
      </c>
      <c r="BG81" s="2" t="str">
        <f>IFERROR(__xludf.DUMMYFUNCTION("GOOGLETRANSLATE(BF:BF, ""en"", ""te"")"),"రాయల్ వైమానిక దళం")</f>
        <v>రాయల్ వైమానిక దళం</v>
      </c>
      <c r="BH81" s="1" t="s">
        <v>611</v>
      </c>
      <c r="BU81" s="1" t="s">
        <v>1648</v>
      </c>
      <c r="BV81" s="1" t="str">
        <f>IFERROR(__xludf.DUMMYFUNCTION("GOOGLETRANSLATE(BU:BU, ""en"", ""te"")"),"ప్రోటోటైప్")</f>
        <v>ప్రోటోటైప్</v>
      </c>
      <c r="CC81" s="1" t="s">
        <v>1841</v>
      </c>
      <c r="CD81" s="1" t="str">
        <f>IFERROR(__xludf.DUMMYFUNCTION("GOOGLETRANSLATE(CC:CC, ""en"", ""te"")"),"2 × స్థిర .303 (7.7 మిమీ) విక్కర్స్ మెషిన్ గన్స్")</f>
        <v>2 × స్థిర .303 (7.7 మిమీ) విక్కర్స్ మెషిన్ గన్స్</v>
      </c>
    </row>
    <row r="82">
      <c r="A82" s="1" t="s">
        <v>1842</v>
      </c>
      <c r="B82" s="1" t="str">
        <f>IFERROR(__xludf.DUMMYFUNCTION("GOOGLETRANSLATE(A:A, ""en"", ""te"")"),"CAC సెరెస్")</f>
        <v>CAC సెరెస్</v>
      </c>
      <c r="C82" s="1" t="s">
        <v>1843</v>
      </c>
      <c r="D82" s="1" t="str">
        <f>IFERROR(__xludf.DUMMYFUNCTION("GOOGLETRANSLATE(C:C, ""en"", ""te"")"),"కామన్వెల్త్ ఎయిర్క్రాఫ్ట్ CA-28 సెరెస్ 1959 మరియు 1963 మధ్య కామన్వెల్త్ ఎయిర్క్రాఫ్ట్ కార్పొరేషన్ (సిఎసి) చేత ఆస్ట్రేలియాలో తయారు చేయబడిన పంట-డస్టర్ విమానం. ఈ విమానం రెండవ ప్రపంచ యుద్ధం యొక్క విర్రావే ట్రైనర్ యొక్క అభివృద్ధి. 1950 వ దశకంలో, ఆస్ట్రేలియాలో "&amp;"చాలా పంట-దుష్ట విమానాలు సైనిక రకాలు మార్పిడి, ఇవి వివిధ విజయాలను ఎదుర్కొన్నాయి. రెండు CAC రకాలు వాకెట్ మరియు విర్రావే. ఏ రకం కూడా పంట డస్టర్, వాకెట్ గా విజయవంతం కాలేదు ఎందుకంటే ఇది తక్కువ శక్తి మరియు వైర్రావే ఎందుకంటే ఇది తక్కువ-స్థాయి స్లో-స్పీడ్ ఫ్లైట్ "&amp;"కోసం రూపొందించబడలేదు. ICI [స్పష్టీకరణ అవసరం] తో కలిసి నిర్వహించిన మార్కెట్ సర్వే తరువాత, వ్యవసాయ పనుల కోసం ఆప్టిమైజ్ చేయబడిన ఉద్దేశ్యంతో నిర్మించిన విమానం అవసరం ఉందని CAC నిర్ణయించింది. బోర్డు ఈ ప్రాజెక్టును ఆమోదించిన తర్వాత, ఈ కొత్త విమానం ఉత్పత్తిలో ఉపయ"&amp;"ోగం కోసం RAAF నుండి అనేక మిగులు వైర్రావేలను కొనుగోలు చేశారు. [1] ఉద్భవించిన డిజైన్, విర్రావేతో ఉపరితలంగా సమానంగా ఉన్నప్పటికీ, నిజంగా కొత్త రకం, ఇది మార్పిడి కాకుండా కొన్ని విర్రావే భాగాలను ఉపయోగించింది. మార్పు లేకుండా రెండు రకాలుగా ఉపయోగించే ఏకైక ప్రధాన భ"&amp;"ాగాలు తోక సమూహం మరియు ల్యాండింగ్ గేర్. ఫ్యూజ్‌లేజ్ పూర్తిగా కొత్తది, ఇంజిన్ మరియు అధిక-మౌంటెడ్ సింగిల్-సీట్ల కాక్‌పిట్ మధ్య 41-క్యూబిక్-అడుగు (1.16 M3) హాప్పర్ వ్యవస్థాపించబడింది. విర్రావే వింగ్ సెరెస్‌లో ఉపయోగం కోసం గణనీయంగా మార్చబడింది. Uter టర్ వింగ్ ప"&amp;"్యానెల్లు స్లాట్డ్ వెనుకంజలో ఉన్న ఎడ్జ్ ఫ్లాప్‌లు మరియు స్థిర అంచు స్లాట్‌లను కలిగి ఉన్నాయి, అయితే సెంటర్-సెక్షన్ హాప్పర్‌కు అనుగుణంగా గణనీయంగా మార్చబడింది, సెరెస్ యొక్క ఎక్కువ బరువు, వేర్వేరు ఫ్లాప్‌లు (విర్రావే స్ప్లిట్ ఫ్లాప్‌లు,) మరియు కొత్తవి) మరియు "&amp;"కొత్తవి టైప్ యొక్క స్థిర ల్యాండింగ్ గేర్ కాక్ ముస్తాంగ్ మెయిన్ వీల్స్, [2] వైర్రావే యొక్క ముడుచుకునే గేర్‌కు విరుద్ధంగా, అదే ల్యాండింగ్ గేర్ కాళ్ళు అయితే ఉపయోగించబడ్డాయి. విర్రావేతో పోలిస్తే సెరెస్ యొక్క వింగ్స్పాన్ మరియు వింగ్ ప్రాంతం పెరుగుదల కూడా మధ్య "&amp;"విభాగంలో చేర్చబడింది, మరియు ఫలితం విర్రావే కంటే చాలా నిశ్శబ్దమైన లక్షణాలతో కూడిన విమానం. [2] ఇంజిన్ ఒకటే, ప్రాట్ &amp; విట్నీ R-1340, కానీ ఇది వైర్రావేలో ఉన్నట్లుగానే డైరెక్ట్ డ్రైవ్ అని మార్చబడింది. [2] మూడు-బ్లేడెడ్ వేరియబుల్-పిచ్ ప్రొపెల్లర్ కూడా భిన్నంగా "&amp;"ఉంది, విర్రావేతో పోలిస్తే విస్తృత తీగ మరియు చిన్న వ్యాసం కలిగి ఉంది, సెరెస్ వేర్వేరు ఆపరేటింగ్ పాలన మరియు డైరెక్ట్-డ్రైవ్ ఇంజిన్‌కు అనుగుణంగా. [2] సెరెస్ ప్రోటోటైప్ మొదట ఫిబ్రవరి 1958 లో, సిఎసి టెస్ట్ పైలట్ బిల్ స్కాట్ చేతిలో ఎగిరింది, మరియు మొదటి ఉత్పత్త"&amp;"ి విమానం ఏప్రిల్ 1959 లో పంపిణీ చేయబడింది. ఐదు విమానాలు నిర్మించిన తరువాత, కాక్‌పిట్ వెనుక వెనుక వైపున ఉన్న సీటు కోసం సదుపాయం ఏర్పడింది, విస్తరించిన పందిరి క్రింద ఉంది, ఇది ఉత్పత్తి సమయంలో ఏకైక ప్రధాన రూపకల్పన మార్పు. CAC కనీసం యాభై విమానాలను విక్రయించాలన"&amp;"ి భావించింది, కాని 21 విమానాలను నిర్మించిన తరువాత జూలై 1963 లో సెరెస్ ఉత్పత్తి ముగిసింది, అయినప్పటికీ ఒక పునర్నిర్మాణంగా ఒకటి మరింత ఖచ్చితంగా వర్ణించవచ్చు, ఎందుకంటే ఇది మొదటి విమానం నుండి రక్షించబడిన భాగాలను ఉపయోగించి తయారు చేయబడింది, ఇది ఇది 1961 లో క్రా"&amp;"ష్ అయ్యింది. పైపర్ పానీ మరియు పాక్ ఫ్లెచర్ వంటి ఆధునిక మరియు ఆర్ధిక నమూనాల ప్రజాదరణకు సెరెస్ లొంగిపోయింది. సెరెస్ విమానం తక్కువ సంఖ్యలో మనుగడ సాగించింది, ఆస్ట్రేలియాలో రెండు ఇప్పటికీ నమోదు చేయబడ్డాయి, మరియు ఆస్ట్రేలియా మరియు న్యూజిలాండ్‌లోని మ్యూజియంలలో ఉ"&amp;"దాహరణలు, రెండోది ఆ దేశానికి ఎగుమతి చేసిన ఆరు సెరెస్‌లో ప్రాణాలతో బయటపడింది. ఇటీవల, వార్బర్డ్ గా విర్రావే యొక్క ప్రజాదరణతో, మరియు విర్రావే భాగాల కొరతతో, సెరెస్ రెక్కలు విర్రావే పునరుద్ధరణలలో ఉపయోగం కోసం ""డి-కన్వర్టెడ్"" చేయబడ్డాయి. ఏదేమైనా, రెండు రకాల మధ్"&amp;"య గణనీయమైన తేడాలు ఉన్నందున, ఇది సమస్యాత్మకంగా నిరూపించబడింది. కత్తి నుండి ప్లగ్‌షారేలోకి, [3] జేన్ యొక్క అన్ని ప్రపంచ విమానాలు 1959-60 [4] సాధారణ లక్షణాలు పనితీరు సంబంధిత అభివృద్ధి అభివృద్ధి విమానం పోల్చదగిన పాత్ర, కాన్ఫిగరేషన్ మరియు యుగం")</f>
        <v>కామన్వెల్త్ ఎయిర్క్రాఫ్ట్ CA-28 సెరెస్ 1959 మరియు 1963 మధ్య కామన్వెల్త్ ఎయిర్క్రాఫ్ట్ కార్పొరేషన్ (సిఎసి) చేత ఆస్ట్రేలియాలో తయారు చేయబడిన పంట-డస్టర్ విమానం. ఈ విమానం రెండవ ప్రపంచ యుద్ధం యొక్క విర్రావే ట్రైనర్ యొక్క అభివృద్ధి. 1950 వ దశకంలో, ఆస్ట్రేలియాలో చాలా పంట-దుష్ట విమానాలు సైనిక రకాలు మార్పిడి, ఇవి వివిధ విజయాలను ఎదుర్కొన్నాయి. రెండు CAC రకాలు వాకెట్ మరియు విర్రావే. ఏ రకం కూడా పంట డస్టర్, వాకెట్ గా విజయవంతం కాలేదు ఎందుకంటే ఇది తక్కువ శక్తి మరియు వైర్రావే ఎందుకంటే ఇది తక్కువ-స్థాయి స్లో-స్పీడ్ ఫ్లైట్ కోసం రూపొందించబడలేదు. ICI [స్పష్టీకరణ అవసరం] తో కలిసి నిర్వహించిన మార్కెట్ సర్వే తరువాత, వ్యవసాయ పనుల కోసం ఆప్టిమైజ్ చేయబడిన ఉద్దేశ్యంతో నిర్మించిన విమానం అవసరం ఉందని CAC నిర్ణయించింది. బోర్డు ఈ ప్రాజెక్టును ఆమోదించిన తర్వాత, ఈ కొత్త విమానం ఉత్పత్తిలో ఉపయోగం కోసం RAAF నుండి అనేక మిగులు వైర్రావేలను కొనుగోలు చేశారు. [1] ఉద్భవించిన డిజైన్, విర్రావేతో ఉపరితలంగా సమానంగా ఉన్నప్పటికీ, నిజంగా కొత్త రకం, ఇది మార్పిడి కాకుండా కొన్ని విర్రావే భాగాలను ఉపయోగించింది. మార్పు లేకుండా రెండు రకాలుగా ఉపయోగించే ఏకైక ప్రధాన భాగాలు తోక సమూహం మరియు ల్యాండింగ్ గేర్. ఫ్యూజ్‌లేజ్ పూర్తిగా కొత్తది, ఇంజిన్ మరియు అధిక-మౌంటెడ్ సింగిల్-సీట్ల కాక్‌పిట్ మధ్య 41-క్యూబిక్-అడుగు (1.16 M3) హాప్పర్ వ్యవస్థాపించబడింది. విర్రావే వింగ్ సెరెస్‌లో ఉపయోగం కోసం గణనీయంగా మార్చబడింది. Uter టర్ వింగ్ ప్యానెల్లు స్లాట్డ్ వెనుకంజలో ఉన్న ఎడ్జ్ ఫ్లాప్‌లు మరియు స్థిర అంచు స్లాట్‌లను కలిగి ఉన్నాయి, అయితే సెంటర్-సెక్షన్ హాప్పర్‌కు అనుగుణంగా గణనీయంగా మార్చబడింది, సెరెస్ యొక్క ఎక్కువ బరువు, వేర్వేరు ఫ్లాప్‌లు (విర్రావే స్ప్లిట్ ఫ్లాప్‌లు,) మరియు కొత్తవి) మరియు కొత్తవి టైప్ యొక్క స్థిర ల్యాండింగ్ గేర్ కాక్ ముస్తాంగ్ మెయిన్ వీల్స్, [2] వైర్రావే యొక్క ముడుచుకునే గేర్‌కు విరుద్ధంగా, అదే ల్యాండింగ్ గేర్ కాళ్ళు అయితే ఉపయోగించబడ్డాయి. విర్రావేతో పోలిస్తే సెరెస్ యొక్క వింగ్స్పాన్ మరియు వింగ్ ప్రాంతం పెరుగుదల కూడా మధ్య విభాగంలో చేర్చబడింది, మరియు ఫలితం విర్రావే కంటే చాలా నిశ్శబ్దమైన లక్షణాలతో కూడిన విమానం. [2] ఇంజిన్ ఒకటే, ప్రాట్ &amp; విట్నీ R-1340, కానీ ఇది వైర్రావేలో ఉన్నట్లుగానే డైరెక్ట్ డ్రైవ్ అని మార్చబడింది. [2] మూడు-బ్లేడెడ్ వేరియబుల్-పిచ్ ప్రొపెల్లర్ కూడా భిన్నంగా ఉంది, విర్రావేతో పోలిస్తే విస్తృత తీగ మరియు చిన్న వ్యాసం కలిగి ఉంది, సెరెస్ వేర్వేరు ఆపరేటింగ్ పాలన మరియు డైరెక్ట్-డ్రైవ్ ఇంజిన్‌కు అనుగుణంగా. [2] సెరెస్ ప్రోటోటైప్ మొదట ఫిబ్రవరి 1958 లో, సిఎసి టెస్ట్ పైలట్ బిల్ స్కాట్ చేతిలో ఎగిరింది, మరియు మొదటి ఉత్పత్తి విమానం ఏప్రిల్ 1959 లో పంపిణీ చేయబడింది. ఐదు విమానాలు నిర్మించిన తరువాత, కాక్‌పిట్ వెనుక వెనుక వైపున ఉన్న సీటు కోసం సదుపాయం ఏర్పడింది, విస్తరించిన పందిరి క్రింద ఉంది, ఇది ఉత్పత్తి సమయంలో ఏకైక ప్రధాన రూపకల్పన మార్పు. CAC కనీసం యాభై విమానాలను విక్రయించాలని భావించింది, కాని 21 విమానాలను నిర్మించిన తరువాత జూలై 1963 లో సెరెస్ ఉత్పత్తి ముగిసింది, అయినప్పటికీ ఒక పునర్నిర్మాణంగా ఒకటి మరింత ఖచ్చితంగా వర్ణించవచ్చు, ఎందుకంటే ఇది మొదటి విమానం నుండి రక్షించబడిన భాగాలను ఉపయోగించి తయారు చేయబడింది, ఇది ఇది 1961 లో క్రాష్ అయ్యింది. పైపర్ పానీ మరియు పాక్ ఫ్లెచర్ వంటి ఆధునిక మరియు ఆర్ధిక నమూనాల ప్రజాదరణకు సెరెస్ లొంగిపోయింది. సెరెస్ విమానం తక్కువ సంఖ్యలో మనుగడ సాగించింది, ఆస్ట్రేలియాలో రెండు ఇప్పటికీ నమోదు చేయబడ్డాయి, మరియు ఆస్ట్రేలియా మరియు న్యూజిలాండ్‌లోని మ్యూజియంలలో ఉదాహరణలు, రెండోది ఆ దేశానికి ఎగుమతి చేసిన ఆరు సెరెస్‌లో ప్రాణాలతో బయటపడింది. ఇటీవల, వార్బర్డ్ గా విర్రావే యొక్క ప్రజాదరణతో, మరియు విర్రావే భాగాల కొరతతో, సెరెస్ రెక్కలు విర్రావే పునరుద్ధరణలలో ఉపయోగం కోసం "డి-కన్వర్టెడ్" చేయబడ్డాయి. ఏదేమైనా, రెండు రకాల మధ్య గణనీయమైన తేడాలు ఉన్నందున, ఇది సమస్యాత్మకంగా నిరూపించబడింది. కత్తి నుండి ప్లగ్‌షారేలోకి, [3] జేన్ యొక్క అన్ని ప్రపంచ విమానాలు 1959-60 [4] సాధారణ లక్షణాలు పనితీరు సంబంధిత అభివృద్ధి అభివృద్ధి విమానం పోల్చదగిన పాత్ర, కాన్ఫిగరేషన్ మరియు యుగం</v>
      </c>
      <c r="E82" s="1" t="s">
        <v>1844</v>
      </c>
      <c r="F82" s="1" t="s">
        <v>1450</v>
      </c>
      <c r="G82" s="1" t="str">
        <f>IFERROR(__xludf.DUMMYFUNCTION("GOOGLETRANSLATE(F:F, ""en"", ""te"")"),"వ్యవసాయ విమానం")</f>
        <v>వ్యవసాయ విమానం</v>
      </c>
      <c r="H82" s="1" t="s">
        <v>1451</v>
      </c>
      <c r="L82" s="1" t="s">
        <v>1845</v>
      </c>
      <c r="M82" s="1" t="str">
        <f>IFERROR(__xludf.DUMMYFUNCTION("GOOGLETRANSLATE(L:L, ""en"", ""te"")"),"కామన్వెల్త్ ఎయిర్క్రాఫ్ట్ కార్పొరేషన్")</f>
        <v>కామన్వెల్త్ ఎయిర్క్రాఫ్ట్ కార్పొరేషన్</v>
      </c>
      <c r="N82" s="1" t="s">
        <v>1846</v>
      </c>
      <c r="R82" s="1" t="s">
        <v>1847</v>
      </c>
      <c r="S82" s="1">
        <v>21.0</v>
      </c>
      <c r="V82" s="1">
        <v>1.0</v>
      </c>
      <c r="W82" s="1" t="s">
        <v>1848</v>
      </c>
      <c r="X82" s="1" t="s">
        <v>1849</v>
      </c>
      <c r="Y82" s="1" t="s">
        <v>1850</v>
      </c>
      <c r="Z82" s="1" t="s">
        <v>1851</v>
      </c>
      <c r="AG82" s="1" t="s">
        <v>1852</v>
      </c>
      <c r="AH82" s="1" t="s">
        <v>1853</v>
      </c>
      <c r="AO82" s="1">
        <v>1959.0</v>
      </c>
      <c r="AP82" s="3" t="s">
        <v>1854</v>
      </c>
      <c r="AV82" s="1" t="s">
        <v>1855</v>
      </c>
      <c r="AX82" s="1" t="s">
        <v>1856</v>
      </c>
      <c r="AY82" s="1" t="str">
        <f>IFERROR(__xludf.DUMMYFUNCTION("GOOGLETRANSLATE(AX:AX, ""en"", ""te"")"),"1 × ప్రాట్ &amp; విట్నీ R-1340 S3H1-G 9-CYL. ఎయిర్-కూల్డ్ రేడియల్ పిస్టన్ ఇంజిన్, 600 హెచ్‌పి (450 కిలోవాట్)")</f>
        <v>1 × ప్రాట్ &amp; విట్నీ R-1340 S3H1-G 9-CYL. ఎయిర్-కూల్డ్ రేడియల్ పిస్టన్ ఇంజిన్, 600 హెచ్‌పి (450 కిలోవాట్)</v>
      </c>
      <c r="AZ82" s="1" t="s">
        <v>1857</v>
      </c>
      <c r="BA82" s="1" t="str">
        <f>IFERROR(__xludf.DUMMYFUNCTION("GOOGLETRANSLATE(AZ:AZ, ""en"", ""te"")"),"3-బ్లేడెడ్ వేరియబుల్-పిచ్ ప్రొపెల్లర్")</f>
        <v>3-బ్లేడెడ్ వేరియబుల్-పిచ్ ప్రొపెల్లర్</v>
      </c>
      <c r="BC82" s="1" t="s">
        <v>1858</v>
      </c>
      <c r="BG82" s="2"/>
      <c r="BI82" s="1" t="s">
        <v>1859</v>
      </c>
      <c r="BJ82" s="1" t="s">
        <v>1860</v>
      </c>
      <c r="BR82" s="1" t="s">
        <v>1861</v>
      </c>
      <c r="BS82" s="1" t="s">
        <v>1862</v>
      </c>
      <c r="BW82" s="1" t="s">
        <v>1863</v>
      </c>
      <c r="BX82" s="1"/>
      <c r="BY82" s="1" t="s">
        <v>1864</v>
      </c>
      <c r="DW82" s="1" t="s">
        <v>1865</v>
      </c>
      <c r="ED82" s="1" t="s">
        <v>1866</v>
      </c>
      <c r="EE82" s="1" t="s">
        <v>1867</v>
      </c>
      <c r="EF82" s="1" t="s">
        <v>1868</v>
      </c>
    </row>
    <row r="83">
      <c r="A83" s="1" t="s">
        <v>1869</v>
      </c>
      <c r="B83" s="1" t="str">
        <f>IFERROR(__xludf.DUMMYFUNCTION("GOOGLETRANSLATE(A:A, ""en"", ""te"")"),"స్టీర్మాన్ XBT-17")</f>
        <v>స్టీర్మాన్ XBT-17</v>
      </c>
      <c r="C83" s="1" t="s">
        <v>1870</v>
      </c>
      <c r="D83" s="1" t="str">
        <f>IFERROR(__xludf.DUMMYFUNCTION("GOOGLETRANSLATE(C:C, ""en"", ""te"")"),"స్టీర్మాన్ XBT-17 అనేది 1940 లలో అమెరికన్ రెండు-సీట్ల తక్కువ-వింగ్ మోనోప్లేన్ ప్రాధమిక శిక్షకుడు స్టీర్మాన్ విమానం (మోడల్ X-90 గా) రూపొందించారు మరియు నిర్మించారు. [1] దీనిని 1942 లో అమెరికా ఆర్మీ వైమానిక దళం XBT-17 గా అంచనా వేసింది. [2] X-90 ఒక తక్కువ-విం"&amp;"గ్ కాంటిలివర్ మోనోప్లేన్, ఇది పరివేష్టిత పందిరి కింద రెండు సీట్లతో ఉంటుంది. [1] ఇది స్థిరమైన సాంప్రదాయిక ల్యాండింగ్ గేర్‌ను కలిగి ఉంది మరియు ఇది 225 హెచ్‌పి (168 కిలోవాట్ అల్యూమినియం వాడకాన్ని తగ్గించడానికి ఇది చెక్క రెక్కలు మరియు స్టీల్ ట్యూబ్ ఫార్వర్డ్ "&amp;"ఫ్యూజ్‌లేజ్ కలిగి ఉంది. [3] 1942 లో ఈ విమానం 450 హెచ్‌పి (336 కిలోవాట్) ప్రాట్ &amp; విట్నీ ఆర్ -985 ఇంజిన్‌తో తిరిగి ఇంజిన్ చేయబడింది మరియు మోడల్ X-91 ను పున es రూపకల్పన చేసింది. [1] X-91 ను అమెరికా ఆర్మీ వైమానిక దళం XBT-17 గా అంచనా వేసింది, కాని ఇకపై నిర్మి"&amp;"ంచబడలేదు. [1] [2] [4] సాధారణ లక్షణాల నుండి డేటా పనితీరు సంబంధిత జాబితాలు")</f>
        <v>స్టీర్మాన్ XBT-17 అనేది 1940 లలో అమెరికన్ రెండు-సీట్ల తక్కువ-వింగ్ మోనోప్లేన్ ప్రాధమిక శిక్షకుడు స్టీర్మాన్ విమానం (మోడల్ X-90 గా) రూపొందించారు మరియు నిర్మించారు. [1] దీనిని 1942 లో అమెరికా ఆర్మీ వైమానిక దళం XBT-17 గా అంచనా వేసింది. [2] X-90 ఒక తక్కువ-వింగ్ కాంటిలివర్ మోనోప్లేన్, ఇది పరివేష్టిత పందిరి కింద రెండు సీట్లతో ఉంటుంది. [1] ఇది స్థిరమైన సాంప్రదాయిక ల్యాండింగ్ గేర్‌ను కలిగి ఉంది మరియు ఇది 225 హెచ్‌పి (168 కిలోవాట్ అల్యూమినియం వాడకాన్ని తగ్గించడానికి ఇది చెక్క రెక్కలు మరియు స్టీల్ ట్యూబ్ ఫార్వర్డ్ ఫ్యూజ్‌లేజ్ కలిగి ఉంది. [3] 1942 లో ఈ విమానం 450 హెచ్‌పి (336 కిలోవాట్) ప్రాట్ &amp; విట్నీ ఆర్ -985 ఇంజిన్‌తో తిరిగి ఇంజిన్ చేయబడింది మరియు మోడల్ X-91 ను పున es రూపకల్పన చేసింది. [1] X-91 ను అమెరికా ఆర్మీ వైమానిక దళం XBT-17 గా అంచనా వేసింది, కాని ఇకపై నిర్మించబడలేదు. [1] [2] [4] సాధారణ లక్షణాల నుండి డేటా పనితీరు సంబంధిత జాబితాలు</v>
      </c>
      <c r="E83" s="1" t="s">
        <v>1871</v>
      </c>
      <c r="F83" s="1" t="s">
        <v>1872</v>
      </c>
      <c r="G83" s="1" t="str">
        <f>IFERROR(__xludf.DUMMYFUNCTION("GOOGLETRANSLATE(F:F, ""en"", ""te"")"),"శిక్షణ మోనోప్లేన్")</f>
        <v>శిక్షణ మోనోప్లేన్</v>
      </c>
      <c r="I83" s="1" t="s">
        <v>447</v>
      </c>
      <c r="J83" s="1" t="str">
        <f>IFERROR(__xludf.DUMMYFUNCTION("GOOGLETRANSLATE(I:I, ""en"", ""te"")"),"అమెరికా")</f>
        <v>అమెరికా</v>
      </c>
      <c r="L83" s="1" t="s">
        <v>1873</v>
      </c>
      <c r="M83" s="1" t="str">
        <f>IFERROR(__xludf.DUMMYFUNCTION("GOOGLETRANSLATE(L:L, ""en"", ""te"")"),"స్టీర్మాన్ విమానం")</f>
        <v>స్టీర్మాన్ విమానం</v>
      </c>
      <c r="N83" s="1" t="s">
        <v>1874</v>
      </c>
      <c r="R83" s="1">
        <v>1940.0</v>
      </c>
      <c r="S83" s="1">
        <v>1.0</v>
      </c>
      <c r="T83" s="1" t="s">
        <v>216</v>
      </c>
      <c r="V83" s="1" t="s">
        <v>428</v>
      </c>
      <c r="W83" s="1" t="s">
        <v>1875</v>
      </c>
      <c r="X83" s="1" t="s">
        <v>1876</v>
      </c>
      <c r="Z83" s="1" t="s">
        <v>1877</v>
      </c>
      <c r="AG83" s="1" t="s">
        <v>1878</v>
      </c>
      <c r="AH83" s="1" t="s">
        <v>1879</v>
      </c>
      <c r="AX83" s="1" t="s">
        <v>1880</v>
      </c>
      <c r="AY83" s="1" t="str">
        <f>IFERROR(__xludf.DUMMYFUNCTION("GOOGLETRANSLATE(AX:AX, ""en"", ""te"")"),"1 × ప్రాట్ &amp; విట్నీ R-985-AN-1, 450 HP (340 kW)")</f>
        <v>1 × ప్రాట్ &amp; విట్నీ R-985-AN-1, 450 HP (340 kW)</v>
      </c>
      <c r="BB83" s="1" t="s">
        <v>1881</v>
      </c>
      <c r="BC83" s="1" t="s">
        <v>262</v>
      </c>
      <c r="BD83" s="1" t="s">
        <v>1882</v>
      </c>
      <c r="BG83" s="2"/>
      <c r="BS83" s="1" t="s">
        <v>1883</v>
      </c>
    </row>
    <row r="84">
      <c r="A84" s="1" t="s">
        <v>1884</v>
      </c>
      <c r="B84" s="1" t="str">
        <f>IFERROR(__xludf.DUMMYFUNCTION("GOOGLETRANSLATE(A:A, ""en"", ""te"")"),"నార్త్రోప్ N-9M")</f>
        <v>నార్త్రోప్ N-9M</v>
      </c>
      <c r="C84" s="1" t="s">
        <v>1885</v>
      </c>
      <c r="D84" s="1" t="str">
        <f>IFERROR(__xludf.DUMMYFUNCTION("GOOGLETRANSLATE(C:C, ""en"", ""te"")"),"నార్త్రోప్ N-9M అనేది సుమారు మూడింట ఒక వంతు స్కేల్, 60-అడుగుల (18 మీ) పూర్తి పరిమాణం, 172-అడుగుల (52 మీ) వింగ్స్పాన్ నార్త్రోప్ XB-35 మరియు YB-35 అభివృద్ధికి ఉపయోగించే ఆల్-వింగ్ విమానం ఫ్లయింగ్ వింగ్ లాంగ్-రేంజ్, హెవీ బాంబర్. 1942 లో మొట్టమొదటిసారిగా, 192"&amp;"9 లో ప్రారంభమైన ఆల్-వింగ్ నార్త్రోప్ విమాన డిజైన్ల వంశంలో N-9M (M మోడల్ కోసం M) మూడవది బూమ్, అన్ని ఒత్తిడితో కూడిన మెటల్ స్కిన్ నార్త్రోప్ X-216H మోనోప్లేన్, [1] మరియు ఒక దశాబ్దం తరువాత, 1939-1941 యొక్క ద్వంద్వ-ప్రొపెల్లర్ N-1M. [2] నార్త్రోప్ యొక్క మార్గ"&amp;"దర్శక ఆల్-వింగ్ విమానాలు చాలా సంవత్సరాల తరువాత నార్త్రోప్ గ్రుమ్మాన్ యొక్క చివరికి అధునాతన B-2 స్పిరిట్ స్టీల్త్ బాంబర్‌ను అభివృద్ధి చేయడానికి నాయకత్వం వహిస్తాడు, ఇది 1989 లో యుఎస్ ఎయిర్ ఫోర్స్ ఇన్వెంటరీలో ప్రారంభమైంది. [3] 30 అక్టోబర్ 1941 న, బి -35 ఫ్లయ"&amp;"ింగ్ వింగ్ బాంబర్ అభివృద్ధికి ప్రాథమిక క్రమం ఇంజనీరింగ్, టెస్టింగ్ మరియు ముఖ్యంగా 60 అడుగుల (18 మీ) వింగ్స్పాన్, మూడింట ఒక వంతు విమానం, N-9M గా నియమించబడినది. 4] విమాన పనితీరుపై డేటాను సేకరించడంలో మరియు ప్రోగ్రామ్ యొక్క రాడికల్, ఆల్-వింగ్ డిజైన్‌తో పైలట్‌"&amp;"లను పరిచయం చేయడానికి ఇది ఉపయోగించబడుతుంది. మొదటి N-9M ను అసలు ఒప్పందంలో ఆదేశించారు, కాని ఇది తరువాత 1943 ప్రారంభంలో మూడు పరీక్షా విమానాలకు విస్తరించబడింది. మొదటి N-9 మీ. ఆ ఎయిర్‌ఫ్రేమ్‌ను నాశనం చేసిన తరువాత కొన్ని నెలల తరువాత నాల్గవది ఆదేశించబడింది; ఈ నాల"&amp;"్గవ N-9M వివిధ విమాన పరీక్ష-ఉత్పన్న మెరుగుదలలు మరియు నవీకరణలను కలిగి ఉంది, వీటిలో విభిన్న, మరింత శక్తివంతమైన ఇంజిన్‌లు ఉన్నాయి. నాలుగు విమానాలను వరుసగా N -9M -1, -2, -A, మరియు -B గా నియమించారు. [5] N-9M ఫ్రేమ్‌వర్క్ దాని మొత్తం బరువును తగ్గించడానికి కలపతో"&amp;" పాక్షికంగా నిర్మించబడింది. రెక్కల బయటి ఉపరితలాలు కూడా బలమైన, ప్రత్యేకంగా లామినేటెడ్ ప్లైవుడ్‌తో చర్మం గలవి. సెంట్రల్ విభాగం (ఫ్యూజ్‌లేజ్‌కు సమానం) వెల్డెడ్ గొట్టపు ఉక్కుతో తయారు చేయబడింది. ఈ విమానం మొదట రెండు 290 హెచ్‌పి (216 కిలోవాట్ KW) ఫ్రాంక్లిన్ XO-"&amp;"540-7 ఇంజన్లు. [4] N-9M యొక్క మొదటి ఫ్లైట్ 27 డిసెంబర్ 1942 న నార్త్రోప్ టెస్ట్ పైలట్ జాన్ మైయర్స్ వద్ద కంట్రోల్స్ వద్ద జరిగింది. [6] రాబోయే ఐదు నెలల్లో 45 విమానాలు జరిగాయి. వివిధ యాంత్రిక వైఫల్యాల ద్వారా దాదాపు అన్నింటినీ ముగించారు, మెనాస్కో ఇంజన్లు సమస్"&amp;"యలకు ప్రాధమిక వనరు. సుమారు 22.5 గంటల విమాన సమయం తరువాత, మొదటి N-9 మీ. 1943 న మురోక్ ఆర్మీ ఎయిర్ బేస్ (ఇప్పుడు ఎడ్వర్డ్స్ ఎయిర్ ఫోర్స్ బేస్) కు పశ్చిమాన సుమారు 12 మైళ్ళు (19 కి.మీ) క్రాష్ అయ్యింది. పైలట్, మాక్స్ కాన్స్టాంట్, అతను చంపబడ్డాడు. కుడి చేతి, 60 "&amp;"° ముక్కు-డౌన్ స్పిన్ నుండి విమానాన్ని తిరిగి పొందటానికి ప్రయత్నించారు. కాన్స్టాంట్ కంట్రోల్ రివర్సల్‌కు గురైనట్లు దర్యాప్తులో తేలింది, నిటారుగా ఉన్న స్పిన్ నుండి కోలుకునే ప్రయత్నంలో కంట్రోల్ కాలమ్ అతని ఛాతీకి వ్యతిరేకంగా నొక్కిచెప్పబడింది, అతన్ని పారాచూట్"&amp;" నుండి భద్రతకు నిరోధించింది. ఈ సమస్యను పరిష్కరించడానికి మరియు ఇతర N-9M పరీక్ష విమానంలో జరగకుండా నిరోధించడానికి చర్యలు తీసుకోబడ్డాయి. [6] నార్త్రోప్ యొక్క ఫ్లయింగ్ వింగ్ బాంబర్ ప్రోగ్రామ్ రద్దు చేయబడినప్పుడు, చివరి N-9MB మినహా మిగిలిన N-9M ఫ్లైట్ టెస్ట్ వి"&amp;"మానాలన్నీ రద్దు చేయబడ్డాయి. మూడు దశాబ్దాలకు పైగా, చినో, కాలిఫోర్నియా విమానాలు ఫేమ్ ఎయిర్ మ్యూజియం 1982 లో ఈ విమానాన్ని కొనుగోలు చేసి, శ్రమతో కూడిన పునరుద్ధరణ ప్రక్రియను ప్రారంభించే వరకు ఇది నెమ్మదిగా క్షీణించింది. తరువాతి రెండు దశాబ్దాలుగా, మాజీ నార్త్రోప"&amp;"్ ఉద్యోగులు మరియు ఇతర వాలంటీర్లు N-9MB ని దాని తుది విమాన ఆకృతీకరణకు పునరుద్ధరించారు. [7] 1993 నుండి, పసుపు మరియు నీలం ఫ్లయింగ్ వింగ్ ప్రదర్శించబడింది, ప్రతి సంవత్సరం అనేక ఎయిర్‌షోల వద్ద విమాన ప్రదర్శనలతో. [8] ఏప్రిల్ 2006 లో, N-9MB విమానంలో ఇంజిన్ అగ్నిప"&amp;"్రమాదానికి గురైంది. ఈ విమానం పరిమిత నష్టంతో సురక్షితంగా ల్యాండ్ చేయబడింది. మ్యూజియంకు విరాళాలు దాని మరమ్మత్తు కోసం అభ్యర్థించబడ్డాయి మరియు విమానం పూర్తిగా విమాన స్థితికి మరమ్మతులు చేయబడింది. 15-16 మే 2010 న వార్షిక చినో ఎయిర్‌షో సందర్భంగా ఇది మళ్లీ ఎగిరిం"&amp;"ది. [7] 22 ఏప్రిల్ 2019 న, టేకాఫ్ అయిన కొద్దిసేపటికే N-9MB నాశనం చేయబడింది, ఇది కాలిఫోర్నియాలోని నార్కోలో జైలు యార్డ్‌లోకి ప్రవేశించింది. [9] సాధారణ లక్షణాలు పనితీరు సంబంధిత అభివృద్ధి అభివృద్ధి విమానం పోల్చదగిన పాత్ర, కాన్ఫిగరేషన్ మరియు ERA")</f>
        <v>నార్త్రోప్ N-9M అనేది సుమారు మూడింట ఒక వంతు స్కేల్, 60-అడుగుల (18 మీ) పూర్తి పరిమాణం, 172-అడుగుల (52 మీ) వింగ్స్పాన్ నార్త్రోప్ XB-35 మరియు YB-35 అభివృద్ధికి ఉపయోగించే ఆల్-వింగ్ విమానం ఫ్లయింగ్ వింగ్ లాంగ్-రేంజ్, హెవీ బాంబర్. 1942 లో మొట్టమొదటిసారిగా, 1929 లో ప్రారంభమైన ఆల్-వింగ్ నార్త్రోప్ విమాన డిజైన్ల వంశంలో N-9M (M మోడల్ కోసం M) మూడవది బూమ్, అన్ని ఒత్తిడితో కూడిన మెటల్ స్కిన్ నార్త్రోప్ X-216H మోనోప్లేన్, [1] మరియు ఒక దశాబ్దం తరువాత, 1939-1941 యొక్క ద్వంద్వ-ప్రొపెల్లర్ N-1M. [2] నార్త్రోప్ యొక్క మార్గదర్శక ఆల్-వింగ్ విమానాలు చాలా సంవత్సరాల తరువాత నార్త్రోప్ గ్రుమ్మాన్ యొక్క చివరికి అధునాతన B-2 స్పిరిట్ స్టీల్త్ బాంబర్‌ను అభివృద్ధి చేయడానికి నాయకత్వం వహిస్తాడు, ఇది 1989 లో యుఎస్ ఎయిర్ ఫోర్స్ ఇన్వెంటరీలో ప్రారంభమైంది. [3] 30 అక్టోబర్ 1941 న, బి -35 ఫ్లయింగ్ వింగ్ బాంబర్ అభివృద్ధికి ప్రాథమిక క్రమం ఇంజనీరింగ్, టెస్టింగ్ మరియు ముఖ్యంగా 60 అడుగుల (18 మీ) వింగ్స్పాన్, మూడింట ఒక వంతు విమానం, N-9M గా నియమించబడినది. 4] విమాన పనితీరుపై డేటాను సేకరించడంలో మరియు ప్రోగ్రామ్ యొక్క రాడికల్, ఆల్-వింగ్ డిజైన్‌తో పైలట్‌లను పరిచయం చేయడానికి ఇది ఉపయోగించబడుతుంది. మొదటి N-9M ను అసలు ఒప్పందంలో ఆదేశించారు, కాని ఇది తరువాత 1943 ప్రారంభంలో మూడు పరీక్షా విమానాలకు విస్తరించబడింది. మొదటి N-9 మీ. ఆ ఎయిర్‌ఫ్రేమ్‌ను నాశనం చేసిన తరువాత కొన్ని నెలల తరువాత నాల్గవది ఆదేశించబడింది; ఈ నాల్గవ N-9M వివిధ విమాన పరీక్ష-ఉత్పన్న మెరుగుదలలు మరియు నవీకరణలను కలిగి ఉంది, వీటిలో విభిన్న, మరింత శక్తివంతమైన ఇంజిన్‌లు ఉన్నాయి. నాలుగు విమానాలను వరుసగా N -9M -1, -2, -A, మరియు -B గా నియమించారు. [5] N-9M ఫ్రేమ్‌వర్క్ దాని మొత్తం బరువును తగ్గించడానికి కలపతో పాక్షికంగా నిర్మించబడింది. రెక్కల బయటి ఉపరితలాలు కూడా బలమైన, ప్రత్యేకంగా లామినేటెడ్ ప్లైవుడ్‌తో చర్మం గలవి. సెంట్రల్ విభాగం (ఫ్యూజ్‌లేజ్‌కు సమానం) వెల్డెడ్ గొట్టపు ఉక్కుతో తయారు చేయబడింది. ఈ విమానం మొదట రెండు 290 హెచ్‌పి (216 కిలోవాట్ KW) ఫ్రాంక్లిన్ XO-540-7 ఇంజన్లు. [4] N-9M యొక్క మొదటి ఫ్లైట్ 27 డిసెంబర్ 1942 న నార్త్రోప్ టెస్ట్ పైలట్ జాన్ మైయర్స్ వద్ద కంట్రోల్స్ వద్ద జరిగింది. [6] రాబోయే ఐదు నెలల్లో 45 విమానాలు జరిగాయి. వివిధ యాంత్రిక వైఫల్యాల ద్వారా దాదాపు అన్నింటినీ ముగించారు, మెనాస్కో ఇంజన్లు సమస్యలకు ప్రాధమిక వనరు. సుమారు 22.5 గంటల విమాన సమయం తరువాత, మొదటి N-9 మీ. 1943 న మురోక్ ఆర్మీ ఎయిర్ బేస్ (ఇప్పుడు ఎడ్వర్డ్స్ ఎయిర్ ఫోర్స్ బేస్) కు పశ్చిమాన సుమారు 12 మైళ్ళు (19 కి.మీ) క్రాష్ అయ్యింది. పైలట్, మాక్స్ కాన్స్టాంట్, అతను చంపబడ్డాడు. కుడి చేతి, 60 ° ముక్కు-డౌన్ స్పిన్ నుండి విమానాన్ని తిరిగి పొందటానికి ప్రయత్నించారు. కాన్స్టాంట్ కంట్రోల్ రివర్సల్‌కు గురైనట్లు దర్యాప్తులో తేలింది, నిటారుగా ఉన్న స్పిన్ నుండి కోలుకునే ప్రయత్నంలో కంట్రోల్ కాలమ్ అతని ఛాతీకి వ్యతిరేకంగా నొక్కిచెప్పబడింది, అతన్ని పారాచూట్ నుండి భద్రతకు నిరోధించింది. ఈ సమస్యను పరిష్కరించడానికి మరియు ఇతర N-9M పరీక్ష విమానంలో జరగకుండా నిరోధించడానికి చర్యలు తీసుకోబడ్డాయి. [6] నార్త్రోప్ యొక్క ఫ్లయింగ్ వింగ్ బాంబర్ ప్రోగ్రామ్ రద్దు చేయబడినప్పుడు, చివరి N-9MB మినహా మిగిలిన N-9M ఫ్లైట్ టెస్ట్ విమానాలన్నీ రద్దు చేయబడ్డాయి. మూడు దశాబ్దాలకు పైగా, చినో, కాలిఫోర్నియా విమానాలు ఫేమ్ ఎయిర్ మ్యూజియం 1982 లో ఈ విమానాన్ని కొనుగోలు చేసి, శ్రమతో కూడిన పునరుద్ధరణ ప్రక్రియను ప్రారంభించే వరకు ఇది నెమ్మదిగా క్షీణించింది. తరువాతి రెండు దశాబ్దాలుగా, మాజీ నార్త్రోప్ ఉద్యోగులు మరియు ఇతర వాలంటీర్లు N-9MB ని దాని తుది విమాన ఆకృతీకరణకు పునరుద్ధరించారు. [7] 1993 నుండి, పసుపు మరియు నీలం ఫ్లయింగ్ వింగ్ ప్రదర్శించబడింది, ప్రతి సంవత్సరం అనేక ఎయిర్‌షోల వద్ద విమాన ప్రదర్శనలతో. [8] ఏప్రిల్ 2006 లో, N-9MB విమానంలో ఇంజిన్ అగ్నిప్రమాదానికి గురైంది. ఈ విమానం పరిమిత నష్టంతో సురక్షితంగా ల్యాండ్ చేయబడింది. మ్యూజియంకు విరాళాలు దాని మరమ్మత్తు కోసం అభ్యర్థించబడ్డాయి మరియు విమానం పూర్తిగా విమాన స్థితికి మరమ్మతులు చేయబడింది. 15-16 మే 2010 న వార్షిక చినో ఎయిర్‌షో సందర్భంగా ఇది మళ్లీ ఎగిరింది. [7] 22 ఏప్రిల్ 2019 న, టేకాఫ్ అయిన కొద్దిసేపటికే N-9MB నాశనం చేయబడింది, ఇది కాలిఫోర్నియాలోని నార్కోలో జైలు యార్డ్‌లోకి ప్రవేశించింది. [9] సాధారణ లక్షణాలు పనితీరు సంబంధిత అభివృద్ధి అభివృద్ధి విమానం పోల్చదగిన పాత్ర, కాన్ఫిగరేషన్ మరియు ERA</v>
      </c>
      <c r="E84" s="1" t="s">
        <v>1886</v>
      </c>
      <c r="F84" s="1" t="s">
        <v>1648</v>
      </c>
      <c r="G84" s="1" t="str">
        <f>IFERROR(__xludf.DUMMYFUNCTION("GOOGLETRANSLATE(F:F, ""en"", ""te"")"),"ప్రోటోటైప్")</f>
        <v>ప్రోటోటైప్</v>
      </c>
      <c r="L84" s="1" t="s">
        <v>1563</v>
      </c>
      <c r="M84" s="1" t="str">
        <f>IFERROR(__xludf.DUMMYFUNCTION("GOOGLETRANSLATE(L:L, ""en"", ""te"")"),"నార్త్రోప్ కార్పొరేషన్")</f>
        <v>నార్త్రోప్ కార్పొరేషన్</v>
      </c>
      <c r="N84" s="1" t="s">
        <v>1564</v>
      </c>
      <c r="O84" s="1" t="s">
        <v>1887</v>
      </c>
      <c r="P84" s="1" t="str">
        <f>IFERROR(__xludf.DUMMYFUNCTION("GOOGLETRANSLATE(O:O, ""en"", ""te"")"),"జాక్ నార్త్రోప్")</f>
        <v>జాక్ నార్త్రోప్</v>
      </c>
      <c r="Q84" s="1" t="s">
        <v>1888</v>
      </c>
      <c r="R84" s="4">
        <v>15702.0</v>
      </c>
      <c r="S84" s="1">
        <v>4.0</v>
      </c>
      <c r="V84" s="1">
        <v>1.0</v>
      </c>
      <c r="W84" s="1" t="s">
        <v>1889</v>
      </c>
      <c r="X84" s="1" t="s">
        <v>1890</v>
      </c>
      <c r="Y84" s="1" t="s">
        <v>1891</v>
      </c>
      <c r="Z84" s="1" t="s">
        <v>1892</v>
      </c>
      <c r="AF84" s="1" t="s">
        <v>1893</v>
      </c>
      <c r="AG84" s="1" t="s">
        <v>1894</v>
      </c>
      <c r="AH84" s="1" t="s">
        <v>1895</v>
      </c>
      <c r="AX84" s="1" t="s">
        <v>1896</v>
      </c>
      <c r="AY84" s="1" t="str">
        <f>IFERROR(__xludf.DUMMYFUNCTION("GOOGLETRANSLATE(AX:AX, ""en"", ""te"")"),"2 × మెనాస్కో సి 6 ఎస్ -4 ""బక్కనీర్"" 6-సిల్. సూపర్ఛార్జ్డ్ విలోమ ఎయిర్-కూల్డ్ ఇన్-లైన్ పిస్టన్ ఇంజిన్, 275 హెచ్‌పి (205 కిలోవాట్)")</f>
        <v>2 × మెనాస్కో సి 6 ఎస్ -4 "బక్కనీర్" 6-సిల్. సూపర్ఛార్జ్డ్ విలోమ ఎయిర్-కూల్డ్ ఇన్-లైన్ పిస్టన్ ఇంజిన్, 275 హెచ్‌పి (205 కిలోవాట్)</v>
      </c>
      <c r="BB84" s="1" t="s">
        <v>1897</v>
      </c>
      <c r="BD84" s="1" t="s">
        <v>1898</v>
      </c>
      <c r="BF84" s="1" t="s">
        <v>487</v>
      </c>
      <c r="BG84" s="2" t="str">
        <f>IFERROR(__xludf.DUMMYFUNCTION("GOOGLETRANSLATE(BF:BF, ""en"", ""te"")"),"అమెరికా వైమానిక దళం")</f>
        <v>అమెరికా వైమానిక దళం</v>
      </c>
      <c r="BH84" s="1" t="s">
        <v>488</v>
      </c>
      <c r="BT84" s="1" t="s">
        <v>1899</v>
      </c>
    </row>
    <row r="85">
      <c r="A85" s="1" t="s">
        <v>1900</v>
      </c>
      <c r="B85" s="1" t="str">
        <f>IFERROR(__xludf.DUMMYFUNCTION("GOOGLETRANSLATE(A:A, ""en"", ""te"")"),"34 క్రియాసలిన్")</f>
        <v>34 క్రియాసలిన్</v>
      </c>
      <c r="C85" s="1" t="s">
        <v>1901</v>
      </c>
      <c r="D85" s="1" t="str">
        <f>IFERROR(__xludf.DUMMYFUNCTION("GOOGLETRANSLATE(C:C, ""en"", ""te"")"),"ఎసి మొబిల్ 34 క్రిసాలిన్ కిట్‌ప్లేన్ రూపంలో ఫ్రాన్స్‌లో ఉత్పత్తి చేయబడిన రెండు-సీట్ల తేలికపాటి విమానం. ఈ విమానం ఫెడెరేషన్ ఏరోనటిక్ ఇంటర్నేషనల్ మైక్రోలైట్ నిబంధనలకు అనుగుణంగా రూపొందించబడింది. [1] [2] మిశ్రమ పదార్థాలతో నిర్మించబడిన ఇది సాంప్రదాయిక హై-వింగ్ "&amp;"బ్రాస్డ్ మోనోప్లేన్, ఇది స్థిర ట్రైసైకిల్ అండర్ క్యారేజ్. పైలట్ మరియు ప్రయాణీకుడు పక్కపక్కనే కాన్ఫిగరేషన్‌లో కూర్చుంటారు. [1] [2] నిర్మాణం ఫైబర్గ్లాస్ మరియు వినైలెస్టర్ శాండ్‌విచ్, దీని ఫలితంగా తక్కువ ఖాళీ బరువు 283 కిలోలు (624 పౌండ్లు) అవుతుంది. విమానంలో"&amp;" మడత రెక్కలు ఉన్నాయి. ప్రామాణిక ఇంజిన్ 60 కిలోవాట్ల (80 హెచ్‌పి) రోటాక్స్ 912 ఎయిర్ అండ్ లిక్విడ్-కూల్డ్, ఫోర్ స్ట్రోక్, ఫోర్ సిలిండర్ పిస్టన్ ఎయిర్‌క్రాఫ్ట్ ఇంజిన్. [1] [2] టాక్ నుండి డేటా [2] సాధారణ లక్షణాల పనితీరు పోల్చదగిన విమానం:")</f>
        <v>ఎసి మొబిల్ 34 క్రిసాలిన్ కిట్‌ప్లేన్ రూపంలో ఫ్రాన్స్‌లో ఉత్పత్తి చేయబడిన రెండు-సీట్ల తేలికపాటి విమానం. ఈ విమానం ఫెడెరేషన్ ఏరోనటిక్ ఇంటర్నేషనల్ మైక్రోలైట్ నిబంధనలకు అనుగుణంగా రూపొందించబడింది. [1] [2] మిశ్రమ పదార్థాలతో నిర్మించబడిన ఇది సాంప్రదాయిక హై-వింగ్ బ్రాస్డ్ మోనోప్లేన్, ఇది స్థిర ట్రైసైకిల్ అండర్ క్యారేజ్. పైలట్ మరియు ప్రయాణీకుడు పక్కపక్కనే కాన్ఫిగరేషన్‌లో కూర్చుంటారు. [1] [2] నిర్మాణం ఫైబర్గ్లాస్ మరియు వినైలెస్టర్ శాండ్‌విచ్, దీని ఫలితంగా తక్కువ ఖాళీ బరువు 283 కిలోలు (624 పౌండ్లు) అవుతుంది. విమానంలో మడత రెక్కలు ఉన్నాయి. ప్రామాణిక ఇంజిన్ 60 కిలోవాట్ల (80 హెచ్‌పి) రోటాక్స్ 912 ఎయిర్ అండ్ లిక్విడ్-కూల్డ్, ఫోర్ స్ట్రోక్, ఫోర్ సిలిండర్ పిస్టన్ ఎయిర్‌క్రాఫ్ట్ ఇంజిన్. [1] [2] టాక్ నుండి డేటా [2] సాధారణ లక్షణాల పనితీరు పోల్చదగిన విమానం:</v>
      </c>
      <c r="F85" s="1" t="s">
        <v>1902</v>
      </c>
      <c r="G85" s="1" t="str">
        <f>IFERROR(__xludf.DUMMYFUNCTION("GOOGLETRANSLATE(F:F, ""en"", ""te"")"),"మైక్రోలైట్ విమానం")</f>
        <v>మైక్రోలైట్ విమానం</v>
      </c>
      <c r="H85" s="1" t="s">
        <v>1903</v>
      </c>
      <c r="I85" s="1" t="s">
        <v>422</v>
      </c>
      <c r="J85" s="1" t="str">
        <f>IFERROR(__xludf.DUMMYFUNCTION("GOOGLETRANSLATE(I:I, ""en"", ""te"")"),"ఫ్రాన్స్")</f>
        <v>ఫ్రాన్స్</v>
      </c>
      <c r="K85" s="3" t="s">
        <v>423</v>
      </c>
      <c r="L85" s="1" t="s">
        <v>1904</v>
      </c>
      <c r="M85" s="1" t="str">
        <f>IFERROR(__xludf.DUMMYFUNCTION("GOOGLETRANSLATE(L:L, ""en"", ""te"")"),"ఎసి మొబిల్ 34")</f>
        <v>ఎసి మొబిల్ 34</v>
      </c>
      <c r="N85" s="1" t="s">
        <v>1905</v>
      </c>
      <c r="V85" s="1" t="s">
        <v>518</v>
      </c>
      <c r="X85" s="1" t="s">
        <v>1906</v>
      </c>
      <c r="Z85" s="1" t="s">
        <v>1907</v>
      </c>
      <c r="AE85" s="1">
        <v>6.83</v>
      </c>
      <c r="AG85" s="1" t="s">
        <v>1908</v>
      </c>
      <c r="AV85" s="1" t="s">
        <v>1909</v>
      </c>
      <c r="AX85" s="1" t="s">
        <v>1910</v>
      </c>
      <c r="AY85" s="1" t="str">
        <f>IFERROR(__xludf.DUMMYFUNCTION("GOOGLETRANSLATE(AX:AX, ""en"", ""te"")"),"1 × రోటాక్స్ 912 ఎయిర్-కూల్డ్, నాలుగు స్ట్రోక్, నాలుగు సిలిండర్ పిస్టన్ ఇంజిన్, 60 కిలోవాట్ (80 హెచ్‌పి)")</f>
        <v>1 × రోటాక్స్ 912 ఎయిర్-కూల్డ్, నాలుగు స్ట్రోక్, నాలుగు సిలిండర్ పిస్టన్ ఇంజిన్, 60 కిలోవాట్ (80 హెచ్‌పి)</v>
      </c>
      <c r="BB85" s="1" t="s">
        <v>1484</v>
      </c>
      <c r="BC85" s="1" t="s">
        <v>1911</v>
      </c>
      <c r="BG85" s="2"/>
      <c r="BR85" s="1" t="s">
        <v>1912</v>
      </c>
      <c r="BS85" s="1" t="s">
        <v>1913</v>
      </c>
      <c r="BU85" s="1" t="s">
        <v>1914</v>
      </c>
      <c r="BV85" s="1" t="str">
        <f>IFERROR(__xludf.DUMMYFUNCTION("GOOGLETRANSLATE(BU:BU, ""en"", ""te"")"),"ఉత్పత్తిలో")</f>
        <v>ఉత్పత్తిలో</v>
      </c>
      <c r="BX85" s="1"/>
      <c r="BY85" s="1" t="s">
        <v>1915</v>
      </c>
    </row>
    <row r="86">
      <c r="A86" s="1" t="s">
        <v>1916</v>
      </c>
      <c r="B86" s="1" t="str">
        <f>IFERROR(__xludf.DUMMYFUNCTION("GOOGLETRANSLATE(A:A, ""en"", ""te"")"),"విక్కర్స్ రకం 123")</f>
        <v>విక్కర్స్ రకం 123</v>
      </c>
      <c r="C86" s="1" t="s">
        <v>1917</v>
      </c>
      <c r="D86" s="1" t="str">
        <f>IFERROR(__xludf.DUMMYFUNCTION("GOOGLETRANSLATE(C:C, ""en"", ""te"")"),"విక్కర్స్ టైప్ 123 1920 ల బ్రిటిష్ సింగిల్-సీట్ల బిప్‌లేన్ ఫైటర్, విక్కర్స్ లిమిటెడ్ ఒక ప్రైవేట్ వెంచర్‌గా రూపొందించబడింది మరియు నిర్మించబడింది. [1] టైప్ 123 తరువాత టైప్ 141 లో సవరించబడింది, కాని, ఎటువంటి ఆర్డర్లు గెలవలేదు, ఇది 1930 లో రద్దు చేయబడింది. [1"&amp;"] టైప్ 123 అనేది సాంప్రదాయిక బైప్‌లేన్, ఇది 400 హెచ్‌పి (298 కిలోవాట్ 11 సెప్టెంబర్ 1926 న. [1] 1927 లో దీనికి 480 హెచ్‌పి (358 కిలోవాట్) రోల్స్ రాయిస్ ఎఫ్.ఎక్సీ ఇంజిన్ అమర్చబడి ఉంది మరియు పున es రూపకల్పన టైప్ 141. [1] ఇది జనవరి 1928 లో జరిగిన వైమానిక మంత"&amp;"్రిత్వ శాఖ యుద్ధ సేకరణ పోటీలో విజయవంతం కాలేదు. [1] ఇది స్పెసిఫికేషన్ 21/26 ను తీర్చడానికి ఫ్లీట్ ఫైటర్‌గా సవరించబడింది మరియు జూన్ 1929 లో హెచ్‌ఎంఎస్ ఫ్యూరియస్‌పై ట్రయల్స్ నిర్వహించింది. [1] ఎటువంటి ఆర్డర్లు గెలవకుండా 1930 లో విమానం రద్దు చేయబడింది. [1] [1"&amp;"] సాధారణ లక్షణాల నుండి డేటా పనితీరు ఆయుధాలు")</f>
        <v>విక్కర్స్ టైప్ 123 1920 ల బ్రిటిష్ సింగిల్-సీట్ల బిప్‌లేన్ ఫైటర్, విక్కర్స్ లిమిటెడ్ ఒక ప్రైవేట్ వెంచర్‌గా రూపొందించబడింది మరియు నిర్మించబడింది. [1] టైప్ 123 తరువాత టైప్ 141 లో సవరించబడింది, కాని, ఎటువంటి ఆర్డర్లు గెలవలేదు, ఇది 1930 లో రద్దు చేయబడింది. [1] టైప్ 123 అనేది సాంప్రదాయిక బైప్‌లేన్, ఇది 400 హెచ్‌పి (298 కిలోవాట్ 11 సెప్టెంబర్ 1926 న. [1] 1927 లో దీనికి 480 హెచ్‌పి (358 కిలోవాట్) రోల్స్ రాయిస్ ఎఫ్.ఎక్సీ ఇంజిన్ అమర్చబడి ఉంది మరియు పున es రూపకల్పన టైప్ 141. [1] ఇది జనవరి 1928 లో జరిగిన వైమానిక మంత్రిత్వ శాఖ యుద్ధ సేకరణ పోటీలో విజయవంతం కాలేదు. [1] ఇది స్పెసిఫికేషన్ 21/26 ను తీర్చడానికి ఫ్లీట్ ఫైటర్‌గా సవరించబడింది మరియు జూన్ 1929 లో హెచ్‌ఎంఎస్ ఫ్యూరియస్‌పై ట్రయల్స్ నిర్వహించింది. [1] ఎటువంటి ఆర్డర్లు గెలవకుండా 1930 లో విమానం రద్దు చేయబడింది. [1] [1] సాధారణ లక్షణాల నుండి డేటా పనితీరు ఆయుధాలు</v>
      </c>
      <c r="E86" s="1" t="s">
        <v>1918</v>
      </c>
      <c r="F86" s="1" t="s">
        <v>1919</v>
      </c>
      <c r="G86" s="1" t="str">
        <f>IFERROR(__xludf.DUMMYFUNCTION("GOOGLETRANSLATE(F:F, ""en"", ""te"")"),"సింగిల్-సీట్ ఫైటర్")</f>
        <v>సింగిల్-సీట్ ఫైటర్</v>
      </c>
      <c r="I86" s="1" t="s">
        <v>964</v>
      </c>
      <c r="J86" s="1" t="str">
        <f>IFERROR(__xludf.DUMMYFUNCTION("GOOGLETRANSLATE(I:I, ""en"", ""te"")"),"యునైటెడ్ కింగ్‌డమ్")</f>
        <v>యునైటెడ్ కింగ్‌డమ్</v>
      </c>
      <c r="L86" s="1" t="s">
        <v>1920</v>
      </c>
      <c r="M86" s="1" t="str">
        <f>IFERROR(__xludf.DUMMYFUNCTION("GOOGLETRANSLATE(L:L, ""en"", ""te"")"),"విక్కర్స్ లిమిటెడ్")</f>
        <v>విక్కర్స్ లిమిటెడ్</v>
      </c>
      <c r="N86" s="1" t="s">
        <v>1921</v>
      </c>
      <c r="R86" s="4">
        <v>9751.0</v>
      </c>
      <c r="S86" s="1">
        <v>1.0</v>
      </c>
      <c r="V86" s="1">
        <v>1.0</v>
      </c>
      <c r="W86" s="1" t="s">
        <v>1922</v>
      </c>
      <c r="X86" s="1" t="s">
        <v>1923</v>
      </c>
      <c r="Y86" s="1" t="s">
        <v>1924</v>
      </c>
      <c r="Z86" s="1" t="s">
        <v>1925</v>
      </c>
      <c r="AG86" s="1" t="s">
        <v>1926</v>
      </c>
      <c r="AH86" s="1" t="s">
        <v>1927</v>
      </c>
      <c r="AQ86" s="1">
        <v>1930.0</v>
      </c>
      <c r="AX86" s="1" t="s">
        <v>1928</v>
      </c>
      <c r="AY86" s="1" t="str">
        <f>IFERROR(__xludf.DUMMYFUNCTION("GOOGLETRANSLATE(AX:AX, ""en"", ""te"")"),"1 × హిస్పానో-సుయిజా T52 లిక్విడ్-కూల్డ్ V12 ఇంజిన్, 400 HP (300 kW)")</f>
        <v>1 × హిస్పానో-సుయిజా T52 లిక్విడ్-కూల్డ్ V12 ఇంజిన్, 400 HP (300 kW)</v>
      </c>
      <c r="BB86" s="1" t="s">
        <v>1929</v>
      </c>
      <c r="BG86" s="2"/>
      <c r="BU86" s="1" t="s">
        <v>1930</v>
      </c>
      <c r="BV86" s="1" t="str">
        <f>IFERROR(__xludf.DUMMYFUNCTION("GOOGLETRANSLATE(BU:BU, ""en"", ""te"")"),"స్క్రాప్ చేయబడింది")</f>
        <v>స్క్రాప్ చేయబడింది</v>
      </c>
      <c r="CB86" s="1" t="s">
        <v>1931</v>
      </c>
      <c r="CC86" s="1" t="s">
        <v>1932</v>
      </c>
      <c r="CD86" s="1" t="str">
        <f>IFERROR(__xludf.DUMMYFUNCTION("GOOGLETRANSLATE(CC:CC, ""en"", ""te"")"),"ఫ్యూజ్‌లేజ్-సైడ్ బొబ్బలలో 2 × విక్కర్స్ మెషిన్ గన్స్ [3]")</f>
        <v>ఫ్యూజ్‌లేజ్-సైడ్ బొబ్బలలో 2 × విక్కర్స్ మెషిన్ గన్స్ [3]</v>
      </c>
    </row>
    <row r="87">
      <c r="A87" s="1" t="s">
        <v>1933</v>
      </c>
      <c r="B87" s="1" t="str">
        <f>IFERROR(__xludf.DUMMYFUNCTION("GOOGLETRANSLATE(A:A, ""en"", ""te"")"),"SZD-9 బోసియన్")</f>
        <v>SZD-9 బోసియన్</v>
      </c>
      <c r="C87" s="1" t="s">
        <v>1934</v>
      </c>
      <c r="D87" s="1" t="str">
        <f>IFERROR(__xludf.DUMMYFUNCTION("GOOGLETRANSLATE(C:C, ""en"", ""te"")"),"SZD-9 బోసియన్ (పోలిష్: ""స్టార్క్"") అనేది 1952 లో బీల్స్కో-బియానాలోని స్జిబోబోకోవీ జకాడ్ డోవియాడిక్జల్నీ (గ్లైడర్ ప్రయోగాత్మక రచనలు) వద్ద పోలాండ్‌లో రూపొందించబడిన మరియు నిర్మించిన బహుళ-ప్రయోజన రెండు-సీట్ల పడవ. శిక్షణ నుండి పోటీ ఎగిరే వరకు ప్రతి ప్రాంతం య"&amp;"ొక్క అవసరాలను తీర్చగల సామర్థ్యాన్ని కలిగి ఉండండి. ప్రధాన డిజైనర్ మరియన్ వాసిలేవ్స్కీ, రోమన్ జాట్వార్నికి మరియు జస్టిన్ సాండౌర్లతో కలిసి ఉన్నారు. ప్రోటోటైప్ SZD-9 మొదటిసారి 10 మార్చి 1952 న ఎగిరింది, ఆడమ్ జైంటెక్ పైలట్ చేయబడింది. విమాన పరీక్ష పూర్తయిన తరువ"&amp;"ాత, SZD-9BIS BOCIAN-1A (లేదా ""బోసియన్ A"") వలె, రూపకల్పనలో మార్పులు రూపొందించబడ్డాయి మరియు ఉత్పత్తి ప్రారంభమైంది. మొదటి ఉత్పత్తి యూనిట్ 13 మార్చి 1953 న మొదటిసారిగా ప్రయాణించింది మరియు 11 యూనిట్లు నిర్మించబడ్డాయి. పోలాండ్‌లో ఉపయోగం కాకుండా, ఆస్ట్రియా, ఆస"&amp;"్ట్రేలియా, బెల్జియం, చైనా, ఫ్రాన్స్, గ్రీస్, ఇండియా, నార్వే, మాజీ తూర్పు జర్మనీ మరియు పశ్చిమ జర్మనీ, స్విట్జర్లాండ్, ట్యునీషియా, టర్కీ, వెనిజులా, యునైటెడ్ కింగ్‌డమ్, మరియు 27 దేశాలకు ఈ రకాన్ని ఎగుమతి చేశారు. సోవియట్ యూనియన్. [1] పోలిష్ పైలట్లు SZD-9 లను ఎ"&amp;"గురుతున్న అనేక అంతర్జాతీయ రికార్డులను నెలకొల్పారు. [1] ప్రపంచంలోని సెయిల్‌ప్లేన్‌ల నుండి డేటా: డై సెగెల్ఫ్లుగ్జ్యూజ్ డెర్ వెల్ట్: లెస్ ప్లానర్స్ డు మోండే [2] సాధారణ లక్షణాలు పనితీరు విమానం పోల్చదగిన పాత్ర, కాన్ఫిగరేషన్ మరియు యుగం సంబంధిత జాబితాలు")</f>
        <v>SZD-9 బోసియన్ (పోలిష్: "స్టార్క్") అనేది 1952 లో బీల్స్కో-బియానాలోని స్జిబోబోకోవీ జకాడ్ డోవియాడిక్జల్నీ (గ్లైడర్ ప్రయోగాత్మక రచనలు) వద్ద పోలాండ్‌లో రూపొందించబడిన మరియు నిర్మించిన బహుళ-ప్రయోజన రెండు-సీట్ల పడవ. శిక్షణ నుండి పోటీ ఎగిరే వరకు ప్రతి ప్రాంతం యొక్క అవసరాలను తీర్చగల సామర్థ్యాన్ని కలిగి ఉండండి. ప్రధాన డిజైనర్ మరియన్ వాసిలేవ్స్కీ, రోమన్ జాట్వార్నికి మరియు జస్టిన్ సాండౌర్లతో కలిసి ఉన్నారు. ప్రోటోటైప్ SZD-9 మొదటిసారి 10 మార్చి 1952 న ఎగిరింది, ఆడమ్ జైంటెక్ పైలట్ చేయబడింది. విమాన పరీక్ష పూర్తయిన తరువాత, SZD-9BIS BOCIAN-1A (లేదా "బోసియన్ A") వలె, రూపకల్పనలో మార్పులు రూపొందించబడ్డాయి మరియు ఉత్పత్తి ప్రారంభమైంది. మొదటి ఉత్పత్తి యూనిట్ 13 మార్చి 1953 న మొదటిసారిగా ప్రయాణించింది మరియు 11 యూనిట్లు నిర్మించబడ్డాయి. పోలాండ్‌లో ఉపయోగం కాకుండా, ఆస్ట్రియా, ఆస్ట్రేలియా, బెల్జియం, చైనా, ఫ్రాన్స్, గ్రీస్, ఇండియా, నార్వే, మాజీ తూర్పు జర్మనీ మరియు పశ్చిమ జర్మనీ, స్విట్జర్లాండ్, ట్యునీషియా, టర్కీ, వెనిజులా, యునైటెడ్ కింగ్‌డమ్, మరియు 27 దేశాలకు ఈ రకాన్ని ఎగుమతి చేశారు. సోవియట్ యూనియన్. [1] పోలిష్ పైలట్లు SZD-9 లను ఎగురుతున్న అనేక అంతర్జాతీయ రికార్డులను నెలకొల్పారు. [1] ప్రపంచంలోని సెయిల్‌ప్లేన్‌ల నుండి డేటా: డై సెగెల్ఫ్లుగ్జ్యూజ్ డెర్ వెల్ట్: లెస్ ప్లానర్స్ డు మోండే [2] సాధారణ లక్షణాలు పనితీరు విమానం పోల్చదగిన పాత్ర, కాన్ఫిగరేషన్ మరియు యుగం సంబంధిత జాబితాలు</v>
      </c>
      <c r="E87" s="1" t="s">
        <v>1935</v>
      </c>
      <c r="F87" s="1" t="s">
        <v>1936</v>
      </c>
      <c r="G87" s="1" t="str">
        <f>IFERROR(__xludf.DUMMYFUNCTION("GOOGLETRANSLATE(F:F, ""en"", ""te"")"),"రెండు సీట్ల క్లాస్ సెయిల్ ప్లేన్")</f>
        <v>రెండు సీట్ల క్లాస్ సెయిల్ ప్లేన్</v>
      </c>
      <c r="H87" s="1" t="s">
        <v>1937</v>
      </c>
      <c r="I87" s="1" t="s">
        <v>1938</v>
      </c>
      <c r="J87" s="1" t="str">
        <f>IFERROR(__xludf.DUMMYFUNCTION("GOOGLETRANSLATE(I:I, ""en"", ""te"")"),"పోలాండ్")</f>
        <v>పోలాండ్</v>
      </c>
      <c r="K87" s="3" t="s">
        <v>1939</v>
      </c>
      <c r="L87" s="1" t="s">
        <v>1940</v>
      </c>
      <c r="M87" s="1" t="str">
        <f>IFERROR(__xludf.DUMMYFUNCTION("GOOGLETRANSLATE(L:L, ""en"", ""te"")"),"Szd")</f>
        <v>Szd</v>
      </c>
      <c r="N87" s="3" t="s">
        <v>1941</v>
      </c>
      <c r="O87" s="1" t="s">
        <v>1942</v>
      </c>
      <c r="P87" s="1" t="str">
        <f>IFERROR(__xludf.DUMMYFUNCTION("GOOGLETRANSLATE(O:O, ""en"", ""te"")"),"మరియన్ వాసిలేవ్స్కిరోమాన్")</f>
        <v>మరియన్ వాసిలేవ్స్కిరోమాన్</v>
      </c>
      <c r="Q87" s="1" t="s">
        <v>1943</v>
      </c>
      <c r="R87" s="4">
        <v>19063.0</v>
      </c>
      <c r="S87" s="1">
        <v>616.0</v>
      </c>
      <c r="T87" s="1" t="s">
        <v>1944</v>
      </c>
      <c r="V87" s="1">
        <v>2.0</v>
      </c>
      <c r="W87" s="1" t="s">
        <v>1945</v>
      </c>
      <c r="X87" s="1" t="s">
        <v>1946</v>
      </c>
      <c r="Y87" s="1" t="s">
        <v>1947</v>
      </c>
      <c r="Z87" s="1" t="s">
        <v>1948</v>
      </c>
      <c r="AE87" s="1">
        <v>16.2</v>
      </c>
      <c r="AF87" s="1" t="s">
        <v>247</v>
      </c>
      <c r="AG87" s="1" t="s">
        <v>1949</v>
      </c>
      <c r="AI87" s="1" t="s">
        <v>205</v>
      </c>
      <c r="AJ87" s="1" t="s">
        <v>1950</v>
      </c>
      <c r="AK87" s="1" t="s">
        <v>1951</v>
      </c>
      <c r="AL87" s="1" t="s">
        <v>1952</v>
      </c>
      <c r="AO87" s="1">
        <v>1953.0</v>
      </c>
      <c r="BF87" s="1" t="s">
        <v>1953</v>
      </c>
      <c r="BG87" s="2" t="str">
        <f>IFERROR(__xludf.DUMMYFUNCTION("GOOGLETRANSLATE(BF:BF, ""en"", ""te"")"),"పోలిష్ ఏరో క్లబ్")</f>
        <v>పోలిష్ ఏరో క్లబ్</v>
      </c>
      <c r="BH87" s="1" t="s">
        <v>1954</v>
      </c>
      <c r="BR87" s="1" t="s">
        <v>1955</v>
      </c>
      <c r="BU87" s="1" t="s">
        <v>1956</v>
      </c>
      <c r="BV87" s="1" t="str">
        <f>IFERROR(__xludf.DUMMYFUNCTION("GOOGLETRANSLATE(BU:BU, ""en"", ""te"")"),"సేవలో")</f>
        <v>సేవలో</v>
      </c>
      <c r="BX87" s="1"/>
      <c r="BY87" s="1" t="s">
        <v>1957</v>
      </c>
      <c r="EG87" s="1" t="s">
        <v>1958</v>
      </c>
      <c r="EH87" s="1" t="s">
        <v>1959</v>
      </c>
    </row>
    <row r="88">
      <c r="A88" s="1" t="s">
        <v>1960</v>
      </c>
      <c r="B88" s="1" t="str">
        <f>IFERROR(__xludf.DUMMYFUNCTION("GOOGLETRANSLATE(A:A, ""en"", ""te"")"),"పిలాటస్ బి -4")</f>
        <v>పిలాటస్ బి -4</v>
      </c>
      <c r="C88" s="1" t="s">
        <v>1961</v>
      </c>
      <c r="D88" s="1" t="str">
        <f>IFERROR(__xludf.DUMMYFUNCTION("GOOGLETRANSLATE(C:C, ""en"", ""te"")"),"పిలాటస్ B4-PC11 (పిలాటస్ నంబరింగ్ సీక్వెన్స్‌లో పిసి -11 అని కూడా పిలుస్తారు) స్విట్జర్లాండ్ యొక్క పిలాటస్ విమానం నిర్మించిన ఆల్-మెటల్ ఇంటర్మీడియట్ గ్లైడర్. B4-PC11 ప్రామాణిక తరగతి స్పెసిఫికేషన్లకు రూపొందించబడింది, అంటే దీనికి 15 మీటర్ల రెక్కలు మరియు ఫ్లా"&amp;"ప్‌లు లేవు. గ్లైడ్‌పాత్ నియంత్రణ కోసం ప్రతి వింగ్ పై ఉపరితలంపై ఎయిర్ బ్రేక్‌లు అందించబడతాయి. నిర్మాణం అల్యూమినియం, మెయిన్‌ప్లేన్, ఫిన్ మరియు టెయిల్‌ప్లేన్‌లో నురుగు పక్కటెముకలు ఉన్నాయి. ఈ గ్లైడర్ యొక్క రూపకల్పన 1960 లలో ఉద్భవించింది, సంస్థ ఫిర్మా రింటాల్వ"&amp;"ెర్కే జి. బాస్టెన్ (దీని నుండి అసలు హోదాలో ""బి"" తీసుకోబడింది) మొదటి రెండు ప్రోటోటైప్‌లను తయారు చేసింది. డిజైనర్లు ఇంగో హెర్బ్స్ట్, మన్‌ఫ్రెడ్ కోప్పర్స్ మరియు రుడాల్ఫ్ రీన్కే. మొదటి నమూనా యొక్క మొదటి ఫ్లైట్ 7 నవంబర్ 1966 న జరిగింది. అయినప్పటికీ, సిరీస్ ఉ"&amp;"త్పత్తి ప్రారంభించబడలేదు. 1972 లో పిలాటస్ B-4 కోసం తయారీ లైసెన్స్‌ను కొనుగోలు చేసింది మరియు దీనికి B4-PC11 గా పేరు మార్చారు. అదే సంవత్సరం వసంతకాలంలో మొదటి ఉత్పత్తి ఉదాహరణ (సంఖ్య HB-1100) మొదటి విమానంలో చేసింది. మొత్తం 322 B4-PC11 లు 1980 నాటికి పిలాటస్ చే"&amp;"త నిర్మించబడ్డాయి, క్రాఫ్ట్ తయారీకి లైసెన్స్ జపాన్ యొక్క నిప్పీ విమానాలకు విక్రయించబడింది, వారు 13 ఉదాహరణలు మాత్రమే నిర్మించారు, మరియు రెండు సీట్ల నిపి B4T ను నియమించింది. [1 ] తదనంతరం, 1994 లో, EWMS టెక్నోమేజ్మెంట్ B4-PC11 ను ఉత్పత్తి చేయడానికి మరియు సేవ"&amp;" చేయడానికి హక్కులను కొనుగోలు చేసింది. ఈ సంస్థ పాత B4-PC11 క్రాఫ్ట్‌ను పునరుద్ధరించడం మరియు అప్‌గ్రేడ్ చేయడంలో ప్రత్యేకత కలిగి ఉంది. అదనంగా, ఇది మోటరైజ్డ్ B4-PC11 ను తయారు చేస్తుంది. B4-PC11 నుండి A మరియు AF వేరియంట్ల ద్వారా నిర్మాణంలో మార్పులు ఫ్యూజ్‌లేజ్"&amp;" విభాగం ద్వారా అదనపు పక్కటెముకలను జోడించడం (టోర్షనల్ దృ g త్వం, AF వేరియంట్ మాత్రమే), మరియు నియంత్రణ కాలమ్ స్టాప్‌లను సవరించడం మరియు చుక్కానిని తగ్గించడం, ఎక్కువ నియంత్రణ ఉపరితల విక్షేపం ఇవ్వడం. సాధారణ లక్షణాలు పోల్చదగిన పాత్ర, కాన్ఫిగరేషన్ మరియు ERA సంబం"&amp;"ధిత జాబితాల పనితీరు విమానం")</f>
        <v>పిలాటస్ B4-PC11 (పిలాటస్ నంబరింగ్ సీక్వెన్స్‌లో పిసి -11 అని కూడా పిలుస్తారు) స్విట్జర్లాండ్ యొక్క పిలాటస్ విమానం నిర్మించిన ఆల్-మెటల్ ఇంటర్మీడియట్ గ్లైడర్. B4-PC11 ప్రామాణిక తరగతి స్పెసిఫికేషన్లకు రూపొందించబడింది, అంటే దీనికి 15 మీటర్ల రెక్కలు మరియు ఫ్లాప్‌లు లేవు. గ్లైడ్‌పాత్ నియంత్రణ కోసం ప్రతి వింగ్ పై ఉపరితలంపై ఎయిర్ బ్రేక్‌లు అందించబడతాయి. నిర్మాణం అల్యూమినియం, మెయిన్‌ప్లేన్, ఫిన్ మరియు టెయిల్‌ప్లేన్‌లో నురుగు పక్కటెముకలు ఉన్నాయి. ఈ గ్లైడర్ యొక్క రూపకల్పన 1960 లలో ఉద్భవించింది, సంస్థ ఫిర్మా రింటాల్వెర్కే జి. బాస్టెన్ (దీని నుండి అసలు హోదాలో "బి" తీసుకోబడింది) మొదటి రెండు ప్రోటోటైప్‌లను తయారు చేసింది. డిజైనర్లు ఇంగో హెర్బ్స్ట్, మన్‌ఫ్రెడ్ కోప్పర్స్ మరియు రుడాల్ఫ్ రీన్కే. మొదటి నమూనా యొక్క మొదటి ఫ్లైట్ 7 నవంబర్ 1966 న జరిగింది. అయినప్పటికీ, సిరీస్ ఉత్పత్తి ప్రారంభించబడలేదు. 1972 లో పిలాటస్ B-4 కోసం తయారీ లైసెన్స్‌ను కొనుగోలు చేసింది మరియు దీనికి B4-PC11 గా పేరు మార్చారు. అదే సంవత్సరం వసంతకాలంలో మొదటి ఉత్పత్తి ఉదాహరణ (సంఖ్య HB-1100) మొదటి విమానంలో చేసింది. మొత్తం 322 B4-PC11 లు 1980 నాటికి పిలాటస్ చేత నిర్మించబడ్డాయి, క్రాఫ్ట్ తయారీకి లైసెన్స్ జపాన్ యొక్క నిప్పీ విమానాలకు విక్రయించబడింది, వారు 13 ఉదాహరణలు మాత్రమే నిర్మించారు, మరియు రెండు సీట్ల నిపి B4T ను నియమించింది. [1 ] తదనంతరం, 1994 లో, EWMS టెక్నోమేజ్మెంట్ B4-PC11 ను ఉత్పత్తి చేయడానికి మరియు సేవ చేయడానికి హక్కులను కొనుగోలు చేసింది. ఈ సంస్థ పాత B4-PC11 క్రాఫ్ట్‌ను పునరుద్ధరించడం మరియు అప్‌గ్రేడ్ చేయడంలో ప్రత్యేకత కలిగి ఉంది. అదనంగా, ఇది మోటరైజ్డ్ B4-PC11 ను తయారు చేస్తుంది. B4-PC11 నుండి A మరియు AF వేరియంట్ల ద్వారా నిర్మాణంలో మార్పులు ఫ్యూజ్‌లేజ్ విభాగం ద్వారా అదనపు పక్కటెముకలను జోడించడం (టోర్షనల్ దృ g త్వం, AF వేరియంట్ మాత్రమే), మరియు నియంత్రణ కాలమ్ స్టాప్‌లను సవరించడం మరియు చుక్కానిని తగ్గించడం, ఎక్కువ నియంత్రణ ఉపరితల విక్షేపం ఇవ్వడం. సాధారణ లక్షణాలు పోల్చదగిన పాత్ర, కాన్ఫిగరేషన్ మరియు ERA సంబంధిత జాబితాల పనితీరు విమానం</v>
      </c>
      <c r="E88" s="1" t="s">
        <v>1962</v>
      </c>
      <c r="F88" s="1" t="s">
        <v>1963</v>
      </c>
      <c r="G88" s="1" t="str">
        <f>IFERROR(__xludf.DUMMYFUNCTION("GOOGLETRANSLATE(F:F, ""en"", ""te"")"),"క్లబ్-క్లాస్ గ్లైడర్")</f>
        <v>క్లబ్-క్లాస్ గ్లైడర్</v>
      </c>
      <c r="H88" s="1" t="s">
        <v>1964</v>
      </c>
      <c r="I88" s="1" t="s">
        <v>1965</v>
      </c>
      <c r="J88" s="1" t="str">
        <f>IFERROR(__xludf.DUMMYFUNCTION("GOOGLETRANSLATE(I:I, ""en"", ""te"")"),"స్విట్జర్లాండ్")</f>
        <v>స్విట్జర్లాండ్</v>
      </c>
      <c r="L88" s="1" t="s">
        <v>1966</v>
      </c>
      <c r="M88" s="1" t="str">
        <f>IFERROR(__xludf.DUMMYFUNCTION("GOOGLETRANSLATE(L:L, ""en"", ""te"")"),"పిలాటస్")</f>
        <v>పిలాటస్</v>
      </c>
      <c r="N88" s="3" t="s">
        <v>1967</v>
      </c>
      <c r="O88" s="1" t="s">
        <v>1968</v>
      </c>
      <c r="P88" s="1" t="str">
        <f>IFERROR(__xludf.DUMMYFUNCTION("GOOGLETRANSLATE(O:O, ""en"", ""te"")"),"ఇంగో హెర్బ్స్ట్, మన్‌ఫ్రెడ్ కోప్పర్స్ మరియు రుడాల్ఫ్ రీన్కే")</f>
        <v>ఇంగో హెర్బ్స్ట్, మన్‌ఫ్రెడ్ కోప్పర్స్ మరియు రుడాల్ఫ్ రీన్కే</v>
      </c>
      <c r="R88" s="4">
        <v>24418.0</v>
      </c>
      <c r="S88" s="1">
        <v>322.0</v>
      </c>
      <c r="T88" s="1" t="s">
        <v>1969</v>
      </c>
      <c r="V88" s="1" t="s">
        <v>518</v>
      </c>
      <c r="W88" s="1" t="s">
        <v>1970</v>
      </c>
      <c r="X88" s="1" t="s">
        <v>1971</v>
      </c>
      <c r="Y88" s="1" t="s">
        <v>1972</v>
      </c>
      <c r="Z88" s="1" t="s">
        <v>1973</v>
      </c>
      <c r="AE88" s="1">
        <v>16.0</v>
      </c>
      <c r="AF88" s="1" t="s">
        <v>1974</v>
      </c>
      <c r="AG88" s="1" t="s">
        <v>1794</v>
      </c>
      <c r="AH88" s="1" t="s">
        <v>1975</v>
      </c>
      <c r="AI88" s="1" t="s">
        <v>1976</v>
      </c>
      <c r="AK88" s="1">
        <v>35.0</v>
      </c>
      <c r="AL88" s="1" t="s">
        <v>1977</v>
      </c>
      <c r="BG88" s="2"/>
    </row>
    <row r="89">
      <c r="A89" s="1" t="s">
        <v>1978</v>
      </c>
      <c r="B89" s="1" t="str">
        <f>IFERROR(__xludf.DUMMYFUNCTION("GOOGLETRANSLATE(A:A, ""en"", ""te"")"),"ఫోకే-వుల్ఫ్ ఎఫ్‌డబ్ల్యు 43 ఫాల్కే")</f>
        <v>ఫోకే-వుల్ఫ్ ఎఫ్‌డబ్ల్యు 43 ఫాల్కే</v>
      </c>
      <c r="C89" s="1" t="s">
        <v>1979</v>
      </c>
      <c r="D89" s="1" t="str">
        <f>IFERROR(__xludf.DUMMYFUNCTION("GOOGLETRANSLATE(C:C, ""en"", ""te"")"),"ఫోకే -వుల్ఫ్ ఎఫ్‌డబ్ల్యు 43 ఫాల్కే (జర్మన్: ""ఫాల్కన్"") - అంతర్గతంగా ఫోకే -వుల్ఫ్‌కు 43 గా పిలుస్తారు - ఇది 1932 లో జర్మనీలో అభివృద్ధి చేసిన తేలికపాటి యుటిలిటీ విమానం. హెన్రిచ్ యొక్క సాంకేతిక దిశలో సంస్థ చేపట్టిన చివరి ప్రాజెక్ట్ ఫోకే, ఇది సాంప్రదాయిక రూ"&amp;"పకల్పన యొక్క అధిక-వింగ్ స్ట్రట్-బ్రెస్డ్ మోనోప్లేన్, స్థిర టెయిల్‌వీల్ అండర్ క్యారేజీతో. పైలట్ మరియు ఇద్దరు ప్రయాణికులు పూర్తిగా పరివేష్టిత క్యాబిన్లో కూర్చున్నారు. ఒకే ఉదాహరణ మాత్రమే నిర్మించబడింది. సాధారణ లక్షణాల పనితీరు")</f>
        <v>ఫోకే -వుల్ఫ్ ఎఫ్‌డబ్ల్యు 43 ఫాల్కే (జర్మన్: "ఫాల్కన్") - అంతర్గతంగా ఫోకే -వుల్ఫ్‌కు 43 గా పిలుస్తారు - ఇది 1932 లో జర్మనీలో అభివృద్ధి చేసిన తేలికపాటి యుటిలిటీ విమానం. హెన్రిచ్ యొక్క సాంకేతిక దిశలో సంస్థ చేపట్టిన చివరి ప్రాజెక్ట్ ఫోకే, ఇది సాంప్రదాయిక రూపకల్పన యొక్క అధిక-వింగ్ స్ట్రట్-బ్రెస్డ్ మోనోప్లేన్, స్థిర టెయిల్‌వీల్ అండర్ క్యారేజీతో. పైలట్ మరియు ఇద్దరు ప్రయాణికులు పూర్తిగా పరివేష్టిత క్యాబిన్లో కూర్చున్నారు. ఒకే ఉదాహరణ మాత్రమే నిర్మించబడింది. సాధారణ లక్షణాల పనితీరు</v>
      </c>
      <c r="F89" s="1" t="s">
        <v>1980</v>
      </c>
      <c r="G89" s="1" t="str">
        <f>IFERROR(__xludf.DUMMYFUNCTION("GOOGLETRANSLATE(F:F, ""en"", ""te"")"),"సివిల్ యుటిలిటీ విమానం")</f>
        <v>సివిల్ యుటిలిటీ విమానం</v>
      </c>
      <c r="H89" s="1" t="s">
        <v>1981</v>
      </c>
      <c r="L89" s="1" t="s">
        <v>396</v>
      </c>
      <c r="M89" s="1" t="str">
        <f>IFERROR(__xludf.DUMMYFUNCTION("GOOGLETRANSLATE(L:L, ""en"", ""te"")"),"ఫోకే-వుల్ఫ్")</f>
        <v>ఫోకే-వుల్ఫ్</v>
      </c>
      <c r="N89" s="3" t="s">
        <v>397</v>
      </c>
      <c r="R89" s="1">
        <v>1932.0</v>
      </c>
      <c r="S89" s="1">
        <v>1.0</v>
      </c>
      <c r="V89" s="1" t="s">
        <v>1982</v>
      </c>
      <c r="W89" s="1" t="s">
        <v>1983</v>
      </c>
      <c r="X89" s="1" t="s">
        <v>1249</v>
      </c>
      <c r="Y89" s="1" t="s">
        <v>1984</v>
      </c>
      <c r="Z89" s="1" t="s">
        <v>1985</v>
      </c>
      <c r="AG89" s="1" t="s">
        <v>1986</v>
      </c>
      <c r="AH89" s="1" t="s">
        <v>1987</v>
      </c>
      <c r="AV89" s="1" t="s">
        <v>1988</v>
      </c>
      <c r="AX89" s="1" t="s">
        <v>1989</v>
      </c>
      <c r="AY89" s="1" t="str">
        <f>IFERROR(__xludf.DUMMYFUNCTION("GOOGLETRANSLATE(AX:AX, ""en"", ""te"")"),"1 × ఆర్గస్ 10, 164 kW (220 HP)")</f>
        <v>1 × ఆర్గస్ 10, 164 kW (220 HP)</v>
      </c>
      <c r="BB89" s="1" t="s">
        <v>1990</v>
      </c>
      <c r="BD89" s="1" t="s">
        <v>1991</v>
      </c>
      <c r="BG89" s="2"/>
      <c r="BT89" s="1" t="s">
        <v>1992</v>
      </c>
    </row>
    <row r="90">
      <c r="A90" s="1" t="s">
        <v>1993</v>
      </c>
      <c r="B90" s="1" t="str">
        <f>IFERROR(__xludf.DUMMYFUNCTION("GOOGLETRANSLATE(A:A, ""en"", ""te"")"),"ఫ్లాన్డర్స్ F.4")</f>
        <v>ఫ్లాన్డర్స్ F.4</v>
      </c>
      <c r="C90" s="1" t="s">
        <v>1994</v>
      </c>
      <c r="D90" s="1" t="str">
        <f>IFERROR(__xludf.DUMMYFUNCTION("GOOGLETRANSLATE(C:C, ""en"", ""te"")"),"ఫ్లాన్డర్స్ F.4 1910 ల బ్రిటిష్ ప్రయోగాత్మక సైనిక రెండు-సీట్ల మోనోప్లేన్ విమానం, ఇది హోవార్డ్ ఫ్లాన్డర్స్ చేత ఫ్లాన్డర్స్ F.3 అభివృద్ధిగా రూపొందించబడింది మరియు నిర్మించబడింది. 1912 వసంతకాలంలో అతని F.3 ప్రయోగాత్మక మోనోప్లేన్‌తో విజయం సాధించిన తరువాత, బ్రిట"&amp;"ిష్ యుద్ధ కార్యాలయం కొత్తగా ఏర్పడిన రాయల్ ఫ్లయింగ్ కార్ప్స్ చేత నాలుగు ఫ్లాన్డర్స్ మోనోప్లేన్‌లను ఆదేశించింది. [1] ఈ విమానం F.3 తో సమానమైన కాన్ఫిగరేషన్‌ను కలిగి ఉంది, కాని పెద్ద కాక్‌పిట్‌లతో మెరుగుపరచబడింది, రెండు సిబ్బందికి అనుగుణంగా, 70 హెచ్‌పి (52 కిల"&amp;"ోవాట్) రెనాల్ట్ ఇంజిన్ నాలుగు-బ్లేడెడ్ ప్రొపెల్లర్‌ను నడుపుతుంది [2] విశ్వసనీయత మరియు నిర్వహణను మెరుగుపరచడానికి మార్పులు. కాయిల్-స్ప్రింగ్ సస్పెన్షన్ చేరికతో F.3 యొక్క స్థిర ల్యాండింగ్ గేర్ మెరుగుపరచబడింది. మొదటి విమానం 6 జూలై 1912 నాటికి బ్రూక్లాండ్స్ వద"&amp;"్ద ఎగురుతోంది, ఈ నలుగురిని 2 జనవరి 1913 నాటికి నలుగురు ఎగిరి, RFC కి పంపిణీ చేయబడ్డాయి. పరీక్షలో మోనోప్లేన్స్ బాగా ఎగిరినట్లు చూపించింది, [3] 6 మరియు 10 సెప్టెంబర్ 1912 న, రాయల్ ఫ్లయింగ్ కార్ప్స్ మోనోప్లేన్ల వాడకాన్ని నిషేధించాయి మరియు విమానం ఉపయోగించబడలే"&amp;"దు, వాటి ఇంజన్లు పవర్ రాయల్ ఎయిర్క్రాఫ్ట్ ఫ్యాక్టరీ BE.2 లకు తొలగించబడ్డాయి. [4] [5] ఇలస్ట్రేటెడ్ ఎన్సైక్లోపీడియా ఆఫ్ ఎయిర్క్రాఫ్ట్ (పార్ట్ వర్క్ 1982-1985), 1985, ఆర్బిస్ ​​పబ్లిషింగ్ జనరల్ లక్షణాల పనితీరు సంబంధిత జాబితాల నుండి డేటా")</f>
        <v>ఫ్లాన్డర్స్ F.4 1910 ల బ్రిటిష్ ప్రయోగాత్మక సైనిక రెండు-సీట్ల మోనోప్లేన్ విమానం, ఇది హోవార్డ్ ఫ్లాన్డర్స్ చేత ఫ్లాన్డర్స్ F.3 అభివృద్ధిగా రూపొందించబడింది మరియు నిర్మించబడింది. 1912 వసంతకాలంలో అతని F.3 ప్రయోగాత్మక మోనోప్లేన్‌తో విజయం సాధించిన తరువాత, బ్రిటిష్ యుద్ధ కార్యాలయం కొత్తగా ఏర్పడిన రాయల్ ఫ్లయింగ్ కార్ప్స్ చేత నాలుగు ఫ్లాన్డర్స్ మోనోప్లేన్‌లను ఆదేశించింది. [1] ఈ విమానం F.3 తో సమానమైన కాన్ఫిగరేషన్‌ను కలిగి ఉంది, కాని పెద్ద కాక్‌పిట్‌లతో మెరుగుపరచబడింది, రెండు సిబ్బందికి అనుగుణంగా, 70 హెచ్‌పి (52 కిలోవాట్) రెనాల్ట్ ఇంజిన్ నాలుగు-బ్లేడెడ్ ప్రొపెల్లర్‌ను నడుపుతుంది [2] విశ్వసనీయత మరియు నిర్వహణను మెరుగుపరచడానికి మార్పులు. కాయిల్-స్ప్రింగ్ సస్పెన్షన్ చేరికతో F.3 యొక్క స్థిర ల్యాండింగ్ గేర్ మెరుగుపరచబడింది. మొదటి విమానం 6 జూలై 1912 నాటికి బ్రూక్లాండ్స్ వద్ద ఎగురుతోంది, ఈ నలుగురిని 2 జనవరి 1913 నాటికి నలుగురు ఎగిరి, RFC కి పంపిణీ చేయబడ్డాయి. పరీక్షలో మోనోప్లేన్స్ బాగా ఎగిరినట్లు చూపించింది, [3] 6 మరియు 10 సెప్టెంబర్ 1912 న, రాయల్ ఫ్లయింగ్ కార్ప్స్ మోనోప్లేన్ల వాడకాన్ని నిషేధించాయి మరియు విమానం ఉపయోగించబడలేదు, వాటి ఇంజన్లు పవర్ రాయల్ ఎయిర్క్రాఫ్ట్ ఫ్యాక్టరీ BE.2 లకు తొలగించబడ్డాయి. [4] [5] ఇలస్ట్రేటెడ్ ఎన్సైక్లోపీడియా ఆఫ్ ఎయిర్క్రాఫ్ట్ (పార్ట్ వర్క్ 1982-1985), 1985, ఆర్బిస్ ​​పబ్లిషింగ్ జనరల్ లక్షణాల పనితీరు సంబంధిత జాబితాల నుండి డేటా</v>
      </c>
      <c r="E90" s="1" t="s">
        <v>1995</v>
      </c>
      <c r="F90" s="1" t="s">
        <v>1996</v>
      </c>
      <c r="G90" s="1" t="str">
        <f>IFERROR(__xludf.DUMMYFUNCTION("GOOGLETRANSLATE(F:F, ""en"", ""te"")"),"రెండు సీట్ల మిలిటరీ మోనోప్లేన్")</f>
        <v>రెండు సీట్ల మిలిటరీ మోనోప్లేన్</v>
      </c>
      <c r="L90" s="1" t="s">
        <v>1997</v>
      </c>
      <c r="M90" s="1" t="str">
        <f>IFERROR(__xludf.DUMMYFUNCTION("GOOGLETRANSLATE(L:L, ""en"", ""te"")"),"హోవార్డ్ ఫ్లాన్డర్స్")</f>
        <v>హోవార్డ్ ఫ్లాన్డర్స్</v>
      </c>
      <c r="N90" s="1" t="s">
        <v>1998</v>
      </c>
      <c r="O90" s="1" t="s">
        <v>1997</v>
      </c>
      <c r="P90" s="1" t="str">
        <f>IFERROR(__xludf.DUMMYFUNCTION("GOOGLETRANSLATE(O:O, ""en"", ""te"")"),"హోవార్డ్ ఫ్లాన్డర్స్")</f>
        <v>హోవార్డ్ ఫ్లాన్డర్స్</v>
      </c>
      <c r="Q90" s="1" t="s">
        <v>1998</v>
      </c>
      <c r="R90" s="1">
        <v>1912.0</v>
      </c>
      <c r="S90" s="1">
        <v>4.0</v>
      </c>
      <c r="V90" s="1" t="s">
        <v>1039</v>
      </c>
      <c r="W90" s="1" t="s">
        <v>1999</v>
      </c>
      <c r="X90" s="1" t="s">
        <v>603</v>
      </c>
      <c r="Z90" s="1" t="s">
        <v>2000</v>
      </c>
      <c r="AG90" s="1" t="s">
        <v>2001</v>
      </c>
      <c r="AH90" s="1" t="s">
        <v>2002</v>
      </c>
      <c r="AQ90" s="1">
        <v>1913.0</v>
      </c>
      <c r="AX90" s="1" t="s">
        <v>2003</v>
      </c>
      <c r="AY90" s="1" t="str">
        <f>IFERROR(__xludf.DUMMYFUNCTION("GOOGLETRANSLATE(AX:AX, ""en"", ""te"")"),"1 × రెనాల్ట్ 70 హెచ్‌పి 8-సిలిండర్ వీ పిస్టన్ ఇంజిన్, 70 హెచ్‌పి (52 కిలోవాట్)")</f>
        <v>1 × రెనాల్ట్ 70 హెచ్‌పి 8-సిలిండర్ వీ పిస్టన్ ఇంజిన్, 70 హెచ్‌పి (52 కిలోవాట్)</v>
      </c>
      <c r="BB90" s="1" t="s">
        <v>2004</v>
      </c>
      <c r="BF90" s="1" t="s">
        <v>2005</v>
      </c>
      <c r="BG90" s="2" t="str">
        <f>IFERROR(__xludf.DUMMYFUNCTION("GOOGLETRANSLATE(BF:BF, ""en"", ""te"")"),"రాయల్ ఫ్లయింగ్ కార్ప్స్")</f>
        <v>రాయల్ ఫ్లయింగ్ కార్ప్స్</v>
      </c>
      <c r="BH90" s="1" t="s">
        <v>2006</v>
      </c>
    </row>
    <row r="91">
      <c r="A91" s="1" t="s">
        <v>2007</v>
      </c>
      <c r="B91" s="1" t="str">
        <f>IFERROR(__xludf.DUMMYFUNCTION("GOOGLETRANSLATE(A:A, ""en"", ""te"")"),"హాకర్ సిడ్లీ ట్రైడెంట్")</f>
        <v>హాకర్ సిడ్లీ ట్రైడెంట్</v>
      </c>
      <c r="C91" s="1" t="s">
        <v>2008</v>
      </c>
      <c r="D91" s="1" t="str">
        <f>IFERROR(__xludf.DUMMYFUNCTION("GOOGLETRANSLATE(C:C, ""en"", ""te"")"),"హాకర్ సిడ్లీ హెచ్ఎస్ -121 ట్రైడెంట్ (వాస్తవానికి డి హవిలాండ్ డిహెచ్ .121 మరియు క్లుప్తంగా ఎయిర్కో డిహెచ్ .121) హాకర్ సిడ్లీ నిర్మించిన బ్రిటిష్ విమానం. 1957 లో, డి హవిలాండ్ తన డిహెచ్ .121 ట్రైజెట్ డిజైన్‌ను బ్రిటిష్ యూరోపియన్ ఎయిర్‌వేస్ (బీ) అభ్యర్థనకు ప్"&amp;"రతిపాదించింది. 1960 నాటికి, డి హవిలాండ్‌ను హాకర్ సిడ్లీ స్వాధీనం చేసుకున్నాడు. ట్రైడెంట్ యొక్క తొలి విమానం 9 జనవరి 1962 న జరిగింది, మరియు దీనిని 1 ఏప్రిల్ 1964 న ప్రవేశపెట్టారు, దాని ప్రధాన పోటీదారు బోయింగ్ 727 తరువాత రెండు నెలల తరువాత. 1978 లో ఈ కార్యక్ర"&amp;"మం ముగిసే సమయానికి, 117 ట్రిడెంట్స్ ఉత్పత్తి చేయబడ్డాయి మరియు త్రిశూలం ఉపసంహరించబడింది 1995 లో సేవ నుండి. జెట్‌లైనర్ మూడు వెనుక-మౌంటెడ్ రోల్స్ రాయిస్ స్పే తక్కువ-బైపాస్ టర్బోఫాన్‌లతో పనిచేస్తుంది, ఇది తక్కువ తుడిచిపెట్టిన రెక్క మరియు టి-తోకను కలిగి ఉంది. "&amp;"అడ్వాన్స్‌డ్ ఏవియానిక్స్ 1965 లో రెవెన్యూ సర్వీస్‌లో బ్లైండ్ ల్యాండింగ్ చేసిన మొదటి విమానయానంగా ఉండటానికి అనుమతించింది. ప్రారంభ ట్రైడెంట్ 1/2 101-115 మంది ప్రయాణీకులను 2,350 ఎన్‌ఎంఐ (4,350 కిమీ) వరకు కూర్చోవచ్చు. ట్రైడెంట్ 3 ను 5 మీ (16 అడుగులు) 1,940 ఎన్"&amp;"ఎమ్ఐ (3,590 కిమీ; 2,230 మైళ్ళు) కు పైగా 180 వరకు విస్తరించి, తోకలో అదనపు ఆర్‌బి .162 బూస్టర్ ఇంజిన్‌ను కలిగి ఉంది. 1953 లో, బ్రిటిష్ యూరోపియన్ ఎయిర్‌వేస్ (BEA) ప్రపంచంలోని మొట్టమొదటి టర్బోప్రాప్-శక్తితో కూడిన పౌర విమానంలో-విక్కర్స్ విస్కౌంట్‌ను ప్రయాణీకుల"&amp;" సేవలోకి ప్రవేశపెట్టినప్పుడు, ఆపరేటర్ ఇప్పటికే సంభావ్య వారసుడికి ఏమి అవసరమో పరిశీలిస్తున్నాడు. [1] 1952 లో జెట్ విమానాల సేవలోకి ప్రవేశించిన తరువాత, చాలా మంది విమానయాన నిర్వాహకులు మరియు ఆర్థికవేత్తలు సందేహాస్పదంగా ఉన్నారు మరియు టర్బోప్రాప్ విమానాలను పిస్టన"&amp;"్-ఇంజిన్ విమానాల పున ments స్థాపనగా సూచించారు. [2] 1953 లో, ప్రపంచవ్యాప్తంగా అనేక మంది తయారీదారులు స్వచ్ఛమైన జెట్-శక్తితో పనిచేసే విమానంలో పెట్టుబడులు పెడుతుండగా, బీ వారి ఉన్నతమైన ఆర్థికశాస్త్రం ఆధారంగా టర్బోప్రాప్‌లకు అనుకూలంగా ఉండటానికి ఎంచుకుంది మరియు "&amp;"100 మంది ప్రయాణీకులను కూర్చుని గరిష్ట వేగాన్ని సాధించగల విమానానికి పిలుపునిచ్చింది. 370 నాట్లు. [3] BEA స్పెసిఫికేషన్ ఫలితంగా, విక్కర్స్ BEA, విక్కర్స్ వాన్గార్డ్ కోసం విస్కౌంట్ యొక్క విస్తరించిన ఉత్పన్నంను అభివృద్ధి చేసింది, దీనిని 20 జూలై 1956 న విమానయా"&amp;"న సంస్థ ఆదేశించింది. అయితే, ఫ్రెంచ్ నిర్మించిన సుడ్ ఏవియేషన్ కారవెల్లె దాని నిర్వహించింది మునుపటి సంవత్సరంలో మైడెన్ ఫ్లైట్, మరియు జెట్ విమానం త్వరలో గట్టి పోటీని అందిస్తుందని బీ గుర్తించడం ప్రారంభించింది. [4] ఏప్రిల్ 1956 లో, BEA యొక్క చీఫ్ ఎగ్జిక్యూటివ్ "&amp;"ఆంథోనీ మిల్వార్డ్, అతను ""[జెట్ విమానయానదారులు] లేకుండా చేస్తానని"" పేర్కొన్నాడు. ఏదేమైనా, అదే సంవత్సరం డిసెంబరులో, బీ యొక్క ఛైర్మన్ కిర్టిల్‌సైడ్‌కు చెందిన లార్డ్ డగ్లస్, టర్బోప్రాప్ విమానాలను అనేక జెట్-శక్తితో కూడిన చిన్న విమానాలను ప్రవేశపెట్టవలసి ఉంటుం"&amp;"దని పేర్కొన్నారు. ] జూలై 1956 లో, బీ షార్ట్-హాల్ ""రెండవ తరం జెట్ వైమానిక సంస్థ"" కోసం ""రూపురేఖల అవసరాలు"" అని పిలిచింది, దాని టర్బోప్రాప్ విమానంతో కలిసి పనిచేయడానికి. ఇది సుమారు 20,000 ఎల్బి (9,100 కిలోలు) లేదా 70 మంది ప్రయాణికుల పేలోడ్‌ను 1,000 మైళ్ళు "&amp;"(1,600 కిమీ) వరకు కలిగి ఉంటుంది, సుమారు 100,000 పౌండ్లు (45,000 కిలోలు) బరువు ఉంటుంది, 6,000 అడుగుల (1,800 మీ) రన్‌వేలను ఉపయోగిస్తుంది, చాలా ఎక్కువ క్రూయిజ్ 610 నుండి 620 mph (980 నుండి 1,000 కిమీ/గంటకు) వేగం, మరియు ""రెండు ఇంజన్లకు పైగా"" కలిగి ఉంది. [5]"&amp;" [6] [n 1] [7] ఏవియేషన్ రచయిత డెరెక్ వుడ్స్ ప్రకారం, బీ """" చాలా పోటీగా ఉంటుందని బెదిరించే కారవెల్లె కంటే వేగంగా "". [8] వారు ఎక్స్‌ప్రెస్ అవసరంగా ఉద్దేశించబడనప్పటికీ, వ్యాఖ్యాతలు ఈ గణాంకాలను పరిశ్రమకు ఖచ్చితమైన పిలుపుగా తీసుకున్నారు. [5] నాలుగు కంపెనీలు"&amp;" బీ అవుట్‌లైన్‌తో సరిపోలడానికి ప్రాజెక్టులను సిద్ధం చేశాయి. బ్రిస్టల్ ప్రారంభంలో నాలుగు ఇంజిన్డ్ బ్రిస్టల్ రకం 200 ను ప్రతిపాదించాడు. [1] అవ్రో ఫ్యూచరిస్టిక్ అవ్రో 740 ట్రైజెట్‌ను షెల్‌కు ముందు మరియు బ్రిస్టల్ మరియు హాకర్ సిడ్లీలతో కలిసి దళాలలో చేరడానికి "&amp;"ముందు ప్రతిపాదించాడు. విక్కర్స్ VC11 నాలుగు-ఇంజిన్ల విమానాన్ని ప్రతిపాదించారు, ఇది దాని అభివృద్ధి VC10 నుండి తీసుకోబడింది. డి హవిలాండ్ సంస్థ స్పెసిఫికేషన్ కోసం ముగ్గురు పోటీదారులను పరిగణించింది; వీటిలో రెండు ప్రారంభ కామెట్ యొక్క నాలుగు-ఇంజిన్ పరిణామాలు, ప"&amp;"్రపంచంలోని మొట్టమొదటి జెట్-శక్తితో పనిచేసే విమానాలు: D.H.119 మరియు D.H.120, రెండోది బ్రిటిష్ ఓవర్సీస్ ఎయిర్‌వేస్ కార్పొరేషన్ (BOAC) కు కూడా అందించాలని ఉద్దేశించబడింది. జూలై 1957 లో, డి హవిలాండ్ dh.121 రూపంలో మరొక సమర్పణ చేసాడు; ఈ ప్రతిపాదన మూడు టర్బోజెట్ల"&amp;"ు, రోల్స్ రాయిస్ అవాన్ ఇంజన్లతో అమర్చబడింది మరియు చివరికి ఉత్పత్తి విమానాలను బాగా పోలి ఉంటుంది. [9] ఆగష్టు 1957 నాటికి, DH.121 ప్రతిపాదన సవరించబడింది; వ్యత్యాసాలలో అభివృద్ధి చెందుతున్న టర్బోఫాన్, రోల్స్ రాయిస్ మెడ్వే మరియు గరిష్టంగా 98 మంది ప్రయాణీకులకు వ"&amp;"సతి కల్పించడానికి విస్తరణ ఉన్నాయి. [9] Dh.121 ప్రపంచంలోనే మొట్టమొదటి ట్రైజెట్ విమానాలు. ఇంజిన్ వైఫల్యం విషయంలో క్రూజింగ్ ఎకానమీ మరియు టేకాఫ్ భద్రత మధ్య ఈ కాన్ఫిగరేషన్ ట్రేడ్-ఆఫ్ ఇచ్చిందని దాని డిజైనర్లు భావించారు; అంతేకాక, BEA స్పెసిఫికేషన్ ""రెండు కంటే ఎ"&amp;"క్కువ ఇంజిన్లకు"" పిలుపునిచ్చింది. మూడు ఇంజిన్లలో ప్రతి ఒక్కటి దాని స్వంత హైడ్రాలిక్ వ్యవస్థను నడుపుతుంది, ఇతర వ్యవస్థలు విఫలమైన విషయంలో ట్రిపుల్ రిడెండెన్సీని అందిస్తుంది. ఇంజన్లు 13,790 ఎల్బిఎఫ్ (61.34 కెఎన్) మెడ్వే ఇంజన్లు. DH.121 స్థూల బరువు 123,000 ప"&amp;"ౌండ్లు (56,000 కిలోలు) లేదా ఐచ్ఛికంగా, 150,000 పౌండ్ల (68,000 కిలోలు), 2,070 మైళ్ళు (3,330 కిమీ), మరియు రెండు-తరగతి లేఅవుట్లో 111 కు కూర్చుని ఉండాలి ( లేదా అధిక-సాంద్రత కలిగిన, సింగిల్-క్లాస్ లేఅవుట్లో 140 కి పైగా 1960 ల నుండి కలుపుకొని ఉన్న-టూర్ చార్టర్ "&amp;"విమానాలలో విలక్షణమైనది). [10] డిజైన్ ప్రారంభంలో కారవెల్లె మాదిరిగానే క్రూసిఫార్మ్ తోక లేఅవుట్ను కలిగి ఉంది. [9] ఇంజన్లు వెనుక భాగంలో సమూహంగా ఉన్నాయి, సెంటర్ ఇంజిన్ ఫ్యూజ్‌లేజ్ యొక్క విపరీతమైన వెనుక భాగంలో ఉంది, ఇది ఫిన్ ముందు భాగంలో పెద్ద ఓవల్ తీసుకోవడం ద"&amp;"్వారా గాలి ద్వారా తినిపించింది, ఇది తరువాత బోయింగ్ 727 కు సమానమైన కాన్ఫిగరేషన్; డిజైన్ చివరికి వేరియబుల్-యాక్షన్ టి-తోకపై స్థిరపడింది. [11] ప్రారంభం నుండి, dh.121 ఈ కాలానికి చాలా అభివృద్ధి చెందిన ఏవియానిక్‌లను నియమించాలని అనుకున్నారు. ఇతర సామర్థ్యాలలో, వా"&amp;"రు సేవా ప్రవేశించిన కొన్ని సంవత్సరాలలో ఆటోమేటిక్ విధానం మరియు ల్యాండింగ్‌ను అందిస్తారు. ఏవియానిక్స్ విశ్వసనీయత కోసం మూడు రెట్లు భాగాలను కలిగి ఉండాలి మరియు ఆటోమేటిక్ విధానం మరియు ల్యాండింగ్ సమయంలో విమాన మార్గదర్శకత్వం కోసం ""మెజారిటీ 2: 1 ఓటింగ్"" ను అనుమత"&amp;"ించడం. [12] ఈ కాలంలోని చాలా ఏవియానిక్స్ యొక్క భౌతిక కొలతలు వాటిని ట్రైడెంట్ యొక్క ఫ్లైట్‌డెక్ క్రింద పెద్ద కంపార్ట్‌మెంట్‌లో ఉంచాల్సిన అవసరం ఉంది; కంపార్ట్మెంట్ యొక్క పరిమాణం విలక్షణమైన ముక్కు అండర్ క్యారేజ్ డిజైన్‌ను నిర్దేశించే కారకాలలో ఒకటి, ముక్కు ల్య"&amp;"ాండింగ్ గేర్ ఆఫ్‌సెట్‌ను 2 అడుగుల (61 సెం.మీ) పోర్ట్ వైపుకు ఆఫ్‌సెట్ చేసి, డిహెచ్ .121 యొక్క రేఖాంశ అక్షం మీదుగా నిల్వ చేయడానికి పక్కకి ఉపసంహరించుకుంటుంది. BEA త్వరలోనే DH.121 ను వివరణాత్మక చర్చలకు ప్రాతిపదికగా ఎంపిక చేసింది, కాని ఈ చర్చలు బ్రిటిష్ ప్రభుత"&amp;"్వం యొక్క విస్తృత విధాన నిర్ణయాలు మరియు బీలోనే అనాలోచిత విధానంతో సహా పలు కారకాల కారణంగా దీర్ఘకాలికంగా ఉన్నాయి. [9] 1950 ల చివరలో డిహెచ్ .121 ఉద్భవించిన సమయంలో, బ్రిటిష్ ప్రభుత్వం ఎయిర్ఫ్రేమ్ మరియు ఏరోఎంజైన్ పరిశ్రమలను చిన్న కంపెనీలుగా విచ్ఛిన్నం చేసినట్లు"&amp;" చూడటానికి వచ్చింది; దీని ప్రకారం, విలీనాలను కొన్ని పెద్ద సమూహాలలోకి అనుకూలంగా ఉండే విధానాన్ని స్వీకరించారు. డి హవిలాండ్ వారి స్వాతంత్ర్యం మరియు నాయకత్వాన్ని నిలుపుకోవటానికి ఆసక్తి చూపించాడు. మరియు ఫైరీ ఏవియేషన్, ఇతర అంశాలకు బాధ్యత వహిస్తుంది; ఏదేమైనా, బ్"&amp;"రిస్టల్ ఈ అమరికను తీవ్రంగా వ్యతిరేకించాడు మరియు డి హవిలాండ్‌తో పోటీలో హాకర్ సిడ్లీతో కలిసి పనిచేయడానికి ఎంచుకున్నాడు. [13] కంపెనీలు దాని £ 30 మిలియన్ల ఒప్పందం (2020 లో 716,556,000 కు సమానం), అలాగే లాభదాయకమైన విదేశీ ఎగుమతి అమ్మకాల సంభావ్యత కారణంగా BEA చేత "&amp;"BEA చేత ఎంపిక చేయబడ్డాయి. [15] 4 ఫిబ్రవరి 1958 న, డి హవిలాండ్, వేట మరియు ఫైరీతో కలిసి, డుహెచ్ .121 ను తయారు చేయడం మరియు మార్కెటింగ్ చేయడం కోసం వారు భాగస్వామ్యాన్ని ఏర్పాటు చేయడానికి అంగీకరించినట్లు ప్రకటించారు; కన్సార్టియం పనికిరాని ఎయిర్కో కంపెనీ యొక్క క"&amp;"ార్పొరేట్ పేరును స్వీకరించింది, ఇది మొదటి ప్రపంచ యుద్ధంలో జాఫ్రీ డి హవిలాండ్ యొక్క యజమానిగా ఉంది. [15] ఎయిర్కో కన్సార్టియం గురించి సరఫరా మంత్రి ""ఇది [అతను] మనస్సులో ఉన్నది కాదు"" అని పేర్కొన్నారు. ఏదేమైనా, ఎయిర్కో మరియు ప్రత్యర్థి బ్రిస్టల్-హాకర్ సిడ్లీ "&amp;"బృందం రెండూ వివిధ విదేశీ విమానయాన సంస్థలకు తమ సొంత విధానాలను నిర్వహించడానికి ముందుకు వచ్చాయి; తగినంత ఆసక్తి, అమెరికన్ పాన్ అమెరికన్ వరల్డ్ ఎయిర్‌వేస్ రెండు జట్లను తమ ప్రతిపాదిత విమానాలను జనవరి 1958 లో ప్రదర్శించమని ఆహ్వానించింది. [15] బ్రిస్టల్ మరియు షార్"&amp;"ట్ బ్రదర్స్ ఛైర్మన్ సర్ మాథ్యూ స్లాటరీ, పోటీ చేసే సంస్థలలో ఒకరు తమ విమానాల కోసం ఎగుమతి ఉత్తర్వులను అప్పటికే పొందే వరకు ఏ నిర్ణయాన్ని ఆలస్యం చేయాలని బీ కోసం విజ్ఞప్తి చేశారు. ప్రతిస్పందనగా, లార్డ్ డగ్లస్ BEA DH.121 ను ఆదేశించాలని కోరుకుంటున్నాడని మరియు ప్ర"&amp;"భుత్వం నుండి ఆమోదం కోసం ఎదురు చూస్తున్నాడని పేర్కొన్నాడు; డగ్లస్ యొక్క సమాధానం ప్రత్యర్థి రకం 200 ప్రతిపాదనకు డెత్ నెల్‌గా భావించబడింది. [15] ఇంతలో, ప్రత్యర్థి విమానాల ఉద్భవించింది, ఈసారి అమెరికాలో బోయింగ్ నుండి, 727 రూపంలో, ఇది ట్రైజెట్ కాన్ఫిగరేషన్ కూడా"&amp;" కలిగి ఉంది. [16] బోయింగ్ 1956 లో మార్కెట్ యొక్క ఈ రంగంలో తన అధ్యయనాలను ప్రారంభించింది మరియు 1959 లో తన సొంత ట్రైజెట్ కార్యక్రమాన్ని ప్రారంభించటానికి ఎన్నుకుంది. ఆ సమయంలో ఎయిర్కో ఎగ్జిక్యూటివ్స్, వివిధ ప్రత్యామ్నాయాలను తీవ్రంగా అన్వేషించారు మరియు ఇతర విమా"&amp;"న సంస్థలతో మరింత భాగస్వామ్యం కలిగి ఉన్నారు, బోయింగ్ అయ్యే అవకాశంగా భావించారు. 727 ప్రాజెక్టును వదలడానికి ఎంచుకోవచ్చు మరియు బదులుగా USA లో DH.121 ను సహ-తయారీ చేయండి; ఈ చొరవ యొక్క ప్రతిపాదకులలో లార్డ్ డగ్లస్ ఒకరు. [16] తత్ఫలితంగా, ఎయిర్కో బోయింగ్ ఇంజనీర్లు "&amp;"మరియు అధికారుల బృందాన్ని హాట్‌ఫీల్డ్‌కు ఆహ్వానించింది; (బోయింగ్ తరువాత డి హవిలాండ్ ప్రతినిధులు సీటెల్‌కు తిరిగి సందర్శించడానికి అనుమతించాడు); ఏదేమైనా, బోయింగ్ 727 కోసం వారి ప్రణాళికల యొక్క కొన్ని వివరాలను వెల్లడించింది, అయితే వాస్తవానికి డిహెచ్ .121 పై ఉన"&amp;"్న మొత్తం సమాచారం బోయింగ్‌తో భాగస్వామ్యం చేయబడింది, ఈ బహిరంగత వాటిని ""ఆశ్చర్యపరిచింది"" అని ఆరోపించారు. [16] బ్రిటిష్ వ్యాఖ్యాతలు ఈ ఎపిసోడ్‌ను DH.121 లో సున్నితమైన యాజమాన్య డేటాను ప్రత్యక్ష పోటీదారుడితో కొనుగోలు చేసినట్లు అర్థం చేసుకున్నారు. [17] వుడ్స్ "&amp;"""డి హవిలాండ్ తన పరిశోధనలన్నింటినీ దాని ప్రత్యర్థులకు అప్పగించాడు ... క్రౌనింగ్ మూర్ఖత్వం"" అని వ్యాఖ్యానించాడు. [16] 12 ఫిబ్రవరి 1958 న, బ్రిటిష్ ప్రభుత్వం 24 విమానాలకు ఉద్దేశించిన లేఖను జారీ చేయడంతో పాటు ఒప్పంద చర్చలను ప్రారంభించడానికి BEA కి అధికారం ఇచ"&amp;"్చింది. [15] దీని ప్రకారం, అదే నెలలో, BEA DH.121 దాని అవసరాలకు దగ్గరగా వచ్చిందని మరియు ఇది 12 న ఎంపికలతో 24 వ స్థానంలో ఉందని ప్రకటించింది. [18] Dh.121 కోసం అధికారిక బీ ఆర్డర్‌ను ఆమోదించడానికి ప్రభుత్వం మరో ఆరు నెలలు అవసరం; పారిశ్రామిక విధాన కారణాల వల్ల ప్"&amp;"రభుత్వం బ్రిస్టల్ 200 కు అనుకూలంగా ఉంది. [19] [20] నివేదిక ప్రకారం, BEA కారవెల్లెపై చాలా ఆసక్తిని కలిగి ఉంది, కానీ ఇది రాజకీయంగా ఆమోదయోగ్యం కాని ఎంపిక. [21] కామెట్ యొక్క ముందస్తు అభివృద్ధితో జెట్ ఎయిర్‌లైన్స్‌తో సంస్థ యొక్క స్థాపించబడిన అనుభవం కారణంగా BEA"&amp;" డి హవిలాండ్‌కు కూడా అనుకూలంగా ఉంది, అందువల్ల త్రిశూల సమర్పణకు. [9] [21] ఏప్రిల్ 1958 లో, డి హవిలాండ్ DH.121 యొక్క సాధారణ ఆకృతీకరణను ధృవీకరించాడు మరియు అభివృద్ధి టైమ్‌టేబుల్‌ను స్థాపించాడు, 1961 మధ్యలో టైప్ యొక్క తొలి విమానానికి అంచనా వేసిన తేదీతో సహా. [1"&amp;"5] సంస్థ యొక్క మార్కెట్ పరిశోధన విభాగం దాని విభాగంలో 550 విమానాలు 1965 నాటికి విక్రయించబడుతుందని అంచనా వేసింది. ఎకానమీ క్లాస్ అవ్వడం యొక్క సీటింగ్ కొలతలకు ఎక్కువ ప్రాధాన్యత విమానయాన సంస్థలలో ఉద్భవించిందని పేర్కొంది, డిజైన్ మార్పులు కొద్దిగా స్వీకరించడానిక"&amp;"ి చేయబడ్డాయి ఆరు-అబ్రిస్ట్ సీటింగ్‌కు అనుగుణంగా పెద్ద వ్యాసం కలిగిన ఫ్యూజ్‌లేజ్, గరిష్టంగా 111 సీట్ల కాన్ఫిగరేషన్‌ను అందిస్తుంది. [22] వుడ్స్ ప్రకారం, Dh.121 యొక్క ఈ విస్తరించిన సంస్కరణ ""మార్కెట్ కోసం సరైన విమానాన్ని నిర్మించే అంచున ఉంది మరియు విస్కౌంట్ "&amp;"యొక్క విజయం పునరావృతమయ్యేలా ఉంది"". [16] మార్చి 1959 లో, ఇటీవల ప్రయాణీకుల వృద్ధి క్షీణతకు సంబంధించిన బీ, డుహెచ్ .121 యొక్క పేలోడ్-రేంజ్ సామర్థ్యం వారి అవసరాలకు చాలా గొప్పదని తేల్చింది మరియు డి హవిలాండ్‌ను పిటిషన్ వేసింది, డిజైన్ యొక్క స్కేల్‌ను వారి సవరిం"&amp;"చినదానికి అనుగుణంగా తగ్గించాలని పిటిషన్ వేసింది. అంచనాలు. [16] ట్రైడెంట్ యొక్క ప్రతిపాదిత స్థాయి చాలా పెద్దది అనే భయంతో, వారి తక్షణ పరిస్థితి కోసం పున es రూపకల్పన కోసం ఈ కార్యక్రమాన్ని సమర్థవంతంగా కూల్చివేసేందుకు విమానయాన సంస్థ ఎన్నుకుంది. 1959 లో, BEA ఒక"&amp;" పెద్ద విమానాలను కలిగి ఉంది మరియు క్రమం మీద ఉంది, మరియు అధిక సామర్థ్యం గల సమస్య క్లిష్టమైన ఆందోళన. [23] విమానయాన సంస్థ యొక్క ఆందోళనలు మూడు అంశాలను ప్రతిబింబిస్తాయి - 1950 ల చివరలో స్వల్పకాలిక విమానయాన మాంద్యం; టర్బోప్రాప్ విక్కర్స్ వాన్గార్డ్స్ యొక్క పెద్"&amp;"ద విమానాల సేవలోకి రావడం, ఇది dh.121 యొక్క సాధారణ పేలోడ్-రేంజ్ ప్రాంతాన్ని నకిలీ చేసింది; మరియు అధిక-సాంద్రత కలిగిన సీటింగ్‌కు పెరుగుతున్న ధోరణి. [24] డి హవిలాండ్ వారు సాధారణంగా BEA తో ఏకీభవించారని పేర్కొన్నప్పటికీ, దాని నిర్వహణ వారు ""D.H. గతంలో చేపట్టినద"&amp;"ానికంటే చాలా భారంగా పనిచేశారని"" పేర్కొన్నారు. [25] ఆ సమయంలో పరిశ్రమ పరిశీలకులు బ్రిటిష్ విమాన పరిశ్రమ మళ్లీ పొరపాటు పడ్డారని భావించారు ""ఒక కస్టమర్ కోసం ప్రత్యేకంగా ఒక విమానం చాలా విస్తృతమైన పరిధిని కలిగి ఉన్న ఒక విమానం"": [25] ట్రైడెంట్ యొక్క తరువాతి చర"&amp;"ిత్రలో ప్రతిధ్వనించే ఒక సెంటిమెంట్ ""అని భావించారు. . డి హవిలాండ్ బోర్డు బీ యొక్క డిమాండ్‌కు సమర్పించడానికి ఎన్నుకుంది, దాని స్వంత అమ్మకాలు మరియు మార్కెట్ పరిశోధన విభాగాల నుండి అధికంగా ప్రయాణించే ఇన్పుట్, ఇతర విమానయాన సంస్థలు బదులుగా పెద్ద నమూనాను కోరినట్"&amp;"లు సూచించింది. [16] ముఖ్యంగా, డి హవిలాండ్ ఇంకా అధికారిక మరియు ఫైనల్ బీ ఆర్డర్‌ను పొందలేదు మరియు దాని పోటీదారు బ్రిస్టల్ వారి 200 [n 2] ప్రాజెక్టును చురుకుగా ప్రోత్సహిస్తోంది, ఇది DH.121 కన్నా చాలా చిన్నది. ఆ సమయంలో బోయింగ్ మరియు డగ్లస్ కూడా వారి DC-9 మరియ"&amp;"ు 727 ప్రాజెక్టులను తగ్గించాయి. అసలు పెద్ద డిహెచ్ .121 కాన్వెయిర్ 880 మరియు బోయింగ్ 720 వారి సేవా ఎంట్రీల తర్వాత 720 కి వ్యతిరేకంగా పోటీ పడవలసి ఉంటుందని భావించారు, అయితే కట్-బ్యాక్ డిజైన్ అప్పటి-ఉత్పత్తి 75–100 సీటులకు వ్యతిరేకంగా మరింత పోటీగా ఉంటుంది, ట్"&amp;"విన్- ఇంజిన్ చేసిన DC-9. [26] మెత్వే నుండి స్కేల్-డౌన్ డెరివేటివ్‌కు పవర్‌ప్లాంట్ మార్పుతో సహా, ట్రైడెంట్‌ను తగ్గించడం రూపకల్పనలో గణనీయమైన మార్పులను కలిగి ఉంది, 40% తక్కువ శక్తివంతమైన 9,850 ఎల్బిఎఫ్ (43.8 కెఎన్) రోల్స్ రాయిస్ స్పే 505. [16] స్థూల బరువును "&amp;"మూడవ వంతు నుండి 105,000 పౌండ్లు (48,000 కిలోగ్రాములు) తగ్గించగా, ఈ శ్రేణిని సగం నుండి 930 మైళ్ళు (1,500 కిమీ) తగ్గించారు, మరియు మిశ్రమ-తరగతి సీటింగ్ పావువంతు 75 లేదా 80 కు తగ్గించబడింది ( 97 సింగిల్-క్లాస్ లేఅవుట్‌లో). రెక్కల వ్యవధి సుమారు 17 అడుగుల (5.2 "&amp;"మీ), రెక్క ప్రాంతం 30%, మరియు మొత్తం పొడవు 13 అడుగులు (4.0 మీ) తగ్గించబడింది. సవరించిన డిజైన్ అసలు యొక్క కొన్ని లక్షణాలను కలిగి ఉంది, ముఖ్యంగా దాని ఫ్యూజ్‌లేజ్ వ్యాసం. ఇది ఒక చిన్న ఫ్లైట్ డెక్ మరియు సింగిల్-యాక్సిస్, ద్విచక్రత, రెండు-చక్రాల, నాలుగు-చక్రాల"&amp;" బోగీల స్థానంలో నాలుగు-టైర్ ప్రధాన అండర్ క్యారేజ్ కాళ్ళు కలిగి ఉంది. [27] వుడ్స్ బీ-తప్పనిసరి పున es రూపకల్పనను ఇలా సంగ్రహించారు: ""ఒక దెబ్బ వద్ద 121 పరిమాణం, శక్తి మరియు పరిధి పరంగా ఎమస్క్యులేట్ చేయబడింది"". [16] బీ యొక్క అభ్యర్థన తరువాత ఆరు నెలల తరువాత,"&amp;" డి హవిలాండ్ మరియు విమానయాన సంస్థ తగ్గించబడిన dh.121 పై ఒక ఒప్పందానికి వచ్చారు. [16] 1960 ప్రారంభంలో దాని మార్గదర్శక ఏవియానిక్‌లతో సహా అభివృద్ధి చెందుతున్న విమానాల వివరాలు ప్రజలకు ప్రకటించబడ్డాయి. [28] ఈ సవరించిన విమానం BEA చివరికి 24 ఆగస్టు 1959 న ఆదేశిం"&amp;"చింది, ప్రారంభంలో 24 ఉదాహరణలలో 12 ఎంపికలు ఉన్నాయి. [29] సెప్టెంబర్ 1960 లో, ఫర్న్‌బరో ఎయిర్‌షోలో భవిష్యత్ విమానాల పేరు ట్రైడెంట్ ప్రకటించబడింది; ఈ పేరు దాని అప్పటి యుNEIQUE త్రీ-జెట్, ట్రిపుల్-హైడ్రాలిక్ కాన్ఫిగరేషన్ యొక్క ప్రతిబింబంగా ఎంపిక చేయబడింది. [3"&amp;"0] 1960 నాటికి, డి హవిలాండ్‌ను హాకర్ సిడ్లీ గ్రూప్ కొనుగోలు చేసింది. [31] డి హవిలాండ్ స్వాధీనం తరువాత, ఎయిర్కో రద్దు చేయబడింది. కొత్తగా ఏర్పడిన బ్రిటిష్ ఎయిర్క్రాఫ్ట్ కార్పొరేషన్ (BAC) లో వేటను మార్షల్ చేశారు; వారి నిష్క్రమణ వేట 107 (తరువాత BAC వన్-ఎలెవెన"&amp;"్) డుహెచ్ .121 తో పాటు అదే విమానాల కుటుంబంలో పరిపూరకరమైన, చిన్న సభ్యునిగా విక్రయించబడుతోంది. వెస్ట్‌ల్యాండ్ విమానాలలో పాక్షికంగా విలీనం చేయబడిన ఫెయిరీ ఏవియేషన్, 121 ప్రాజెక్టును కూడా విడిచిపెట్టింది. [N 3] హాకర్ సిడ్లీ ఏవియేషన్‌కు వెళ్లడంతో, ఈ హోదా చివరిక"&amp;"ి HS 121 కు సవరించబడింది. బోయింగ్ 727 కు వ్యతిరేకంగా ట్రైడెంట్ యొక్క పోటీతత్వానికి హాని కలిగించిన స్పెసిఫికేషన్‌కు బీ యొక్క మార్పుల ద్వారా. ప్రత్యర్థి బోయింగ్ 727 త్వరగా త్రిశూలంపై ఆధిక్యాన్ని సాధించింది. [32] 727 యొక్క ప్రారంభ ఆధిక్యం తరువాతి పోటీలలో మాత"&amp;"్రమే బలోపేతం చేసింది; అటువంటి ఒక ఉదాహరణ ట్రాన్స్ ఆస్ట్రేలియా ఎయిర్‌లైన్స్, ఇది ట్రైడెంట్ బోయింగ్ 727 కంటే కార్యాచరణ దృక్కోణం నుండి ఉన్నతమైనదని నిర్ణయించింది, అయితే అన్సెట్ ఆస్ట్రేలియా వంటి ప్రత్యర్థి విమానయాన సంస్థల నుండి వేరే విమానాలను ఎంచుకోవడం వాణిజ్యప"&amp;"రంగా ప్రమాదకరమని కూడా భావించబడింది, ఇది ఉంది ఇప్పటికే 727 ను ఎంచుకున్నారు. [33] 1972 లో, దాని యూనిట్ ఖర్చు US $ 7.8M. [34] 1975 నాటికి, 117 ట్రిడెంట్లు మాత్రమే 1,000 727 లకు పైగా అమ్ముడయ్యాయి. [35] వుడ్స్ ప్రకారం, ట్రిడెంట్‌ను 727 ను పట్టుకోవటానికి ఒక ముఖ"&amp;"్యమైన అవకాశం 1960 లలో సముద్రపు పెట్రోలింగ్ విమానాల కోసం రెండు పోటీల రూపంలో కోల్పోయింది; లాక్హీడ్ పి -2 నెప్ట్యూన్ మరియు ఎయిర్ స్టాఫ్ అవసరం 381 ను భర్తీ చేయడానికి నాటో డిజైన్ పోటీ, ఇది రాయల్ ఎయిర్ ఫోర్స్ పిస్టన్-ఇంజిన్ అవ్రో షాక్లెటన్ కోసం భర్తీ చేయమని కోర"&amp;"ింది. [35] ప్రతిస్పందనగా ఉత్పత్తి చేయబడిన వివిధ సమర్పణలలో, హాకర్ సిడ్లీ గ్రూపులో భాగమైన అవ్రో చేత బిడ్ ఉంది, దీనిని అవ్రో 776 గా నియమించారు. ప్రతిపాదిత అవ్రో 776 ట్రైడెంట్ యొక్క ఫ్యూజ్‌లేజ్‌ను పున es రూపకల్పన చేసిన మరియు విస్తరించిన రెక్కలతో మరింత శక్తివం"&amp;"తమైన రోల్స్‌తో జత చేసింది. -రోయిస్ RB178 ఇంజన్లు 16,300 lb థ్రస్ట్ చేయగలవు. [36] మారిటైమ్ పెట్రోలింగ్ అవసరంతో పాటు, 103-సీట్ల ట్రూప్ ట్రాన్స్‌పోర్ట్‌తో సహా వివిధ సైనిక పాత్రలలో ఈ విమానం ఉపయోగించవచ్చని అవ్రో ed హించాడు మరియు నాలుగు గామ్ -87 స్కైబోల్ట్ ఎయిర"&amp;"్-లాంచ్ బాలిస్టిక్ క్షిపణులను అణుగా- సాయుధమయ్యాయి- సాయుధ బాంబర్. [37] అవ్రో యొక్క ప్రతిపాదనలతో పాటు, ఆర్మ్‌స్ట్రాంగ్ విట్‌వర్త్ ట్రైడెంట్ యొక్క వారి స్వంత సైనిక వైవిధ్యాలను కూడా ప్రతిపాదించారు. [37] AVRO 776 యొక్క తరువాత పునర్విమర్శలు కొత్త టర్బోఫాన్, రోల"&amp;"్స్ రాయిస్ RB211 కోసం RB.178 ఇంజిన్‌ను ప్రత్యామ్నాయం చేశాయి, రెండో అభివృద్ధి 776 యొక్క సేకరణకు మద్దతు ఇస్తుంది. [38] రోల్స్ రాయిస్ లిమిటెడ్, ట్రైడెంట్ యొక్క పున es రూపకల్పన తరువాత మెడ్వే యొక్క అభివృద్ధిని కలిగి ఉన్నందున, 10,000 ఎల్బి స్పై ఇంజిన్ మరియు 20,"&amp;"000 ఎల్బి రోల్స్ రాయిస్ కాన్వే ఇంజిన్ మధ్య స్లాట్ చేయడానికి ఇంజిన్‌ను అభివృద్ధి చేయడానికి ఆసక్తిగా ఉంది; అటువంటి ఇంజిన్ ఉత్పత్తి చేయబడితే, అది సివిల్ ట్రైడెంట్ యొక్క కొత్త వెర్షన్లను కలిగి ఉండవచ్చు. స్పై కంటే ఎక్కువ థ్రస్ట్‌ను అందించగల మరింత సమర్థవంతమైన ఇ"&amp;"ంజిన్‌తో అమర్చబడి, విస్తరించిన ఫ్యూజ్‌లేజ్ కూడా అవలంబించవచ్చు మరియు ఇప్పటికే ఉన్న ల్యాండింగ్ పరిమితులు విస్మరించబడవచ్చు; మొత్తంమీద, ట్రైడెంట్ 727 కి చాలా దగ్గరగా ఉండేది. [39] వుడ్ ఈ కాబోయే అభివృద్ధి యొక్క ప్రాముఖ్యతను ఇలా సంగ్రహించాడు: ""ట్రైడెంట్ ప్రోగ్ర"&amp;"ాం కోసం, RB.177 ఒక దేవుడు పంపేది"". [40] ఒకానొక సమయంలో, అవ్రో 776 RAF యొక్క కొత్త మారిటైమ్ పెట్రోల్ విమానంగా ఎంపిక చేయవలసిన పోటీని గెలుచుకోవడానికి సిద్ధంగా ఉంది. [41] ఖర్చులను తగ్గించాలనే కోరిక కారణంగా, RAF పూర్తిగా కొత్త కార్యాచరణ అవసరాన్ని జారీ చేయాలని "&amp;"నిర్ణయించింది, దీని కింద వేగం, ఓర్పు మరియు సామర్థ్యం కోసం డిమాండ్లు అన్నీ తగ్గిపోయాయి. మార్పుల ఫలితంగా, డిజైన్ బృందాన్ని గుర్తుచేసుకున్నారు మరియు అవ్రో 776 కొత్త ప్రతిపాదన కోసం పూర్తిగా పక్కన పెట్టబడింది. [41] ఈ కొత్త ప్రతిపాదన, డి హవిలాండ్ కామెట్ యొక్క ఫ"&amp;"్యూజ్‌లేజ్ ఆధారంగా, ట్రైడెంట్ సేవ్ తో దాని ప్రస్తుత స్పై ఇంజిన్ల ఉపయోగం కోసం పెద్దగా సంబంధం లేదు; ఇది హాకర్ సిడ్లీ నిమ్రోడ్ గా ఎంపిక చేయబడి, సేకరించబడుతుంది. ఈ నష్టం ఫలితంగా, విస్తరించిన, అధిక-శక్తి త్రిశూలం యొక్క అవకాశాలు సమర్థవంతంగా ఆవిరైపోయాయి. [41] డి"&amp;" హవిలాండ్‌ను గ్రహించిన హాకర్ సిడ్లీ ఏవియేషన్, ట్రైడెంట్ కోసం అదనపు కస్టమర్లు అవసరం, కాబట్టి 1960 లో అమెరికన్ ఎయిర్‌లైన్స్ (AA) తో చర్చలు జరిపారు. AA విమానం మొదట్లో ఉన్నదానికంటే ఎక్కువ పరిధిని అభ్యర్థించింది, దీని అర్థం అసలు DH121 డిజైన్ ఉంటుంది దాని అవసరా"&amp;"లను దాదాపుగా నెరవేర్చింది. ప్రతిస్పందనగా, డిజైన్ కొత్త ట్రైడెంట్ 1 ఎపై ప్రారంభమైంది, ఇది 10,700 ఎల్బిఎఫ్ (47.6 కెఎన్) థ్రస్ట్ యొక్క అప్-రేటెడ్ రోల్స్ రాయిస్ స్పే 510 ఇంజన్లతో, మరియు ఎక్కువ ఇంధనంతో పెద్ద రెక్క, స్థూల బరువును 120,000 ఎల్బి (54,000 కిలోలు) మ"&amp;"రియు 1,800 మైళ్ళు (2,900 కిమీ) వరకు ఉంటుంది, కాని చివరికి AA విమానాన్ని బోయింగ్ 727 కు అనుకూలంగా తిరస్కరించింది. ఈ మార్పులలో కొన్ని అసలు ప్రోటోటైప్‌లో చేర్చబడ్డాయి మరియు దీనికి ట్రైడెంట్ 1 సి అని పేరు మార్చారు. ప్రధాన వ్యత్యాసం రెక్క యొక్క మధ్య విభాగంలో ప"&amp;"ెద్ద ఇంధన ట్యాంక్, బరువులు 115,000 పౌండ్లు (52,000 కిలోలు), మరియు 1,400 మైళ్ళు (2,300 కిమీ) వరకు ఉంటాయి. మొట్టమొదటి ట్రైడెంట్ 1, జి-ఆర్పా, 9 జనవరి 1962 న హాట్ఫీల్డ్ ఏరోడ్రోమ్ నుండి తొలి విమాన ప్రయాణం చేసింది. [42] ట్రైడెంట్ ఆల్-మెటల్ నిర్మాణం యొక్క జెట్ ఎ"&amp;"యిర్‌లైనర్, టి-టెయిల్ మరియు తక్కువ-మౌంటెడ్ వింగ్ 35 డిగ్రీల క్వార్టర్-తీగ స్వీప్‌బ్యాక్‌తో. ఇది మూడు వెనుక-మౌంటెడ్ ఇంజన్లను కలిగి ఉంది: రెండు సైడ్-ఫ్యూజ్‌లేజ్ పాడ్‌లలో, మరియు మూడవది ఫ్యూజ్‌లేజ్ టెయిల్‌కోన్‌లో, ఎస్-ఆకారపు తీసుకోవడం వాహికతో. ఒక సంస్కరణ, 3 బ"&amp;"ి, నాల్గవ ""బూస్ట్"" ఇంజిన్‌ను ప్రధాన ఎస్-డక్ట్ పైన ప్రత్యేక తీసుకోవడం వాహికతో కలిగి ఉంది. అన్ని వెర్షన్లు రోల్స్ రాయిస్ స్పే యొక్క సంస్కరణల ద్వారా శక్తిని కలిగి ఉన్నాయి, అయితే బూస్ట్ ఇంజిన్ రోల్స్ రాయిస్ RB162, మొదట VTOL అనువర్తనాల కోసం లిఫ్ట్ ఇంజిన్‌గా "&amp;"ఉద్దేశించబడింది. ఈ త్రిశూలం వేగవంతమైన సబ్సోనిక్ వాణిజ్య విమానాలలో ఒకటి, 610 mph (980 కిమీ/గం) వద్ద ప్రయాణించడం. సేవలోకి ప్రవేశించినప్పుడు దాని క్రూయిజ్ మాక్ సంఖ్య 0.88/ 380 kn ias. అధిక వేగం కోసం రూపొందించబడింది, క్లిష్టమైన మాక్ సంఖ్య 0.93 తో, [43] రెక్కల"&amp;"ు తక్కువ వేగంతో సాపేక్షంగా పరిమిత లిఫ్ట్‌ను ఉత్పత్తి చేశాయి. ఇది, మరియు విమానం యొక్క తక్కువ థ్రస్ట్-టు-బరువు నిష్పత్తి, సుదీర్ఘ టేకాఫ్ పరుగులకు పిలుపునిచ్చింది. ఏదేమైనా, ట్రైడెంట్ బీ యొక్క 6,000 అడుగుల (1,800 మీ) క్షేత్ర పొడవు ప్రమాణాన్ని నెరవేర్చాడు మరియ"&amp;"ు దాని సాపేక్షంగా స్థిరమైన ఎయిర్ఫీల్డ్ పనితీరు బోయింగ్ 727 మరియు తరువాత జెట్ వైమానిక సంస్థల సేవలోకి రాకముందే సరిపోతుందని భావించారు, 4,500 అడుగుల (1,400 మీ) క్షేత్ర పొడవు ప్రమాణం. 44] ఏరోడైనమిక్స్ మరియు వింగ్లను రిచర్డ్ క్లార్క్సన్ నేతృత్వంలోని బృందం అభివృ"&amp;"ద్ధి చేసింది, తరువాత అతను ఎయిర్‌బస్ A300 యొక్క వింగ్ కోసం ట్రైడెంట్ వింగ్ డిజైన్‌ను ప్రాతిపదికగా ఉపయోగిస్తాడు; ట్రైడెంట్ కోసం అతను 1969 లో ముల్లార్డ్ అవార్డును గెలుచుకున్నాడు. త్రిశూల సాధారణ సంతతి రేటు 4500 అడుగుల/నిమి (23 మీ/సె) వరకు ఉంది. 10,000 అడుగుల/"&amp;"నిమి వరకు అత్యవసర అవరోహణలలో, రివర్స్ థ్రస్ట్‌ను ఉపయోగించడం అనుమతించబడింది. 280 kN IAS క్రింద, ఎయిర్ బ్రేక్ గా ఉపయోగం కోసం ప్రధాన ల్యాండింగ్ గేర్లను విస్తరించడం కూడా సాధ్యమైంది. ట్రైడెంట్ యొక్క మొదటి సంస్కరణ, ట్రైడెంట్ 1 సి, టచ్డౌన్‌కు ముందు రివర్స్ థ్రస్ట"&amp;"్‌ను ఉపయోగించుకునే అసాధారణ సామర్థ్యాన్ని కలిగి ఉంది. రివర్సర్ బకెట్లను తెరవడానికి మంట మరియు రివర్స్ ఐడిల్ సెట్‌లో థొరెటల్స్ మూసివేయబడతాయి. పైలట్ అభీష్టానుసారం, పూర్తి రివర్స్ థ్రస్ట్ వరకు టచ్‌డౌన్‌కు ముందు ఉపయోగించవచ్చు. ఇది హైడ్రోప్లానింగ్ తగ్గించడానికి "&amp;"మరియు తడి లేదా జారే రన్‌వేలపై చాలా తక్కువ ల్యాండింగ్ పరుగులు ఇవ్వడానికి సహాయపడింది, అయితే వీల్ బ్రేక్ సామర్థ్యాన్ని కాపాడుతుంది మరియు వీల్ బ్రేక్ ఉష్ణోగ్రతను తక్కువగా ఉంచడం. డన్‌లాప్ మాక్సారెట్ యాంటీ-స్కిడ్ సిస్టమ్‌తో బ్రేక్‌లను అమర్చారు. త్రిశూలం సంక్లిష"&amp;"్టమైన, అధునాతన మరియు సమగ్ర ఏవియానిక్స్ ఫిట్ కలిగి ఉంది, ఇది సేవలో విజయవంతమైంది. ఇది హాకర్ సిడ్లీ మరియు స్మిత్స్ విమాన పరికరాలు అభివృద్ధి చేసిన పూర్తిగా ఆటోమేటిక్ బ్లైండ్ ల్యాండింగ్ వ్యవస్థను కలిగి ఉంది. [12] [45] ఇది ఎయిర్‌ఫీల్డ్ విధానం, మంట, టచ్‌డౌన్ మరి"&amp;"యు ల్యాండింగ్ రన్‌వే నుండి రోల్-అవుట్ సమయంలో విమానానికి స్వయంచాలకంగా మార్గనిర్దేశం చేయగలదు. ఈ వ్యవస్థ 1970 నాటికి ఆటోలాండ్‌ను అందించడానికి ఉద్దేశించబడింది. ఈ కార్యక్రమంలో, 10 జూన్ 1965 [46] 4 నవంబర్ 1966 న సేవ. [42] [47] [48] పొగమంచులో దిగగల సామర్థ్యం లండ"&amp;"న్ హీత్రో మరియు ఇతర బ్రిటిష్ విమానాశ్రయాలలో ఒక పెద్ద సమస్యను పరిష్కరించింది. వర్గం 1 (పిల్లి 1 = 200 అడుగులు (61 మీ) నిర్ణయ ఎత్తు మరియు 600 మీటర్ల రన్వే విజువల్ రేంజ్ RVR) ఇన్స్ట్రుమెంట్ ల్యాండింగ్ సిస్టమ్ (ILS) వాడుకలో ఉన్నప్పుడు ఆలస్యం సాధారణం. ట్రైడెంట"&amp;"్ యొక్క ఆటోలాండ్ వ్యవస్థ దిగువ ల్యాండింగ్ మినిమా వాడకాన్ని ప్రారంభించింది, ప్రారంభంలో వర్గం 2 (100 అడుగుల నిర్ణయ ఎత్తు మరియు 400 మీటర్ల RVR) మరియు ""జీరో-జీరో"" (వర్గం 3 సి) పరిస్థితుల తరువాత. ట్రైంట్స్ తగిన ఐఎల్ఎస్ సంస్థాపనలతో కూడిన ఎయిర్‌ఫీల్డ్‌లకు సురక"&amp;"్షితంగా పనిచేయగలవు కాబట్టి, అవి వాతావరణంతో సంబంధం లేకుండా షెడ్యూల్‌లను నిర్వహించగలవు, ఇతర విమానాలు మళ్లించవలసి వచ్చింది. [47] ట్రైడెంట్ యొక్క అధునాతన ఏవియానిక్స్ సెంటర్ ఇన్స్ట్రుమెంట్ ప్యానెల్‌లో కదిలే మ్యాప్ డిస్ప్లేలో భూమికి సంబంధించి విమానం యొక్క క్షణి"&amp;"క స్థానాన్ని ప్రదర్శించింది. ఈ ఎలక్ట్రో-మెకానికల్ పరికరం మోటారు-నడిచే కాగితం మ్యాప్‌లో స్టైలస్ ప్లాటింగ్‌ను ఉపయోగించి విమానం యొక్క ట్రాక్‌ను కూడా రికార్డ్ చేసింది. స్థాన సమాచారం డాప్లర్ నావిగేషన్ సిస్టమ్ ద్వారా ఇవ్వబడింది, ఇది గ్రౌండ్‌స్పీడ్ మరియు డ్రిఫ్ట"&amp;"్ డేటాను చదివింది, ఇది హెడింగ్ డేటాతో పాటు, స్టైలస్‌ను నడిపించింది. త్వరిత యాక్సెస్ ఫ్లైట్ డేటా రికార్డర్‌తో అమర్చిన మొదటి విమానాలు ట్రైడెంట్. ఇది 13 వేరియబుల్స్‌ను శాంపిల్ చేసింది, వాటిని డిజిటల్ ఫార్మాట్‌గా మార్చింది మరియు వాటిని గ్రౌండ్ విశ్లేషణ కోసం మ"&amp;"ాగ్నెటిక్ టేప్‌లో నిల్వ చేసింది. [49] మొదటి ట్రైడెంట్ 1 ఏప్రిల్ 1964 న సేవలోకి ప్రవేశించాడు. [42] 1965 నాటికి, 15 మంది ట్రిడెంట్స్ బీస్ ఫ్లీట్‌లో ఉన్నారు, మరియు మార్చి 1966 నాటికి, ఈ నౌకాదళం 21 కి పెరిగింది. హాకర్ సిడ్లీ అప్పుడు మెరుగైన 1 సి, ట్రైడెంట్ 1 "&amp;"ఇ ప్రతిపాదించాడు. ఇది 11,400 ఎల్బిఎఫ్ (50.7 కెఎన్) స్పే 511 లు, 128,000 ఎల్బి (58,000 కిలోల) స్థూల బరువు, తీగను విస్తరించడం ద్వారా వింగ్ ప్రాంతం, మరియు అదే ఫ్యూజ్‌లేజ్‌ను కలిగి ఉంటుంది, కానీ ఆరు- విపరీతమైన కాన్ఫిగరేషన్. ఈ స్పెసిఫికేషన్ 1C ను అసలు DH121 యొ"&amp;"క్క పెద్ద భావనకు దగ్గరగా తీసుకుంది, కాని 7,000 LBF (31 kN) తక్కువ థ్రస్ట్‌తో. కొత్త డిజైన్ యొక్క కొన్ని అమ్మకాలు మాత్రమే తయారు చేయబడ్డాయి, కువైట్ ఎయిర్‌వేస్ మరియు ఇరాకీ ఎయిర్‌వేస్ కోసం మూడు, పాకిస్తాన్ ఇంటర్నేషనల్ ఎయిర్‌లైన్స్ కోసం నాలుగు (తరువాత CAAC కి "&amp;"విక్రయించబడ్డాయి), రెండు ఛానల్ ఎయిర్‌వేస్ మరియు ఈశాన్య విమానయాన సంస్థలకు మరియు ఒకటి ఎయిర్ సిలోన్. ఛానల్ ఎయిర్‌వేస్ విమానాలు ఇరుకైనవి, 21 ఇన్ (53 సెం.మీ) సీట్ పిచ్, [సైటేషన్ అవసరం] ఫార్వర్డ్ విభాగంలో ఏడు-అబ్రియాస్ట్ సీటింగ్, 149 మంది ప్రయాణికులు కూర్చున్నా"&amp;"రు. ఈ సమయంలో, బీ ట్రైడెంట్ తన ఎప్పటికప్పుడు విస్తరిస్తున్న మార్గాలకు చాలా తక్కువ కాళ్ళతో ఉందని, ఇంకా ఎక్కువ కాలం ఉన్న సంస్కరణ అవసరమని నిర్ణయించుకున్నాడు. హాకర్ సిడ్లీ మరొక అప్‌గ్రేడ్ నియమించబడిన ట్రైడెంట్ 1 ఎఫ్‌తో స్పందించాడు. ఇది స్పై 511 ఇంజన్లు, 2.8 మీ"&amp;". బీ 10 1 ఎఫ్ఎస్, ఇంకా 14 విమానాల కోసం ఒక ఎంపికను కొనుగోలు చేయాలని అనుకున్నాడు. 1F లో పని కొనసాగుతున్నప్పుడు మార్పులు చాలా విస్తృతంగా మారాయి, దీనికి విస్తరించిన పరిధి కోసం ట్రైడెంట్ 2E, E గా పేరు మార్చబడింది. ఇప్పుడు 11,930 ఎల్బిఎఫ్ (53.1 కెఎన్ఎస్) థ్రస్ట"&amp;"్‌తో కొత్త స్పే 512 లతో నడిచేది, ఇది వింగ్ లీడింగ్-ఎడ్జ్ డ్రూప్ ఫ్లాప్‌లను స్లాట్‌లతో భర్తీ చేసింది మరియు కోచెమాన్-స్టైల్ చిట్కాలతో స్పాన్ విస్తరించింది. [సైటేషన్ అవసరం] దీనికి 142,400 ఎల్బి స్థూల బరువు ఉంది ( 64,600 కిలోలు) మరియు 2,000 మైళ్ళు (3,200 కిలో"&amp;"మీటర్లు) పరిధి. బీ 15, [50] ను కొనుగోలు చేయగా, రెండు సైప్రస్ ఎయిర్‌వేస్ కొనుగోలు చేశారు. CAAC, చైనీస్ నేషనల్ ఎయిర్లైన్స్ 33 ను కొనుగోలు చేసింది. ఈ సంస్కరణ యొక్క మొదటి ఫ్లైట్ 27 జూలై 1967 న జరిగింది మరియు ఇది ఏప్రిల్ 1968 లో BEA తో సేవలోకి ప్రవేశించింది. ."&amp;" హాకర్ సిడ్లీ 1965 లో రెండు కొత్త డిజైన్లను అందించాడు: 158-సీట్ల రెండు ఇంజిన్ విమానం లేకపోతే HS132 అని పిలువబడే త్రిశూలం మాదిరిగానే; మరియు 185-సీట్ల HS134, ఇది రెక్కల క్రింద ఇంజిన్లను తరలించింది, ఇది బోయింగ్ 737 కు సమానమైన డిజైన్. రెండూ ఆ సమయంలో అభివృద్ధి"&amp;" చెందుతున్న కొత్త హై-బైపాస్ ఇంజిన్ ద్వారా శక్తినివ్వాలి, రోల్స్ రాయిస్ RB178. BEA బదులుగా BAC 1–11 మరియు ట్రైడెంట్ రెండింటి పాత్రలను పూరించడానికి బోయింగ్ 727 మరియు 737 లను ఎంచుకుంది, అయితే ఈ ప్రణాళికను బ్రిటిష్ ప్రభుత్వం వీటో చేసింది. బీ హాకర్ సిడ్లీకి తి"&amp;"రిగి వచ్చి బేసిక్ ట్రైడెంట్ యొక్క విస్తరించిన సంస్కరణను ఎంచుకున్నాడు, ట్రైడెంట్ 3. 5 మీ (16 అడుగుల 5 అంగుళాలు) ఫ్యూజ్‌లేజ్ స్ట్రెచ్ 180 మంది ప్రయాణీకులకు గదిని తయారు చేసింది; హాకర్ సిడ్లీ స్థూల బరువును 143,000 పౌండ్లు (65,000 కిలోలు) కు పెంచింది మరియు దాన"&amp;"ి తీగను పెంచడానికి రెక్కకు మార్పులు చేసింది; ఇంజన్లు అలాగే ఉన్నాయి. ట్రైడెంట్ 2 ఇతో అనుభవించిన ఇటువంటి సమస్యల దృష్ట్యా, ""వేడి మరియు అధిక"" పరిస్థితులలో తగినంతగా పని చేయలేకపోతున్నట్లు బీ డిజైన్‌ను తిరస్కరించారు. స్పై 512 స్పై లైన్‌లో చివరిది కాబట్టి, అదనప"&amp;"ు థ్రస్ట్ పొందడం కష్టం. మూడు ఇంజిన్లను పూర్తిగా భిన్నమైన రకంతో భర్తీ చేయడానికి ప్రయత్నించే బదులు, తోకలో ఖననం చేయబడిన ఒక ఇంజిన్‌తో కష్టతరమైనది, హాకర్ సిడ్లీ యొక్క ఇంజనీర్లు తోకలో నాల్గవ ఇంజిన్‌ను జోడించాలని నిర్ణయించుకున్నారు, చిన్న రోల్స్ రాయిస్ RB162 టర్"&amp;"బోజెట్, నుండి తినిపించింది ఒక జత కదిలే తలుపుల వెనుక దాని స్వంత తీసుకోవడం. టేకాఫ్ కోసం ఇంజిన్ 15% ఎక్కువ థ్రస్ట్‌ను జోడించింది, అదే సమయంలో 5% ఎక్కువ బరువును మాత్రమే జోడిస్తుంది మరియు అవసరమైనప్పుడు మాత్రమే ఇది ఉపయోగించబడుతుంది. బీ ఈ డిజైన్‌ను ట్రైడెంట్ 3 బి"&amp;"గా అంగీకరించింది మరియు 26 ను ఆదేశించింది. మొదటి ఫ్లైట్ 11 డిసెంబర్ 1969 న మరియు విమానం 1 ఏప్రిల్ 1971 న సేవలోకి ప్రవేశించింది. అదనపు ఇంధన సామర్థ్యం యొక్క అదనంగా సూపర్ ట్రైడెంట్ 3 బి ఏర్పడింది. ట్రైడెంట్ కొన్ని కీలక ఎగుమతి అమ్మకాలను, ముఖ్యంగా చైనాకు అనుభవి"&amp;"ంచాడు. బ్రిటన్ మరియు పీపుల్స్ రిపబ్లిక్ ఆఫ్ చైనా మధ్య సంబంధాలు కరిగిపోయిన తరువాత, చైనా అనేక కొనుగోలు ఒప్పందాలను పూర్తి చేసింది మరియు చివరికి 35 మందికి పైగా త్రిశూయంలు అమ్ముడయ్యాయి. [51] [52] 1977 లో, బ్రిటిష్ ఎయిర్‌వేస్ యొక్క రెక్కల రెక్కలలో అలసట పగుళ్లు "&amp;"కనుగొనబడ్డాయి. ఈ విమానం తిరిగి తయారీదారుకు పంపబడింది మరియు మరమ్మతులు చేయబడింది, తరువాత సేవకు తిరిగి వచ్చింది. [53] ట్రైడెంట్ ముగింపు యొక్క ప్రారంభం 1980 ల ప్రారంభంలో వచ్చింది, ఎందుకంటే ICAO శబ్దం నిబంధనలను రూపొందించడం ప్రారంభించింది, దీనికి ఇంజిన్లకు హుష్"&amp;" కిట్లకు సరిపోయేలా మొదటి మరియు రెండవ తరం జెట్ విమానాలు అవసరం. ఈ నిబంధనలు 1 జనవరి 1986 నుండి అమల్లోకి వస్తాయి. టైప్ యొక్క ప్రధాన ఆపరేటర్ బ్రిటిష్ ఎయిర్‌వేస్, అవసరమైన రీఫిట్‌లను ఆచరణీయంగా లేదని చూశారు మరియు బదులుగా 1985 లో ట్రైడెంట్‌ను వారి విమానాల నుండి తొ"&amp;"లగించడానికి ఎంచుకున్నారు. చైనాలో ట్రైడెంట్ సేవలు 1995 లో ముగిశాయి, మార్కింగ్ సేవ నుండి దాని శాశ్వత పదవీ విరమణ. [54] 117 ట్రిడెంట్లు మాత్రమే ఉత్పత్తి చేయబడ్డాయి మరియు ఇకపై సేవలో లేవు. దీనికి విరుద్ధంగా, 1832 బోయింగ్ 727 విమానాలు (ట్రైడెంట్ యొక్క అసలు స్పెస"&amp;"ిఫికేషన్‌కు రూపొందించబడ్డాయి) నిర్మించబడ్డాయి మరియు చివరిది 2019 వరకు ప్రయాణీకుల సేవలో కొనసాగింది. [55] పోల్చదగిన పాత్ర, కాన్ఫిగరేషన్ మరియు ERA సంబంధిత జాబితాల విమానం")</f>
        <v>హాకర్ సిడ్లీ హెచ్ఎస్ -121 ట్రైడెంట్ (వాస్తవానికి డి హవిలాండ్ డిహెచ్ .121 మరియు క్లుప్తంగా ఎయిర్కో డిహెచ్ .121) హాకర్ సిడ్లీ నిర్మించిన బ్రిటిష్ విమానం. 1957 లో, డి హవిలాండ్ తన డిహెచ్ .121 ట్రైజెట్ డిజైన్‌ను బ్రిటిష్ యూరోపియన్ ఎయిర్‌వేస్ (బీ) అభ్యర్థనకు ప్రతిపాదించింది. 1960 నాటికి, డి హవిలాండ్‌ను హాకర్ సిడ్లీ స్వాధీనం చేసుకున్నాడు. ట్రైడెంట్ యొక్క తొలి విమానం 9 జనవరి 1962 న జరిగింది, మరియు దీనిని 1 ఏప్రిల్ 1964 న ప్రవేశపెట్టారు, దాని ప్రధాన పోటీదారు బోయింగ్ 727 తరువాత రెండు నెలల తరువాత. 1978 లో ఈ కార్యక్రమం ముగిసే సమయానికి, 117 ట్రిడెంట్స్ ఉత్పత్తి చేయబడ్డాయి మరియు త్రిశూలం ఉపసంహరించబడింది 1995 లో సేవ నుండి. జెట్‌లైనర్ మూడు వెనుక-మౌంటెడ్ రోల్స్ రాయిస్ స్పే తక్కువ-బైపాస్ టర్బోఫాన్‌లతో పనిచేస్తుంది, ఇది తక్కువ తుడిచిపెట్టిన రెక్క మరియు టి-తోకను కలిగి ఉంది. అడ్వాన్స్‌డ్ ఏవియానిక్స్ 1965 లో రెవెన్యూ సర్వీస్‌లో బ్లైండ్ ల్యాండింగ్ చేసిన మొదటి విమానయానంగా ఉండటానికి అనుమతించింది. ప్రారంభ ట్రైడెంట్ 1/2 101-115 మంది ప్రయాణీకులను 2,350 ఎన్‌ఎంఐ (4,350 కిమీ) వరకు కూర్చోవచ్చు. ట్రైడెంట్ 3 ను 5 మీ (16 అడుగులు) 1,940 ఎన్ఎమ్ఐ (3,590 కిమీ; 2,230 మైళ్ళు) కు పైగా 180 వరకు విస్తరించి, తోకలో అదనపు ఆర్‌బి .162 బూస్టర్ ఇంజిన్‌ను కలిగి ఉంది. 1953 లో, బ్రిటిష్ యూరోపియన్ ఎయిర్‌వేస్ (BEA) ప్రపంచంలోని మొట్టమొదటి టర్బోప్రాప్-శక్తితో కూడిన పౌర విమానంలో-విక్కర్స్ విస్కౌంట్‌ను ప్రయాణీకుల సేవలోకి ప్రవేశపెట్టినప్పుడు, ఆపరేటర్ ఇప్పటికే సంభావ్య వారసుడికి ఏమి అవసరమో పరిశీలిస్తున్నాడు. [1] 1952 లో జెట్ విమానాల సేవలోకి ప్రవేశించిన తరువాత, చాలా మంది విమానయాన నిర్వాహకులు మరియు ఆర్థికవేత్తలు సందేహాస్పదంగా ఉన్నారు మరియు టర్బోప్రాప్ విమానాలను పిస్టన్-ఇంజిన్ విమానాల పున ments స్థాపనగా సూచించారు. [2] 1953 లో, ప్రపంచవ్యాప్తంగా అనేక మంది తయారీదారులు స్వచ్ఛమైన జెట్-శక్తితో పనిచేసే విమానంలో పెట్టుబడులు పెడుతుండగా, బీ వారి ఉన్నతమైన ఆర్థికశాస్త్రం ఆధారంగా టర్బోప్రాప్‌లకు అనుకూలంగా ఉండటానికి ఎంచుకుంది మరియు 100 మంది ప్రయాణీకులను కూర్చుని గరిష్ట వేగాన్ని సాధించగల విమానానికి పిలుపునిచ్చింది. 370 నాట్లు. [3] BEA స్పెసిఫికేషన్ ఫలితంగా, విక్కర్స్ BEA, విక్కర్స్ వాన్గార్డ్ కోసం విస్కౌంట్ యొక్క విస్తరించిన ఉత్పన్నంను అభివృద్ధి చేసింది, దీనిని 20 జూలై 1956 న విమానయాన సంస్థ ఆదేశించింది. అయితే, ఫ్రెంచ్ నిర్మించిన సుడ్ ఏవియేషన్ కారవెల్లె దాని నిర్వహించింది మునుపటి సంవత్సరంలో మైడెన్ ఫ్లైట్, మరియు జెట్ విమానం త్వరలో గట్టి పోటీని అందిస్తుందని బీ గుర్తించడం ప్రారంభించింది. [4] ఏప్రిల్ 1956 లో, BEA యొక్క చీఫ్ ఎగ్జిక్యూటివ్ ఆంథోనీ మిల్వార్డ్, అతను "[జెట్ విమానయానదారులు] లేకుండా చేస్తానని" పేర్కొన్నాడు. ఏదేమైనా, అదే సంవత్సరం డిసెంబరులో, బీ యొక్క ఛైర్మన్ కిర్టిల్‌సైడ్‌కు చెందిన లార్డ్ డగ్లస్, టర్బోప్రాప్ విమానాలను అనేక జెట్-శక్తితో కూడిన చిన్న విమానాలను ప్రవేశపెట్టవలసి ఉంటుందని పేర్కొన్నారు. ] జూలై 1956 లో, బీ షార్ట్-హాల్ "రెండవ తరం జెట్ వైమానిక సంస్థ" కోసం "రూపురేఖల అవసరాలు" అని పిలిచింది, దాని టర్బోప్రాప్ విమానంతో కలిసి పనిచేయడానికి. ఇది సుమారు 20,000 ఎల్బి (9,100 కిలోలు) లేదా 70 మంది ప్రయాణికుల పేలోడ్‌ను 1,000 మైళ్ళు (1,600 కిమీ) వరకు కలిగి ఉంటుంది, సుమారు 100,000 పౌండ్లు (45,000 కిలోలు) బరువు ఉంటుంది, 6,000 అడుగుల (1,800 మీ) రన్‌వేలను ఉపయోగిస్తుంది, చాలా ఎక్కువ క్రూయిజ్ 610 నుండి 620 mph (980 నుండి 1,000 కిమీ/గంటకు) వేగం, మరియు "రెండు ఇంజన్లకు పైగా" కలిగి ఉంది. [5] [6] [n 1] [7] ఏవియేషన్ రచయిత డెరెక్ వుడ్స్ ప్రకారం, బీ "" చాలా పోటీగా ఉంటుందని బెదిరించే కారవెల్లె కంటే వేగంగా ". [8] వారు ఎక్స్‌ప్రెస్ అవసరంగా ఉద్దేశించబడనప్పటికీ, వ్యాఖ్యాతలు ఈ గణాంకాలను పరిశ్రమకు ఖచ్చితమైన పిలుపుగా తీసుకున్నారు. [5] నాలుగు కంపెనీలు బీ అవుట్‌లైన్‌తో సరిపోలడానికి ప్రాజెక్టులను సిద్ధం చేశాయి. బ్రిస్టల్ ప్రారంభంలో నాలుగు ఇంజిన్డ్ బ్రిస్టల్ రకం 200 ను ప్రతిపాదించాడు. [1] అవ్రో ఫ్యూచరిస్టిక్ అవ్రో 740 ట్రైజెట్‌ను షెల్‌కు ముందు మరియు బ్రిస్టల్ మరియు హాకర్ సిడ్లీలతో కలిసి దళాలలో చేరడానికి ముందు ప్రతిపాదించాడు. విక్కర్స్ VC11 నాలుగు-ఇంజిన్ల విమానాన్ని ప్రతిపాదించారు, ఇది దాని అభివృద్ధి VC10 నుండి తీసుకోబడింది. డి హవిలాండ్ సంస్థ స్పెసిఫికేషన్ కోసం ముగ్గురు పోటీదారులను పరిగణించింది; వీటిలో రెండు ప్రారంభ కామెట్ యొక్క నాలుగు-ఇంజిన్ పరిణామాలు, ప్రపంచంలోని మొట్టమొదటి జెట్-శక్తితో పనిచేసే విమానాలు: D.H.119 మరియు D.H.120, రెండోది బ్రిటిష్ ఓవర్సీస్ ఎయిర్‌వేస్ కార్పొరేషన్ (BOAC) కు కూడా అందించాలని ఉద్దేశించబడింది. జూలై 1957 లో, డి హవిలాండ్ dh.121 రూపంలో మరొక సమర్పణ చేసాడు; ఈ ప్రతిపాదన మూడు టర్బోజెట్లు, రోల్స్ రాయిస్ అవాన్ ఇంజన్లతో అమర్చబడింది మరియు చివరికి ఉత్పత్తి విమానాలను బాగా పోలి ఉంటుంది. [9] ఆగష్టు 1957 నాటికి, DH.121 ప్రతిపాదన సవరించబడింది; వ్యత్యాసాలలో అభివృద్ధి చెందుతున్న టర్బోఫాన్, రోల్స్ రాయిస్ మెడ్వే మరియు గరిష్టంగా 98 మంది ప్రయాణీకులకు వసతి కల్పించడానికి విస్తరణ ఉన్నాయి. [9] Dh.121 ప్రపంచంలోనే మొట్టమొదటి ట్రైజెట్ విమానాలు. ఇంజిన్ వైఫల్యం విషయంలో క్రూజింగ్ ఎకానమీ మరియు టేకాఫ్ భద్రత మధ్య ఈ కాన్ఫిగరేషన్ ట్రేడ్-ఆఫ్ ఇచ్చిందని దాని డిజైనర్లు భావించారు; అంతేకాక, BEA స్పెసిఫికేషన్ "రెండు కంటే ఎక్కువ ఇంజిన్లకు" పిలుపునిచ్చింది. మూడు ఇంజిన్లలో ప్రతి ఒక్కటి దాని స్వంత హైడ్రాలిక్ వ్యవస్థను నడుపుతుంది, ఇతర వ్యవస్థలు విఫలమైన విషయంలో ట్రిపుల్ రిడెండెన్సీని అందిస్తుంది. ఇంజన్లు 13,790 ఎల్బిఎఫ్ (61.34 కెఎన్) మెడ్వే ఇంజన్లు. DH.121 స్థూల బరువు 123,000 పౌండ్లు (56,000 కిలోలు) లేదా ఐచ్ఛికంగా, 150,000 పౌండ్ల (68,000 కిలోలు), 2,070 మైళ్ళు (3,330 కిమీ), మరియు రెండు-తరగతి లేఅవుట్లో 111 కు కూర్చుని ఉండాలి ( లేదా అధిక-సాంద్రత కలిగిన, సింగిల్-క్లాస్ లేఅవుట్లో 140 కి పైగా 1960 ల నుండి కలుపుకొని ఉన్న-టూర్ చార్టర్ విమానాలలో విలక్షణమైనది). [10] డిజైన్ ప్రారంభంలో కారవెల్లె మాదిరిగానే క్రూసిఫార్మ్ తోక లేఅవుట్ను కలిగి ఉంది. [9] ఇంజన్లు వెనుక భాగంలో సమూహంగా ఉన్నాయి, సెంటర్ ఇంజిన్ ఫ్యూజ్‌లేజ్ యొక్క విపరీతమైన వెనుక భాగంలో ఉంది, ఇది ఫిన్ ముందు భాగంలో పెద్ద ఓవల్ తీసుకోవడం ద్వారా గాలి ద్వారా తినిపించింది, ఇది తరువాత బోయింగ్ 727 కు సమానమైన కాన్ఫిగరేషన్; డిజైన్ చివరికి వేరియబుల్-యాక్షన్ టి-తోకపై స్థిరపడింది. [11] ప్రారంభం నుండి, dh.121 ఈ కాలానికి చాలా అభివృద్ధి చెందిన ఏవియానిక్‌లను నియమించాలని అనుకున్నారు. ఇతర సామర్థ్యాలలో, వారు సేవా ప్రవేశించిన కొన్ని సంవత్సరాలలో ఆటోమేటిక్ విధానం మరియు ల్యాండింగ్‌ను అందిస్తారు. ఏవియానిక్స్ విశ్వసనీయత కోసం మూడు రెట్లు భాగాలను కలిగి ఉండాలి మరియు ఆటోమేటిక్ విధానం మరియు ల్యాండింగ్ సమయంలో విమాన మార్గదర్శకత్వం కోసం "మెజారిటీ 2: 1 ఓటింగ్" ను అనుమతించడం. [12] ఈ కాలంలోని చాలా ఏవియానిక్స్ యొక్క భౌతిక కొలతలు వాటిని ట్రైడెంట్ యొక్క ఫ్లైట్‌డెక్ క్రింద పెద్ద కంపార్ట్‌మెంట్‌లో ఉంచాల్సిన అవసరం ఉంది; కంపార్ట్మెంట్ యొక్క పరిమాణం విలక్షణమైన ముక్కు అండర్ క్యారేజ్ డిజైన్‌ను నిర్దేశించే కారకాలలో ఒకటి, ముక్కు ల్యాండింగ్ గేర్ ఆఫ్‌సెట్‌ను 2 అడుగుల (61 సెం.మీ) పోర్ట్ వైపుకు ఆఫ్‌సెట్ చేసి, డిహెచ్ .121 యొక్క రేఖాంశ అక్షం మీదుగా నిల్వ చేయడానికి పక్కకి ఉపసంహరించుకుంటుంది. BEA త్వరలోనే DH.121 ను వివరణాత్మక చర్చలకు ప్రాతిపదికగా ఎంపిక చేసింది, కాని ఈ చర్చలు బ్రిటిష్ ప్రభుత్వం యొక్క విస్తృత విధాన నిర్ణయాలు మరియు బీలోనే అనాలోచిత విధానంతో సహా పలు కారకాల కారణంగా దీర్ఘకాలికంగా ఉన్నాయి. [9] 1950 ల చివరలో డిహెచ్ .121 ఉద్భవించిన సమయంలో, బ్రిటిష్ ప్రభుత్వం ఎయిర్ఫ్రేమ్ మరియు ఏరోఎంజైన్ పరిశ్రమలను చిన్న కంపెనీలుగా విచ్ఛిన్నం చేసినట్లు చూడటానికి వచ్చింది; దీని ప్రకారం, విలీనాలను కొన్ని పెద్ద సమూహాలలోకి అనుకూలంగా ఉండే విధానాన్ని స్వీకరించారు. డి హవిలాండ్ వారి స్వాతంత్ర్యం మరియు నాయకత్వాన్ని నిలుపుకోవటానికి ఆసక్తి చూపించాడు. మరియు ఫైరీ ఏవియేషన్, ఇతర అంశాలకు బాధ్యత వహిస్తుంది; ఏదేమైనా, బ్రిస్టల్ ఈ అమరికను తీవ్రంగా వ్యతిరేకించాడు మరియు డి హవిలాండ్‌తో పోటీలో హాకర్ సిడ్లీతో కలిసి పనిచేయడానికి ఎంచుకున్నాడు. [13] కంపెనీలు దాని £ 30 మిలియన్ల ఒప్పందం (2020 లో 716,556,000 కు సమానం), అలాగే లాభదాయకమైన విదేశీ ఎగుమతి అమ్మకాల సంభావ్యత కారణంగా BEA చేత BEA చేత ఎంపిక చేయబడ్డాయి. [15] 4 ఫిబ్రవరి 1958 న, డి హవిలాండ్, వేట మరియు ఫైరీతో కలిసి, డుహెచ్ .121 ను తయారు చేయడం మరియు మార్కెటింగ్ చేయడం కోసం వారు భాగస్వామ్యాన్ని ఏర్పాటు చేయడానికి అంగీకరించినట్లు ప్రకటించారు; కన్సార్టియం పనికిరాని ఎయిర్కో కంపెనీ యొక్క కార్పొరేట్ పేరును స్వీకరించింది, ఇది మొదటి ప్రపంచ యుద్ధంలో జాఫ్రీ డి హవిలాండ్ యొక్క యజమానిగా ఉంది. [15] ఎయిర్కో కన్సార్టియం గురించి సరఫరా మంత్రి "ఇది [అతను] మనస్సులో ఉన్నది కాదు" అని పేర్కొన్నారు. ఏదేమైనా, ఎయిర్కో మరియు ప్రత్యర్థి బ్రిస్టల్-హాకర్ సిడ్లీ బృందం రెండూ వివిధ విదేశీ విమానయాన సంస్థలకు తమ సొంత విధానాలను నిర్వహించడానికి ముందుకు వచ్చాయి; తగినంత ఆసక్తి, అమెరికన్ పాన్ అమెరికన్ వరల్డ్ ఎయిర్‌వేస్ రెండు జట్లను తమ ప్రతిపాదిత విమానాలను జనవరి 1958 లో ప్రదర్శించమని ఆహ్వానించింది. [15] బ్రిస్టల్ మరియు షార్ట్ బ్రదర్స్ ఛైర్మన్ సర్ మాథ్యూ స్లాటరీ, పోటీ చేసే సంస్థలలో ఒకరు తమ విమానాల కోసం ఎగుమతి ఉత్తర్వులను అప్పటికే పొందే వరకు ఏ నిర్ణయాన్ని ఆలస్యం చేయాలని బీ కోసం విజ్ఞప్తి చేశారు. ప్రతిస్పందనగా, లార్డ్ డగ్లస్ BEA DH.121 ను ఆదేశించాలని కోరుకుంటున్నాడని మరియు ప్రభుత్వం నుండి ఆమోదం కోసం ఎదురు చూస్తున్నాడని పేర్కొన్నాడు; డగ్లస్ యొక్క సమాధానం ప్రత్యర్థి రకం 200 ప్రతిపాదనకు డెత్ నెల్‌గా భావించబడింది. [15] ఇంతలో, ప్రత్యర్థి విమానాల ఉద్భవించింది, ఈసారి అమెరికాలో బోయింగ్ నుండి, 727 రూపంలో, ఇది ట్రైజెట్ కాన్ఫిగరేషన్ కూడా కలిగి ఉంది. [16] బోయింగ్ 1956 లో మార్కెట్ యొక్క ఈ రంగంలో తన అధ్యయనాలను ప్రారంభించింది మరియు 1959 లో తన సొంత ట్రైజెట్ కార్యక్రమాన్ని ప్రారంభించటానికి ఎన్నుకుంది. ఆ సమయంలో ఎయిర్కో ఎగ్జిక్యూటివ్స్, వివిధ ప్రత్యామ్నాయాలను తీవ్రంగా అన్వేషించారు మరియు ఇతర విమాన సంస్థలతో మరింత భాగస్వామ్యం కలిగి ఉన్నారు, బోయింగ్ అయ్యే అవకాశంగా భావించారు. 727 ప్రాజెక్టును వదలడానికి ఎంచుకోవచ్చు మరియు బదులుగా USA లో DH.121 ను సహ-తయారీ చేయండి; ఈ చొరవ యొక్క ప్రతిపాదకులలో లార్డ్ డగ్లస్ ఒకరు. [16] తత్ఫలితంగా, ఎయిర్కో బోయింగ్ ఇంజనీర్లు మరియు అధికారుల బృందాన్ని హాట్‌ఫీల్డ్‌కు ఆహ్వానించింది; (బోయింగ్ తరువాత డి హవిలాండ్ ప్రతినిధులు సీటెల్‌కు తిరిగి సందర్శించడానికి అనుమతించాడు); ఏదేమైనా, బోయింగ్ 727 కోసం వారి ప్రణాళికల యొక్క కొన్ని వివరాలను వెల్లడించింది, అయితే వాస్తవానికి డిహెచ్ .121 పై ఉన్న మొత్తం సమాచారం బోయింగ్‌తో భాగస్వామ్యం చేయబడింది, ఈ బహిరంగత వాటిని "ఆశ్చర్యపరిచింది" అని ఆరోపించారు. [16] బ్రిటిష్ వ్యాఖ్యాతలు ఈ ఎపిసోడ్‌ను DH.121 లో సున్నితమైన యాజమాన్య డేటాను ప్రత్యక్ష పోటీదారుడితో కొనుగోలు చేసినట్లు అర్థం చేసుకున్నారు. [17] వుడ్స్ "డి హవిలాండ్ తన పరిశోధనలన్నింటినీ దాని ప్రత్యర్థులకు అప్పగించాడు ... క్రౌనింగ్ మూర్ఖత్వం" అని వ్యాఖ్యానించాడు. [16] 12 ఫిబ్రవరి 1958 న, బ్రిటిష్ ప్రభుత్వం 24 విమానాలకు ఉద్దేశించిన లేఖను జారీ చేయడంతో పాటు ఒప్పంద చర్చలను ప్రారంభించడానికి BEA కి అధికారం ఇచ్చింది. [15] దీని ప్రకారం, అదే నెలలో, BEA DH.121 దాని అవసరాలకు దగ్గరగా వచ్చిందని మరియు ఇది 12 న ఎంపికలతో 24 వ స్థానంలో ఉందని ప్రకటించింది. [18] Dh.121 కోసం అధికారిక బీ ఆర్డర్‌ను ఆమోదించడానికి ప్రభుత్వం మరో ఆరు నెలలు అవసరం; పారిశ్రామిక విధాన కారణాల వల్ల ప్రభుత్వం బ్రిస్టల్ 200 కు అనుకూలంగా ఉంది. [19] [20] నివేదిక ప్రకారం, BEA కారవెల్లెపై చాలా ఆసక్తిని కలిగి ఉంది, కానీ ఇది రాజకీయంగా ఆమోదయోగ్యం కాని ఎంపిక. [21] కామెట్ యొక్క ముందస్తు అభివృద్ధితో జెట్ ఎయిర్‌లైన్స్‌తో సంస్థ యొక్క స్థాపించబడిన అనుభవం కారణంగా BEA డి హవిలాండ్‌కు కూడా అనుకూలంగా ఉంది, అందువల్ల త్రిశూల సమర్పణకు. [9] [21] ఏప్రిల్ 1958 లో, డి హవిలాండ్ DH.121 యొక్క సాధారణ ఆకృతీకరణను ధృవీకరించాడు మరియు అభివృద్ధి టైమ్‌టేబుల్‌ను స్థాపించాడు, 1961 మధ్యలో టైప్ యొక్క తొలి విమానానికి అంచనా వేసిన తేదీతో సహా. [15] సంస్థ యొక్క మార్కెట్ పరిశోధన విభాగం దాని విభాగంలో 550 విమానాలు 1965 నాటికి విక్రయించబడుతుందని అంచనా వేసింది. ఎకానమీ క్లాస్ అవ్వడం యొక్క సీటింగ్ కొలతలకు ఎక్కువ ప్రాధాన్యత విమానయాన సంస్థలలో ఉద్భవించిందని పేర్కొంది, డిజైన్ మార్పులు కొద్దిగా స్వీకరించడానికి చేయబడ్డాయి ఆరు-అబ్రిస్ట్ సీటింగ్‌కు అనుగుణంగా పెద్ద వ్యాసం కలిగిన ఫ్యూజ్‌లేజ్, గరిష్టంగా 111 సీట్ల కాన్ఫిగరేషన్‌ను అందిస్తుంది. [22] వుడ్స్ ప్రకారం, Dh.121 యొక్క ఈ విస్తరించిన సంస్కరణ "మార్కెట్ కోసం సరైన విమానాన్ని నిర్మించే అంచున ఉంది మరియు విస్కౌంట్ యొక్క విజయం పునరావృతమయ్యేలా ఉంది". [16] మార్చి 1959 లో, ఇటీవల ప్రయాణీకుల వృద్ధి క్షీణతకు సంబంధించిన బీ, డుహెచ్ .121 యొక్క పేలోడ్-రేంజ్ సామర్థ్యం వారి అవసరాలకు చాలా గొప్పదని తేల్చింది మరియు డి హవిలాండ్‌ను పిటిషన్ వేసింది, డిజైన్ యొక్క స్కేల్‌ను వారి సవరించినదానికి అనుగుణంగా తగ్గించాలని పిటిషన్ వేసింది. అంచనాలు. [16] ట్రైడెంట్ యొక్క ప్రతిపాదిత స్థాయి చాలా పెద్దది అనే భయంతో, వారి తక్షణ పరిస్థితి కోసం పున es రూపకల్పన కోసం ఈ కార్యక్రమాన్ని సమర్థవంతంగా కూల్చివేసేందుకు విమానయాన సంస్థ ఎన్నుకుంది. 1959 లో, BEA ఒక పెద్ద విమానాలను కలిగి ఉంది మరియు క్రమం మీద ఉంది, మరియు అధిక సామర్థ్యం గల సమస్య క్లిష్టమైన ఆందోళన. [23] విమానయాన సంస్థ యొక్క ఆందోళనలు మూడు అంశాలను ప్రతిబింబిస్తాయి - 1950 ల చివరలో స్వల్పకాలిక విమానయాన మాంద్యం; టర్బోప్రాప్ విక్కర్స్ వాన్గార్డ్స్ యొక్క పెద్ద విమానాల సేవలోకి రావడం, ఇది dh.121 యొక్క సాధారణ పేలోడ్-రేంజ్ ప్రాంతాన్ని నకిలీ చేసింది; మరియు అధిక-సాంద్రత కలిగిన సీటింగ్‌కు పెరుగుతున్న ధోరణి. [24] డి హవిలాండ్ వారు సాధారణంగా BEA తో ఏకీభవించారని పేర్కొన్నప్పటికీ, దాని నిర్వహణ వారు "D.H. గతంలో చేపట్టినదానికంటే చాలా భారంగా పనిచేశారని" పేర్కొన్నారు. [25] ఆ సమయంలో పరిశ్రమ పరిశీలకులు బ్రిటిష్ విమాన పరిశ్రమ మళ్లీ పొరపాటు పడ్డారని భావించారు "ఒక కస్టమర్ కోసం ప్రత్యేకంగా ఒక విమానం చాలా విస్తృతమైన పరిధిని కలిగి ఉన్న ఒక విమానం": [25] ట్రైడెంట్ యొక్క తరువాతి చరిత్రలో ప్రతిధ్వనించే ఒక సెంటిమెంట్ "అని భావించారు. . డి హవిలాండ్ బోర్డు బీ యొక్క డిమాండ్‌కు సమర్పించడానికి ఎన్నుకుంది, దాని స్వంత అమ్మకాలు మరియు మార్కెట్ పరిశోధన విభాగాల నుండి అధికంగా ప్రయాణించే ఇన్పుట్, ఇతర విమానయాన సంస్థలు బదులుగా పెద్ద నమూనాను కోరినట్లు సూచించింది. [16] ముఖ్యంగా, డి హవిలాండ్ ఇంకా అధికారిక మరియు ఫైనల్ బీ ఆర్డర్‌ను పొందలేదు మరియు దాని పోటీదారు బ్రిస్టల్ వారి 200 [n 2] ప్రాజెక్టును చురుకుగా ప్రోత్సహిస్తోంది, ఇది DH.121 కన్నా చాలా చిన్నది. ఆ సమయంలో బోయింగ్ మరియు డగ్లస్ కూడా వారి DC-9 మరియు 727 ప్రాజెక్టులను తగ్గించాయి. అసలు పెద్ద డిహెచ్ .121 కాన్వెయిర్ 880 మరియు బోయింగ్ 720 వారి సేవా ఎంట్రీల తర్వాత 720 కి వ్యతిరేకంగా పోటీ పడవలసి ఉంటుందని భావించారు, అయితే కట్-బ్యాక్ డిజైన్ అప్పటి-ఉత్పత్తి 75–100 సీటులకు వ్యతిరేకంగా మరింత పోటీగా ఉంటుంది, ట్విన్- ఇంజిన్ చేసిన DC-9. [26] మెత్వే నుండి స్కేల్-డౌన్ డెరివేటివ్‌కు పవర్‌ప్లాంట్ మార్పుతో సహా, ట్రైడెంట్‌ను తగ్గించడం రూపకల్పనలో గణనీయమైన మార్పులను కలిగి ఉంది, 40% తక్కువ శక్తివంతమైన 9,850 ఎల్బిఎఫ్ (43.8 కెఎన్) రోల్స్ రాయిస్ స్పే 505. [16] స్థూల బరువును మూడవ వంతు నుండి 105,000 పౌండ్లు (48,000 కిలోగ్రాములు) తగ్గించగా, ఈ శ్రేణిని సగం నుండి 930 మైళ్ళు (1,500 కిమీ) తగ్గించారు, మరియు మిశ్రమ-తరగతి సీటింగ్ పావువంతు 75 లేదా 80 కు తగ్గించబడింది ( 97 సింగిల్-క్లాస్ లేఅవుట్‌లో). రెక్కల వ్యవధి సుమారు 17 అడుగుల (5.2 మీ), రెక్క ప్రాంతం 30%, మరియు మొత్తం పొడవు 13 అడుగులు (4.0 మీ) తగ్గించబడింది. సవరించిన డిజైన్ అసలు యొక్క కొన్ని లక్షణాలను కలిగి ఉంది, ముఖ్యంగా దాని ఫ్యూజ్‌లేజ్ వ్యాసం. ఇది ఒక చిన్న ఫ్లైట్ డెక్ మరియు సింగిల్-యాక్సిస్, ద్విచక్రత, రెండు-చక్రాల, నాలుగు-చక్రాల బోగీల స్థానంలో నాలుగు-టైర్ ప్రధాన అండర్ క్యారేజ్ కాళ్ళు కలిగి ఉంది. [27] వుడ్స్ బీ-తప్పనిసరి పున es రూపకల్పనను ఇలా సంగ్రహించారు: "ఒక దెబ్బ వద్ద 121 పరిమాణం, శక్తి మరియు పరిధి పరంగా ఎమస్క్యులేట్ చేయబడింది". [16] బీ యొక్క అభ్యర్థన తరువాత ఆరు నెలల తరువాత, డి హవిలాండ్ మరియు విమానయాన సంస్థ తగ్గించబడిన dh.121 పై ఒక ఒప్పందానికి వచ్చారు. [16] 1960 ప్రారంభంలో దాని మార్గదర్శక ఏవియానిక్‌లతో సహా అభివృద్ధి చెందుతున్న విమానాల వివరాలు ప్రజలకు ప్రకటించబడ్డాయి. [28] ఈ సవరించిన విమానం BEA చివరికి 24 ఆగస్టు 1959 న ఆదేశించింది, ప్రారంభంలో 24 ఉదాహరణలలో 12 ఎంపికలు ఉన్నాయి. [29] సెప్టెంబర్ 1960 లో, ఫర్న్‌బరో ఎయిర్‌షోలో భవిష్యత్ విమానాల పేరు ట్రైడెంట్ ప్రకటించబడింది; ఈ పేరు దాని అప్పటి యుNEIQUE త్రీ-జెట్, ట్రిపుల్-హైడ్రాలిక్ కాన్ఫిగరేషన్ యొక్క ప్రతిబింబంగా ఎంపిక చేయబడింది. [30] 1960 నాటికి, డి హవిలాండ్‌ను హాకర్ సిడ్లీ గ్రూప్ కొనుగోలు చేసింది. [31] డి హవిలాండ్ స్వాధీనం తరువాత, ఎయిర్కో రద్దు చేయబడింది. కొత్తగా ఏర్పడిన బ్రిటిష్ ఎయిర్క్రాఫ్ట్ కార్పొరేషన్ (BAC) లో వేటను మార్షల్ చేశారు; వారి నిష్క్రమణ వేట 107 (తరువాత BAC వన్-ఎలెవెన్) డుహెచ్ .121 తో పాటు అదే విమానాల కుటుంబంలో పరిపూరకరమైన, చిన్న సభ్యునిగా విక్రయించబడుతోంది. వెస్ట్‌ల్యాండ్ విమానాలలో పాక్షికంగా విలీనం చేయబడిన ఫెయిరీ ఏవియేషన్, 121 ప్రాజెక్టును కూడా విడిచిపెట్టింది. [N 3] హాకర్ సిడ్లీ ఏవియేషన్‌కు వెళ్లడంతో, ఈ హోదా చివరికి HS 121 కు సవరించబడింది. బోయింగ్ 727 కు వ్యతిరేకంగా ట్రైడెంట్ యొక్క పోటీతత్వానికి హాని కలిగించిన స్పెసిఫికేషన్‌కు బీ యొక్క మార్పుల ద్వారా. ప్రత్యర్థి బోయింగ్ 727 త్వరగా త్రిశూలంపై ఆధిక్యాన్ని సాధించింది. [32] 727 యొక్క ప్రారంభ ఆధిక్యం తరువాతి పోటీలలో మాత్రమే బలోపేతం చేసింది; అటువంటి ఒక ఉదాహరణ ట్రాన్స్ ఆస్ట్రేలియా ఎయిర్‌లైన్స్, ఇది ట్రైడెంట్ బోయింగ్ 727 కంటే కార్యాచరణ దృక్కోణం నుండి ఉన్నతమైనదని నిర్ణయించింది, అయితే అన్సెట్ ఆస్ట్రేలియా వంటి ప్రత్యర్థి విమానయాన సంస్థల నుండి వేరే విమానాలను ఎంచుకోవడం వాణిజ్యపరంగా ప్రమాదకరమని కూడా భావించబడింది, ఇది ఉంది ఇప్పటికే 727 ను ఎంచుకున్నారు. [33] 1972 లో, దాని యూనిట్ ఖర్చు US $ 7.8M. [34] 1975 నాటికి, 117 ట్రిడెంట్లు మాత్రమే 1,000 727 లకు పైగా అమ్ముడయ్యాయి. [35] వుడ్స్ ప్రకారం, ట్రిడెంట్‌ను 727 ను పట్టుకోవటానికి ఒక ముఖ్యమైన అవకాశం 1960 లలో సముద్రపు పెట్రోలింగ్ విమానాల కోసం రెండు పోటీల రూపంలో కోల్పోయింది; లాక్హీడ్ పి -2 నెప్ట్యూన్ మరియు ఎయిర్ స్టాఫ్ అవసరం 381 ను భర్తీ చేయడానికి నాటో డిజైన్ పోటీ, ఇది రాయల్ ఎయిర్ ఫోర్స్ పిస్టన్-ఇంజిన్ అవ్రో షాక్లెటన్ కోసం భర్తీ చేయమని కోరింది. [35] ప్రతిస్పందనగా ఉత్పత్తి చేయబడిన వివిధ సమర్పణలలో, హాకర్ సిడ్లీ గ్రూపులో భాగమైన అవ్రో చేత బిడ్ ఉంది, దీనిని అవ్రో 776 గా నియమించారు. ప్రతిపాదిత అవ్రో 776 ట్రైడెంట్ యొక్క ఫ్యూజ్‌లేజ్‌ను పున es రూపకల్పన చేసిన మరియు విస్తరించిన రెక్కలతో మరింత శక్తివంతమైన రోల్స్‌తో జత చేసింది. -రోయిస్ RB178 ఇంజన్లు 16,300 lb థ్రస్ట్ చేయగలవు. [36] మారిటైమ్ పెట్రోలింగ్ అవసరంతో పాటు, 103-సీట్ల ట్రూప్ ట్రాన్స్‌పోర్ట్‌తో సహా వివిధ సైనిక పాత్రలలో ఈ విమానం ఉపయోగించవచ్చని అవ్రో ed హించాడు మరియు నాలుగు గామ్ -87 స్కైబోల్ట్ ఎయిర్-లాంచ్ బాలిస్టిక్ క్షిపణులను అణుగా- సాయుధమయ్యాయి- సాయుధ బాంబర్. [37] అవ్రో యొక్క ప్రతిపాదనలతో పాటు, ఆర్మ్‌స్ట్రాంగ్ విట్‌వర్త్ ట్రైడెంట్ యొక్క వారి స్వంత సైనిక వైవిధ్యాలను కూడా ప్రతిపాదించారు. [37] AVRO 776 యొక్క తరువాత పునర్విమర్శలు కొత్త టర్బోఫాన్, రోల్స్ రాయిస్ RB211 కోసం RB.178 ఇంజిన్‌ను ప్రత్యామ్నాయం చేశాయి, రెండో అభివృద్ధి 776 యొక్క సేకరణకు మద్దతు ఇస్తుంది. [38] రోల్స్ రాయిస్ లిమిటెడ్, ట్రైడెంట్ యొక్క పున es రూపకల్పన తరువాత మెడ్వే యొక్క అభివృద్ధిని కలిగి ఉన్నందున, 10,000 ఎల్బి స్పై ఇంజిన్ మరియు 20,000 ఎల్బి రోల్స్ రాయిస్ కాన్వే ఇంజిన్ మధ్య స్లాట్ చేయడానికి ఇంజిన్‌ను అభివృద్ధి చేయడానికి ఆసక్తిగా ఉంది; అటువంటి ఇంజిన్ ఉత్పత్తి చేయబడితే, అది సివిల్ ట్రైడెంట్ యొక్క కొత్త వెర్షన్లను కలిగి ఉండవచ్చు. స్పై కంటే ఎక్కువ థ్రస్ట్‌ను అందించగల మరింత సమర్థవంతమైన ఇంజిన్‌తో అమర్చబడి, విస్తరించిన ఫ్యూజ్‌లేజ్ కూడా అవలంబించవచ్చు మరియు ఇప్పటికే ఉన్న ల్యాండింగ్ పరిమితులు విస్మరించబడవచ్చు; మొత్తంమీద, ట్రైడెంట్ 727 కి చాలా దగ్గరగా ఉండేది. [39] వుడ్ ఈ కాబోయే అభివృద్ధి యొక్క ప్రాముఖ్యతను ఇలా సంగ్రహించాడు: "ట్రైడెంట్ ప్రోగ్రాం కోసం, RB.177 ఒక దేవుడు పంపేది". [40] ఒకానొక సమయంలో, అవ్రో 776 RAF యొక్క కొత్త మారిటైమ్ పెట్రోల్ విమానంగా ఎంపిక చేయవలసిన పోటీని గెలుచుకోవడానికి సిద్ధంగా ఉంది. [41] ఖర్చులను తగ్గించాలనే కోరిక కారణంగా, RAF పూర్తిగా కొత్త కార్యాచరణ అవసరాన్ని జారీ చేయాలని నిర్ణయించింది, దీని కింద వేగం, ఓర్పు మరియు సామర్థ్యం కోసం డిమాండ్లు అన్నీ తగ్గిపోయాయి. మార్పుల ఫలితంగా, డిజైన్ బృందాన్ని గుర్తుచేసుకున్నారు మరియు అవ్రో 776 కొత్త ప్రతిపాదన కోసం పూర్తిగా పక్కన పెట్టబడింది. [41] ఈ కొత్త ప్రతిపాదన, డి హవిలాండ్ కామెట్ యొక్క ఫ్యూజ్‌లేజ్ ఆధారంగా, ట్రైడెంట్ సేవ్ తో దాని ప్రస్తుత స్పై ఇంజిన్ల ఉపయోగం కోసం పెద్దగా సంబంధం లేదు; ఇది హాకర్ సిడ్లీ నిమ్రోడ్ గా ఎంపిక చేయబడి, సేకరించబడుతుంది. ఈ నష్టం ఫలితంగా, విస్తరించిన, అధిక-శక్తి త్రిశూలం యొక్క అవకాశాలు సమర్థవంతంగా ఆవిరైపోయాయి. [41] డి హవిలాండ్‌ను గ్రహించిన హాకర్ సిడ్లీ ఏవియేషన్, ట్రైడెంట్ కోసం అదనపు కస్టమర్లు అవసరం, కాబట్టి 1960 లో అమెరికన్ ఎయిర్‌లైన్స్ (AA) తో చర్చలు జరిపారు. AA విమానం మొదట్లో ఉన్నదానికంటే ఎక్కువ పరిధిని అభ్యర్థించింది, దీని అర్థం అసలు DH121 డిజైన్ ఉంటుంది దాని అవసరాలను దాదాపుగా నెరవేర్చింది. ప్రతిస్పందనగా, డిజైన్ కొత్త ట్రైడెంట్ 1 ఎపై ప్రారంభమైంది, ఇది 10,700 ఎల్బిఎఫ్ (47.6 కెఎన్) థ్రస్ట్ యొక్క అప్-రేటెడ్ రోల్స్ రాయిస్ స్పే 510 ఇంజన్లతో, మరియు ఎక్కువ ఇంధనంతో పెద్ద రెక్క, స్థూల బరువును 120,000 ఎల్బి (54,000 కిలోలు) మరియు 1,800 మైళ్ళు (2,900 కిమీ) వరకు ఉంటుంది, కాని చివరికి AA విమానాన్ని బోయింగ్ 727 కు అనుకూలంగా తిరస్కరించింది. ఈ మార్పులలో కొన్ని అసలు ప్రోటోటైప్‌లో చేర్చబడ్డాయి మరియు దీనికి ట్రైడెంట్ 1 సి అని పేరు మార్చారు. ప్రధాన వ్యత్యాసం రెక్క యొక్క మధ్య విభాగంలో పెద్ద ఇంధన ట్యాంక్, బరువులు 115,000 పౌండ్లు (52,000 కిలోలు), మరియు 1,400 మైళ్ళు (2,300 కిమీ) వరకు ఉంటాయి. మొట్టమొదటి ట్రైడెంట్ 1, జి-ఆర్పా, 9 జనవరి 1962 న హాట్ఫీల్డ్ ఏరోడ్రోమ్ నుండి తొలి విమాన ప్రయాణం చేసింది. [42] ట్రైడెంట్ ఆల్-మెటల్ నిర్మాణం యొక్క జెట్ ఎయిర్‌లైనర్, టి-టెయిల్ మరియు తక్కువ-మౌంటెడ్ వింగ్ 35 డిగ్రీల క్వార్టర్-తీగ స్వీప్‌బ్యాక్‌తో. ఇది మూడు వెనుక-మౌంటెడ్ ఇంజన్లను కలిగి ఉంది: రెండు సైడ్-ఫ్యూజ్‌లేజ్ పాడ్‌లలో, మరియు మూడవది ఫ్యూజ్‌లేజ్ టెయిల్‌కోన్‌లో, ఎస్-ఆకారపు తీసుకోవడం వాహికతో. ఒక సంస్కరణ, 3 బి, నాల్గవ "బూస్ట్" ఇంజిన్‌ను ప్రధాన ఎస్-డక్ట్ పైన ప్రత్యేక తీసుకోవడం వాహికతో కలిగి ఉంది. అన్ని వెర్షన్లు రోల్స్ రాయిస్ స్పే యొక్క సంస్కరణల ద్వారా శక్తిని కలిగి ఉన్నాయి, అయితే బూస్ట్ ఇంజిన్ రోల్స్ రాయిస్ RB162, మొదట VTOL అనువర్తనాల కోసం లిఫ్ట్ ఇంజిన్‌గా ఉద్దేశించబడింది. ఈ త్రిశూలం వేగవంతమైన సబ్సోనిక్ వాణిజ్య విమానాలలో ఒకటి, 610 mph (980 కిమీ/గం) వద్ద ప్రయాణించడం. సేవలోకి ప్రవేశించినప్పుడు దాని క్రూయిజ్ మాక్ సంఖ్య 0.88/ 380 kn ias. అధిక వేగం కోసం రూపొందించబడింది, క్లిష్టమైన మాక్ సంఖ్య 0.93 తో, [43] రెక్కలు తక్కువ వేగంతో సాపేక్షంగా పరిమిత లిఫ్ట్‌ను ఉత్పత్తి చేశాయి. ఇది, మరియు విమానం యొక్క తక్కువ థ్రస్ట్-టు-బరువు నిష్పత్తి, సుదీర్ఘ టేకాఫ్ పరుగులకు పిలుపునిచ్చింది. ఏదేమైనా, ట్రైడెంట్ బీ యొక్క 6,000 అడుగుల (1,800 మీ) క్షేత్ర పొడవు ప్రమాణాన్ని నెరవేర్చాడు మరియు దాని సాపేక్షంగా స్థిరమైన ఎయిర్ఫీల్డ్ పనితీరు బోయింగ్ 727 మరియు తరువాత జెట్ వైమానిక సంస్థల సేవలోకి రాకముందే సరిపోతుందని భావించారు, 4,500 అడుగుల (1,400 మీ) క్షేత్ర పొడవు ప్రమాణం. 44] ఏరోడైనమిక్స్ మరియు వింగ్లను రిచర్డ్ క్లార్క్సన్ నేతృత్వంలోని బృందం అభివృద్ధి చేసింది, తరువాత అతను ఎయిర్‌బస్ A300 యొక్క వింగ్ కోసం ట్రైడెంట్ వింగ్ డిజైన్‌ను ప్రాతిపదికగా ఉపయోగిస్తాడు; ట్రైడెంట్ కోసం అతను 1969 లో ముల్లార్డ్ అవార్డును గెలుచుకున్నాడు. త్రిశూల సాధారణ సంతతి రేటు 4500 అడుగుల/నిమి (23 మీ/సె) వరకు ఉంది. 10,000 అడుగుల/నిమి వరకు అత్యవసర అవరోహణలలో, రివర్స్ థ్రస్ట్‌ను ఉపయోగించడం అనుమతించబడింది. 280 kN IAS క్రింద, ఎయిర్ బ్రేక్ గా ఉపయోగం కోసం ప్రధాన ల్యాండింగ్ గేర్లను విస్తరించడం కూడా సాధ్యమైంది. ట్రైడెంట్ యొక్క మొదటి సంస్కరణ, ట్రైడెంట్ 1 సి, టచ్డౌన్‌కు ముందు రివర్స్ థ్రస్ట్‌ను ఉపయోగించుకునే అసాధారణ సామర్థ్యాన్ని కలిగి ఉంది. రివర్సర్ బకెట్లను తెరవడానికి మంట మరియు రివర్స్ ఐడిల్ సెట్‌లో థొరెటల్స్ మూసివేయబడతాయి. పైలట్ అభీష్టానుసారం, పూర్తి రివర్స్ థ్రస్ట్ వరకు టచ్‌డౌన్‌కు ముందు ఉపయోగించవచ్చు. ఇది హైడ్రోప్లానింగ్ తగ్గించడానికి మరియు తడి లేదా జారే రన్‌వేలపై చాలా తక్కువ ల్యాండింగ్ పరుగులు ఇవ్వడానికి సహాయపడింది, అయితే వీల్ బ్రేక్ సామర్థ్యాన్ని కాపాడుతుంది మరియు వీల్ బ్రేక్ ఉష్ణోగ్రతను తక్కువగా ఉంచడం. డన్‌లాప్ మాక్సారెట్ యాంటీ-స్కిడ్ సిస్టమ్‌తో బ్రేక్‌లను అమర్చారు. త్రిశూలం సంక్లిష్టమైన, అధునాతన మరియు సమగ్ర ఏవియానిక్స్ ఫిట్ కలిగి ఉంది, ఇది సేవలో విజయవంతమైంది. ఇది హాకర్ సిడ్లీ మరియు స్మిత్స్ విమాన పరికరాలు అభివృద్ధి చేసిన పూర్తిగా ఆటోమేటిక్ బ్లైండ్ ల్యాండింగ్ వ్యవస్థను కలిగి ఉంది. [12] [45] ఇది ఎయిర్‌ఫీల్డ్ విధానం, మంట, టచ్‌డౌన్ మరియు ల్యాండింగ్ రన్‌వే నుండి రోల్-అవుట్ సమయంలో విమానానికి స్వయంచాలకంగా మార్గనిర్దేశం చేయగలదు. ఈ వ్యవస్థ 1970 నాటికి ఆటోలాండ్‌ను అందించడానికి ఉద్దేశించబడింది. ఈ కార్యక్రమంలో, 10 జూన్ 1965 [46] 4 నవంబర్ 1966 న సేవ. [42] [47] [48] పొగమంచులో దిగగల సామర్థ్యం లండన్ హీత్రో మరియు ఇతర బ్రిటిష్ విమానాశ్రయాలలో ఒక పెద్ద సమస్యను పరిష్కరించింది. వర్గం 1 (పిల్లి 1 = 200 అడుగులు (61 మీ) నిర్ణయ ఎత్తు మరియు 600 మీటర్ల రన్వే విజువల్ రేంజ్ RVR) ఇన్స్ట్రుమెంట్ ల్యాండింగ్ సిస్టమ్ (ILS) వాడుకలో ఉన్నప్పుడు ఆలస్యం సాధారణం. ట్రైడెంట్ యొక్క ఆటోలాండ్ వ్యవస్థ దిగువ ల్యాండింగ్ మినిమా వాడకాన్ని ప్రారంభించింది, ప్రారంభంలో వర్గం 2 (100 అడుగుల నిర్ణయ ఎత్తు మరియు 400 మీటర్ల RVR) మరియు "జీరో-జీరో" (వర్గం 3 సి) పరిస్థితుల తరువాత. ట్రైంట్స్ తగిన ఐఎల్ఎస్ సంస్థాపనలతో కూడిన ఎయిర్‌ఫీల్డ్‌లకు సురక్షితంగా పనిచేయగలవు కాబట్టి, అవి వాతావరణంతో సంబంధం లేకుండా షెడ్యూల్‌లను నిర్వహించగలవు, ఇతర విమానాలు మళ్లించవలసి వచ్చింది. [47] ట్రైడెంట్ యొక్క అధునాతన ఏవియానిక్స్ సెంటర్ ఇన్స్ట్రుమెంట్ ప్యానెల్‌లో కదిలే మ్యాప్ డిస్ప్లేలో భూమికి సంబంధించి విమానం యొక్క క్షణిక స్థానాన్ని ప్రదర్శించింది. ఈ ఎలక్ట్రో-మెకానికల్ పరికరం మోటారు-నడిచే కాగితం మ్యాప్‌లో స్టైలస్ ప్లాటింగ్‌ను ఉపయోగించి విమానం యొక్క ట్రాక్‌ను కూడా రికార్డ్ చేసింది. స్థాన సమాచారం డాప్లర్ నావిగేషన్ సిస్టమ్ ద్వారా ఇవ్వబడింది, ఇది గ్రౌండ్‌స్పీడ్ మరియు డ్రిఫ్ట్ డేటాను చదివింది, ఇది హెడింగ్ డేటాతో పాటు, స్టైలస్‌ను నడిపించింది. త్వరిత యాక్సెస్ ఫ్లైట్ డేటా రికార్డర్‌తో అమర్చిన మొదటి విమానాలు ట్రైడెంట్. ఇది 13 వేరియబుల్స్‌ను శాంపిల్ చేసింది, వాటిని డిజిటల్ ఫార్మాట్‌గా మార్చింది మరియు వాటిని గ్రౌండ్ విశ్లేషణ కోసం మాగ్నెటిక్ టేప్‌లో నిల్వ చేసింది. [49] మొదటి ట్రైడెంట్ 1 ఏప్రిల్ 1964 న సేవలోకి ప్రవేశించాడు. [42] 1965 నాటికి, 15 మంది ట్రిడెంట్స్ బీస్ ఫ్లీట్‌లో ఉన్నారు, మరియు మార్చి 1966 నాటికి, ఈ నౌకాదళం 21 కి పెరిగింది. హాకర్ సిడ్లీ అప్పుడు మెరుగైన 1 సి, ట్రైడెంట్ 1 ఇ ప్రతిపాదించాడు. ఇది 11,400 ఎల్బిఎఫ్ (50.7 కెఎన్) స్పే 511 లు, 128,000 ఎల్బి (58,000 కిలోల) స్థూల బరువు, తీగను విస్తరించడం ద్వారా వింగ్ ప్రాంతం, మరియు అదే ఫ్యూజ్‌లేజ్‌ను కలిగి ఉంటుంది, కానీ ఆరు- విపరీతమైన కాన్ఫిగరేషన్. ఈ స్పెసిఫికేషన్ 1C ను అసలు DH121 యొక్క పెద్ద భావనకు దగ్గరగా తీసుకుంది, కాని 7,000 LBF (31 kN) తక్కువ థ్రస్ట్‌తో. కొత్త డిజైన్ యొక్క కొన్ని అమ్మకాలు మాత్రమే తయారు చేయబడ్డాయి, కువైట్ ఎయిర్‌వేస్ మరియు ఇరాకీ ఎయిర్‌వేస్ కోసం మూడు, పాకిస్తాన్ ఇంటర్నేషనల్ ఎయిర్‌లైన్స్ కోసం నాలుగు (తరువాత CAAC కి విక్రయించబడ్డాయి), రెండు ఛానల్ ఎయిర్‌వేస్ మరియు ఈశాన్య విమానయాన సంస్థలకు మరియు ఒకటి ఎయిర్ సిలోన్. ఛానల్ ఎయిర్‌వేస్ విమానాలు ఇరుకైనవి, 21 ఇన్ (53 సెం.మీ) సీట్ పిచ్, [సైటేషన్ అవసరం] ఫార్వర్డ్ విభాగంలో ఏడు-అబ్రియాస్ట్ సీటింగ్, 149 మంది ప్రయాణికులు కూర్చున్నారు. ఈ సమయంలో, బీ ట్రైడెంట్ తన ఎప్పటికప్పుడు విస్తరిస్తున్న మార్గాలకు చాలా తక్కువ కాళ్ళతో ఉందని, ఇంకా ఎక్కువ కాలం ఉన్న సంస్కరణ అవసరమని నిర్ణయించుకున్నాడు. హాకర్ సిడ్లీ మరొక అప్‌గ్రేడ్ నియమించబడిన ట్రైడెంట్ 1 ఎఫ్‌తో స్పందించాడు. ఇది స్పై 511 ఇంజన్లు, 2.8 మీ. బీ 10 1 ఎఫ్ఎస్, ఇంకా 14 విమానాల కోసం ఒక ఎంపికను కొనుగోలు చేయాలని అనుకున్నాడు. 1F లో పని కొనసాగుతున్నప్పుడు మార్పులు చాలా విస్తృతంగా మారాయి, దీనికి విస్తరించిన పరిధి కోసం ట్రైడెంట్ 2E, E గా పేరు మార్చబడింది. ఇప్పుడు 11,930 ఎల్బిఎఫ్ (53.1 కెఎన్ఎస్) థ్రస్ట్‌తో కొత్త స్పే 512 లతో నడిచేది, ఇది వింగ్ లీడింగ్-ఎడ్జ్ డ్రూప్ ఫ్లాప్‌లను స్లాట్‌లతో భర్తీ చేసింది మరియు కోచెమాన్-స్టైల్ చిట్కాలతో స్పాన్ విస్తరించింది. [సైటేషన్ అవసరం] దీనికి 142,400 ఎల్బి స్థూల బరువు ఉంది ( 64,600 కిలోలు) మరియు 2,000 మైళ్ళు (3,200 కిలోమీటర్లు) పరిధి. బీ 15, [50] ను కొనుగోలు చేయగా, రెండు సైప్రస్ ఎయిర్‌వేస్ కొనుగోలు చేశారు. CAAC, చైనీస్ నేషనల్ ఎయిర్లైన్స్ 33 ను కొనుగోలు చేసింది. ఈ సంస్కరణ యొక్క మొదటి ఫ్లైట్ 27 జూలై 1967 న జరిగింది మరియు ఇది ఏప్రిల్ 1968 లో BEA తో సేవలోకి ప్రవేశించింది. . హాకర్ సిడ్లీ 1965 లో రెండు కొత్త డిజైన్లను అందించాడు: 158-సీట్ల రెండు ఇంజిన్ విమానం లేకపోతే HS132 అని పిలువబడే త్రిశూలం మాదిరిగానే; మరియు 185-సీట్ల HS134, ఇది రెక్కల క్రింద ఇంజిన్లను తరలించింది, ఇది బోయింగ్ 737 కు సమానమైన డిజైన్. రెండూ ఆ సమయంలో అభివృద్ధి చెందుతున్న కొత్త హై-బైపాస్ ఇంజిన్ ద్వారా శక్తినివ్వాలి, రోల్స్ రాయిస్ RB178. BEA బదులుగా BAC 1–11 మరియు ట్రైడెంట్ రెండింటి పాత్రలను పూరించడానికి బోయింగ్ 727 మరియు 737 లను ఎంచుకుంది, అయితే ఈ ప్రణాళికను బ్రిటిష్ ప్రభుత్వం వీటో చేసింది. బీ హాకర్ సిడ్లీకి తిరిగి వచ్చి బేసిక్ ట్రైడెంట్ యొక్క విస్తరించిన సంస్కరణను ఎంచుకున్నాడు, ట్రైడెంట్ 3. 5 మీ (16 అడుగుల 5 అంగుళాలు) ఫ్యూజ్‌లేజ్ స్ట్రెచ్ 180 మంది ప్రయాణీకులకు గదిని తయారు చేసింది; హాకర్ సిడ్లీ స్థూల బరువును 143,000 పౌండ్లు (65,000 కిలోలు) కు పెంచింది మరియు దాని తీగను పెంచడానికి రెక్కకు మార్పులు చేసింది; ఇంజన్లు అలాగే ఉన్నాయి. ట్రైడెంట్ 2 ఇతో అనుభవించిన ఇటువంటి సమస్యల దృష్ట్యా, "వేడి మరియు అధిక" పరిస్థితులలో తగినంతగా పని చేయలేకపోతున్నట్లు బీ డిజైన్‌ను తిరస్కరించారు. స్పై 512 స్పై లైన్‌లో చివరిది కాబట్టి, అదనపు థ్రస్ట్ పొందడం కష్టం. మూడు ఇంజిన్లను పూర్తిగా భిన్నమైన రకంతో భర్తీ చేయడానికి ప్రయత్నించే బదులు, తోకలో ఖననం చేయబడిన ఒక ఇంజిన్‌తో కష్టతరమైనది, హాకర్ సిడ్లీ యొక్క ఇంజనీర్లు తోకలో నాల్గవ ఇంజిన్‌ను జోడించాలని నిర్ణయించుకున్నారు, చిన్న రోల్స్ రాయిస్ RB162 టర్బోజెట్, నుండి తినిపించింది ఒక జత కదిలే తలుపుల వెనుక దాని స్వంత తీసుకోవడం. టేకాఫ్ కోసం ఇంజిన్ 15% ఎక్కువ థ్రస్ట్‌ను జోడించింది, అదే సమయంలో 5% ఎక్కువ బరువును మాత్రమే జోడిస్తుంది మరియు అవసరమైనప్పుడు మాత్రమే ఇది ఉపయోగించబడుతుంది. బీ ఈ డిజైన్‌ను ట్రైడెంట్ 3 బిగా అంగీకరించింది మరియు 26 ను ఆదేశించింది. మొదటి ఫ్లైట్ 11 డిసెంబర్ 1969 న మరియు విమానం 1 ఏప్రిల్ 1971 న సేవలోకి ప్రవేశించింది. అదనపు ఇంధన సామర్థ్యం యొక్క అదనంగా సూపర్ ట్రైడెంట్ 3 బి ఏర్పడింది. ట్రైడెంట్ కొన్ని కీలక ఎగుమతి అమ్మకాలను, ముఖ్యంగా చైనాకు అనుభవించాడు. బ్రిటన్ మరియు పీపుల్స్ రిపబ్లిక్ ఆఫ్ చైనా మధ్య సంబంధాలు కరిగిపోయిన తరువాత, చైనా అనేక కొనుగోలు ఒప్పందాలను పూర్తి చేసింది మరియు చివరికి 35 మందికి పైగా త్రిశూయంలు అమ్ముడయ్యాయి. [51] [52] 1977 లో, బ్రిటిష్ ఎయిర్‌వేస్ యొక్క రెక్కల రెక్కలలో అలసట పగుళ్లు కనుగొనబడ్డాయి. ఈ విమానం తిరిగి తయారీదారుకు పంపబడింది మరియు మరమ్మతులు చేయబడింది, తరువాత సేవకు తిరిగి వచ్చింది. [53] ట్రైడెంట్ ముగింపు యొక్క ప్రారంభం 1980 ల ప్రారంభంలో వచ్చింది, ఎందుకంటే ICAO శబ్దం నిబంధనలను రూపొందించడం ప్రారంభించింది, దీనికి ఇంజిన్లకు హుష్ కిట్లకు సరిపోయేలా మొదటి మరియు రెండవ తరం జెట్ విమానాలు అవసరం. ఈ నిబంధనలు 1 జనవరి 1986 నుండి అమల్లోకి వస్తాయి. టైప్ యొక్క ప్రధాన ఆపరేటర్ బ్రిటిష్ ఎయిర్‌వేస్, అవసరమైన రీఫిట్‌లను ఆచరణీయంగా లేదని చూశారు మరియు బదులుగా 1985 లో ట్రైడెంట్‌ను వారి విమానాల నుండి తొలగించడానికి ఎంచుకున్నారు. చైనాలో ట్రైడెంట్ సేవలు 1995 లో ముగిశాయి, మార్కింగ్ సేవ నుండి దాని శాశ్వత పదవీ విరమణ. [54] 117 ట్రిడెంట్లు మాత్రమే ఉత్పత్తి చేయబడ్డాయి మరియు ఇకపై సేవలో లేవు. దీనికి విరుద్ధంగా, 1832 బోయింగ్ 727 విమానాలు (ట్రైడెంట్ యొక్క అసలు స్పెసిఫికేషన్‌కు రూపొందించబడ్డాయి) నిర్మించబడ్డాయి మరియు చివరిది 2019 వరకు ప్రయాణీకుల సేవలో కొనసాగింది. [55] పోల్చదగిన పాత్ర, కాన్ఫిగరేషన్ మరియు ERA సంబంధిత జాబితాల విమానం</v>
      </c>
      <c r="E91" s="1" t="s">
        <v>2009</v>
      </c>
      <c r="F91" s="1" t="s">
        <v>2010</v>
      </c>
      <c r="G91" s="1" t="str">
        <f>IFERROR(__xludf.DUMMYFUNCTION("GOOGLETRANSLATE(F:F, ""en"", ""te"")"),"ఇరుకైన-శరీర విమానాలు")</f>
        <v>ఇరుకైన-శరీర విమానాలు</v>
      </c>
      <c r="H91" s="1" t="s">
        <v>2011</v>
      </c>
      <c r="I91" s="1" t="s">
        <v>964</v>
      </c>
      <c r="J91" s="1" t="str">
        <f>IFERROR(__xludf.DUMMYFUNCTION("GOOGLETRANSLATE(I:I, ""en"", ""te"")"),"యునైటెడ్ కింగ్‌డమ్")</f>
        <v>యునైటెడ్ కింగ్‌డమ్</v>
      </c>
      <c r="L91" s="1" t="s">
        <v>2012</v>
      </c>
      <c r="M91" s="1" t="str">
        <f>IFERROR(__xludf.DUMMYFUNCTION("GOOGLETRANSLATE(L:L, ""en"", ""te"")"),"హాకర్ సిడ్లీ")</f>
        <v>హాకర్ సిడ్లీ</v>
      </c>
      <c r="N91" s="1" t="s">
        <v>2013</v>
      </c>
      <c r="R91" s="4">
        <v>22655.0</v>
      </c>
      <c r="S91" s="1">
        <v>117.0</v>
      </c>
      <c r="T91" s="1" t="s">
        <v>216</v>
      </c>
      <c r="AO91" s="4">
        <v>23468.0</v>
      </c>
      <c r="AQ91" s="1">
        <v>1995.0</v>
      </c>
      <c r="AS91" s="1" t="s">
        <v>2014</v>
      </c>
      <c r="AT91" s="1"/>
      <c r="AU91" s="1" t="s">
        <v>2015</v>
      </c>
      <c r="BG91" s="2"/>
      <c r="BW91" s="1" t="s">
        <v>2016</v>
      </c>
    </row>
    <row r="92">
      <c r="A92" s="1" t="s">
        <v>2017</v>
      </c>
      <c r="B92" s="1" t="str">
        <f>IFERROR(__xludf.DUMMYFUNCTION("GOOGLETRANSLATE(A:A, ""en"", ""te"")"),"ఫ్లెచర్ FU-24")</f>
        <v>ఫ్లెచర్ FU-24</v>
      </c>
      <c r="C92" s="1" t="s">
        <v>2018</v>
      </c>
      <c r="D92" s="1" t="str">
        <f>IFERROR(__xludf.DUMMYFUNCTION("GOOGLETRANSLATE(C:C, ""en"", ""te"")"),"ఫ్లెచర్ FU-24 అనేది న్యూజిలాండ్‌లో తయారు చేసిన వ్యవసాయ విమానం. ఏరియల్ టాప్‌డ్రెస్సింగ్ కోసం రూపొందించిన మొట్టమొదటి విమానంలో ఒకటి, ఫ్లెచర్ ఇతర వైమానిక అనువర్తనాల కోసం యుటిలిటీ విమానంగా మరియు స్కై డైవింగ్ కోసం కూడా ఉపయోగించబడింది. 1950 ల ప్రారంభంలో, న్యూజిల"&amp;"ాండ్ టాప్‌డ్రెస్సింగ్ ఆపరేటర్లు యు.ఎస్. ఫ్లెచర్ ఏవియేషన్ కార్పొరేషన్ కోసం పనిచేస్తున్న న్యూజిలాండ్ యుఎస్ ఏరోనాటికల్ ఇంజనీర్ మరియు లైట్ ఎయిర్క్రాఫ్ట్ i త్సాహికుడు జాన్ డబ్ల్యూ. అతని ఫ్లెచర్ FD-25 డిఫెండర్ మాదిరిగానే రెక్కల రూపకల్పనతో. థోర్ప్ దిశలో ఫ్లెచర్ "&amp;"ఏవియేషన్ కార్పొరేషన్ యొక్క జెరాల్డ్ బార్డెన్ చేత మరింత డిజైన్ పనులు జరిగాయి. [1] న్యూజిలాండ్ టాప్ డ్రెస్సింగ్ ఆపరేటర్ల బృందం డిజైన్ కోసం వంద కొనుగోలు ఎంపికలను సేకరించింది, ఇప్పుడు ఫ్లెచర్ FU-24 గా విక్రయించబడింది, డ్రాయింగ్ బోర్డు మరియు న్యూజిలాండ్ ఫార్మి"&amp;"ంగ్ కంపెనీ కేబుల్ ప్రైస్ కార్పొరేషన్ రెండు ప్రోటోటైప్‌ల నిర్మాణానికి నిధులు సమకూర్చింది (ఒకటి స్టాటిక్ స్ట్రెస్ పరీక్షల కోసం ఇది యు.ఎస్. ఫ్లెచర్ అనేది సాంప్రదాయిక లో-వింగ్ మోనోప్లేన్, ట్రైసైకిల్ అండర్ క్యారేజ్, వింగ్ ముందు పక్కపక్కనే సీటింగ్ మరియు హాప్పర్"&amp;" మరియు బయటి వింగ్ ప్యానెల్స్‌పై డైహెడ్రల్ అని ఉచ్ఛరిస్తారు. పోర్ట్ వైపు రెక్క యొక్క వెనుకంజలో ఉన్న ఎడ్జ్ యొక్క తలుపు కార్గో కంపార్ట్మెంట్కు ప్రాప్యతను అనుమతిస్తుంది. ఫ్లెచర్ యొక్క ఎయిర్ఫ్రేమ్ పూర్తిగా అల్యూమినియంతో నిర్మించబడింది, తుప్పును నివారించడానికి "&amp;"భారీగా చికిత్స పొందుతుంది. FU-24 C/N1 14 జూన్ 1954 న అమెరికాలో N6505C గా ఎగిరింది, తరువాత న్యూజిలాండ్‌కు రవాణా చేయడానికి విడదీయబడింది, అక్కడ అది ZK-BDS గా ఎగిరింది. ఈ అసలు నమూనా 225 హెచ్‌పి (168 కిలోవాట్) ఇంజిన్ మరియు ఓపెన్ కాక్‌పిట్ కలిగి ఉంది. ఉత్పత్తిన"&amp;"ి ప్రారంభించడానికి ముందు డిజైన్ పరివేష్టిత కాక్‌పిట్ మరియు మరింత శక్తివంతమైన 260 నుండి 310 హెచ్‌పి (230 కిలోవాట్) కాంటినెంటల్ ఇంజిన్‌లను జోడించడానికి మార్చబడింది. తరువాతి 70 విమానాలను న్యూజిలాండ్‌కు కిట్ రూపంలో పంపిణీ చేసి, హామిల్టన్ విమానాశ్రయంలో ఆపరేటర్"&amp;" జేమ్స్ ఏవియేషన్ మరియు తరువాత టాస్మాన్ ఎంపైర్ ఎయిర్‌వేస్ లిమిటెడ్ యొక్క మెకానిక్స్ బే ఫ్యాక్టరీలో కొత్త సంస్థ ఎయిర్ పార్ట్స్ (ఎన్‌జెడ్) లిమిటెడ్ ఒప్పందం ప్రకారం సమావేశమైంది. 1961 నుండి పూర్తి ఉత్పత్తిని స్థానికంగా గాలి భాగాలు చేపట్టాయి, తరువాత ఇది తరువాత "&amp;"AESL లో భాగమైంది. గాలి భాగాల ఉత్పత్తి సమయంలోనే వివరాల మెరుగుదలలు మరియు ద్వంద్వ నియంత్రణల ఎంపిక జోడించబడింది, ఇది FU-24 మార్క్ II గా మారింది. 257 వ విమానం తరువాత, ఇంజిన్‌ను 400 హెచ్‌పి (300 కిలోవాట్ల) లైమింగ్ ఐయో -720 అడ్డంగా వ్యతిరేక ఎనిమిది సిలిండర్ల ఇంజ"&amp;"ిన్‌కు మార్చారు (అంతకుముందు వందకు పైగా విమానాలు తిరిగి నిర్మించబడ్డాయి మరియు ఫ్యాక్టరీ చేత తిరిగి ఇంజిన్ చేయబడ్డాయి). 1967 లో, పిటి 6 టర్బోప్రాప్ వెర్షన్‌ను జేమ్స్ ఏవియేషన్ ZK-CTZ గా నిర్మించింది, 530 హెచ్‌పి (400 కిలోవాట్ వాయు సేవ. ఈ లేదా వాల్టర్ టర్బైన్"&amp;"‌లతో చాలా మందిని అన్వయించాయి, (మొదటి నమూనాతో సహా, ఇది ఇటీవల వరకు వాల్టర్‌తో ప్రయాణించింది). స్కోన్ (ఎన్‌ఎస్‌డబ్ల్యు ఆస్ట్రేలియా) ఆపరేటర్ ఎయిర్‌ప్యాస్టర్ చేత రెండు విమానాలను గారెట్ టిపిఇ 331-10 ఇంజిన్లుగా మార్చారు. ఈ విమానాలు అప్పటి నుండి అనేక వేల గంటలు సం"&amp;"ఘటన లేకుండా ఎగిరిపోయాయి. 1990 ల మధ్యలో ఆపరేటర్ ఫీల్డైర్ 550 హెచ్‌పిని ఉత్పత్తి చేసే టర్బోచార్జ్డ్ చిన్న బ్లాక్ చేవ్రొలెట్ 402 వి -8 తో ప్రయోగాలు చేసింది, అయినప్పటికీ ఈ ప్రాజెక్ట్ ఎగరడానికి ముందే రద్దు చేయబడింది, మరియు 2000 ల ప్రారంభంలో సూపర్ ఎయిర్ 550 హెచ"&amp;"్‌పి ఫోర్డ్ వి -8 డీజిల్ చేత శక్తితో కూడిన ఫ్లెచర్‌ను ఎగిరింది. ట్రయల్స్ పూర్తయిన తర్వాత వాల్టర్ టర్బైన్ స్థానంలో ఉంది. 2018 లో మరొక ఫ్లెచర్ ఎరుపు A03/V12 డీజిల్ ఇంజిన్‌తో అమర్చబడింది మరియు 2022 నాటికి ట్రయల్స్ కొనసాగుతున్నాయి [2] [3] [4]. ఫ్లెచర్‌కు కనీస"&amp;"ం పంతొమ్మిది వేర్వేరు ఇంజన్లు అమర్చబడ్డాయి [5]. 1970 ల మధ్యలో, పసిఫిక్ ఏరోస్పేస్ ఫ్లెచర్ డిజైన్ పునరాభివృద్ధి పరిమితులను చేరుకుందని నిర్ణయించింది మరియు పెద్ద మరియు బలమైన పాక్ క్రెస్కోను ప్రవేశపెట్టింది. ఇలాంటి ప్రదర్శన ఉన్నప్పటికీ ఇది కొన్ని భాగాలను పంచుక"&amp;"ున్నప్పటికీ, ఇది కొత్త విమానం. చాలా సంవత్సరాలుగా రెండింటి ఉత్పత్తిని పక్కపక్కనే ఉత్పత్తి చేస్తుంది, కాని ఈ రకం ఇప్పుడు ఉత్పత్తికి దూరంగా ఉంది, (కొత్త ఫ్లెచర్లు తయారీదారు నుండి నామమాత్రంగా అందుబాటులో ఉన్నాయి, అయితే సిరియాకు ఐదు బ్యాచ్ 1992 లో పూర్తయినప్పటి"&amp;" నుండి కొత్త విమానాలు నిర్మించబడలేదు ). ఫ్లెచర్ U.S. లో తయారీదారు పేరు అయినప్పటికీ మరియు విమానం FU-24 అని పిలువబడింది, కాలక్రమేణా ఈ రకాన్ని ఫ్లెచర్ అని పిలుస్తారు. ఫ్లెచర్లు ప్రపంచంలోని చాలా ప్రాంతాలకు విక్రయించబడ్డాయి, అయినప్పటికీ అవి యూరప్ మరియు యుఎస్ ల"&amp;"ో చాలా అరుదు. ఇరాక్, సుడాన్, సిరియా మరియు థాయ్‌లాండ్‌తో సహా అనేక అభివృద్ధి చెందుతున్న దేశాల నుండి ప్రభుత్వ ఆదేశాలు వచ్చాయి. ఫిబ్రవరి 2022 నాటికి 36 ఫ్లెచర్లు న్యూజిలాండ్ సివిల్ ఎయిర్క్రాఫ్ట్ రిజిస్టర్‌లో మరియు ఆస్ట్రేలియాలో 19 మందిని జాబితా చేయబడ్డాయి. ఒక"&amp;" ఉదాహరణ, C/N78 ZK-BYC, ఒక ప్రైవేట్ యజమాని న్యూజిలాండ్‌లోని గాలి విలువైన వారసత్వ విమానంగా నిర్వహిస్తుంది. మూడు ఉదాహరణలు న్యూజిలాండ్‌లోని ఏవియేషన్ మ్యూజియంలచే నిర్వహించబడుతున్నాయి: అదనంగా సి/ఎన్ 87 జెడ్‌కె-సిబిజి యొక్క అవశేషాలు వాంగనుయిలోని ఒక ప్రైవేట్ యజమా"&amp;"ని భవిష్యత్ స్టాటిక్ పునరుద్ధరణ కోసం జరుగుతాయి మరియు సి/ఎన్ 100 జెడ్‌కె-సికెఎ యొక్క కాక్‌పిట్ విభాగం ఉపయోగం కోసం పునరుద్ధరించబడుతోంది బ్లెన్‌హీమ్ సమీపంలోని రెన్విక్ వద్ద ఒక ప్రైవేట్ యజమాని ఫ్లైట్ సిమ్యులేటర్. జేన్ యొక్క అన్ని ప్రపంచ విమానాల నుండి డేటా 199"&amp;"3-94 [6] సాధారణ లక్షణాలు పనితీరు సంబంధిత అభివృద్ధి విమానం పోల్చదగిన పాత్ర, కాన్ఫిగరేషన్ మరియు ERA")</f>
        <v>ఫ్లెచర్ FU-24 అనేది న్యూజిలాండ్‌లో తయారు చేసిన వ్యవసాయ విమానం. ఏరియల్ టాప్‌డ్రెస్సింగ్ కోసం రూపొందించిన మొట్టమొదటి విమానంలో ఒకటి, ఫ్లెచర్ ఇతర వైమానిక అనువర్తనాల కోసం యుటిలిటీ విమానంగా మరియు స్కై డైవింగ్ కోసం కూడా ఉపయోగించబడింది. 1950 ల ప్రారంభంలో, న్యూజిలాండ్ టాప్‌డ్రెస్సింగ్ ఆపరేటర్లు యు.ఎస్. ఫ్లెచర్ ఏవియేషన్ కార్పొరేషన్ కోసం పనిచేస్తున్న న్యూజిలాండ్ యుఎస్ ఏరోనాటికల్ ఇంజనీర్ మరియు లైట్ ఎయిర్క్రాఫ్ట్ i త్సాహికుడు జాన్ డబ్ల్యూ. అతని ఫ్లెచర్ FD-25 డిఫెండర్ మాదిరిగానే రెక్కల రూపకల్పనతో. థోర్ప్ దిశలో ఫ్లెచర్ ఏవియేషన్ కార్పొరేషన్ యొక్క జెరాల్డ్ బార్డెన్ చేత మరింత డిజైన్ పనులు జరిగాయి. [1] న్యూజిలాండ్ టాప్ డ్రెస్సింగ్ ఆపరేటర్ల బృందం డిజైన్ కోసం వంద కొనుగోలు ఎంపికలను సేకరించింది, ఇప్పుడు ఫ్లెచర్ FU-24 గా విక్రయించబడింది, డ్రాయింగ్ బోర్డు మరియు న్యూజిలాండ్ ఫార్మింగ్ కంపెనీ కేబుల్ ప్రైస్ కార్పొరేషన్ రెండు ప్రోటోటైప్‌ల నిర్మాణానికి నిధులు సమకూర్చింది (ఒకటి స్టాటిక్ స్ట్రెస్ పరీక్షల కోసం ఇది యు.ఎస్. ఫ్లెచర్ అనేది సాంప్రదాయిక లో-వింగ్ మోనోప్లేన్, ట్రైసైకిల్ అండర్ క్యారేజ్, వింగ్ ముందు పక్కపక్కనే సీటింగ్ మరియు హాప్పర్ మరియు బయటి వింగ్ ప్యానెల్స్‌పై డైహెడ్రల్ అని ఉచ్ఛరిస్తారు. పోర్ట్ వైపు రెక్క యొక్క వెనుకంజలో ఉన్న ఎడ్జ్ యొక్క తలుపు కార్గో కంపార్ట్మెంట్కు ప్రాప్యతను అనుమతిస్తుంది. ఫ్లెచర్ యొక్క ఎయిర్ఫ్రేమ్ పూర్తిగా అల్యూమినియంతో నిర్మించబడింది, తుప్పును నివారించడానికి భారీగా చికిత్స పొందుతుంది. FU-24 C/N1 14 జూన్ 1954 న అమెరికాలో N6505C గా ఎగిరింది, తరువాత న్యూజిలాండ్‌కు రవాణా చేయడానికి విడదీయబడింది, అక్కడ అది ZK-BDS గా ఎగిరింది. ఈ అసలు నమూనా 225 హెచ్‌పి (168 కిలోవాట్) ఇంజిన్ మరియు ఓపెన్ కాక్‌పిట్ కలిగి ఉంది. ఉత్పత్తిని ప్రారంభించడానికి ముందు డిజైన్ పరివేష్టిత కాక్‌పిట్ మరియు మరింత శక్తివంతమైన 260 నుండి 310 హెచ్‌పి (230 కిలోవాట్) కాంటినెంటల్ ఇంజిన్‌లను జోడించడానికి మార్చబడింది. తరువాతి 70 విమానాలను న్యూజిలాండ్‌కు కిట్ రూపంలో పంపిణీ చేసి, హామిల్టన్ విమానాశ్రయంలో ఆపరేటర్ జేమ్స్ ఏవియేషన్ మరియు తరువాత టాస్మాన్ ఎంపైర్ ఎయిర్‌వేస్ లిమిటెడ్ యొక్క మెకానిక్స్ బే ఫ్యాక్టరీలో కొత్త సంస్థ ఎయిర్ పార్ట్స్ (ఎన్‌జెడ్) లిమిటెడ్ ఒప్పందం ప్రకారం సమావేశమైంది. 1961 నుండి పూర్తి ఉత్పత్తిని స్థానికంగా గాలి భాగాలు చేపట్టాయి, తరువాత ఇది తరువాత AESL లో భాగమైంది. గాలి భాగాల ఉత్పత్తి సమయంలోనే వివరాల మెరుగుదలలు మరియు ద్వంద్వ నియంత్రణల ఎంపిక జోడించబడింది, ఇది FU-24 మార్క్ II గా మారింది. 257 వ విమానం తరువాత, ఇంజిన్‌ను 400 హెచ్‌పి (300 కిలోవాట్ల) లైమింగ్ ఐయో -720 అడ్డంగా వ్యతిరేక ఎనిమిది సిలిండర్ల ఇంజిన్‌కు మార్చారు (అంతకుముందు వందకు పైగా విమానాలు తిరిగి నిర్మించబడ్డాయి మరియు ఫ్యాక్టరీ చేత తిరిగి ఇంజిన్ చేయబడ్డాయి). 1967 లో, పిటి 6 టర్బోప్రాప్ వెర్షన్‌ను జేమ్స్ ఏవియేషన్ ZK-CTZ గా నిర్మించింది, 530 హెచ్‌పి (400 కిలోవాట్ వాయు సేవ. ఈ లేదా వాల్టర్ టర్బైన్‌లతో చాలా మందిని అన్వయించాయి, (మొదటి నమూనాతో సహా, ఇది ఇటీవల వరకు వాల్టర్‌తో ప్రయాణించింది). స్కోన్ (ఎన్‌ఎస్‌డబ్ల్యు ఆస్ట్రేలియా) ఆపరేటర్ ఎయిర్‌ప్యాస్టర్ చేత రెండు విమానాలను గారెట్ టిపిఇ 331-10 ఇంజిన్లుగా మార్చారు. ఈ విమానాలు అప్పటి నుండి అనేక వేల గంటలు సంఘటన లేకుండా ఎగిరిపోయాయి. 1990 ల మధ్యలో ఆపరేటర్ ఫీల్డైర్ 550 హెచ్‌పిని ఉత్పత్తి చేసే టర్బోచార్జ్డ్ చిన్న బ్లాక్ చేవ్రొలెట్ 402 వి -8 తో ప్రయోగాలు చేసింది, అయినప్పటికీ ఈ ప్రాజెక్ట్ ఎగరడానికి ముందే రద్దు చేయబడింది, మరియు 2000 ల ప్రారంభంలో సూపర్ ఎయిర్ 550 హెచ్‌పి ఫోర్డ్ వి -8 డీజిల్ చేత శక్తితో కూడిన ఫ్లెచర్‌ను ఎగిరింది. ట్రయల్స్ పూర్తయిన తర్వాత వాల్టర్ టర్బైన్ స్థానంలో ఉంది. 2018 లో మరొక ఫ్లెచర్ ఎరుపు A03/V12 డీజిల్ ఇంజిన్‌తో అమర్చబడింది మరియు 2022 నాటికి ట్రయల్స్ కొనసాగుతున్నాయి [2] [3] [4]. ఫ్లెచర్‌కు కనీసం పంతొమ్మిది వేర్వేరు ఇంజన్లు అమర్చబడ్డాయి [5]. 1970 ల మధ్యలో, పసిఫిక్ ఏరోస్పేస్ ఫ్లెచర్ డిజైన్ పునరాభివృద్ధి పరిమితులను చేరుకుందని నిర్ణయించింది మరియు పెద్ద మరియు బలమైన పాక్ క్రెస్కోను ప్రవేశపెట్టింది. ఇలాంటి ప్రదర్శన ఉన్నప్పటికీ ఇది కొన్ని భాగాలను పంచుకున్నప్పటికీ, ఇది కొత్త విమానం. చాలా సంవత్సరాలుగా రెండింటి ఉత్పత్తిని పక్కపక్కనే ఉత్పత్తి చేస్తుంది, కాని ఈ రకం ఇప్పుడు ఉత్పత్తికి దూరంగా ఉంది, (కొత్త ఫ్లెచర్లు తయారీదారు నుండి నామమాత్రంగా అందుబాటులో ఉన్నాయి, అయితే సిరియాకు ఐదు బ్యాచ్ 1992 లో పూర్తయినప్పటి నుండి కొత్త విమానాలు నిర్మించబడలేదు ). ఫ్లెచర్ U.S. లో తయారీదారు పేరు అయినప్పటికీ మరియు విమానం FU-24 అని పిలువబడింది, కాలక్రమేణా ఈ రకాన్ని ఫ్లెచర్ అని పిలుస్తారు. ఫ్లెచర్లు ప్రపంచంలోని చాలా ప్రాంతాలకు విక్రయించబడ్డాయి, అయినప్పటికీ అవి యూరప్ మరియు యుఎస్ లో చాలా అరుదు. ఇరాక్, సుడాన్, సిరియా మరియు థాయ్‌లాండ్‌తో సహా అనేక అభివృద్ధి చెందుతున్న దేశాల నుండి ప్రభుత్వ ఆదేశాలు వచ్చాయి. ఫిబ్రవరి 2022 నాటికి 36 ఫ్లెచర్లు న్యూజిలాండ్ సివిల్ ఎయిర్క్రాఫ్ట్ రిజిస్టర్‌లో మరియు ఆస్ట్రేలియాలో 19 మందిని జాబితా చేయబడ్డాయి. ఒక ఉదాహరణ, C/N78 ZK-BYC, ఒక ప్రైవేట్ యజమాని న్యూజిలాండ్‌లోని గాలి విలువైన వారసత్వ విమానంగా నిర్వహిస్తుంది. మూడు ఉదాహరణలు న్యూజిలాండ్‌లోని ఏవియేషన్ మ్యూజియంలచే నిర్వహించబడుతున్నాయి: అదనంగా సి/ఎన్ 87 జెడ్‌కె-సిబిజి యొక్క అవశేషాలు వాంగనుయిలోని ఒక ప్రైవేట్ యజమాని భవిష్యత్ స్టాటిక్ పునరుద్ధరణ కోసం జరుగుతాయి మరియు సి/ఎన్ 100 జెడ్‌కె-సికెఎ యొక్క కాక్‌పిట్ విభాగం ఉపయోగం కోసం పునరుద్ధరించబడుతోంది బ్లెన్‌హీమ్ సమీపంలోని రెన్విక్ వద్ద ఒక ప్రైవేట్ యజమాని ఫ్లైట్ సిమ్యులేటర్. జేన్ యొక్క అన్ని ప్రపంచ విమానాల నుండి డేటా 1993-94 [6] సాధారణ లక్షణాలు పనితీరు సంబంధిత అభివృద్ధి విమానం పోల్చదగిన పాత్ర, కాన్ఫిగరేషన్ మరియు ERA</v>
      </c>
      <c r="E92" s="1" t="s">
        <v>2019</v>
      </c>
      <c r="F92" s="1" t="s">
        <v>2020</v>
      </c>
      <c r="G92" s="1" t="str">
        <f>IFERROR(__xludf.DUMMYFUNCTION("GOOGLETRANSLATE(F:F, ""en"", ""te"")"),"వ్యవసాయ విమానం")</f>
        <v>వ్యవసాయ విమానం</v>
      </c>
      <c r="H92" s="1" t="s">
        <v>2021</v>
      </c>
      <c r="L92" s="1" t="s">
        <v>2022</v>
      </c>
      <c r="M92" s="1" t="str">
        <f>IFERROR(__xludf.DUMMYFUNCTION("GOOGLETRANSLATE(L:L, ""en"", ""te"")"),"ఫ్లెచర్ ఏవియేషన్")</f>
        <v>ఫ్లెచర్ ఏవియేషన్</v>
      </c>
      <c r="N92" s="1" t="s">
        <v>2023</v>
      </c>
      <c r="O92" s="1" t="s">
        <v>2024</v>
      </c>
      <c r="P92" s="1" t="str">
        <f>IFERROR(__xludf.DUMMYFUNCTION("GOOGLETRANSLATE(O:O, ""en"", ""te"")"),"జాన్ థోర్ప్")</f>
        <v>జాన్ థోర్ప్</v>
      </c>
      <c r="Q92" s="1" t="s">
        <v>2025</v>
      </c>
      <c r="R92" s="4">
        <v>19889.0</v>
      </c>
      <c r="S92" s="1">
        <v>297.0</v>
      </c>
      <c r="T92" s="1" t="s">
        <v>2026</v>
      </c>
      <c r="U92" s="1" t="s">
        <v>2027</v>
      </c>
      <c r="AO92" s="1">
        <v>1954.0</v>
      </c>
      <c r="BG92" s="2"/>
      <c r="BU92" s="1" t="s">
        <v>2028</v>
      </c>
      <c r="BV92" s="1" t="str">
        <f>IFERROR(__xludf.DUMMYFUNCTION("GOOGLETRANSLATE(BU:BU, ""en"", ""te"")"),"క్రియాశీల సేవలో ఉత్పత్తి ఆగిపోయింది")</f>
        <v>క్రియాశీల సేవలో ఉత్పత్తి ఆగిపోయింది</v>
      </c>
    </row>
    <row r="93">
      <c r="A93" s="1" t="s">
        <v>2029</v>
      </c>
      <c r="B93" s="1" t="str">
        <f>IFERROR(__xludf.DUMMYFUNCTION("GOOGLETRANSLATE(A:A, ""en"", ""te"")"),"ఫ్లైట్‌స్టార్")</f>
        <v>ఫ్లైట్‌స్టార్</v>
      </c>
      <c r="C93" s="1" t="s">
        <v>2030</v>
      </c>
      <c r="D93" s="1" t="str">
        <f>IFERROR(__xludf.DUMMYFUNCTION("GOOGLETRANSLATE(C:C, ""en"", ""te"")"),"ఫ్లైట్‌స్టార్ అనేది సింగిల్ మరియు రెండు-సీట్ల, హై వింగ్, సింగిల్ ఇంజిన్డ్ కిట్ విమానాల యొక్క పెద్ద కుటుంబం, దీనిని కనెక్టికట్‌లోని సౌత్ వుడ్‌స్టాక్ యొక్క ఫ్లైట్‌స్టార్ స్పోర్ట్‌ప్లేన్స్ నిర్మించింది. 2009 లో, ఫ్లైట్ స్టార్ స్పోర్ట్‌ప్లాన్స్ వ్యాపారం గాయపడ"&amp;"ినప్పుడు 2009 లో హక్కులు, సాధనం మరియు భాగాల జాబితా యునీక్ ఇంటర్నేషనల్ ఆఫ్ చైనాకు విక్రయించబడ్డాయి. [1] [2] [3] [4] [5] [6] ఫ్లైట్‌స్టార్ డిజైనర్ టామ్ పిఘైని 1980 ల మధ్యలో యుఎస్ ఫార్ 103 అల్ట్రాలైట్ వెహికల్స్ కేటగిరీకి గరిష్టంగా 254 ఎల్బి (115 కిలోల) ఖాళీ "&amp;"బరువు అవసరంతో మొదటి ఫ్లైట్‌స్టార్‌ను నిర్మించారు. రెండు-సీట్ల ఫ్లైట్ స్టార్ II త్వరలో ఒక శిక్షకుడి పాత్రను పూరించడానికి అనుసరించింది. నమూనాలు త్వరగా వాణిజ్య విజయాలు అయ్యాయి మరియు ప్రాథమిక రూపకల్పన కాలక్రమేణా విస్తృతంగా అభివృద్ధి చేయబడింది. 2007 నాటికి 700"&amp;" కి పైగా సింగిల్ సీటర్లు అమ్ముడయ్యాయి. [1] [5] అన్ని నమూనాలు బోల్ట్‌లతో సమావేశమైన యానోడైజ్డ్ అల్యూమినియం గొట్టాల నుండి నిర్మించబడ్డాయి. ఫ్యూజ్‌లేజ్ కీల్ ట్యూబ్ నుండి సస్పెండ్ చేయబడింది, ఇది ముందు భాగంలో ఇంజిన్ను, వెనుక భాగంలో తోక మరియు రెక్కలు కూడా మౌంట్ "&amp;"చేస్తుంది. రెక్కలు స్ట్రట్-బ్రేస్డ్ మరియు జ్యూరీ స్ట్రట్లను ఉపయోగించుకుంటాయి. రెక్కలు మరియు తోక ఉపరితలాలు ముందస్తుగా కుట్టిన డాక్రాన్ ఎన్వలప్‌లలో ఉన్నాయి, ఇది నిర్మాణ సమయాన్ని తగ్గిస్తుంది. రెక్కలు పూర్తి-స్పాన్ ఐలెరాన్లను కలిగి ఉంటాయి, తోకలో సాంప్రదాయ ఎల"&amp;"ివేటర్లు మరియు చుక్కాని ఉన్నాయి. ల్యాండింగ్ గేర్ అనేది ప్రధాన చక్రాలపై బంగీ సస్పెన్షన్‌తో ట్రైసైకిల్ గేర్ అమరిక. నోస్‌వీల్ స్టీరబుల్ మరియు మెయిన్‌వీల్ బ్రేక్‌లు అందుబాటులో ఉన్న ఎంపిక. సింగిల్ సీట్ మోడళ్ల నిర్మాణ సమయం 100 గంటలు. [1] [5] ఫ్యూజ్‌లేజ్ ఓవర్‌హె"&amp;"డ్ అల్యూమినియం ట్యూబ్ కీల్ చుట్టూ నిర్మించబడింది, ఇది వెనుక భాగంలో తోకను మౌంట్ చేస్తుంది, మధ్యలో రెక్కలు మరియు ఫ్యూజ్‌లేజ్ మరియు ముందు భాగంలో ఇంజిన్. పాడ్-రకం కాక్‌పిట్ ఫెయిరింగ్ ఫైబర్‌గ్లాస్ నుండి తయారవుతుంది మరియు విండ్‌షీల్డ్‌ను కలిగి ఉంటుంది. [1] రెండ"&amp;"ు సీట్ల మోడల్స్ అన్నీ పక్కపక్కనే సీటింగ్ కలిగి ఉంటాయి మరియు మడత రెక్కలు కలిగి ఉంటాయి. ప్రస్తుత రెండు సీట్ల నమూనాల నిర్మాణ సమయం 150 గంటలు. [1] [2] [4] [5] సమీక్షకుడు ఆండ్రీ క్లిచ్ ఫ్లైట్‌స్టార్ లైన్‌ను ఇలా వర్ణించాడు: ""చివరిగా నిర్మించిన బలమైన అల్ట్రాలైట్"&amp;""" మరియు ముఖ్యంగా ప్రశంసల కోసం నియంత్రణ వ్యవస్థను ప్రత్యేకంగా పేర్కొంది: ""నియంత్రణలు బాగా సమతుల్యవి, కాంతి మరియు అధికారికమైనవి."" [1] జూలై 2009 లో కొత్త సింగిల్ సీట్ మోడల్ EAA ఎయిర్‌వెంచర్ ఓష్కోష్‌లో ప్రదర్శించబడింది. ఇ-స్పైడర్ అనేది స్పోర్ట్‌స్టార్ స్పై"&amp;"డర్ యొక్క ఎలక్ట్రిక్-పవర్డ్ వెర్షన్, దీనిని టామ్ పిఘైని అభివృద్ధి చేసింది. ఈ విమానం స్పైడర్ యొక్క రెండు-స్ట్రోక్ ఇంజిన్‌ను యునీక్ పవర్ డ్రైవ్‌తో 20 20 కిలోవాట్ల (27 హెచ్‌పి) ఎలక్ట్రిక్ మోటారు మరియు రెండు 28 ఎల్బి (13 కిలోల) లిథియం పాలిమర్ బ్యాటరీ ప్యాక్‌ల"&amp;"తో 40 నిమిషాల ఓర్పును అందిస్తుంది. ఈ విమానం వాణిజ్యపరంగా లభించే కిట్‌గా అభివృద్ధి చేయటానికి ఉద్దేశించబడింది మరియు US $ 25,000 లోపు అందుబాటులో ఉందని అంచనా. [7] [8] [9] ఈ విమానం అల్బాట్రాస్ ఫ్లయింగ్ సిస్టమ్స్ ద్వారా భారతదేశంలో లైసెన్స్ కింద ఉత్పత్తి చేయబడుత"&amp;"ుంది. [6] కిట్‌ప్లాన్‌ల నుండి డేటా [4] పోల్చదగిన పాత్ర, కాన్ఫిగరేషన్ మరియు ERA యొక్క సాధారణ లక్షణాలు పనితీరు విమానం")</f>
        <v>ఫ్లైట్‌స్టార్ అనేది సింగిల్ మరియు రెండు-సీట్ల, హై వింగ్, సింగిల్ ఇంజిన్డ్ కిట్ విమానాల యొక్క పెద్ద కుటుంబం, దీనిని కనెక్టికట్‌లోని సౌత్ వుడ్‌స్టాక్ యొక్క ఫ్లైట్‌స్టార్ స్పోర్ట్‌ప్లేన్స్ నిర్మించింది. 2009 లో, ఫ్లైట్ స్టార్ స్పోర్ట్‌ప్లాన్స్ వ్యాపారం గాయపడినప్పుడు 2009 లో హక్కులు, సాధనం మరియు భాగాల జాబితా యునీక్ ఇంటర్నేషనల్ ఆఫ్ చైనాకు విక్రయించబడ్డాయి. [1] [2] [3] [4] [5] [6] ఫ్లైట్‌స్టార్ డిజైనర్ టామ్ పిఘైని 1980 ల మధ్యలో యుఎస్ ఫార్ 103 అల్ట్రాలైట్ వెహికల్స్ కేటగిరీకి గరిష్టంగా 254 ఎల్బి (115 కిలోల) ఖాళీ బరువు అవసరంతో మొదటి ఫ్లైట్‌స్టార్‌ను నిర్మించారు. రెండు-సీట్ల ఫ్లైట్ స్టార్ II త్వరలో ఒక శిక్షకుడి పాత్రను పూరించడానికి అనుసరించింది. నమూనాలు త్వరగా వాణిజ్య విజయాలు అయ్యాయి మరియు ప్రాథమిక రూపకల్పన కాలక్రమేణా విస్తృతంగా అభివృద్ధి చేయబడింది. 2007 నాటికి 700 కి పైగా సింగిల్ సీటర్లు అమ్ముడయ్యాయి. [1] [5] అన్ని నమూనాలు బోల్ట్‌లతో సమావేశమైన యానోడైజ్డ్ అల్యూమినియం గొట్టాల నుండి నిర్మించబడ్డాయి. ఫ్యూజ్‌లేజ్ కీల్ ట్యూబ్ నుండి సస్పెండ్ చేయబడింది, ఇది ముందు భాగంలో ఇంజిన్ను, వెనుక భాగంలో తోక మరియు రెక్కలు కూడా మౌంట్ చేస్తుంది. రెక్కలు స్ట్రట్-బ్రేస్డ్ మరియు జ్యూరీ స్ట్రట్లను ఉపయోగించుకుంటాయి. రెక్కలు మరియు తోక ఉపరితలాలు ముందస్తుగా కుట్టిన డాక్రాన్ ఎన్వలప్‌లలో ఉన్నాయి, ఇది నిర్మాణ సమయాన్ని తగ్గిస్తుంది. రెక్కలు పూర్తి-స్పాన్ ఐలెరాన్లను కలిగి ఉంటాయి, తోకలో సాంప్రదాయ ఎలివేటర్లు మరియు చుక్కాని ఉన్నాయి. ల్యాండింగ్ గేర్ అనేది ప్రధాన చక్రాలపై బంగీ సస్పెన్షన్‌తో ట్రైసైకిల్ గేర్ అమరిక. నోస్‌వీల్ స్టీరబుల్ మరియు మెయిన్‌వీల్ బ్రేక్‌లు అందుబాటులో ఉన్న ఎంపిక. సింగిల్ సీట్ మోడళ్ల నిర్మాణ సమయం 100 గంటలు. [1] [5] ఫ్యూజ్‌లేజ్ ఓవర్‌హెడ్ అల్యూమినియం ట్యూబ్ కీల్ చుట్టూ నిర్మించబడింది, ఇది వెనుక భాగంలో తోకను మౌంట్ చేస్తుంది, మధ్యలో రెక్కలు మరియు ఫ్యూజ్‌లేజ్ మరియు ముందు భాగంలో ఇంజిన్. పాడ్-రకం కాక్‌పిట్ ఫెయిరింగ్ ఫైబర్‌గ్లాస్ నుండి తయారవుతుంది మరియు విండ్‌షీల్డ్‌ను కలిగి ఉంటుంది. [1] రెండు సీట్ల మోడల్స్ అన్నీ పక్కపక్కనే సీటింగ్ కలిగి ఉంటాయి మరియు మడత రెక్కలు కలిగి ఉంటాయి. ప్రస్తుత రెండు సీట్ల నమూనాల నిర్మాణ సమయం 150 గంటలు. [1] [2] [4] [5] సమీక్షకుడు ఆండ్రీ క్లిచ్ ఫ్లైట్‌స్టార్ లైన్‌ను ఇలా వర్ణించాడు: "చివరిగా నిర్మించిన బలమైన అల్ట్రాలైట్" మరియు ముఖ్యంగా ప్రశంసల కోసం నియంత్రణ వ్యవస్థను ప్రత్యేకంగా పేర్కొంది: "నియంత్రణలు బాగా సమతుల్యవి, కాంతి మరియు అధికారికమైనవి." [1] జూలై 2009 లో కొత్త సింగిల్ సీట్ మోడల్ EAA ఎయిర్‌వెంచర్ ఓష్కోష్‌లో ప్రదర్శించబడింది. ఇ-స్పైడర్ అనేది స్పోర్ట్‌స్టార్ స్పైడర్ యొక్క ఎలక్ట్రిక్-పవర్డ్ వెర్షన్, దీనిని టామ్ పిఘైని అభివృద్ధి చేసింది. ఈ విమానం స్పైడర్ యొక్క రెండు-స్ట్రోక్ ఇంజిన్‌ను యునీక్ పవర్ డ్రైవ్‌తో 20 20 కిలోవాట్ల (27 హెచ్‌పి) ఎలక్ట్రిక్ మోటారు మరియు రెండు 28 ఎల్బి (13 కిలోల) లిథియం పాలిమర్ బ్యాటరీ ప్యాక్‌లతో 40 నిమిషాల ఓర్పును అందిస్తుంది. ఈ విమానం వాణిజ్యపరంగా లభించే కిట్‌గా అభివృద్ధి చేయటానికి ఉద్దేశించబడింది మరియు US $ 25,000 లోపు అందుబాటులో ఉందని అంచనా. [7] [8] [9] ఈ విమానం అల్బాట్రాస్ ఫ్లయింగ్ సిస్టమ్స్ ద్వారా భారతదేశంలో లైసెన్స్ కింద ఉత్పత్తి చేయబడుతుంది. [6] కిట్‌ప్లాన్‌ల నుండి డేటా [4] పోల్చదగిన పాత్ర, కాన్ఫిగరేషన్ మరియు ERA యొక్క సాధారణ లక్షణాలు పనితీరు విమానం</v>
      </c>
      <c r="E93" s="1" t="s">
        <v>2031</v>
      </c>
      <c r="F93" s="1" t="s">
        <v>2032</v>
      </c>
      <c r="G93" s="1" t="str">
        <f>IFERROR(__xludf.DUMMYFUNCTION("GOOGLETRANSLATE(F:F, ""en"", ""te"")"),"అల్ట్రాలైట్ విమానం")</f>
        <v>అల్ట్రాలైట్ విమానం</v>
      </c>
      <c r="H93" s="1" t="s">
        <v>2033</v>
      </c>
      <c r="I93" s="1" t="s">
        <v>447</v>
      </c>
      <c r="J93" s="1" t="str">
        <f>IFERROR(__xludf.DUMMYFUNCTION("GOOGLETRANSLATE(I:I, ""en"", ""te"")"),"అమెరికా")</f>
        <v>అమెరికా</v>
      </c>
      <c r="K93" s="3" t="s">
        <v>448</v>
      </c>
      <c r="L93" s="1" t="s">
        <v>2034</v>
      </c>
      <c r="M93" s="1" t="str">
        <f>IFERROR(__xludf.DUMMYFUNCTION("GOOGLETRANSLATE(L:L, ""en"", ""te"")"),"ఫ్లైట్‌స్టార్ స్పోర్ట్‌ప్లేన్స్")</f>
        <v>ఫ్లైట్‌స్టార్ స్పోర్ట్‌ప్లేన్స్</v>
      </c>
      <c r="N93" s="1" t="s">
        <v>2035</v>
      </c>
      <c r="O93" s="1" t="s">
        <v>2036</v>
      </c>
      <c r="P93" s="1" t="str">
        <f>IFERROR(__xludf.DUMMYFUNCTION("GOOGLETRANSLATE(O:O, ""en"", ""te"")"),"టామ్ పిఘైని")</f>
        <v>టామ్ పిఘైని</v>
      </c>
      <c r="Q93" s="1" t="s">
        <v>2037</v>
      </c>
      <c r="R93" s="1">
        <v>1987.0</v>
      </c>
      <c r="V93" s="1" t="s">
        <v>518</v>
      </c>
      <c r="W93" s="1" t="s">
        <v>2038</v>
      </c>
      <c r="X93" s="1" t="s">
        <v>2039</v>
      </c>
      <c r="Y93" s="1" t="s">
        <v>899</v>
      </c>
      <c r="Z93" s="1" t="s">
        <v>2040</v>
      </c>
      <c r="AG93" s="1" t="s">
        <v>2041</v>
      </c>
      <c r="AM93" s="1" t="s">
        <v>2042</v>
      </c>
      <c r="AO93" s="1">
        <v>1987.0</v>
      </c>
      <c r="AV93" s="1" t="s">
        <v>2043</v>
      </c>
      <c r="AX93" s="1" t="s">
        <v>2044</v>
      </c>
      <c r="AY93" s="1" t="str">
        <f>IFERROR(__xludf.DUMMYFUNCTION("GOOGLETRANSLATE(AX:AX, ""en"", ""te"")"),"1 × HKS 700E రెండు-సిలిండర్ ఫోర్-స్ట్రోక్, 60 HP (45 kW)")</f>
        <v>1 × HKS 700E రెండు-సిలిండర్ ఫోర్-స్ట్రోక్, 60 HP (45 kW)</v>
      </c>
      <c r="BB93" s="1" t="s">
        <v>2045</v>
      </c>
      <c r="BC93" s="1" t="s">
        <v>2046</v>
      </c>
      <c r="BD93" s="1" t="s">
        <v>2047</v>
      </c>
      <c r="BE93" s="1" t="s">
        <v>2048</v>
      </c>
      <c r="BG93" s="2"/>
      <c r="BR93" s="1" t="s">
        <v>2049</v>
      </c>
      <c r="BS93" s="1" t="s">
        <v>2050</v>
      </c>
      <c r="BT93" s="1" t="s">
        <v>2051</v>
      </c>
      <c r="BU93" s="1" t="s">
        <v>2052</v>
      </c>
      <c r="BV93" s="1" t="str">
        <f>IFERROR(__xludf.DUMMYFUNCTION("GOOGLETRANSLATE(BU:BU, ""en"", ""te"")"),"ఉత్పత్తి నుండి")</f>
        <v>ఉత్పత్తి నుండి</v>
      </c>
      <c r="BW93" s="1" t="s">
        <v>2053</v>
      </c>
      <c r="BX93" s="1"/>
      <c r="BY93" s="1" t="s">
        <v>2054</v>
      </c>
    </row>
    <row r="94">
      <c r="A94" s="1" t="s">
        <v>2055</v>
      </c>
      <c r="B94" s="1" t="str">
        <f>IFERROR(__xludf.DUMMYFUNCTION("GOOGLETRANSLATE(A:A, ""en"", ""te"")"),"ఫోకే రోచెన్")</f>
        <v>ఫోకే రోచెన్</v>
      </c>
      <c r="C94" s="1" t="s">
        <v>2056</v>
      </c>
      <c r="D94" s="1" t="str">
        <f>IFERROR(__xludf.DUMMYFUNCTION("GOOGLETRANSLATE(C:C, ""en"", ""te"")"),"ఫోల్కే రోచెన్, ఫోకే-వుల్ఫ్ ష్నెల్ఫ్లగ్జ్యూగ్ లేదా ఫోకే-వుల్ఫ్ VTOL అని కూడా పిలుస్తారు, ఇది జర్మన్ VTOL విమాన ప్రాజెక్ట్. రెండవ ప్రపంచ యుద్ధం ముగిసే సమయానికి ఫోకే-వుల్ఫ్ సంస్థ యొక్క హెన్రిచ్ ఫోకే చేత రూపొందించబడిన ఈ ప్రాజెక్ట్ నాజీ జర్మనీని లొంగిపోయే ముంద"&amp;"ు నిర్మించబడలేదు, కాని యుద్ధానంతర సంవత్సరాల్లో కొంత అభివృద్ధిని చూసింది. ఈ ప్రాజెక్ట్ గురించి సమాచారం పరిమితం; దాని అసాధారణ ఆకారం కారణంగా దీనికి కిరణం పేరు పెట్టబడింది. [1] ఈ విమానం మధ్యలో రెండు భారీ ప్రొపెల్లర్లతో ఎయిర్‌ఫాయిల్ విభాగాన్ని కలిగి ఉంది. [2] "&amp;"థర్డ్ రీచ్ యొక్క చివరి సంవత్సరాల్లో, హెన్రిచ్ ఫోక్కే కొత్త జర్మన్ జెట్ ఇంజిన్ల కోసం సంబంధిత డేటాను కలిగి ఉన్న వెంటనే ష్నెల్ఫ్లగ్జ్యూగ్ అని కూడా పిలువబడే రోచెన్ పై డిజైన్ పనిని ప్రారంభించాడు. 1939 లో, అతను వృత్తాకార విమానం యొక్క ఆలోచనను పెద్ద ఎయిర్‌ఫాయిల్ "&amp;"విభాగం మరియు ఓపెన్ సెంటర్‌తో పేటెంట్ చేశాడు, ఇది ట్విన్ కాంట్రా-రొటేటింగ్ ప్రొపెల్లర్ల కోసం భారీ ప్రొపెల్లర్ డక్ట్‌గా పనిచేసింది, ఇది ఒక ఇరుసు మరియు గేర్‌బాక్స్ ద్వారా రూపొందించిన టర్బోజెట్ ఇంజిన్‌ను అంచనా వేసిన ఫోక్కే-వేల్ఫ్ చేత నడపబడుతుంది. FW- రోచెన్ ప"&amp;"్రొపెల్లర్ల నుండి డౌన్‌వాష్‌ను వెనుకకు వెక్టోర్ చేయడం ద్వారా ఫార్వర్డ్ ఫ్లైట్‌ను సాధించేది. ఇంజిన్ వైఫల్యం సంభవించినప్పుడు గ్లైడింగ్ ఫ్లైట్ కోసం లౌవర్లు పూర్తిగా మూసివేయబడతాయి. ఎగ్జాస్ట్ నాజిల్ టర్బోజెట్ ఇంజిన్ చివరిలో రెండుగా ఫోర్క్ చేయబడింది మరియు వృత్త"&amp;"ాకార వింగ్ యొక్క వెనుకంజలో ఉన్న అంచులలో ఉన్న రెండు సహాయక దహన గదులలో ముగిసింది. ఇంధనాన్ని జోడించినప్పుడు, సహాయక దహన గదులు ఆదిమ ఆఫ్టర్‌బర్నర్‌లుగా పనిచేస్తాయి, ఇది క్షితిజ సమాంతర విమానాన్ని అందిస్తుంది. రెండు చిన్న నాజిల్ ద్వారా ప్రతి సహాయక గదికి శక్తిని మా"&amp;"ర్చడం ద్వారా తక్కువ వేగంతో నియంత్రణ సాధించబడింది. ల్యాండింగ్ గేర్ చాలా సులభం, ఇది సెంట్రల్ ప్రొపెల్లర్లకు ఇరువైపులా రెండు ప్రధాన గేర్ కాళ్ళను మరియు ఒక చిన్న టెయిల్‌వీల్ కలిగి ఉంటుంది. అధిక వేగంతో పార్శ్వ స్థిరత్వానికి సహాయపడటానికి ఒకే ఫిన్ మరియు చుక్కాని "&amp;"అందించబడతాయి. పైలట్ ఒక కాక్‌పిట్ నాసెల్లెలో కూర్చుంటాడు, అది వృత్తాకార ఎయిర్‌ఫాయిల్-సెక్షన్ ఫ్యూజ్‌లేజ్ ముందు నుండి పొడుచుకు వచ్చింది. యుద్ధం తరువాత, రోచెన్ యొక్క చెక్క 1/10 స్కేల్ మోడల్ బ్రెమెన్‌లో నిర్మించబడింది మరియు విండ్ టన్నెల్ పరీక్షలకు లోబడి ఉంది."&amp;" హెన్రిచ్ ఫోల్కే 1957 లో విమానం యొక్క పేటెంట్ కోసం దాఖలు చేశారు, కానీ అది ఎప్పుడూ నిర్మించబడలేదు. [3] [4] సంబంధిత జాబితాలు")</f>
        <v>ఫోల్కే రోచెన్, ఫోకే-వుల్ఫ్ ష్నెల్ఫ్లగ్జ్యూగ్ లేదా ఫోకే-వుల్ఫ్ VTOL అని కూడా పిలుస్తారు, ఇది జర్మన్ VTOL విమాన ప్రాజెక్ట్. రెండవ ప్రపంచ యుద్ధం ముగిసే సమయానికి ఫోకే-వుల్ఫ్ సంస్థ యొక్క హెన్రిచ్ ఫోకే చేత రూపొందించబడిన ఈ ప్రాజెక్ట్ నాజీ జర్మనీని లొంగిపోయే ముందు నిర్మించబడలేదు, కాని యుద్ధానంతర సంవత్సరాల్లో కొంత అభివృద్ధిని చూసింది. ఈ ప్రాజెక్ట్ గురించి సమాచారం పరిమితం; దాని అసాధారణ ఆకారం కారణంగా దీనికి కిరణం పేరు పెట్టబడింది. [1] ఈ విమానం మధ్యలో రెండు భారీ ప్రొపెల్లర్లతో ఎయిర్‌ఫాయిల్ విభాగాన్ని కలిగి ఉంది. [2] థర్డ్ రీచ్ యొక్క చివరి సంవత్సరాల్లో, హెన్రిచ్ ఫోక్కే కొత్త జర్మన్ జెట్ ఇంజిన్ల కోసం సంబంధిత డేటాను కలిగి ఉన్న వెంటనే ష్నెల్ఫ్లగ్జ్యూగ్ అని కూడా పిలువబడే రోచెన్ పై డిజైన్ పనిని ప్రారంభించాడు. 1939 లో, అతను వృత్తాకార విమానం యొక్క ఆలోచనను పెద్ద ఎయిర్‌ఫాయిల్ విభాగం మరియు ఓపెన్ సెంటర్‌తో పేటెంట్ చేశాడు, ఇది ట్విన్ కాంట్రా-రొటేటింగ్ ప్రొపెల్లర్ల కోసం భారీ ప్రొపెల్లర్ డక్ట్‌గా పనిచేసింది, ఇది ఒక ఇరుసు మరియు గేర్‌బాక్స్ ద్వారా రూపొందించిన టర్బోజెట్ ఇంజిన్‌ను అంచనా వేసిన ఫోక్కే-వేల్ఫ్ చేత నడపబడుతుంది. FW- రోచెన్ ప్రొపెల్లర్ల నుండి డౌన్‌వాష్‌ను వెనుకకు వెక్టోర్ చేయడం ద్వారా ఫార్వర్డ్ ఫ్లైట్‌ను సాధించేది. ఇంజిన్ వైఫల్యం సంభవించినప్పుడు గ్లైడింగ్ ఫ్లైట్ కోసం లౌవర్లు పూర్తిగా మూసివేయబడతాయి. ఎగ్జాస్ట్ నాజిల్ టర్బోజెట్ ఇంజిన్ చివరిలో రెండుగా ఫోర్క్ చేయబడింది మరియు వృత్తాకార వింగ్ యొక్క వెనుకంజలో ఉన్న అంచులలో ఉన్న రెండు సహాయక దహన గదులలో ముగిసింది. ఇంధనాన్ని జోడించినప్పుడు, సహాయక దహన గదులు ఆదిమ ఆఫ్టర్‌బర్నర్‌లుగా పనిచేస్తాయి, ఇది క్షితిజ సమాంతర విమానాన్ని అందిస్తుంది. రెండు చిన్న నాజిల్ ద్వారా ప్రతి సహాయక గదికి శక్తిని మార్చడం ద్వారా తక్కువ వేగంతో నియంత్రణ సాధించబడింది. ల్యాండింగ్ గేర్ చాలా సులభం, ఇది సెంట్రల్ ప్రొపెల్లర్లకు ఇరువైపులా రెండు ప్రధాన గేర్ కాళ్ళను మరియు ఒక చిన్న టెయిల్‌వీల్ కలిగి ఉంటుంది. అధిక వేగంతో పార్శ్వ స్థిరత్వానికి సహాయపడటానికి ఒకే ఫిన్ మరియు చుక్కాని అందించబడతాయి. పైలట్ ఒక కాక్‌పిట్ నాసెల్లెలో కూర్చుంటాడు, అది వృత్తాకార ఎయిర్‌ఫాయిల్-సెక్షన్ ఫ్యూజ్‌లేజ్ ముందు నుండి పొడుచుకు వచ్చింది. యుద్ధం తరువాత, రోచెన్ యొక్క చెక్క 1/10 స్కేల్ మోడల్ బ్రెమెన్‌లో నిర్మించబడింది మరియు విండ్ టన్నెల్ పరీక్షలకు లోబడి ఉంది. హెన్రిచ్ ఫోల్కే 1957 లో విమానం యొక్క పేటెంట్ కోసం దాఖలు చేశారు, కానీ అది ఎప్పుడూ నిర్మించబడలేదు. [3] [4] సంబంధిత జాబితాలు</v>
      </c>
      <c r="E94" s="1" t="s">
        <v>2057</v>
      </c>
      <c r="F94" s="1" t="s">
        <v>421</v>
      </c>
      <c r="G94" s="1" t="str">
        <f>IFERROR(__xludf.DUMMYFUNCTION("GOOGLETRANSLATE(F:F, ""en"", ""te"")"),"యుద్ధ")</f>
        <v>యుద్ధ</v>
      </c>
      <c r="H94" s="3" t="s">
        <v>754</v>
      </c>
      <c r="L94" s="1" t="s">
        <v>396</v>
      </c>
      <c r="M94" s="1" t="str">
        <f>IFERROR(__xludf.DUMMYFUNCTION("GOOGLETRANSLATE(L:L, ""en"", ""te"")"),"ఫోకే-వుల్ఫ్")</f>
        <v>ఫోకే-వుల్ఫ్</v>
      </c>
      <c r="N94" s="3" t="s">
        <v>397</v>
      </c>
      <c r="S94" s="1" t="s">
        <v>2058</v>
      </c>
      <c r="BF94" s="1" t="s">
        <v>573</v>
      </c>
      <c r="BG94" s="2" t="str">
        <f>IFERROR(__xludf.DUMMYFUNCTION("GOOGLETRANSLATE(BF:BF, ""en"", ""te"")"),"లుఫ్ట్‌వాఫ్")</f>
        <v>లుఫ్ట్‌వాఫ్</v>
      </c>
      <c r="BH94" s="3" t="s">
        <v>574</v>
      </c>
      <c r="BU94" s="1" t="s">
        <v>2059</v>
      </c>
      <c r="BV94" s="1" t="str">
        <f>IFERROR(__xludf.DUMMYFUNCTION("GOOGLETRANSLATE(BU:BU, ""en"", ""te"")"),"ప్రారంభంలో యుద్ధం ముగిసింది కాని తరువాత అభివృద్ధి చెందింది")</f>
        <v>ప్రారంభంలో యుద్ధం ముగిసింది కాని తరువాత అభివృద్ధి చెందింది</v>
      </c>
    </row>
    <row r="95">
      <c r="A95" s="1" t="s">
        <v>2060</v>
      </c>
      <c r="B95" s="1" t="str">
        <f>IFERROR(__xludf.DUMMYFUNCTION("GOOGLETRANSLATE(A:A, ""en"", ""te"")"),"ఫోలాండ్ FO.108")</f>
        <v>ఫోలాండ్ FO.108</v>
      </c>
      <c r="C95" s="1" t="s">
        <v>2061</v>
      </c>
      <c r="D95" s="1" t="str">
        <f>IFERROR(__xludf.DUMMYFUNCTION("GOOGLETRANSLATE(C:C, ""en"", ""te"")"),"ఫోలాండ్ FO.108, దీనిని ఫోలాండ్ 43/37 అని కూడా పిలుస్తారు మరియు ఫోలాండ్ ఫోలాండ్ భయంకరమైన [1] (లేదా భయపెట్టే) అనే మారుపేరు ద్వారా, 1940 లలో పెద్ద మోనోప్లేన్ ఇంజిన్ టెస్ట్‌బెడ్ విమానం. ఇంజిన్ టెస్ట్‌బెడ్ కోసం ఎయిర్ మినిస్ట్రీ స్పెసిఫికేషన్ 43/37 కు ఫోలాండ్ య"&amp;"ొక్క ప్రతిస్పందన FO.108. ఉత్పత్తి కోసం వైమానిక మంత్రిత్వ శాఖ అంగీకరించిన ఫోలాండ్ యొక్క మొట్టమొదటి డిజైన్. FO.108 సాంప్రదాయిక కాంటిలివర్ టెయిల్‌ప్లేన్ మరియు స్థిర టెయిల్‌వీల్ ల్యాండింగ్ గేర్‌తో కూడిన పెద్ద తక్కువ-వింగ్ కాంటిలివర్ మోనోప్లేన్. ఇది పైలట్ కోసం"&amp;" మెరుస్తున్న కాక్‌పిట్ కలిగి ఉంది, మరియు పైలట్ వెనుక మరియు క్రింద ఇద్దరు పరిశీలకులకు క్యాబిన్ ఉంది, తద్వారా వారు విమానంలో ఇంజిన్ పనితీరు యొక్క వివరణాత్మక కొలతలు చేయవచ్చు. విమానాన్ని హాంబుల్ ఫ్యాక్టరీ నుండి పంపిణీ చేయడానికి మరియు తరువాత కొత్త పనులకు పంపించ"&amp;"టానికి, వాటిని సాధారణంగా బ్రిస్టల్ హెర్క్యులస్ రేడియల్ ఇంజిన్‌తో అమర్చారు. సేవలో, FO.108 ను ఇన్లైన్ నేపియర్ సాబెర్ (నాలుగు), [2] బ్రిస్టల్ సెంటారస్ రేడియల్ మరియు రోల్స్ రాయిస్ గ్రిఫ్ఫోన్ వి-ఇంజిన్ వంటి అనేక ఇతర ఇంజిన్లతో అమర్చారు. 1940 లో సేవలోకి ప్రవేశిం"&amp;"చడం, [3] ఈ రకాన్ని బ్రిస్టల్ ఎయిర్‌ప్లేన్ కంపెనీ, నేపియర్ మరియు రోల్స్ రాయిస్ నిర్వహించింది, [4] పన్నెండు ఉత్పత్తి విమానాలలో ఐదు క్రాష్‌లలో పోయాయి, ఫలితంగా ""ఫ్రైటెనర్"" అనే మారుపేరును సంపాదించే రకం. [[(3] FO.108 యొక్క చివరి ఉదాహరణలు 1946 లో డి హవిలాండ్ య"&amp;"ొక్క ఇంజిన్ విభాగం ద్వారా సేవ నుండి ఉపసంహరించబడ్డాయి. [4] [5] రెండవ ప్రపంచ యుద్ధం యొక్క జేన్ యొక్క పోరాట విమానాల నుండి డేటా [6] సాధారణ లక్షణాలు పనితీరు సంబంధిత జాబితాలు")</f>
        <v>ఫోలాండ్ FO.108, దీనిని ఫోలాండ్ 43/37 అని కూడా పిలుస్తారు మరియు ఫోలాండ్ ఫోలాండ్ భయంకరమైన [1] (లేదా భయపెట్టే) అనే మారుపేరు ద్వారా, 1940 లలో పెద్ద మోనోప్లేన్ ఇంజిన్ టెస్ట్‌బెడ్ విమానం. ఇంజిన్ టెస్ట్‌బెడ్ కోసం ఎయిర్ మినిస్ట్రీ స్పెసిఫికేషన్ 43/37 కు ఫోలాండ్ యొక్క ప్రతిస్పందన FO.108. ఉత్పత్తి కోసం వైమానిక మంత్రిత్వ శాఖ అంగీకరించిన ఫోలాండ్ యొక్క మొట్టమొదటి డిజైన్. FO.108 సాంప్రదాయిక కాంటిలివర్ టెయిల్‌ప్లేన్ మరియు స్థిర టెయిల్‌వీల్ ల్యాండింగ్ గేర్‌తో కూడిన పెద్ద తక్కువ-వింగ్ కాంటిలివర్ మోనోప్లేన్. ఇది పైలట్ కోసం మెరుస్తున్న కాక్‌పిట్ కలిగి ఉంది, మరియు పైలట్ వెనుక మరియు క్రింద ఇద్దరు పరిశీలకులకు క్యాబిన్ ఉంది, తద్వారా వారు విమానంలో ఇంజిన్ పనితీరు యొక్క వివరణాత్మక కొలతలు చేయవచ్చు. విమానాన్ని హాంబుల్ ఫ్యాక్టరీ నుండి పంపిణీ చేయడానికి మరియు తరువాత కొత్త పనులకు పంపించటానికి, వాటిని సాధారణంగా బ్రిస్టల్ హెర్క్యులస్ రేడియల్ ఇంజిన్‌తో అమర్చారు. సేవలో, FO.108 ను ఇన్లైన్ నేపియర్ సాబెర్ (నాలుగు), [2] బ్రిస్టల్ సెంటారస్ రేడియల్ మరియు రోల్స్ రాయిస్ గ్రిఫ్ఫోన్ వి-ఇంజిన్ వంటి అనేక ఇతర ఇంజిన్లతో అమర్చారు. 1940 లో సేవలోకి ప్రవేశించడం, [3] ఈ రకాన్ని బ్రిస్టల్ ఎయిర్‌ప్లేన్ కంపెనీ, నేపియర్ మరియు రోల్స్ రాయిస్ నిర్వహించింది, [4] పన్నెండు ఉత్పత్తి విమానాలలో ఐదు క్రాష్‌లలో పోయాయి, ఫలితంగా "ఫ్రైటెనర్" అనే మారుపేరును సంపాదించే రకం. [[(3] FO.108 యొక్క చివరి ఉదాహరణలు 1946 లో డి హవిలాండ్ యొక్క ఇంజిన్ విభాగం ద్వారా సేవ నుండి ఉపసంహరించబడ్డాయి. [4] [5] రెండవ ప్రపంచ యుద్ధం యొక్క జేన్ యొక్క పోరాట విమానాల నుండి డేటా [6] సాధారణ లక్షణాలు పనితీరు సంబంధిత జాబితాలు</v>
      </c>
      <c r="F95" s="1" t="s">
        <v>2062</v>
      </c>
      <c r="G95" s="1" t="str">
        <f>IFERROR(__xludf.DUMMYFUNCTION("GOOGLETRANSLATE(F:F, ""en"", ""te"")"),"ఇంజిన్ టెస్ట్‌బెడ్")</f>
        <v>ఇంజిన్ టెస్ట్‌బెడ్</v>
      </c>
      <c r="L95" s="1" t="s">
        <v>2063</v>
      </c>
      <c r="M95" s="1" t="str">
        <f>IFERROR(__xludf.DUMMYFUNCTION("GOOGLETRANSLATE(L:L, ""en"", ""te"")"),"ఫోలాండ్ విమానం")</f>
        <v>ఫోలాండ్ విమానం</v>
      </c>
      <c r="N95" s="1" t="s">
        <v>2064</v>
      </c>
      <c r="R95" s="1">
        <v>1940.0</v>
      </c>
      <c r="S95" s="1">
        <v>12.0</v>
      </c>
      <c r="V95" s="1">
        <v>1.0</v>
      </c>
      <c r="W95" s="1" t="s">
        <v>2065</v>
      </c>
      <c r="X95" s="1" t="s">
        <v>2066</v>
      </c>
      <c r="Y95" s="1" t="s">
        <v>2067</v>
      </c>
      <c r="Z95" s="1" t="s">
        <v>2068</v>
      </c>
      <c r="AH95" s="1" t="s">
        <v>2069</v>
      </c>
      <c r="AO95" s="1">
        <v>1940.0</v>
      </c>
      <c r="AV95" s="1" t="s">
        <v>2070</v>
      </c>
      <c r="AX95" s="1" t="s">
        <v>2071</v>
      </c>
      <c r="AY95" s="1" t="str">
        <f>IFERROR(__xludf.DUMMYFUNCTION("GOOGLETRANSLATE(AX:AX, ""en"", ""te"")"),"1 × బ్రిస్టల్ సెంటారస్ 18-సిలిండర్ ఎయిర్-కూల్డ్ రేడియల్ పిస్టన్ ఇంజిన్")</f>
        <v>1 × బ్రిస్టల్ సెంటారస్ 18-సిలిండర్ ఎయిర్-కూల్డ్ రేడియల్ పిస్టన్ ఇంజిన్</v>
      </c>
      <c r="AZ95" s="1" t="s">
        <v>569</v>
      </c>
      <c r="BA95" s="1" t="str">
        <f>IFERROR(__xludf.DUMMYFUNCTION("GOOGLETRANSLATE(AZ:AZ, ""en"", ""te"")"),"4-బ్లేడెడ్ స్థిరమైన-స్పీడ్ ప్రొపెల్లర్")</f>
        <v>4-బ్లేడెడ్ స్థిరమైన-స్పీడ్ ప్రొపెల్లర్</v>
      </c>
      <c r="BB95" s="1" t="s">
        <v>2072</v>
      </c>
      <c r="BC95" s="1" t="s">
        <v>2073</v>
      </c>
      <c r="BG95" s="2"/>
    </row>
    <row r="96">
      <c r="A96" s="1" t="s">
        <v>2074</v>
      </c>
      <c r="B96" s="1" t="str">
        <f>IFERROR(__xludf.DUMMYFUNCTION("GOOGLETRANSLATE(A:A, ""en"", ""te"")"),"సికోర్స్కీ ఎస్ -69")</f>
        <v>సికోర్స్కీ ఎస్ -69</v>
      </c>
      <c r="C96" s="1" t="s">
        <v>2075</v>
      </c>
      <c r="D96" s="1" t="str">
        <f>IFERROR(__xludf.DUMMYFUNCTION("GOOGLETRANSLATE(C:C, ""en"", ""te"")"),"సికోర్స్కీ ఎస్ -69 (మిలిటరీ హోదా XH-59) అనేది అమెరికా సైన్యం మరియు నాసా నిధుల క్రింద అడ్వాన్సింగ్ బ్లేడ్ కాన్సెప్ట్ (ABC) యొక్క ప్రదర్శనకారుడిగా సికోర్స్కీ విమానం అభివృద్ధి చేసిన ఒక అమెరికన్ ప్రయోగాత్మక సహ-అక్షసంబంధ సమ్మేళనం హెలికాప్టర్. 1971 చివరలో, ఆర్మ"&amp;"ీ ఎయిర్ మొబిలిటీ రీసెర్చ్ అండ్ డెవలప్‌మెంట్ లాబొరేటరీ, తరువాత ఆర్మీ రీసెర్చ్ లాబొరేటరీలో భాగంగా మారింది, మొదటి నమూనా అభివృద్ధికి సికోర్స్కీకి ఒక ఒప్పందాన్ని ఇచ్చింది. [సైటేషన్ అవసరం] S-69 అభివృద్ధికి ప్రదర్శనకారుడు బ్లేడ్ కాన్సెప్ట్ (ABC). [1] మొదటి S-69 "&amp;"నిర్మించబడింది (73-21941) మొదటిసారి జూలై 26, 1973 న ప్రయాణించింది. [2] ఏదేమైనా, unexpected హించని రోటర్ శక్తులు మరియు తగినంత నియంత్రణ వ్యవస్థల కారణంగా ఆగస్టు 24, 1973 న తక్కువ-స్పీడ్ క్రాష్‌లో ఇది తీవ్రంగా దెబ్బతింది. [3] ఎయిర్‌ఫ్రేమ్‌ను విండ్ టన్నెల్ టెస"&amp;"్ట్‌బెడ్‌గా మార్చారు, ఇది 1979 లో నాసా అమెస్ రీసెర్చ్ సెంటర్ 40x80 అడుగుల పూర్తి స్థాయి విండ్ టన్నెల్‌లో పరీక్షించబడింది. [4] రెండవ ఎయిర్‌ఫ్రేమ్ పూర్తయింది (73-21942) ఇది మొదటిసారి జూలై 21, 1975 న ప్రయాణించింది. స్వచ్ఛమైన హెలికాప్టర్‌గా ప్రారంభ పరీక్ష తరు"&amp;"వాత, మార్చి 1977 లో రెండు సహాయక టర్బోజెట్‌లు జోడించబడ్డాయి. హెలికాప్టర్‌గా, XH-59A గరిష్ట స్థాయి వేగాన్ని ప్రదర్శించింది 156 నాట్లు (289 కిమీ/గం; 180 mph), కానీ సహాయక టర్బోజెట్లతో, ఇది గరిష్ట స్థాయి వేగాన్ని 238 నాట్లు (441 కిమీ/గం; 274 mph) ప్రదర్శించింద"&amp;"ి మరియు చివరికి 263 నాట్ల వేగం (487 కిమీ/గం; 303 MPH) నిస్సార డైవ్‌లో. 180 నాట్ల (333 కిమీ/గం; 207 mph) స్థాయి విమానంలో, ఇది ఆటోరోటేషన్‌లో రోటర్‌తో 1.4 గ్రా బ్యాంక్ మలుపులోకి ప్రవేశిస్తుంది, రోటర్ RPM ని పెంచుతుంది. [5] ఎయిర్ఫ్రేమ్ ఒత్తిడి రోటర్ స్పీడ్ తగ"&amp;"్గింపును నిరోధించింది మరియు తద్వారా పూర్తి విమాన కవరు విస్తరణ. [5] XH-59A అధిక స్థాయిలో కంపనం మరియు ఇంధన వినియోగం కలిగి ఉంది. [6] [3] XH-59A కోసం 106-గంటల పరీక్షా కార్యక్రమం 1981 లో ముగిసింది. 1982 లో XH-59A ను XH-59B కాన్ఫిగరేషన్‌కు అధునాతన రోటర్లు, కొత్"&amp;"త పవర్‌ప్లాంట్లు (రెండు GE T700 లు) మరియు ఒక డక్టెడ్ పషర్ ప్రొపెల్లర్‌తో మార్చాలని ప్రతిపాదించబడింది. తోక వద్ద. సికోర్స్కీ ఖర్చులలో వాటా చెల్లించడానికి నిరాకరించడంతో ఈ ప్రతిపాదిత కార్యక్రమం కొనసాగలేదు. [5] [7] [8] సికోర్స్కీ మరియు దాని భాగస్వాములు అభివృద్"&amp;"ధి చెందుతున్న బ్లేడ్ భావనను ఉపయోగించి తదుపరి హెలికాప్టర్ల అభివృద్ధికి నిధులు సమకూర్చారు; 2007 నుండి సికోర్స్కీ ఎక్స్ 2 మరియు సికోర్స్కీ ఎస్ -97 రైడర్. అధిక వేగంతో, తిరోగమన బ్లేడ్లు ఆఫ్‌లోడ్ చేయబడ్డాయి, ఎందుకంటే చాలా వరకు లోడ్ రెండింటి యొక్క బ్లేడ్ల ద్వారా"&amp;" మద్దతు ఇవ్వబడింది మరియు తిరోగమన బ్లేడ్ యొక్క స్టాల్ కారణంగా పెనాల్టీ ఈ విధంగా తొలగించబడింది. [10] [11] ఈ వ్యవస్థకు అధిక వేగంతో రెక్కలు అమర్చడం మరియు యుక్తిని మెరుగుపరచడం అవసరం లేదు, [5] మరియు తోక వద్ద యాంటీ-టార్క్ రోటర్ యొక్క అవసరాన్ని కూడా తొలగించింది. "&amp;"[12] ఫార్వర్డ్ థ్రస్ట్ రెండు టర్బోజెట్ల ద్వారా అందించబడింది, ఇది ప్రధాన రోటర్ లిఫ్ట్ అందించడానికి మాత్రమే అవసరం. ఇది క్రాస్‌విండ్ మరియు టెయిల్‌విండ్‌కు వ్యతిరేకంగా మంచి హోవర్ స్థిరత్వాన్ని కలిగి ఉన్నట్లు కనుగొనబడింది. జెట్‌లు వ్యవస్థాపించడంతో, భూమి ప్రభావ"&amp;"ం నుండి బయటపడటానికి శక్తి లేదు మరియు భద్రతా కారణాల వల్ల చిన్న టేకాఫ్ మరియు ల్యాండింగ్‌ను ఉపయోగించారు. [5] ఎయిర్ఫ్రేమ్ 73-21941 నాసా అమెస్ రీసెర్చ్ సెంటర్ [13] వద్ద నిల్వ ఉంది మరియు 73-21942 అలబామాలోని ఫోర్ట్ రక్కర్, ఆర్మీ ఏవియేషన్ మ్యూజియంలో ప్రదర్శనలో ఉం"&amp;"ది. [14] 1947 నుండి యు.ఎస్.")</f>
        <v>సికోర్స్కీ ఎస్ -69 (మిలిటరీ హోదా XH-59) అనేది అమెరికా సైన్యం మరియు నాసా నిధుల క్రింద అడ్వాన్సింగ్ బ్లేడ్ కాన్సెప్ట్ (ABC) యొక్క ప్రదర్శనకారుడిగా సికోర్స్కీ విమానం అభివృద్ధి చేసిన ఒక అమెరికన్ ప్రయోగాత్మక సహ-అక్షసంబంధ సమ్మేళనం హెలికాప్టర్. 1971 చివరలో, ఆర్మీ ఎయిర్ మొబిలిటీ రీసెర్చ్ అండ్ డెవలప్‌మెంట్ లాబొరేటరీ, తరువాత ఆర్మీ రీసెర్చ్ లాబొరేటరీలో భాగంగా మారింది, మొదటి నమూనా అభివృద్ధికి సికోర్స్కీకి ఒక ఒప్పందాన్ని ఇచ్చింది. [సైటేషన్ అవసరం] S-69 అభివృద్ధికి ప్రదర్శనకారుడు బ్లేడ్ కాన్సెప్ట్ (ABC). [1] మొదటి S-69 నిర్మించబడింది (73-21941) మొదటిసారి జూలై 26, 1973 న ప్రయాణించింది. [2] ఏదేమైనా, unexpected హించని రోటర్ శక్తులు మరియు తగినంత నియంత్రణ వ్యవస్థల కారణంగా ఆగస్టు 24, 1973 న తక్కువ-స్పీడ్ క్రాష్‌లో ఇది తీవ్రంగా దెబ్బతింది. [3] ఎయిర్‌ఫ్రేమ్‌ను విండ్ టన్నెల్ టెస్ట్‌బెడ్‌గా మార్చారు, ఇది 1979 లో నాసా అమెస్ రీసెర్చ్ సెంటర్ 40x80 అడుగుల పూర్తి స్థాయి విండ్ టన్నెల్‌లో పరీక్షించబడింది. [4] రెండవ ఎయిర్‌ఫ్రేమ్ పూర్తయింది (73-21942) ఇది మొదటిసారి జూలై 21, 1975 న ప్రయాణించింది. స్వచ్ఛమైన హెలికాప్టర్‌గా ప్రారంభ పరీక్ష తరువాత, మార్చి 1977 లో రెండు సహాయక టర్బోజెట్‌లు జోడించబడ్డాయి. హెలికాప్టర్‌గా, XH-59A గరిష్ట స్థాయి వేగాన్ని ప్రదర్శించింది 156 నాట్లు (289 కిమీ/గం; 180 mph), కానీ సహాయక టర్బోజెట్లతో, ఇది గరిష్ట స్థాయి వేగాన్ని 238 నాట్లు (441 కిమీ/గం; 274 mph) ప్రదర్శించింది మరియు చివరికి 263 నాట్ల వేగం (487 కిమీ/గం; 303 MPH) నిస్సార డైవ్‌లో. 180 నాట్ల (333 కిమీ/గం; 207 mph) స్థాయి విమానంలో, ఇది ఆటోరోటేషన్‌లో రోటర్‌తో 1.4 గ్రా బ్యాంక్ మలుపులోకి ప్రవేశిస్తుంది, రోటర్ RPM ని పెంచుతుంది. [5] ఎయిర్ఫ్రేమ్ ఒత్తిడి రోటర్ స్పీడ్ తగ్గింపును నిరోధించింది మరియు తద్వారా పూర్తి విమాన కవరు విస్తరణ. [5] XH-59A అధిక స్థాయిలో కంపనం మరియు ఇంధన వినియోగం కలిగి ఉంది. [6] [3] XH-59A కోసం 106-గంటల పరీక్షా కార్యక్రమం 1981 లో ముగిసింది. 1982 లో XH-59A ను XH-59B కాన్ఫిగరేషన్‌కు అధునాతన రోటర్లు, కొత్త పవర్‌ప్లాంట్లు (రెండు GE T700 లు) మరియు ఒక డక్టెడ్ పషర్ ప్రొపెల్లర్‌తో మార్చాలని ప్రతిపాదించబడింది. తోక వద్ద. సికోర్స్కీ ఖర్చులలో వాటా చెల్లించడానికి నిరాకరించడంతో ఈ ప్రతిపాదిత కార్యక్రమం కొనసాగలేదు. [5] [7] [8] సికోర్స్కీ మరియు దాని భాగస్వాములు అభివృద్ధి చెందుతున్న బ్లేడ్ భావనను ఉపయోగించి తదుపరి హెలికాప్టర్ల అభివృద్ధికి నిధులు సమకూర్చారు; 2007 నుండి సికోర్స్కీ ఎక్స్ 2 మరియు సికోర్స్కీ ఎస్ -97 రైడర్. అధిక వేగంతో, తిరోగమన బ్లేడ్లు ఆఫ్‌లోడ్ చేయబడ్డాయి, ఎందుకంటే చాలా వరకు లోడ్ రెండింటి యొక్క బ్లేడ్ల ద్వారా మద్దతు ఇవ్వబడింది మరియు తిరోగమన బ్లేడ్ యొక్క స్టాల్ కారణంగా పెనాల్టీ ఈ విధంగా తొలగించబడింది. [10] [11] ఈ వ్యవస్థకు అధిక వేగంతో రెక్కలు అమర్చడం మరియు యుక్తిని మెరుగుపరచడం అవసరం లేదు, [5] మరియు తోక వద్ద యాంటీ-టార్క్ రోటర్ యొక్క అవసరాన్ని కూడా తొలగించింది. [12] ఫార్వర్డ్ థ్రస్ట్ రెండు టర్బోజెట్ల ద్వారా అందించబడింది, ఇది ప్రధాన రోటర్ లిఫ్ట్ అందించడానికి మాత్రమే అవసరం. ఇది క్రాస్‌విండ్ మరియు టెయిల్‌విండ్‌కు వ్యతిరేకంగా మంచి హోవర్ స్థిరత్వాన్ని కలిగి ఉన్నట్లు కనుగొనబడింది. జెట్‌లు వ్యవస్థాపించడంతో, భూమి ప్రభావం నుండి బయటపడటానికి శక్తి లేదు మరియు భద్రతా కారణాల వల్ల చిన్న టేకాఫ్ మరియు ల్యాండింగ్‌ను ఉపయోగించారు. [5] ఎయిర్ఫ్రేమ్ 73-21941 నాసా అమెస్ రీసెర్చ్ సెంటర్ [13] వద్ద నిల్వ ఉంది మరియు 73-21942 అలబామాలోని ఫోర్ట్ రక్కర్, ఆర్మీ ఏవియేషన్ మ్యూజియంలో ప్రదర్శనలో ఉంది. [14] 1947 నుండి యు.ఎస్.</v>
      </c>
      <c r="E96" s="1" t="s">
        <v>2076</v>
      </c>
      <c r="F96" s="1" t="s">
        <v>2077</v>
      </c>
      <c r="G96" s="1" t="str">
        <f>IFERROR(__xludf.DUMMYFUNCTION("GOOGLETRANSLATE(F:F, ""en"", ""te"")"),"ప్రయోగాత్మక సమ్మేళనం హెలికాప్టర్")</f>
        <v>ప్రయోగాత్మక సమ్మేళనం హెలికాప్టర్</v>
      </c>
      <c r="H96" s="1" t="s">
        <v>2078</v>
      </c>
      <c r="I96" s="1" t="s">
        <v>447</v>
      </c>
      <c r="J96" s="1" t="str">
        <f>IFERROR(__xludf.DUMMYFUNCTION("GOOGLETRANSLATE(I:I, ""en"", ""te"")"),"అమెరికా")</f>
        <v>అమెరికా</v>
      </c>
      <c r="L96" s="1" t="s">
        <v>2079</v>
      </c>
      <c r="M96" s="1" t="str">
        <f>IFERROR(__xludf.DUMMYFUNCTION("GOOGLETRANSLATE(L:L, ""en"", ""te"")"),"సికోర్స్కీ విమానం")</f>
        <v>సికోర్స్కీ విమానం</v>
      </c>
      <c r="N96" s="1" t="s">
        <v>2080</v>
      </c>
      <c r="R96" s="6">
        <v>26871.0</v>
      </c>
      <c r="S96" s="1">
        <v>2.0</v>
      </c>
      <c r="V96" s="1">
        <v>2.0</v>
      </c>
      <c r="W96" s="1" t="s">
        <v>2081</v>
      </c>
      <c r="Y96" s="1" t="s">
        <v>2082</v>
      </c>
      <c r="AH96" s="1" t="s">
        <v>1137</v>
      </c>
      <c r="AQ96" s="1">
        <v>1981.0</v>
      </c>
      <c r="AS96" s="1" t="s">
        <v>2083</v>
      </c>
      <c r="AT96" s="1"/>
      <c r="AU96" s="1" t="s">
        <v>2084</v>
      </c>
      <c r="AX96" s="1" t="s">
        <v>2085</v>
      </c>
      <c r="AY96" s="1" t="str">
        <f>IFERROR(__xludf.DUMMYFUNCTION("GOOGLETRANSLATE(AX:AX, ""en"", ""te"")"),"2 × ప్రాట్ &amp; విట్నీ J60-P-3A టర్బోజెట్ ఇంజన్లు, 3,000 LBF (13 kN) త్రష్")</f>
        <v>2 × ప్రాట్ &amp; విట్నీ J60-P-3A టర్బోజెట్ ఇంజన్లు, 3,000 LBF (13 kN) త్రష్</v>
      </c>
      <c r="BB96" s="1" t="s">
        <v>2086</v>
      </c>
      <c r="BC96" s="1" t="s">
        <v>2087</v>
      </c>
      <c r="BD96" s="1" t="s">
        <v>2088</v>
      </c>
      <c r="BG96" s="2"/>
      <c r="BS96" s="1" t="s">
        <v>2089</v>
      </c>
      <c r="BX96" s="1"/>
      <c r="BY96" s="1" t="s">
        <v>2090</v>
      </c>
      <c r="DL96" s="1" t="s">
        <v>2091</v>
      </c>
      <c r="DM96" s="1" t="s">
        <v>2092</v>
      </c>
      <c r="EI96" s="1" t="s">
        <v>2093</v>
      </c>
    </row>
    <row r="97">
      <c r="A97" s="1" t="s">
        <v>2094</v>
      </c>
      <c r="B97" s="1" t="str">
        <f>IFERROR(__xludf.DUMMYFUNCTION("GOOGLETRANSLATE(A:A, ""en"", ""te"")"),"వోట్ VE-7")</f>
        <v>వోట్ VE-7</v>
      </c>
      <c r="C97" s="1" t="s">
        <v>2095</v>
      </c>
      <c r="D97" s="1" t="str">
        <f>IFERROR(__xludf.DUMMYFUNCTION("GOOGLETRANSLATE(C:C, ""en"", ""te"")"),"వోట్ VE-7 ""బ్లూబర్డ్"" అమెరికా యొక్క ప్రారంభ బిప్‌లేన్. 1917 లో మొట్టమొదటిసారిగా ఎగురుతూ, ఇది అమెరికా ఆర్మీకి రెండు సీట్ల శిక్షకుడిగా రూపొందించబడింది, తరువాత అమెరికా నేవీ దాని మొదటి ఫైటర్ విమానంగా స్వీకరించబడింది. 1922 లో, VE-7 ఒక అమెరికన్ ఎయిర్క్రాఫ్ట్ "&amp;"క్యారియర్ నుండి బయలుదేరిన మొదటి విమానంగా మారింది. [1] యు.ఎస్. మొదటి ప్రపంచ యుద్ధంలో ప్రవేశించిన కొద్ది నెలలకే లూయిస్ &amp; వోట్ కార్పొరేషన్ ఏర్పడింది, యుద్ధ అవసరాలకు సేవ చేయాలనే ఉద్దేశ్యంతో. విజయవంతమైన యూరోపియన్ డిజైన్ల తర్వాత సంస్థ యొక్క శిక్షకుడు నమూనాగా ఉన"&amp;"్నాడు; ఉదాహరణకు, ఇంజిన్ ఫ్రెంచ్ స్పాడ్‌లు ఉపయోగించిన రకానికి చెందిన రైట్ హిస్పానో సూయిజా. ఆచరణలో, VE-7 యొక్క పనితీరు ఒక శిక్షకుడికి సాధారణం కంటే చాలా మంచిది, మరియు సైన్యం VE-8 అని పిలువబడే మెరుగైన రూపకల్పనలో 1,000 ను ఆదేశించింది. ఏదేమైనా, యుద్ధం ముగిసినంద"&amp;"ున ఒప్పందం రద్దు చేయబడింది. [1] ఏదేమైనా, నావికాదళం VE-7 లో చాలా ఆసక్తి కలిగి ఉంది మరియు మే 1920 లో మొదటి యంత్రాన్ని అందుకుంది. ఉత్పత్తి ఉత్తర్వులు త్వరలోనే వచ్చాయి, మరియు ఆ సమయంలో నేవీ పాలసీకి అనుగుణంగా, నావికాదళ విమాన కర్మాగారం కూడా ఉదాహరణలను నిర్మించింద"&amp;"ి. మొత్తం మీద, 128 VE-7 లు నిర్మించబడ్డాయి. [1] VE-7 యొక్క ఫైటర్ వెర్షన్ VE-7S గా నియమించబడింది. ఇది సింగిల్-సీటర్, ఫ్రంట్ కాక్‌పిట్ మరియు .30 లో (7.62 మిమీ) విక్కర్స్ మెషిన్ గన్ దానిపై ఎడమ వైపున అమర్చబడి, ప్రొపెల్లర్ ద్వారా కాల్పులు జరపడానికి సమకాలీకరించ"&amp;"బడింది. కొన్ని విమానాలు, నియమించబడిన VE-7SF, గాలితో కూడిన సంచులతో కూడిన ఫ్లోటేషన్ గేర్‌ను కలిగి ఉన్నాయి, సముద్రంలో ముంచెత్తుతున్నప్పుడు విమానం తేలుతూ ఉండటానికి సహాయపడటానికి అందుబాటులో ఉంది. [1] బ్లూబర్డ్ అధునాతన శిక్షణా యంత్రాల కోసం 1918 ఆర్మీ పోటీని గెలు"&amp;"చుకుంది. [2] జూలై 1919 లో పూర్తయిన VE-8 వేరియంట్ 340 హెచ్‌పి రైట్-హిస్పానో హెచ్ ఇంజిన్‌ను కలిగి ఉంది, మొత్తం కొలతలు, పెరిగిన వింగ్ ప్రాంతం, తక్కువ ఫెయిర్‌డ్ క్యాబనే మరియు రెండు విక్కర్స్ తుపాకులు. రెండు పూర్తయ్యాయి. విమాన పరీక్ష ఫలితాలు నిరాశపరిచాయి, భారీ"&amp;" నియంత్రణలు, సరిపోని స్థిరత్వం మరియు మందగించిన పనితీరుతో విమానం అధిక బరువుతో ఉంది. [3] VE-9 వేరియంట్, మొదట 24 జూన్ 1922 న నేవీకి పంపిణీ చేయబడింది, ఇది తప్పనిసరిగా మెరుగైన VE-7, ఇంధన వ్యవస్థ ప్రాంతంలో చాలా మెరుగుదలలు. యు.ఎస్. నేవీ ఆదేశించిన 21 లో నాలుగు ని"&amp;"రాయుధ పరిశీలన ఫ్లోట్ సీప్లేన్లు యుద్ధనౌక కాటాపుల్ట్ ఉపయోగం కోసం. [3] VE-7S లో నేవీ యొక్క మొదటి రెండు ఫైటర్ స్క్వాడ్రన్లు VF-1 మరియు VF-2 ఉన్నాయి. లెఫ్టినెంట్ వర్జిల్ సి. గ్రిఫిన్ ఎగురుతున్న ఒక VE-7 అక్టోబర్ 17, 1922 న చరిత్ర సృష్టించింది, ఇది కొత్తగా నియమ"&amp;"ించిన క్యారియర్ లాంగ్లీ యొక్క డెక్ నుండి బయలుదేరింది. VE-7 లు చాలా సంవత్సరాలు నేవీ యొక్క ఫ్రంట్‌లైన్ యోధులు, ముగ్గురు ఇప్పటికీ 1927 లో లాంగ్లీకి కేటాయించబడ్డారు; మరుసటి సంవత్సరం అన్నీ రిటైర్ అయ్యాయి. [1] ప్రాణాలతో బయటపడలేదు, అయితే 2007 ప్రారంభంలో ప్రతిరూప"&amp;" బ్లూబర్డ్ పూర్తయింది, వోట్ ఎయిర్క్రాఫ్ట్ హెరిటేజ్ ఫౌండేషన్ యొక్క వాలంటీర్లు. [4] ఇది ఇప్పుడు ఫ్లోరిడాలోని పెన్సకోలాలోని నేషనల్ నావల్ ఏవియేషన్ మ్యూజియంలో ప్రదర్శనలో ఉంది. [5] మైఖేల్ జాన్ హాడ్డ్రిక్ టేలర్ చేత మొదటి ప్రపంచ యుద్ధం యొక్క విమానాల జేన్స్ నుండి "&amp;"డేటా (రాండమ్ హౌస్ గ్రూప్ లిమిటెడ్. 20 వోక్స్హాల్ బ్రిడ్జ్ రోడ్, లండన్ SW1V 2SA, 2001, .MW- పార్సర్-అవుట్పుట్ CITE.CITATION {FONT- శైలి: వారసత్వంగా; . . అప్‌లోడ్. అవుట్పుట్ .ID-LOCK- రిజిస్ట్రేషన్ A, .MW- పార్సర్-అవుట్పుట్ .సిటేషన్ .cs1-lock- పరిమితం చేయబడ"&amp;"ిన A, .MW- పార్సర్-అవుట్పుట్ .సిటేషన్ .cs1- లాక్-రిజిస్ట్రేషన్ A {నేపథ్యం: లీనియర్-గ్రేడియంట్ (పారదర్శక, పారదర్శక ), URL (""// అప్‌లోడ్ -లాక్-సబ్‌స్క్రిప్షన్ A, .MW- పార్సర్-అవుట్పుట్ .citation .cs1-lock- చందా A {నేపథ్యం: లీనియర్-గ్రేడియంట్ (పారదర్శక, పార"&amp;"దర్శక), URL (""// అప్‌లోడ్ NO- రిపీట్} .mw-Parser-output .cs1-ws-icon a {నేపథ్యం: లీనియర్-గ్రేడియంట్ (పారదర్శక, పారదర్శక), URL (""// అప్‌లోడ్ logo.svg "") కుడి 0.1em సెంటర్/12 పిఎక్స్ నో-రిపీట్} .mw- పార్సర్-అవుట్పుట్ .సిఎస్ 1-కోడ్ {రంగు: వారసత్వం; -hided"&amp;"-herror {display: none; రంగు:#D33} .MW- పార్సర్-అవుట్పుట్ .cs1-sive-sible-error {రంగు:#D33} .MW-PARSER- అవుట్పుట్ .cs1-maint {display: none; color:# 3A3; మార్జిన్-ఎడమ: 0.3em} .mw-Parser- అవుట్పుట్ .cs1- ఫార్మాట్ {ఫాంట్-సైజ్: 95%}. పార్సర్-అవుట్పుట్ .సిఎస్"&amp;" 1-కెర్న్-రైట్ {పాడింగ్-రైట్: 0.2em} .mw- పార్సర్-అవుట్పుట్ .citation .mw-selllink {font-weight: wericit} isbn 1-85170-347-0), 320 pp.generalar లక్షణాలు పనితీరు ఆయుధ")</f>
        <v>వోట్ VE-7 "బ్లూబర్డ్" అమెరికా యొక్క ప్రారంభ బిప్‌లేన్. 1917 లో మొట్టమొదటిసారిగా ఎగురుతూ, ఇది అమెరికా ఆర్మీకి రెండు సీట్ల శిక్షకుడిగా రూపొందించబడింది, తరువాత అమెరికా నేవీ దాని మొదటి ఫైటర్ విమానంగా స్వీకరించబడింది. 1922 లో, VE-7 ఒక అమెరికన్ ఎయిర్క్రాఫ్ట్ క్యారియర్ నుండి బయలుదేరిన మొదటి విమానంగా మారింది. [1] యు.ఎస్. మొదటి ప్రపంచ యుద్ధంలో ప్రవేశించిన కొద్ది నెలలకే లూయిస్ &amp; వోట్ కార్పొరేషన్ ఏర్పడింది, యుద్ధ అవసరాలకు సేవ చేయాలనే ఉద్దేశ్యంతో. విజయవంతమైన యూరోపియన్ డిజైన్ల తర్వాత సంస్థ యొక్క శిక్షకుడు నమూనాగా ఉన్నాడు; ఉదాహరణకు, ఇంజిన్ ఫ్రెంచ్ స్పాడ్‌లు ఉపయోగించిన రకానికి చెందిన రైట్ హిస్పానో సూయిజా. ఆచరణలో, VE-7 యొక్క పనితీరు ఒక శిక్షకుడికి సాధారణం కంటే చాలా మంచిది, మరియు సైన్యం VE-8 అని పిలువబడే మెరుగైన రూపకల్పనలో 1,000 ను ఆదేశించింది. ఏదేమైనా, యుద్ధం ముగిసినందున ఒప్పందం రద్దు చేయబడింది. [1] ఏదేమైనా, నావికాదళం VE-7 లో చాలా ఆసక్తి కలిగి ఉంది మరియు మే 1920 లో మొదటి యంత్రాన్ని అందుకుంది. ఉత్పత్తి ఉత్తర్వులు త్వరలోనే వచ్చాయి, మరియు ఆ సమయంలో నేవీ పాలసీకి అనుగుణంగా, నావికాదళ విమాన కర్మాగారం కూడా ఉదాహరణలను నిర్మించింది. మొత్తం మీద, 128 VE-7 లు నిర్మించబడ్డాయి. [1] VE-7 యొక్క ఫైటర్ వెర్షన్ VE-7S గా నియమించబడింది. ఇది సింగిల్-సీటర్, ఫ్రంట్ కాక్‌పిట్ మరియు .30 లో (7.62 మిమీ) విక్కర్స్ మెషిన్ గన్ దానిపై ఎడమ వైపున అమర్చబడి, ప్రొపెల్లర్ ద్వారా కాల్పులు జరపడానికి సమకాలీకరించబడింది. కొన్ని విమానాలు, నియమించబడిన VE-7SF, గాలితో కూడిన సంచులతో కూడిన ఫ్లోటేషన్ గేర్‌ను కలిగి ఉన్నాయి, సముద్రంలో ముంచెత్తుతున్నప్పుడు విమానం తేలుతూ ఉండటానికి సహాయపడటానికి అందుబాటులో ఉంది. [1] బ్లూబర్డ్ అధునాతన శిక్షణా యంత్రాల కోసం 1918 ఆర్మీ పోటీని గెలుచుకుంది. [2] జూలై 1919 లో పూర్తయిన VE-8 వేరియంట్ 340 హెచ్‌పి రైట్-హిస్పానో హెచ్ ఇంజిన్‌ను కలిగి ఉంది, మొత్తం కొలతలు, పెరిగిన వింగ్ ప్రాంతం, తక్కువ ఫెయిర్‌డ్ క్యాబనే మరియు రెండు విక్కర్స్ తుపాకులు. రెండు పూర్తయ్యాయి. విమాన పరీక్ష ఫలితాలు నిరాశపరిచాయి, భారీ నియంత్రణలు, సరిపోని స్థిరత్వం మరియు మందగించిన పనితీరుతో విమానం అధిక బరువుతో ఉంది. [3] VE-9 వేరియంట్, మొదట 24 జూన్ 1922 న నేవీకి పంపిణీ చేయబడింది, ఇది తప్పనిసరిగా మెరుగైన VE-7, ఇంధన వ్యవస్థ ప్రాంతంలో చాలా మెరుగుదలలు. యు.ఎస్. నేవీ ఆదేశించిన 21 లో నాలుగు నిరాయుధ పరిశీలన ఫ్లోట్ సీప్లేన్లు యుద్ధనౌక కాటాపుల్ట్ ఉపయోగం కోసం. [3] VE-7S లో నేవీ యొక్క మొదటి రెండు ఫైటర్ స్క్వాడ్రన్లు VF-1 మరియు VF-2 ఉన్నాయి. లెఫ్టినెంట్ వర్జిల్ సి. గ్రిఫిన్ ఎగురుతున్న ఒక VE-7 అక్టోబర్ 17, 1922 న చరిత్ర సృష్టించింది, ఇది కొత్తగా నియమించిన క్యారియర్ లాంగ్లీ యొక్క డెక్ నుండి బయలుదేరింది. VE-7 లు చాలా సంవత్సరాలు నేవీ యొక్క ఫ్రంట్‌లైన్ యోధులు, ముగ్గురు ఇప్పటికీ 1927 లో లాంగ్లీకి కేటాయించబడ్డారు; మరుసటి సంవత్సరం అన్నీ రిటైర్ అయ్యాయి. [1] ప్రాణాలతో బయటపడలేదు, అయితే 2007 ప్రారంభంలో ప్రతిరూప బ్లూబర్డ్ పూర్తయింది, వోట్ ఎయిర్క్రాఫ్ట్ హెరిటేజ్ ఫౌండేషన్ యొక్క వాలంటీర్లు. [4] ఇది ఇప్పుడు ఫ్లోరిడాలోని పెన్సకోలాలోని నేషనల్ నావల్ ఏవియేషన్ మ్యూజియంలో ప్రదర్శనలో ఉంది. [5] మైఖేల్ జాన్ హాడ్డ్రిక్ టేలర్ చేత మొదటి ప్రపంచ యుద్ధం యొక్క విమానాల జేన్స్ నుండి డేటా (రాండమ్ హౌస్ గ్రూప్ లిమిటెడ్. 20 వోక్స్హాల్ బ్రిడ్జ్ రోడ్, లండన్ SW1V 2SA, 2001, .MW- పార్సర్-అవుట్పుట్ CITE.CITATION {FONT- శైలి: వారసత్వంగా; . . అప్‌లోడ్. అవుట్పుట్ .ID-LOCK- రిజిస్ట్రేషన్ A, .MW- పార్సర్-అవుట్పుట్ .సిటేషన్ .cs1-lock- పరిమితం చేయబడిన A, .MW- పార్సర్-అవుట్పుట్ .సిటేషన్ .cs1- లాక్-రిజిస్ట్రేషన్ A {నేపథ్యం: లీనియర్-గ్రేడియంట్ (పారదర్శక, పారదర్శక ), URL ("// అప్‌లోడ్ -లాక్-సబ్‌స్క్రిప్షన్ A, .MW- పార్సర్-అవుట్పుట్ .citation .cs1-lock- చందా A {నేపథ్యం: లీనియర్-గ్రేడియంట్ (పారదర్శక, పారదర్శక), URL ("// అప్‌లోడ్ NO- రిపీట్} .mw-Parser-output .cs1-ws-icon a {నేపథ్యం: లీనియర్-గ్రేడియంట్ (పారదర్శక, పారదర్శక), URL ("// అప్‌లోడ్ logo.svg ") కుడి 0.1em సెంటర్/12 పిఎక్స్ నో-రిపీట్} .mw- పార్సర్-అవుట్పుట్ .సిఎస్ 1-కోడ్ {రంగు: వారసత్వం; -hided-herror {display: none; రంగు:#D33} .MW- పార్సర్-అవుట్పుట్ .cs1-sive-sible-error {రంగు:#D33} .MW-PARSER- అవుట్పుట్ .cs1-maint {display: none; color:# 3A3; మార్జిన్-ఎడమ: 0.3em} .mw-Parser- అవుట్పుట్ .cs1- ఫార్మాట్ {ఫాంట్-సైజ్: 95%}. పార్సర్-అవుట్పుట్ .సిఎస్ 1-కెర్న్-రైట్ {పాడింగ్-రైట్: 0.2em} .mw- పార్సర్-అవుట్పుట్ .citation .mw-selllink {font-weight: wericit} isbn 1-85170-347-0), 320 pp.generalar లక్షణాలు పనితీరు ఆయుధ</v>
      </c>
      <c r="E97" s="1" t="s">
        <v>2096</v>
      </c>
      <c r="F97" s="1" t="s">
        <v>2097</v>
      </c>
      <c r="G97" s="1" t="str">
        <f>IFERROR(__xludf.DUMMYFUNCTION("GOOGLETRANSLATE(F:F, ""en"", ""te"")"),"ఫైటర్ మరియు ట్రైనర్")</f>
        <v>ఫైటర్ మరియు ట్రైనర్</v>
      </c>
      <c r="L97" s="1" t="s">
        <v>2098</v>
      </c>
      <c r="M97" s="1" t="str">
        <f>IFERROR(__xludf.DUMMYFUNCTION("GOOGLETRANSLATE(L:L, ""en"", ""te"")"),"లూయిస్ &amp; వోట్ కార్పొరేషన్")</f>
        <v>లూయిస్ &amp; వోట్ కార్పొరేషన్</v>
      </c>
      <c r="N97" s="1" t="s">
        <v>2099</v>
      </c>
      <c r="O97" s="1" t="s">
        <v>2100</v>
      </c>
      <c r="P97" s="1" t="str">
        <f>IFERROR(__xludf.DUMMYFUNCTION("GOOGLETRANSLATE(O:O, ""en"", ""te"")"),"అవకాశం M. వోట్")</f>
        <v>అవకాశం M. వోట్</v>
      </c>
      <c r="Q97" s="1" t="s">
        <v>2101</v>
      </c>
      <c r="R97" s="1">
        <v>1917.0</v>
      </c>
      <c r="S97" s="1">
        <v>128.0</v>
      </c>
      <c r="T97" s="1" t="s">
        <v>2102</v>
      </c>
      <c r="V97" s="1" t="s">
        <v>428</v>
      </c>
      <c r="W97" s="1" t="s">
        <v>2103</v>
      </c>
      <c r="X97" s="1" t="s">
        <v>2104</v>
      </c>
      <c r="Y97" s="1" t="s">
        <v>2105</v>
      </c>
      <c r="Z97" s="1" t="s">
        <v>2106</v>
      </c>
      <c r="AF97" s="1" t="s">
        <v>2107</v>
      </c>
      <c r="AG97" s="1" t="s">
        <v>2108</v>
      </c>
      <c r="AH97" s="1" t="s">
        <v>2109</v>
      </c>
      <c r="AS97" s="1" t="s">
        <v>2110</v>
      </c>
      <c r="AT97" s="1"/>
      <c r="AU97" s="1" t="s">
        <v>2111</v>
      </c>
      <c r="AX97" s="1" t="s">
        <v>2112</v>
      </c>
      <c r="AY97" s="1" t="str">
        <f>IFERROR(__xludf.DUMMYFUNCTION("GOOGLETRANSLATE(AX:AX, ""en"", ""te"")"),"1 × రైట్-హిస్పానో ఇ -3 లిక్విడ్ కూల్డ్ వి -8, 180 హెచ్‌పి (134 కిలోవాట్)")</f>
        <v>1 × రైట్-హిస్పానో ఇ -3 లిక్విడ్ కూల్డ్ వి -8, 180 హెచ్‌పి (134 కిలోవాట్)</v>
      </c>
      <c r="AZ97" s="1" t="s">
        <v>2113</v>
      </c>
      <c r="BA97" s="1" t="str">
        <f>IFERROR(__xludf.DUMMYFUNCTION("GOOGLETRANSLATE(AZ:AZ, ""en"", ""te"")"),"2-బ్లేడెడ్, 8 అడుగుల 8 ఇన్ (2.64 మీ) వ్యాసం చెక్క స్థిర పిచ్ ప్రొపెల్లర్")</f>
        <v>2-బ్లేడెడ్, 8 అడుగుల 8 ఇన్ (2.64 మీ) వ్యాసం చెక్క స్థిర పిచ్ ప్రొపెల్లర్</v>
      </c>
      <c r="BB97" s="1" t="s">
        <v>2114</v>
      </c>
      <c r="BD97" s="1" t="s">
        <v>2115</v>
      </c>
      <c r="BG97" s="2"/>
      <c r="BS97" s="1" t="s">
        <v>2116</v>
      </c>
      <c r="BT97" s="1" t="s">
        <v>2117</v>
      </c>
      <c r="BW97" s="1" t="s">
        <v>2118</v>
      </c>
      <c r="CC97" s="1" t="s">
        <v>2119</v>
      </c>
      <c r="CD97" s="1" t="str">
        <f>IFERROR(__xludf.DUMMYFUNCTION("GOOGLETRANSLATE(CC:CC, ""en"", ""te"")"),".")</f>
        <v>.</v>
      </c>
    </row>
    <row r="98">
      <c r="A98" s="1" t="s">
        <v>2120</v>
      </c>
      <c r="B98" s="1" t="str">
        <f>IFERROR(__xludf.DUMMYFUNCTION("GOOGLETRANSLATE(A:A, ""en"", ""te"")"),"పోమిలియో పె")</f>
        <v>పోమిలియో పె</v>
      </c>
      <c r="C98" s="1" t="s">
        <v>2121</v>
      </c>
      <c r="D98" s="1" t="str">
        <f>IFERROR(__xludf.DUMMYFUNCTION("GOOGLETRANSLATE(C:C, ""en"", ""te"")"),"పోమిలియో పిఇ మొదటి ప్రపంచ యుద్ధం ఇటాలియన్ సాయుధ నిఘా బిప్‌లాన్, పోమిలియో బ్రదర్స్ రూపొందించిన మరియు నిర్మించినది. ఇది మునుపటి పోమిలియో పిసి మరియు పిడి నుండి అభివృద్ధి చేయబడింది. పోమిలియో బ్రదర్స్ మొట్టమొదట సాయుధ నిఘా బిప్‌లేన్ 1917 లో కనిపించిన పోమిలియో ప"&amp;"ిసి. ఇది స్థిర టెయిల్‌స్కిడ్ ల్యాండింగ్ గేర్‌తో మిశ్రమ నిర్మాణం యొక్క సాంప్రదాయిక బైప్‌లేన్. ఇది సమిష్టిగా రెండు ఓపెన్ కాక్‌పిట్‌లను కలిగి ఉంది మరియు ముక్కు-మౌంటెడ్ 260 హెచ్‌పి (194 కిలోవాట్) ఫియట్ ఎ .12 ఇంజిన్‌తో శక్తినిచ్చింది. ఇది మొట్టమొదట 1917 లో సేవ"&amp;"లోకి ప్రవేశించింది మరియు ఇది ప్రమాదకరమైన అస్థిరంగా కనుగొనబడింది, ఇది మెరుగైన డిజైన్ ది పోమిలియో పిడికి దారితీసింది. ఇటాలియన్ వైమానిక దళం కోసం 70 పోమిలియో పిసి మాత్రమే తయారు చేయబడ్డాయి. [1] ఇతర మెరుగుదలలు కాకుండా, పిడి స్థిరత్వానికి సహాయపడటానికి టెయిల్ ఫిన"&amp;"్ మరియు వెంట్రల్ ఫిన్ ను ప్రవేశపెట్టింది. [1] సిలిండర్ తలలు బహిర్గతమయ్యాయి మరియు ఒక రేడియేటర్‌ను ఎగువ రెక్క ముందు ఉంచారు. [1] పిడి జూన్ 1917 లో ఎగురవేయబడింది. [1] 431 పిడి తయారు చేయబడ్డాయి, వీటిలో 93 డ్యూయల్ కంట్రోల్ ట్రైనర్స్ ఉన్నాయి, ఇవి కష్టమైన విమాన ల"&amp;"క్షణాల కారణంగా అవసరమయ్యాయి. [2] మరో మెరుగుదల పోమిలియో పె, ఫియట్ A.12BIS యొక్క మరింత శక్తివంతమైన వేరియంట్‌తో అమర్చబడింది. ఇది పూర్తి కౌల్డ్ ఇంజిన్‌ను కలిగి ఉంది, దాని ముందు నిలువు రేడియేటర్‌తో, విమానం యొక్క రూపాన్ని మార్చింది. [1] తరువాతి యంత్రాలలో, త్రిభు"&amp;"జాకార ఫిన్ పెద్ద ట్రాపెజాయిడ్‌తో భర్తీ చేయబడింది. [1] ఇది అక్టోబర్ 1917 లో ఉత్పత్తిలోకి ప్రవేశించింది మరియు 103 మంది శిక్షకులతో సహా 984 తయారు చేయబడింది. [3] సమకాలీకరించబడిన ఫార్వర్డ్-ఫైరింగ్ మెషిన్-గన్స్ [సైటేషన్ అవసరం] అలాగే అబ్జర్వర్ యొక్క లూయిస్ మెషిన్"&amp;" గన్‌తో అమర్చిన తరువాత విమానాలతో ఉత్పత్తి రన్ అంతటా మార్పులు చేయబడ్డాయి. .MW-PARSER- అవుట్పుట్ CITE.CITATION {FONT- శైలి: వారసత్వం; పదం-RRAP: బ్రేక్-వర్డ్} .MW-PARSER- అవుట్పుట్ .citation q {quots: ""\"" """" \ """" """" """" ' లాక్-ఫ్రీ A {నేపథ్యం: లీనియ"&amp;"ర్-గ్రేడియంట్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లీనియర్-గ్రేడియం"&amp;"ట్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పార్సర్-అవుట్పుట"&amp;"్ .సిఎస్ 1-హిడెన్-ఎర్రర్ {డిస్ప్లే: ఏదీ లేదు; రంగు:#D33} .MW-PARSER-OUTPUT .CS1-SISIBLE-ERROR {COLOR ఏదీ లేదు; EM} .MW-PARSER-అవుట్పుట్ .CS1-KERN- రైట్ {పాడింగ్-రైట్: 0.2EM} .MW-PARSER- అవుట్పుట్ .citation .mw-selflink {font-weight: wericeit} ఇలస్ట్రేటెడ్"&amp;" ఎన్సైక్లోపీడియా ఆఫ్ ఎయిర్‌క్రాఫ్ట్ (పార్ట్ వర్క్ 1982 -1985). ఆర్బిస్ ​​పబ్లిషింగ్. పే. 2759. జనరల్ లక్షణాలు పనితీరు ఆయుధాలు")</f>
        <v>పోమిలియో పిఇ మొదటి ప్రపంచ యుద్ధం ఇటాలియన్ సాయుధ నిఘా బిప్‌లాన్, పోమిలియో బ్రదర్స్ రూపొందించిన మరియు నిర్మించినది. ఇది మునుపటి పోమిలియో పిసి మరియు పిడి నుండి అభివృద్ధి చేయబడింది. పోమిలియో బ్రదర్స్ మొట్టమొదట సాయుధ నిఘా బిప్‌లేన్ 1917 లో కనిపించిన పోమిలియో పిసి. ఇది స్థిర టెయిల్‌స్కిడ్ ల్యాండింగ్ గేర్‌తో మిశ్రమ నిర్మాణం యొక్క సాంప్రదాయిక బైప్‌లేన్. ఇది సమిష్టిగా రెండు ఓపెన్ కాక్‌పిట్‌లను కలిగి ఉంది మరియు ముక్కు-మౌంటెడ్ 260 హెచ్‌పి (194 కిలోవాట్) ఫియట్ ఎ .12 ఇంజిన్‌తో శక్తినిచ్చింది. ఇది మొట్టమొదట 1917 లో సేవలోకి ప్రవేశించింది మరియు ఇది ప్రమాదకరమైన అస్థిరంగా కనుగొనబడింది, ఇది మెరుగైన డిజైన్ ది పోమిలియో పిడికి దారితీసింది. ఇటాలియన్ వైమానిక దళం కోసం 70 పోమిలియో పిసి మాత్రమే తయారు చేయబడ్డాయి. [1] ఇతర మెరుగుదలలు కాకుండా, పిడి స్థిరత్వానికి సహాయపడటానికి టెయిల్ ఫిన్ మరియు వెంట్రల్ ఫిన్ ను ప్రవేశపెట్టింది. [1] సిలిండర్ తలలు బహిర్గతమయ్యాయి మరియు ఒక రేడియేటర్‌ను ఎగువ రెక్క ముందు ఉంచారు. [1] పిడి జూన్ 1917 లో ఎగురవేయబడింది. [1] 431 పిడి తయారు చేయబడ్డాయి, వీటిలో 93 డ్యూయల్ కంట్రోల్ ట్రైనర్స్ ఉన్నాయి, ఇవి కష్టమైన విమాన లక్షణాల కారణంగా అవసరమయ్యాయి. [2] మరో మెరుగుదల పోమిలియో పె, ఫియట్ A.12BIS యొక్క మరింత శక్తివంతమైన వేరియంట్‌తో అమర్చబడింది. ఇది పూర్తి కౌల్డ్ ఇంజిన్‌ను కలిగి ఉంది, దాని ముందు నిలువు రేడియేటర్‌తో, విమానం యొక్క రూపాన్ని మార్చింది. [1] తరువాతి యంత్రాలలో, త్రిభుజాకార ఫిన్ పెద్ద ట్రాపెజాయిడ్‌తో భర్తీ చేయబడింది. [1] ఇది అక్టోబర్ 1917 లో ఉత్పత్తిలోకి ప్రవేశించింది మరియు 103 మంది శిక్షకులతో సహా 984 తయారు చేయబడింది. [3] సమకాలీకరించబడిన ఫార్వర్డ్-ఫైరింగ్ మెషిన్-గన్స్ [సైటేషన్ అవసరం] అలాగే అబ్జర్వర్ యొక్క లూయిస్ మెషిన్ గన్‌తో అమర్చిన తరువాత విమానాలతో ఉత్పత్తి రన్ అంతటా మార్పులు చేయబడ్డాయి.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{font-weight: wericeit} ఇలస్ట్రేటెడ్ ఎన్సైక్లోపీడియా ఆఫ్ ఎయిర్‌క్రాఫ్ట్ (పార్ట్ వర్క్ 1982 -1985). ఆర్బిస్ ​​పబ్లిషింగ్. పే. 2759. జనరల్ లక్షణాలు పనితీరు ఆయుధాలు</v>
      </c>
      <c r="E98" s="1" t="s">
        <v>2122</v>
      </c>
      <c r="F98" s="1" t="s">
        <v>2123</v>
      </c>
      <c r="G98" s="1" t="str">
        <f>IFERROR(__xludf.DUMMYFUNCTION("GOOGLETRANSLATE(F:F, ""en"", ""te"")"),"రెండు-సీట్ల సాయుధ నిఘా బిప్‌లేన్")</f>
        <v>రెండు-సీట్ల సాయుధ నిఘా బిప్‌లేన్</v>
      </c>
      <c r="L98" s="1" t="s">
        <v>2124</v>
      </c>
      <c r="M98" s="1" t="str">
        <f>IFERROR(__xludf.DUMMYFUNCTION("GOOGLETRANSLATE(L:L, ""en"", ""te"")"),"పోమిలియో")</f>
        <v>పోమిలియో</v>
      </c>
      <c r="N98" s="3" t="s">
        <v>2125</v>
      </c>
      <c r="R98" s="1">
        <v>1917.0</v>
      </c>
      <c r="S98" s="1" t="s">
        <v>2126</v>
      </c>
      <c r="T98" s="1" t="s">
        <v>216</v>
      </c>
      <c r="V98" s="1" t="s">
        <v>2127</v>
      </c>
      <c r="W98" s="1" t="s">
        <v>2128</v>
      </c>
      <c r="X98" s="1" t="s">
        <v>2129</v>
      </c>
      <c r="Y98" s="1" t="s">
        <v>2130</v>
      </c>
      <c r="AH98" s="1" t="s">
        <v>2131</v>
      </c>
      <c r="AO98" s="1">
        <v>1917.0</v>
      </c>
      <c r="AQ98" s="1">
        <v>1920.0</v>
      </c>
      <c r="AX98" s="1" t="s">
        <v>2132</v>
      </c>
      <c r="AY98" s="1" t="str">
        <f>IFERROR(__xludf.DUMMYFUNCTION("GOOGLETRANSLATE(AX:AX, ""en"", ""te"")"),"1 × ఫియట్ A.12BIS సిక్స్-సిలిండర్ ఇన్లైన్ పిస్టన్ ఇంజిన్, 224 kW (300 HP)")</f>
        <v>1 × ఫియట్ A.12BIS సిక్స్-సిలిండర్ ఇన్లైన్ పిస్టన్ ఇంజిన్, 224 kW (300 HP)</v>
      </c>
      <c r="BB98" s="1" t="s">
        <v>2133</v>
      </c>
      <c r="BD98" s="1" t="s">
        <v>1358</v>
      </c>
      <c r="BF98" s="1" t="s">
        <v>2134</v>
      </c>
      <c r="BG98" s="2" t="str">
        <f>IFERROR(__xludf.DUMMYFUNCTION("GOOGLETRANSLATE(BF:BF, ""en"", ""te"")"),"కార్పో ఏరోనాటికో ఏరోనాటికో ఏరోనాటికా")</f>
        <v>కార్పో ఏరోనాటికో ఏరోనాటికో ఏరోనాటికా</v>
      </c>
      <c r="BH98" s="1" t="s">
        <v>2135</v>
      </c>
      <c r="BZ98" s="1" t="s">
        <v>2136</v>
      </c>
    </row>
    <row r="99">
      <c r="A99" s="1" t="s">
        <v>2137</v>
      </c>
      <c r="B99" s="1" t="str">
        <f>IFERROR(__xludf.DUMMYFUNCTION("GOOGLETRANSLATE(A:A, ""en"", ""te"")"),"PZL P.6")</f>
        <v>PZL P.6</v>
      </c>
      <c r="C99" s="1" t="s">
        <v>2138</v>
      </c>
      <c r="D99" s="1" t="str">
        <f>IFERROR(__xludf.DUMMYFUNCTION("GOOGLETRANSLATE(C:C, ""en"", ""te"")"),"PZL P.6 ఒక పోలిష్ ఫైటర్, దీనిని ఇంజనీర్ జైగ్మంట్ ప్యూవాస్కీ రూపొందించారు, దీనిని PZL ప్రభుత్వ యాజమాన్యంలోని కర్మాగారం తయారు చేశారు. ఇది ఒక నమూనాగా మిగిలిపోయింది. PZL P.6 చరిత్ర 1928 లో ప్రారంభమైంది, ప్రతిభావంతులైన డిజైనర్, జైగ్మంట్ ప్యూవాస్కీ ఆల్-మెటల్ మె"&amp;"టల్-కప్పబడిన మోనోప్లేన్ ఫైటర్ PZL P.1 ను రూపొందించారు. ఇది అధిక గల్ వింగ్‌ను ప్రవేశపెట్టింది, పైలట్‌కు సరైన వీక్షణను ఇస్తుంది. P.1 లో ఇన్లైన్ ఇంజిన్‌తో శక్తినిచ్చింది మరియు గంటకు 302 కిమీ వేగాన్ని అభివృద్ధి చేసింది, కాని ఒక నమూనాగా మిగిలిపోయింది, ఎందుకంటే"&amp;" పోలిష్ వైమానిక దళానికి ఒక పోరాట యోధుడిని రేడియల్ ఇంజిన్‌తో నడిపించాలి, లైసెన్స్ ఉత్పత్తి అవుతుంది పోలాండ్. అందువల్ల, తదుపరి మోడల్ PZL P.6, బ్రిస్టల్ బృహస్పతి VI FH రేడియల్ ఇంజిన్‌తో శక్తిని పొందింది. PZL P.6 ను మొదటిసారి ఆగస్టు 1930 లో టెస్ట్ పైలట్ బోలెస"&amp;"్సా ఓర్లిస్కీ నియంత్రణల వద్ద ఎగురవేయారు. ఇది p.1 కు చాలా సారూప్య రెక్కను కలిగి ఉంది, కాని ఫ్యూజ్‌లేజ్ పూర్తిగా పున es రూపకల్పన చేయబడింది, ఇది ఆధునిక సెమీ-మోనోకోక్ కాన్ఫిగరేషన్‌తో ప్రవేశపెట్టింది, ఇది క్రాస్-సెక్షన్‌లో ఓవల్, అలాగే, తోక కూడా మార్చబడింది. మా"&amp;"ర్పుల ఫలితంగా, విమానం 200 కిలోల తేలికైనది. PZL P.6 ఒక ఆల్-మెటల్ డ్యూరాలిమిన్-కప్పబడిన, కలుపు, హై-వింగ్ మోనోప్లేన్. ఫ్యూజ్‌లేజ్ ముందు విభాగంలో మరియు మధ్య మరియు తోక విభాగాలలో సెమీ-మోనోకోక్‌లో ఓవల్ క్రాస్-సెక్షన్‌తో రూపొందించబడింది. ట్రాపెజాయిడ్ ఆకారం యొక్క "&amp;"రెండు-స్పేర్ వింగ్, ఫ్యూజ్‌లేజ్ చేత సన్నగా, రిమ్డ్ విబాల్ట్ టైప్ డ్యూరాలిమిన్ షీట్‌తో కప్పబడి ఉంది, ఇరువైపులా రెండు స్ట్రట్‌లు మద్దతు ఇచ్చాయి. పైలట్ యొక్క కాక్‌పిట్ విండ్‌షీల్డ్‌తో తెరిచి ఉంది. ముందు అమర్చిన బ్రిస్టల్ బృహస్పతి VI FH రేడియల్ ఇంజిన్ టౌనెండ్"&amp;" రింగ్‌తో అమర్చబడి రెండు-బ్లేడ్ ప్రొపెల్లర్‌ను ఉపయోగించారు. వెనుక స్కిడ్‌తో స్థిర అండర్ క్యారేజ్ ప్రధానంగా సాంప్రదాయిక మరియు ఈ కాలానికి విలక్షణమైనది. అసాధారణమైన లక్షణం ఒక ఫ్యూజ్‌లేజ్ ఇంధన ట్యాంక్, ఇది ఫైర్ ఎమర్జెన్సీ విషయంలో పడిపోతుంది. P.6, P.1 మాదిరిగాన"&amp;"ే, ప్రపంచవ్యాప్తంగా చాలా ఆసక్తిని సంపాదించింది. వారి రెక్కల రూపకల్పనను ""పోలిష్ వింగ్"" లేదా ""ప్యూవాస్కీ వింగ్"" అని పిలుస్తారు. డిసెంబర్ 1931 లో లే బౌర్జెట్‌లో జరిగిన పారిస్ ఎయిర్ షోలో ప్రదర్శన సందర్భంగా, ఎల్'అయింగ్, ది ఎయిర్, ఫ్లైట్ మరియు డై లుఫ్ట్‌వాచ"&amp;"్ట్ వంటి ఏవియేషన్ ప్రెస్ పి .6 ను ప్రపంచంలోని అగ్రశ్రేణి ఫైటర్ డిజైన్లలో ఒకటిగా గుర్తించింది. విశేషమేమిట .7 అభివృద్ధి చేయబడుతోంది. మొదటి p.7 ప్రోటోటైప్ ప్రాథమికంగా మరింత శక్తివంతమైన బ్రిస్టల్ బృహస్పతి VII F ఇంజిన్‌తో P.6. సూపర్ఛార్జర్ యొక్క సదుపాయంతో, ఇది"&amp;" అధిక ఎత్తులో మెరుగైన పనితీరును సాధించింది. P.6 ప్రోటోటైప్ 11 అక్టోబర్ 1931 న Częstochova సమీపంలో ఒక ప్రొపెల్లర్ విడిపోవడం వల్ల కూలిపోయింది, దీని ఫలితంగా ఇంజిన్ చిరిగిపోతుంది. పైలట్, ఓర్లిస్కి, విజయవంతంగా బెయిల్ పొందారు. పోలిష్ విమానం నుండి డేటా 1893-1939"&amp;" [1] సాధారణ లక్షణాలు పనితీరు ఆయుధ సంబంధిత అభివృద్ధి అభివృద్ధి విమానం పోల్చదగిన పాత్ర, ఆకృతీకరణ మరియు యుగం")</f>
        <v>PZL P.6 ఒక పోలిష్ ఫైటర్, దీనిని ఇంజనీర్ జైగ్మంట్ ప్యూవాస్కీ రూపొందించారు, దీనిని PZL ప్రభుత్వ యాజమాన్యంలోని కర్మాగారం తయారు చేశారు. ఇది ఒక నమూనాగా మిగిలిపోయింది. PZL P.6 చరిత్ర 1928 లో ప్రారంభమైంది, ప్రతిభావంతులైన డిజైనర్, జైగ్మంట్ ప్యూవాస్కీ ఆల్-మెటల్ మెటల్-కప్పబడిన మోనోప్లేన్ ఫైటర్ PZL P.1 ను రూపొందించారు. ఇది అధిక గల్ వింగ్‌ను ప్రవేశపెట్టింది, పైలట్‌కు సరైన వీక్షణను ఇస్తుంది. P.1 లో ఇన్లైన్ ఇంజిన్‌తో శక్తినిచ్చింది మరియు గంటకు 302 కిమీ వేగాన్ని అభివృద్ధి చేసింది, కాని ఒక నమూనాగా మిగిలిపోయింది, ఎందుకంటే పోలిష్ వైమానిక దళానికి ఒక పోరాట యోధుడిని రేడియల్ ఇంజిన్‌తో నడిపించాలి, లైసెన్స్ ఉత్పత్తి అవుతుంది పోలాండ్. అందువల్ల, తదుపరి మోడల్ PZL P.6, బ్రిస్టల్ బృహస్పతి VI FH రేడియల్ ఇంజిన్‌తో శక్తిని పొందింది. PZL P.6 ను మొదటిసారి ఆగస్టు 1930 లో టెస్ట్ పైలట్ బోలెస్సా ఓర్లిస్కీ నియంత్రణల వద్ద ఎగురవేయారు. ఇది p.1 కు చాలా సారూప్య రెక్కను కలిగి ఉంది, కాని ఫ్యూజ్‌లేజ్ పూర్తిగా పున es రూపకల్పన చేయబడింది, ఇది ఆధునిక సెమీ-మోనోకోక్ కాన్ఫిగరేషన్‌తో ప్రవేశపెట్టింది, ఇది క్రాస్-సెక్షన్‌లో ఓవల్, అలాగే, తోక కూడా మార్చబడింది. మార్పుల ఫలితంగా, విమానం 200 కిలోల తేలికైనది. PZL P.6 ఒక ఆల్-మెటల్ డ్యూరాలిమిన్-కప్పబడిన, కలుపు, హై-వింగ్ మోనోప్లేన్. ఫ్యూజ్‌లేజ్ ముందు విభాగంలో మరియు మధ్య మరియు తోక విభాగాలలో సెమీ-మోనోకోక్‌లో ఓవల్ క్రాస్-సెక్షన్‌తో రూపొందించబడింది. ట్రాపెజాయిడ్ ఆకారం యొక్క రెండు-స్పేర్ వింగ్, ఫ్యూజ్‌లేజ్ చేత సన్నగా, రిమ్డ్ విబాల్ట్ టైప్ డ్యూరాలిమిన్ షీట్‌తో కప్పబడి ఉంది, ఇరువైపులా రెండు స్ట్రట్‌లు మద్దతు ఇచ్చాయి. పైలట్ యొక్క కాక్‌పిట్ విండ్‌షీల్డ్‌తో తెరిచి ఉంది. ముందు అమర్చిన బ్రిస్టల్ బృహస్పతి VI FH రేడియల్ ఇంజిన్ టౌనెండ్ రింగ్‌తో అమర్చబడి రెండు-బ్లేడ్ ప్రొపెల్లర్‌ను ఉపయోగించారు. వెనుక స్కిడ్‌తో స్థిర అండర్ క్యారేజ్ ప్రధానంగా సాంప్రదాయిక మరియు ఈ కాలానికి విలక్షణమైనది. అసాధారణమైన లక్షణం ఒక ఫ్యూజ్‌లేజ్ ఇంధన ట్యాంక్, ఇది ఫైర్ ఎమర్జెన్సీ విషయంలో పడిపోతుంది. P.6, P.1 మాదిరిగానే, ప్రపంచవ్యాప్తంగా చాలా ఆసక్తిని సంపాదించింది. వారి రెక్కల రూపకల్పనను "పోలిష్ వింగ్" లేదా "ప్యూవాస్కీ వింగ్" అని పిలుస్తారు. డిసెంబర్ 1931 లో లే బౌర్జెట్‌లో జరిగిన పారిస్ ఎయిర్ షోలో ప్రదర్శన సందర్భంగా, ఎల్'అయింగ్, ది ఎయిర్, ఫ్లైట్ మరియు డై లుఫ్ట్‌వాచ్ట్ వంటి ఏవియేషన్ ప్రెస్ పి .6 ను ప్రపంచంలోని అగ్రశ్రేణి ఫైటర్ డిజైన్లలో ఒకటిగా గుర్తించింది. విశేషమేమిట .7 అభివృద్ధి చేయబడుతోంది. మొదటి p.7 ప్రోటోటైప్ ప్రాథమికంగా మరింత శక్తివంతమైన బ్రిస్టల్ బృహస్పతి VII F ఇంజిన్‌తో P.6. సూపర్ఛార్జర్ యొక్క సదుపాయంతో, ఇది అధిక ఎత్తులో మెరుగైన పనితీరును సాధించింది. P.6 ప్రోటోటైప్ 11 అక్టోబర్ 1931 న Częstochova సమీపంలో ఒక ప్రొపెల్లర్ విడిపోవడం వల్ల కూలిపోయింది, దీని ఫలితంగా ఇంజిన్ చిరిగిపోతుంది. పైలట్, ఓర్లిస్కి, విజయవంతంగా బెయిల్ పొందారు. పోలిష్ విమానం నుండి డేటా 1893-1939 [1] సాధారణ లక్షణాలు పనితీరు ఆయుధ సంబంధిత అభివృద్ధి అభివృద్ధి విమానం పోల్చదగిన పాత్ర, ఆకృతీకరణ మరియు యుగం</v>
      </c>
      <c r="E99" s="1" t="s">
        <v>2139</v>
      </c>
      <c r="F99" s="1" t="s">
        <v>421</v>
      </c>
      <c r="G99" s="1" t="str">
        <f>IFERROR(__xludf.DUMMYFUNCTION("GOOGLETRANSLATE(F:F, ""en"", ""te"")"),"యుద్ధ")</f>
        <v>యుద్ధ</v>
      </c>
      <c r="H99" s="3" t="s">
        <v>754</v>
      </c>
      <c r="L99" s="1" t="s">
        <v>2140</v>
      </c>
      <c r="M99" s="1" t="str">
        <f>IFERROR(__xludf.DUMMYFUNCTION("GOOGLETRANSLATE(L:L, ""en"", ""te"")"),"Pzl")</f>
        <v>Pzl</v>
      </c>
      <c r="N99" s="3" t="s">
        <v>2141</v>
      </c>
      <c r="O99" s="1" t="s">
        <v>2142</v>
      </c>
      <c r="P99" s="1" t="str">
        <f>IFERROR(__xludf.DUMMYFUNCTION("GOOGLETRANSLATE(O:O, ""en"", ""te"")"),"Zygmunt puławski")</f>
        <v>Zygmunt puławski</v>
      </c>
      <c r="R99" s="5">
        <v>11171.0</v>
      </c>
      <c r="S99" s="1">
        <v>1.0</v>
      </c>
      <c r="T99" s="1" t="s">
        <v>2143</v>
      </c>
      <c r="U99" s="1" t="s">
        <v>2144</v>
      </c>
      <c r="V99" s="1">
        <v>1.0</v>
      </c>
      <c r="W99" s="1" t="s">
        <v>2145</v>
      </c>
      <c r="X99" s="1" t="s">
        <v>2146</v>
      </c>
      <c r="Y99" s="1" t="s">
        <v>2147</v>
      </c>
      <c r="Z99" s="1" t="s">
        <v>2148</v>
      </c>
      <c r="AF99" s="1" t="s">
        <v>247</v>
      </c>
      <c r="AG99" s="1" t="s">
        <v>2149</v>
      </c>
      <c r="AH99" s="1" t="s">
        <v>2150</v>
      </c>
      <c r="AM99" s="1" t="s">
        <v>2151</v>
      </c>
      <c r="AW99" s="1" t="s">
        <v>2152</v>
      </c>
      <c r="AX99" s="1" t="s">
        <v>2153</v>
      </c>
      <c r="AY99" s="1" t="str">
        <f>IFERROR(__xludf.DUMMYFUNCTION("GOOGLETRANSLATE(AX:AX, ""en"", ""te"")"),"1 × బ్రిస్టల్ బృహస్పతి VIFH 9-సిలిండర్ ఎయిర్-కూల్డ్ రేడియల్ పిస్టన్ ఇంజిన్, 340 kW (450 HP)")</f>
        <v>1 × బ్రిస్టల్ బృహస్పతి VIFH 9-సిలిండర్ ఎయిర్-కూల్డ్ రేడియల్ పిస్టన్ ఇంజిన్, 340 kW (450 HP)</v>
      </c>
      <c r="AZ99" s="1" t="s">
        <v>2154</v>
      </c>
      <c r="BA99" s="1" t="str">
        <f>IFERROR(__xludf.DUMMYFUNCTION("GOOGLETRANSLATE(AZ:AZ, ""en"", ""te"")"),"2-బ్లేడెడ్ గ్నోమ్-రున్ స్థిర-పిచ్ మెటల్ ప్రొపెల్లర్")</f>
        <v>2-బ్లేడెడ్ గ్నోమ్-రున్ స్థిర-పిచ్ మెటల్ ప్రొపెల్లర్</v>
      </c>
      <c r="BB99" s="1" t="s">
        <v>2155</v>
      </c>
      <c r="BD99" s="1" t="s">
        <v>2156</v>
      </c>
      <c r="BE99" s="1" t="s">
        <v>2157</v>
      </c>
      <c r="BF99" s="1" t="s">
        <v>2158</v>
      </c>
      <c r="BG99" s="2" t="str">
        <f>IFERROR(__xludf.DUMMYFUNCTION("GOOGLETRANSLATE(BF:BF, ""en"", ""te"")"),"పోలిష్ వైమానిక దళం")</f>
        <v>పోలిష్ వైమానిక దళం</v>
      </c>
      <c r="BH99" s="1" t="s">
        <v>2159</v>
      </c>
      <c r="BI99" s="1" t="s">
        <v>2160</v>
      </c>
      <c r="BJ99" s="1" t="s">
        <v>2161</v>
      </c>
      <c r="BR99" s="1" t="s">
        <v>2162</v>
      </c>
      <c r="BS99" s="1" t="s">
        <v>2163</v>
      </c>
      <c r="BT99" s="1" t="s">
        <v>2164</v>
      </c>
      <c r="BU99" s="1" t="s">
        <v>2165</v>
      </c>
      <c r="BV99" s="1" t="str">
        <f>IFERROR(__xludf.DUMMYFUNCTION("GOOGLETRANSLATE(BU:BU, ""en"", ""te"")"),"ప్రోటోటైప్ నాశనం చేయబడింది")</f>
        <v>ప్రోటోటైప్ నాశనం చేయబడింది</v>
      </c>
      <c r="CB99" s="1" t="s">
        <v>2166</v>
      </c>
      <c r="CC99" s="1" t="s">
        <v>2167</v>
      </c>
      <c r="CD99" s="1" t="str">
        <f>IFERROR(__xludf.DUMMYFUNCTION("GOOGLETRANSLATE(CC:CC, ""en"", ""te"")"),"2 x 7.7 మిమీ (0.303 అంగుళాలు) విక్కర్స్ ఇ మెషిన్ గన్స్ ఫ్యూజ్‌లేజ్‌లో")</f>
        <v>2 x 7.7 మిమీ (0.303 అంగుళాలు) విక్కర్స్ ఇ మెషిన్ గన్స్ ఫ్యూజ్‌లేజ్‌లో</v>
      </c>
      <c r="EJ99" s="1" t="s">
        <v>2168</v>
      </c>
    </row>
    <row r="100">
      <c r="A100" s="1" t="s">
        <v>2169</v>
      </c>
      <c r="B100" s="1" t="str">
        <f>IFERROR(__xludf.DUMMYFUNCTION("GOOGLETRANSLATE(A:A, ""en"", ""te"")"),"Schempp- హర్త్ స్టాండర్డ్ సిరస్")</f>
        <v>Schempp- హర్త్ స్టాండర్డ్ సిరస్</v>
      </c>
      <c r="C100" s="1" t="s">
        <v>2170</v>
      </c>
      <c r="D100" s="1" t="str">
        <f>IFERROR(__xludf.DUMMYFUNCTION("GOOGLETRANSLATE(C:C, ""en"", ""te"")"),"ప్రామాణిక సిరస్ అనేది జర్మన్ స్టాండర్డ్-క్లాస్ గ్లైడర్, ఇది స్కీంప్-హర్త్ చేత నిర్మించబడింది. ప్రామాణిక సిరస్ 1969 మరియు 1985 మధ్య ఉత్పత్తి చేయబడింది, దీనిని డిస్కస్ భర్తీ చేశారు. 800 కి పైగా ఉదాహరణలు నిర్మించబడ్డాయి, ఇది అత్యంత విజయవంతమైన ప్రారంభ ఫైబర్గ్"&amp;"లాస్ గ్లైడర్ డిజైన్లలో ఒకటిగా నిలిచింది. ప్రామాణిక సిర్రస్ డిప్ల్ చేత రూపొందించబడింది. Ing. క్లాస్ హోల్‌ఘాస్ మరియు ఫిబ్రవరి 1969 లో మొదటిసారిగా ప్రయాణించారు. ఇది 15 మీటర్ల వ్యవధిలో ప్రామాణిక క్లాస్ గ్లైడర్, మరియు ప్రొఫెసర్ ఫ్రాంజ్ వోర్ట్‌మన్ రూపొందించిన ల"&amp;"ామినార్-ఫ్లో ఎయిర్‌ఫాయిల్ విభాగం. ఆల్-కదిలే టెయిల్‌ప్లేన్, దాని సిద్ధాంతపరంగా అధిక సామర్థ్యం కారణంగా ఆ కాలపు అనేక డిజైన్ల యొక్క లక్షణం, కావాల్సిన హై-స్పీడ్ స్థిరత్వ లక్షణాల కంటే తక్కువ కారణమైంది, కాబట్టి ప్రారంభ రూపకల్పనకు మార్పులు చేయబడ్డాయి. అయినప్పటికీ"&amp;", గ్లైడర్ ఇప్పటికీ పిచ్‌లో చాలా సున్నితంగా ఉంటుంది. 1972 కి ముందు నిర్మించిన విమానం -0.75 డిగ్రీల వాష్అవుట్ కలిగి ఉంది. వాషౌట్ అప్పుడు -1.5 డిగ్రీలకు పెంచబడింది, ఇది తక్కువ -వేగ పనితీరును మరియు నెమ్మదిగా వేగంతో ప్రతిస్పందనను మెరుగుపరిచింది. [1] ప్రామాణిక "&amp;"సిరస్ 75 తో మెరుగుదలలు జరిగాయి. వీటిలో మెరుగైన ఎయిర్ బ్రేక్‌లు పెరిగిన ఫ్రంటల్ ప్రాంతం మరియు సురక్షితమైన టెయిల్‌ప్లేన్ అటాచ్మెంట్ సిస్టమ్‌తో ఉన్నాయి. ఏప్రిల్ 1977 నాటికి, స్కీంప్ప్-హర్త్ చేత ఉత్పత్తి చేయబడినప్పుడు, మొత్తం 700 ప్రామాణిక సిరస్ నిర్మించబడ్డా"&amp;"యి, వీటిలో 200 1972 మరియు జూలై 1975 మధ్య GROB చేత లైసెన్స్ కింద నిర్మించబడింది. ఒక ఫ్రెంచ్ సంస్థ లానావెర్రే ఇండస్ట్రీ కూడా లైసెన్స్ క్రింద 38 ప్రామాణిక సిరస్లను నిర్మించింది. 1979 నాటికి 1985 నాటికి యుగోస్లేవియా యొక్క VTC లైసెన్స్-నిర్మించిన ప్రామాణిక సిర"&amp;"స్, సుమారు 100 కి చేరుకుంటుంది. బేబీ సిరస్ ప్రామాణిక సిరస్ 75 కు సమానంగా ఉంటుంది. వాటి గురించి భిన్నమైన విషయం ఏమిటంటే, దాని రెక్కను ఫ్యూజ్‌లేజ్ పైన అమర్చారు ఒక విధమైన ఫైబర్గ్లాస్ పుంజం. ఒకటి మాత్రమే తయారు చేయబడింది. ఇది ప్రధానంగా ప్రామాణిక సిరస్ రూపకల్పనన"&amp;"ు ప్రయత్నించడానికి మరియు మెరుగుపరచడానికి ఉపయోగించబడింది. అసలు రిజిస్ట్రేషన్ D-3111. తరువాత ఇది ప్రామాణిక సిరస్ 75 గా మార్చబడింది మరియు దీనికి కొత్త రిజిస్ట్రేషన్ ఇవ్వబడింది. ఇది ఇప్పటికీ ఈ సవరణ రోజుకు ఎగురుతోంది మరియు ఇది జర్మనీలోని ఒక క్లబ్ యాజమాన్యంలో ఉ"&amp;"ంది. సిరస్ బి ప్రామాణిక సిరస్ 75 పై ఆధారపడి ఉంటుంది, కాని మార్చుకోగలిగిన వింగ్‌టిప్‌లు 15 మీ లేదా 16 మీ. రెండు సిరస్ K లో తగ్గిన స్పాన్ (12.6 మీ), పెద్ద ఐలెరాన్లు, పెద్ద ఎలివేటర్‌తో క్రాస్ టెయిల్ మరియు బలోపేతం చేసిన ఫ్యూజ్‌లేజ్ ఉన్నాయి, ఇవి ఏరోబాటిక్స్‌కు"&amp;" అనుకూలంగా ఉంటాయి. ఈ సవరణను 1980 ల చివరలో విల్హెల్మ్ డోర్కెర్కాప్ ప్రారంభించింది. [2] [3] వోల్ఫ్‌గ్యాంగ్ సీట్జ్ 1995 వరల్డ్ గ్లైడర్ ఏరోబాటిక్ ఛాంపియన్‌షిప్‌లో సిరస్ కెతో పాల్గొన్నాడు. [4] చివరి సిరస్ మోడల్ 1985 వరకు VTC చేత నిర్మించిన G/81. ఇది సుదీర్ఘ ఫ్"&amp;"యూజ్‌లేజ్ మరియు పందిరిని కలిగి ఉంది మరియు సిర్రస్ 75 యొక్క రెక్కలతో సాంప్రదాయిక టెయిల్‌ప్లేన్ మరియు ఎలివేటర్‌ను కలిగి ఉంది. జేన్ యొక్క ప్రపంచంలోని అన్ని విమానాల నుండి డేటా 1976–77 [5] సాధారణ లక్షణాలు పనితీరు సంబంధిత అభివృద్ధి అభివృద్ధి విమానం పోల్చదగిన పా"&amp;"త్ర, కాన్ఫిగరేషన్ మరియు ERA సంబంధిత జాబితాలు")</f>
        <v>ప్రామాణిక సిరస్ అనేది జర్మన్ స్టాండర్డ్-క్లాస్ గ్లైడర్, ఇది స్కీంప్-హర్త్ చేత నిర్మించబడింది. ప్రామాణిక సిరస్ 1969 మరియు 1985 మధ్య ఉత్పత్తి చేయబడింది, దీనిని డిస్కస్ భర్తీ చేశారు. 800 కి పైగా ఉదాహరణలు నిర్మించబడ్డాయి, ఇది అత్యంత విజయవంతమైన ప్రారంభ ఫైబర్గ్లాస్ గ్లైడర్ డిజైన్లలో ఒకటిగా నిలిచింది. ప్రామాణిక సిర్రస్ డిప్ల్ చేత రూపొందించబడింది. Ing. క్లాస్ హోల్‌ఘాస్ మరియు ఫిబ్రవరి 1969 లో మొదటిసారిగా ప్రయాణించారు. ఇది 15 మీటర్ల వ్యవధిలో ప్రామాణిక క్లాస్ గ్లైడర్, మరియు ప్రొఫెసర్ ఫ్రాంజ్ వోర్ట్‌మన్ రూపొందించిన లామినార్-ఫ్లో ఎయిర్‌ఫాయిల్ విభాగం. ఆల్-కదిలే టెయిల్‌ప్లేన్, దాని సిద్ధాంతపరంగా అధిక సామర్థ్యం కారణంగా ఆ కాలపు అనేక డిజైన్ల యొక్క లక్షణం, కావాల్సిన హై-స్పీడ్ స్థిరత్వ లక్షణాల కంటే తక్కువ కారణమైంది, కాబట్టి ప్రారంభ రూపకల్పనకు మార్పులు చేయబడ్డాయి. అయినప్పటికీ, గ్లైడర్ ఇప్పటికీ పిచ్‌లో చాలా సున్నితంగా ఉంటుంది. 1972 కి ముందు నిర్మించిన విమానం -0.75 డిగ్రీల వాష్అవుట్ కలిగి ఉంది. వాషౌట్ అప్పుడు -1.5 డిగ్రీలకు పెంచబడింది, ఇది తక్కువ -వేగ పనితీరును మరియు నెమ్మదిగా వేగంతో ప్రతిస్పందనను మెరుగుపరిచింది. [1] ప్రామాణిక సిరస్ 75 తో మెరుగుదలలు జరిగాయి. వీటిలో మెరుగైన ఎయిర్ బ్రేక్‌లు పెరిగిన ఫ్రంటల్ ప్రాంతం మరియు సురక్షితమైన టెయిల్‌ప్లేన్ అటాచ్మెంట్ సిస్టమ్‌తో ఉన్నాయి. ఏప్రిల్ 1977 నాటికి, స్కీంప్ప్-హర్త్ చేత ఉత్పత్తి చేయబడినప్పుడు, మొత్తం 700 ప్రామాణిక సిరస్ నిర్మించబడ్డాయి, వీటిలో 200 1972 మరియు జూలై 1975 మధ్య GROB చేత లైసెన్స్ కింద నిర్మించబడింది. ఒక ఫ్రెంచ్ సంస్థ లానావెర్రే ఇండస్ట్రీ కూడా లైసెన్స్ క్రింద 38 ప్రామాణిక సిరస్లను నిర్మించింది. 1979 నాటికి 1985 నాటికి యుగోస్లేవియా యొక్క VTC లైసెన్స్-నిర్మించిన ప్రామాణిక సిరస్, సుమారు 100 కి చేరుకుంటుంది. బేబీ సిరస్ ప్రామాణిక సిరస్ 75 కు సమానంగా ఉంటుంది. వాటి గురించి భిన్నమైన విషయం ఏమిటంటే, దాని రెక్కను ఫ్యూజ్‌లేజ్ పైన అమర్చారు ఒక విధమైన ఫైబర్గ్లాస్ పుంజం. ఒకటి మాత్రమే తయారు చేయబడింది. ఇది ప్రధానంగా ప్రామాణిక సిరస్ రూపకల్పనను ప్రయత్నించడానికి మరియు మెరుగుపరచడానికి ఉపయోగించబడింది. అసలు రిజిస్ట్రేషన్ D-3111. తరువాత ఇది ప్రామాణిక సిరస్ 75 గా మార్చబడింది మరియు దీనికి కొత్త రిజిస్ట్రేషన్ ఇవ్వబడింది. ఇది ఇప్పటికీ ఈ సవరణ రోజుకు ఎగురుతోంది మరియు ఇది జర్మనీలోని ఒక క్లబ్ యాజమాన్యంలో ఉంది. సిరస్ బి ప్రామాణిక సిరస్ 75 పై ఆధారపడి ఉంటుంది, కాని మార్చుకోగలిగిన వింగ్‌టిప్‌లు 15 మీ లేదా 16 మీ. రెండు సిరస్ K లో తగ్గిన స్పాన్ (12.6 మీ), పెద్ద ఐలెరాన్లు, పెద్ద ఎలివేటర్‌తో క్రాస్ టెయిల్ మరియు బలోపేతం చేసిన ఫ్యూజ్‌లేజ్ ఉన్నాయి, ఇవి ఏరోబాటిక్స్‌కు అనుకూలంగా ఉంటాయి. ఈ సవరణను 1980 ల చివరలో విల్హెల్మ్ డోర్కెర్కాప్ ప్రారంభించింది. [2] [3] వోల్ఫ్‌గ్యాంగ్ సీట్జ్ 1995 వరల్డ్ గ్లైడర్ ఏరోబాటిక్ ఛాంపియన్‌షిప్‌లో సిరస్ కెతో పాల్గొన్నాడు. [4] చివరి సిరస్ మోడల్ 1985 వరకు VTC చేత నిర్మించిన G/81. ఇది సుదీర్ఘ ఫ్యూజ్‌లేజ్ మరియు పందిరిని కలిగి ఉంది మరియు సిర్రస్ 75 యొక్క రెక్కలతో సాంప్రదాయిక టెయిల్‌ప్లేన్ మరియు ఎలివేటర్‌ను కలిగి ఉంది. జేన్ యొక్క ప్రపంచంలోని అన్ని విమానాల నుండి డేటా 1976–77 [5] సాధారణ లక్షణాలు పనితీరు సంబంధిత అభివృద్ధి అభివృద్ధి విమానం పోల్చదగిన పాత్ర, కాన్ఫిగరేషన్ మరియు ERA సంబంధిత జాబితాలు</v>
      </c>
      <c r="E100" s="1" t="s">
        <v>2171</v>
      </c>
      <c r="F100" s="1" t="s">
        <v>2172</v>
      </c>
      <c r="G100" s="1" t="str">
        <f>IFERROR(__xludf.DUMMYFUNCTION("GOOGLETRANSLATE(F:F, ""en"", ""te"")"),"ప్రామాణిక-తరగతి సెయిల్ ప్లేన్")</f>
        <v>ప్రామాణిక-తరగతి సెయిల్ ప్లేన్</v>
      </c>
      <c r="H100" s="1" t="s">
        <v>2173</v>
      </c>
      <c r="I100" s="1" t="s">
        <v>185</v>
      </c>
      <c r="J100" s="1" t="str">
        <f>IFERROR(__xludf.DUMMYFUNCTION("GOOGLETRANSLATE(I:I, ""en"", ""te"")"),"జర్మనీ")</f>
        <v>జర్మనీ</v>
      </c>
      <c r="L100" s="1" t="s">
        <v>2174</v>
      </c>
      <c r="M100" s="1" t="str">
        <f>IFERROR(__xludf.DUMMYFUNCTION("GOOGLETRANSLATE(L:L, ""en"", ""te"")"),"Schempp- హర్త్")</f>
        <v>Schempp- హర్త్</v>
      </c>
      <c r="N100" s="3" t="s">
        <v>2175</v>
      </c>
      <c r="O100" s="1" t="s">
        <v>2176</v>
      </c>
      <c r="P100" s="1" t="str">
        <f>IFERROR(__xludf.DUMMYFUNCTION("GOOGLETRANSLATE(O:O, ""en"", ""te"")"),"క్లాస్ హోల్ఘాస్")</f>
        <v>క్లాస్ హోల్ఘాస్</v>
      </c>
      <c r="Q100" s="1" t="s">
        <v>2177</v>
      </c>
      <c r="R100" s="4">
        <v>25254.0</v>
      </c>
      <c r="S100" s="1" t="s">
        <v>2178</v>
      </c>
      <c r="T100" s="1" t="s">
        <v>2179</v>
      </c>
      <c r="V100" s="1">
        <v>1.0</v>
      </c>
      <c r="W100" s="1" t="s">
        <v>2180</v>
      </c>
      <c r="X100" s="1" t="s">
        <v>1971</v>
      </c>
      <c r="Y100" s="1" t="s">
        <v>2181</v>
      </c>
      <c r="Z100" s="1" t="s">
        <v>2182</v>
      </c>
      <c r="AE100" s="1">
        <v>22.5</v>
      </c>
      <c r="AF100" s="1" t="s">
        <v>247</v>
      </c>
      <c r="AG100" s="1" t="s">
        <v>2183</v>
      </c>
      <c r="AI100" s="1" t="s">
        <v>2184</v>
      </c>
      <c r="AJ100" s="1" t="s">
        <v>2185</v>
      </c>
      <c r="AK100" s="1">
        <v>38.5</v>
      </c>
      <c r="AL100" s="1" t="s">
        <v>2186</v>
      </c>
      <c r="AM100" s="1" t="s">
        <v>2187</v>
      </c>
      <c r="AV100" s="1" t="s">
        <v>2188</v>
      </c>
      <c r="BG100" s="2"/>
      <c r="BR100" s="1" t="s">
        <v>1912</v>
      </c>
      <c r="BX100" s="1"/>
      <c r="BY100" s="1" t="s">
        <v>2189</v>
      </c>
      <c r="EG100" s="1" t="s">
        <v>2190</v>
      </c>
      <c r="EH100" s="1" t="s">
        <v>2191</v>
      </c>
    </row>
    <row r="101">
      <c r="A101" s="1" t="s">
        <v>2192</v>
      </c>
      <c r="B101" s="1" t="str">
        <f>IFERROR(__xludf.DUMMYFUNCTION("GOOGLETRANSLATE(A:A, ""en"", ""te"")"),"మాల్మో MFI-9")</f>
        <v>మాల్మో MFI-9</v>
      </c>
      <c r="C101" s="1" t="s">
        <v>2193</v>
      </c>
      <c r="D101" s="1" t="str">
        <f>IFERROR(__xludf.DUMMYFUNCTION("GOOGLETRANSLATE(C:C, ""en"", ""te"")"),"మాల్మో ఫ్లైగిండస్ట్రి MFI-9 జూనియర్ 1960 లలో స్వీడన్‌లో ఉత్పత్తి చేయబడిన తేలికపాటి విమానం. ఈ విమానం పశ్చిమ జర్మనీలో బోల్కో బో 208 గా లైసెన్స్ కింద కూడా ఉత్పత్తి చేయబడింది. BA-7 ను Björn ఆండ్రియాసన్ [SV] రూపొందించారు మరియు 10 అక్టోబర్ 1958 న అతని చేత ప్రోట"&amp;"ోటైప్ రూపంలో ఎగిరింది. అతను ఈ మొదటి విమానాన్ని తన విడి సమయంలో నిర్మించాడు. అమెరికాలో కన్వైర్ కోసం పనిచేస్తోంది. ఇది ఎయిర్-కూల్డ్ కాంటినెంటల్ ఎ -75 ఇంజిన్ ద్వారా శక్తిని పొందింది, 56 కిలోవాట్ల (75 హెచ్‌పి) రెండు బ్లేడెడ్ వేరియబుల్-పిచ్ ప్రొపెల్లర్‌ను నడుపు"&amp;"తుంది. భుజం రెక్కలు దృశ్యమానత కోసం స్పార్ కంటే ముందు యజమానులను ఉంచడానికి ముందుకు వచ్చాయి. [1] 1960 లో ఆండ్రియాసన్ స్వీడన్‌కు తిరిగి వచ్చి మాల్మో ఫ్లైగిండస్ట్రిలో పనిచేయడం ప్రారంభించాడు, అక్కడ అతను BA-7 యొక్క మెరుగైన సంస్కరణను రూపొందించాడు, అది MFI-9 జూనియ"&amp;"ర్‌గా ఉత్పత్తిలోకి వచ్చింది. మార్పులలో పెద్ద కాక్‌పిట్ ఉంది మరియు పవర్‌ప్లాంట్ ఇప్పుడు ఖండాంతర O-200-ఫ్లాట్-ఫోర్-సిలిండర్ ఎయిర్-కూల్డ్ పిస్టన్ ఇంజిన్ 75 kW (100 HP) ఇస్తుంది. 1963 లో దీని తరువాత MFI-9B ట్రైనర్ మరియు తరువాత MFI-9B మిలి-ట్రైనర్ ఉన్నారు. MFI"&amp;"-9 ట్రైసైకిల్ అండర్ క్యారేజీని ఉపయోగిస్తుంది. 1963 మరియు 1971 మధ్య, జర్మనీలోని లాఫైమ్‌లో 210 బల్కో బో 208 లను బోల్కో స్పష్టమైనబౌ జిఎంబిహెచ్ లైసెన్స్ కింద నిర్మించారు. చాలా ఉదాహరణలు ప్రైవేట్ చేతుల్లో జీవించాయి మరియు సాధారణంగా జర్మనీ, యునైటెడ్ కింగ్‌డమ్ మరి"&amp;"యు స్కాండినేవియాలో కనిపిస్తాయి. అమెరికా మరియు న్యూజిలాండ్ రెండింటిలోనూ పరిమిత సంఖ్యలో గాలి విలువైన ఉదాహరణలు చూడవచ్చు. BO 208 యొక్క విస్తృతంగా ఉత్పత్తి చేయబడిన వేరియంట్ BO 208C, ఇది కాంటినెంటల్ O-200-A ఫ్లాట్-ఫోర్-సిలిండర్ ఎయిర్-కూల్డ్ పిస్టన్ ఇంజిన్‌ను 75"&amp;" kW (100 HP) ఇస్తుంది. జూనియర్లపై వ్యవస్థాపించిన అనేక O-200 ఇంజన్లు ఇంగ్లాండ్‌లోని రోల్స్ రాయిస్ చేత లైసెన్స్ ఇవ్వబడ్డాయి. MFI-9 యొక్క ఒక వేరియంట్ విస్తృతమైన కీర్తిని సంపాదించింది, MINICOIN (""మినియేచర్ కౌంటర్-తిరుగుబాటు"" యొక్క ఎక్రోనిం), MFI-9B మిలిటరీ "&amp;"ట్రైనర్ వేరియంట్ యొక్క MFI-9 యొక్క మార్పు, ఆయుధాలను తీసుకువెళ్ళడానికి స్వీకరించబడింది. పేరు మరియు భావన కార్ల్ గుస్టాఫ్ వాన్ రోసెన్‌తో ఉద్భవించింది, తక్కువ తీవ్రత సంఘర్షణలో కొన్ని చిన్న, కనిష్ట సాయుధ విమానం కూడా గణనీయమైన ప్రభావాన్ని చూపగలదని గ్రహించారు. తే"&amp;"లికపాటి విమానం అటువంటి విభేదాలలో విలక్షణమైన ఆదిమ పరిస్థితులలో ఆపరేషన్‌కు మరింత అనుకూలంగా ఉంటుంది. వాన్ రోసెన్ MFI-9 యొక్క మిలిటరీ ట్రైనర్ వెర్షన్‌తో సుపరిచితుడు, ఇది రెక్కలపై హార్డ్ పాయింట్ల నుండి సస్పెండ్ చేయబడిన గణనీయమైన ఆర్డినెన్స్‌ను మోయగలిగేంత బలంగా "&amp;"ఉంది. స్వీడిష్ వైమానిక దళానికి అమ్మకం అనే ఆశతో అనేక MFI-9B లు నిర్మించబడ్డాయి, కాని అమ్మకం పడిపోయినప్పుడు, విమానం తక్కువ ధరకు అందుబాటులోకి వచ్చింది. కాబట్టి మే 1969 లో, వాన్ రోసెన్ నైజీరియన్ సివిల్ వార్ (1967-1970) లో బియాఫ్రాన్స్ వైపు పోరాడటానికి ఐదు మిన"&amp;"ోకోయిన్స్ యొక్క స్క్వాడ్రన్‌ను ఏర్పాటు చేశాడు. స్వతంత్ర రాజ్యాన్ని సృష్టించే ప్రయత్నానికి మద్దతుగా. [2] వాన్ రోసెన్ విమానాలను మభ్యపెట్టే రంగులలో పెయింట్ చేసి, మాత్రా నుండి రాకెట్లతో అమర్చారు, మరియు ఫెడరల్ నైజీరియన్ వైమానిక దళం పౌర జనాభాకు వ్యతిరేకంగా వారి"&amp;" దాడులను ప్రారంభించిన వైమానిక క్షేత్రాలలో సమ్మె చేయడానికి బియాఫ్రా పిల్లలు అనే స్క్వాడ్రన్‌ను ఏర్పాటు చేయడానికి స్నేహితుల బృందంతో ముందుకు సాగింది. బియాఫ్రా. 22 మే 1969 న, తరువాతి కొద్ది రోజులలో, వాన్ రోసెన్ మరియు అతని ఐదు విమానాలు పోర్ట్ హార్కోర్ట్, ఎనుగు"&amp;", బెనిన్ మరియు ఇతర చిన్న విమానాశ్రయాలలో నైజీరియన్ వైమానిక క్షేత్రాలకు వ్యతిరేకంగా దాడులను ప్రారంభించాయి. నైజీరియన్లు ఆశ్చర్యపోయారు మరియు అనేక ఖరీదైన జెట్‌లు, వీటిలో కొన్ని మిగ్ -17 యోధులు మరియు నైజీరియా యొక్క ఆరు ఇలూషిన్ IL-28 బాంబర్లలో ముగ్గురు, భూమిపై న"&amp;"ాశనం చేయబడ్డాయి. కిరాయి సైనికులు [4] మరియు బియాఫ్రాన్-జన్మించిన పైలట్లు. [2] పోర్ట్ హార్కోర్ట్‌పై మొదటి దాడిలో లిన్ గారిసన్ ఈ దాడులను సమన్వయం చేశాడు, వ్యక్తిగతంగా ఇలూషిన్ IL-28 మరియు MIG-17 ను నాశనం చేశాడు. ఫుడ్ ఎయిడ్ డ్రాప్స్ పంపిణీతో సహా చాలా యుద్ధ సమయం"&amp;"లో మినోకోయిన్స్ విస్తృతమైన సేవలను చూసింది. గారిసన్ ఉత్తర కెనడాలో నేర్చుకున్న సరఫరా-డ్రాపింగ్ విధానాన్ని ప్రవేశపెట్టాడు. ధాన్యం యొక్క సంచి ఒక పెద్ద సంచిలో పడిపోయే ముందు; లోడ్ భూమిని తాకినప్పుడు, లోపలి బ్యాగ్ చీలిపోతుంది, బయటి బ్యాగ్‌లో విషయాలు ఉన్నాయి. ఈ స"&amp;"ాధారణ భావనను ఉపయోగించి చాలా ప్రాణాలు ఎయిర్ డ్రాప్స్ ద్వారా రక్షించబడ్డాయి. మొత్తం 18 మంది సరఫరా చేయబడ్డాయి. [5] జేన్ యొక్క అన్ని ప్రపంచ విమానాల నుండి డేటా 1965-66 [6] పోల్చదగిన పాత్ర, కాన్ఫిగరేషన్ మరియు ERA యొక్క సాధారణ లక్షణాల పనితీరు విమానం")</f>
        <v>మాల్మో ఫ్లైగిండస్ట్రి MFI-9 జూనియర్ 1960 లలో స్వీడన్‌లో ఉత్పత్తి చేయబడిన తేలికపాటి విమానం. ఈ విమానం పశ్చిమ జర్మనీలో బోల్కో బో 208 గా లైసెన్స్ కింద కూడా ఉత్పత్తి చేయబడింది. BA-7 ను Björn ఆండ్రియాసన్ [SV] రూపొందించారు మరియు 10 అక్టోబర్ 1958 న అతని చేత ప్రోటోటైప్ రూపంలో ఎగిరింది. అతను ఈ మొదటి విమానాన్ని తన విడి సమయంలో నిర్మించాడు. అమెరికాలో కన్వైర్ కోసం పనిచేస్తోంది. ఇది ఎయిర్-కూల్డ్ కాంటినెంటల్ ఎ -75 ఇంజిన్ ద్వారా శక్తిని పొందింది, 56 కిలోవాట్ల (75 హెచ్‌పి) రెండు బ్లేడెడ్ వేరియబుల్-పిచ్ ప్రొపెల్లర్‌ను నడుపుతుంది. భుజం రెక్కలు దృశ్యమానత కోసం స్పార్ కంటే ముందు యజమానులను ఉంచడానికి ముందుకు వచ్చాయి. [1] 1960 లో ఆండ్రియాసన్ స్వీడన్‌కు తిరిగి వచ్చి మాల్మో ఫ్లైగిండస్ట్రిలో పనిచేయడం ప్రారంభించాడు, అక్కడ అతను BA-7 యొక్క మెరుగైన సంస్కరణను రూపొందించాడు, అది MFI-9 జూనియర్‌గా ఉత్పత్తిలోకి వచ్చింది. మార్పులలో పెద్ద కాక్‌పిట్ ఉంది మరియు పవర్‌ప్లాంట్ ఇప్పుడు ఖండాంతర O-200-ఫ్లాట్-ఫోర్-సిలిండర్ ఎయిర్-కూల్డ్ పిస్టన్ ఇంజిన్ 75 kW (100 HP) ఇస్తుంది. 1963 లో దీని తరువాత MFI-9B ట్రైనర్ మరియు తరువాత MFI-9B మిలి-ట్రైనర్ ఉన్నారు. MFI-9 ట్రైసైకిల్ అండర్ క్యారేజీని ఉపయోగిస్తుంది. 1963 మరియు 1971 మధ్య, జర్మనీలోని లాఫైమ్‌లో 210 బల్కో బో 208 లను బోల్కో స్పష్టమైనబౌ జిఎంబిహెచ్ లైసెన్స్ కింద నిర్మించారు. చాలా ఉదాహరణలు ప్రైవేట్ చేతుల్లో జీవించాయి మరియు సాధారణంగా జర్మనీ, యునైటెడ్ కింగ్‌డమ్ మరియు స్కాండినేవియాలో కనిపిస్తాయి. అమెరికా మరియు న్యూజిలాండ్ రెండింటిలోనూ పరిమిత సంఖ్యలో గాలి విలువైన ఉదాహరణలు చూడవచ్చు. BO 208 యొక్క విస్తృతంగా ఉత్పత్తి చేయబడిన వేరియంట్ BO 208C, ఇది కాంటినెంటల్ O-200-A ఫ్లాట్-ఫోర్-సిలిండర్ ఎయిర్-కూల్డ్ పిస్టన్ ఇంజిన్‌ను 75 kW (100 HP) ఇస్తుంది. జూనియర్లపై వ్యవస్థాపించిన అనేక O-200 ఇంజన్లు ఇంగ్లాండ్‌లోని రోల్స్ రాయిస్ చేత లైసెన్స్ ఇవ్వబడ్డాయి. MFI-9 యొక్క ఒక వేరియంట్ విస్తృతమైన కీర్తిని సంపాదించింది, MINICOIN ("మినియేచర్ కౌంటర్-తిరుగుబాటు" యొక్క ఎక్రోనిం), MFI-9B మిలిటరీ ట్రైనర్ వేరియంట్ యొక్క MFI-9 యొక్క మార్పు, ఆయుధాలను తీసుకువెళ్ళడానికి స్వీకరించబడింది. పేరు మరియు భావన కార్ల్ గుస్టాఫ్ వాన్ రోసెన్‌తో ఉద్భవించింది, తక్కువ తీవ్రత సంఘర్షణలో కొన్ని చిన్న, కనిష్ట సాయుధ విమానం కూడా గణనీయమైన ప్రభావాన్ని చూపగలదని గ్రహించారు. తేలికపాటి విమానం అటువంటి విభేదాలలో విలక్షణమైన ఆదిమ పరిస్థితులలో ఆపరేషన్‌కు మరింత అనుకూలంగా ఉంటుంది. వాన్ రోసెన్ MFI-9 యొక్క మిలిటరీ ట్రైనర్ వెర్షన్‌తో సుపరిచితుడు, ఇది రెక్కలపై హార్డ్ పాయింట్ల నుండి సస్పెండ్ చేయబడిన గణనీయమైన ఆర్డినెన్స్‌ను మోయగలిగేంత బలంగా ఉంది. స్వీడిష్ వైమానిక దళానికి అమ్మకం అనే ఆశతో అనేక MFI-9B లు నిర్మించబడ్డాయి, కాని అమ్మకం పడిపోయినప్పుడు, విమానం తక్కువ ధరకు అందుబాటులోకి వచ్చింది. కాబట్టి మే 1969 లో, వాన్ రోసెన్ నైజీరియన్ సివిల్ వార్ (1967-1970) లో బియాఫ్రాన్స్ వైపు పోరాడటానికి ఐదు మినోకోయిన్స్ యొక్క స్క్వాడ్రన్‌ను ఏర్పాటు చేశాడు. స్వతంత్ర రాజ్యాన్ని సృష్టించే ప్రయత్నానికి మద్దతుగా. [2] వాన్ రోసెన్ విమానాలను మభ్యపెట్టే రంగులలో పెయింట్ చేసి, మాత్రా నుండి రాకెట్లతో అమర్చారు, మరియు ఫెడరల్ నైజీరియన్ వైమానిక దళం పౌర జనాభాకు వ్యతిరేకంగా వారి దాడులను ప్రారంభించిన వైమానిక క్షేత్రాలలో సమ్మె చేయడానికి బియాఫ్రా పిల్లలు అనే స్క్వాడ్రన్‌ను ఏర్పాటు చేయడానికి స్నేహితుల బృందంతో ముందుకు సాగింది. బియాఫ్రా. 22 మే 1969 న, తరువాతి కొద్ది రోజులలో, వాన్ రోసెన్ మరియు అతని ఐదు విమానాలు పోర్ట్ హార్కోర్ట్, ఎనుగు, బెనిన్ మరియు ఇతర చిన్న విమానాశ్రయాలలో నైజీరియన్ వైమానిక క్షేత్రాలకు వ్యతిరేకంగా దాడులను ప్రారంభించాయి. నైజీరియన్లు ఆశ్చర్యపోయారు మరియు అనేక ఖరీదైన జెట్‌లు, వీటిలో కొన్ని మిగ్ -17 యోధులు మరియు నైజీరియా యొక్క ఆరు ఇలూషిన్ IL-28 బాంబర్లలో ముగ్గురు, భూమిపై నాశనం చేయబడ్డాయి. కిరాయి సైనికులు [4] మరియు బియాఫ్రాన్-జన్మించిన పైలట్లు. [2] పోర్ట్ హార్కోర్ట్‌పై మొదటి దాడిలో లిన్ గారిసన్ ఈ దాడులను సమన్వయం చేశాడు, వ్యక్తిగతంగా ఇలూషిన్ IL-28 మరియు MIG-17 ను నాశనం చేశాడు. ఫుడ్ ఎయిడ్ డ్రాప్స్ పంపిణీతో సహా చాలా యుద్ధ సమయంలో మినోకోయిన్స్ విస్తృతమైన సేవలను చూసింది. గారిసన్ ఉత్తర కెనడాలో నేర్చుకున్న సరఫరా-డ్రాపింగ్ విధానాన్ని ప్రవేశపెట్టాడు. ధాన్యం యొక్క సంచి ఒక పెద్ద సంచిలో పడిపోయే ముందు; లోడ్ భూమిని తాకినప్పుడు, లోపలి బ్యాగ్ చీలిపోతుంది, బయటి బ్యాగ్‌లో విషయాలు ఉన్నాయి. ఈ సాధారణ భావనను ఉపయోగించి చాలా ప్రాణాలు ఎయిర్ డ్రాప్స్ ద్వారా రక్షించబడ్డాయి. మొత్తం 18 మంది సరఫరా చేయబడ్డాయి. [5] జేన్ యొక్క అన్ని ప్రపంచ విమానాల నుండి డేటా 1965-66 [6] పోల్చదగిన పాత్ర, కాన్ఫిగరేషన్ మరియు ERA యొక్క సాధారణ లక్షణాల పనితీరు విమానం</v>
      </c>
      <c r="E101" s="1" t="s">
        <v>2194</v>
      </c>
      <c r="F101" s="1" t="s">
        <v>2195</v>
      </c>
      <c r="G101" s="1" t="str">
        <f>IFERROR(__xludf.DUMMYFUNCTION("GOOGLETRANSLATE(F:F, ""en"", ""te"")"),"ప్రాథమిక శిక్షకుడు")</f>
        <v>ప్రాథమిక శిక్షకుడు</v>
      </c>
      <c r="H101" s="1" t="s">
        <v>2196</v>
      </c>
      <c r="J101" s="1" t="str">
        <f>IFERROR(__xludf.DUMMYFUNCTION("GOOGLETRANSLATE(I:I, ""en"", ""te"")"),"#VALUE!")</f>
        <v>#VALUE!</v>
      </c>
      <c r="L101" s="1" t="s">
        <v>2197</v>
      </c>
      <c r="M101" s="1" t="str">
        <f>IFERROR(__xludf.DUMMYFUNCTION("GOOGLETRANSLATE(L:L, ""en"", ""te"")"),"మాల్మో ఫ్లైగిండస్ట్రి బోల్కో (లైసెన్స్ కింద)")</f>
        <v>మాల్మో ఫ్లైగిండస్ట్రి బోల్కో (లైసెన్స్ కింద)</v>
      </c>
      <c r="N101" s="1" t="s">
        <v>2198</v>
      </c>
      <c r="O101" s="1" t="s">
        <v>2199</v>
      </c>
      <c r="P101" s="1" t="str">
        <f>IFERROR(__xludf.DUMMYFUNCTION("GOOGLETRANSLATE(O:O, ""en"", ""te"")"),"Björn ఆండ్రియాసన్ [SV]")</f>
        <v>Björn ఆండ్రియాసన్ [SV]</v>
      </c>
      <c r="Q101" s="1" t="s">
        <v>2200</v>
      </c>
      <c r="R101" s="4">
        <v>21468.0</v>
      </c>
      <c r="T101" s="1" t="s">
        <v>2201</v>
      </c>
      <c r="U101" s="1" t="s">
        <v>2202</v>
      </c>
      <c r="V101" s="1" t="s">
        <v>1039</v>
      </c>
      <c r="W101" s="1" t="s">
        <v>2203</v>
      </c>
      <c r="X101" s="1" t="s">
        <v>2204</v>
      </c>
      <c r="Y101" s="1" t="s">
        <v>2205</v>
      </c>
      <c r="Z101" s="1" t="s">
        <v>2206</v>
      </c>
      <c r="AE101" s="1">
        <v>6.0</v>
      </c>
      <c r="AF101" s="1" t="s">
        <v>2207</v>
      </c>
      <c r="AG101" s="1" t="s">
        <v>824</v>
      </c>
      <c r="AI101" s="1" t="s">
        <v>2208</v>
      </c>
      <c r="AO101" s="4">
        <v>22867.0</v>
      </c>
      <c r="AW101" s="1" t="s">
        <v>2209</v>
      </c>
      <c r="AX101" s="1" t="s">
        <v>2210</v>
      </c>
      <c r="AY101" s="1" t="str">
        <f>IFERROR(__xludf.DUMMYFUNCTION("GOOGLETRANSLATE(AX:AX, ""en"", ""te"")"),"1 × రోల్స్ రాయిస్/కాంటినెంటల్ ఓ -200-ఎయిర్-కూల్డ్ ఫ్లాట్-ఫోర్ ఇంజిన్, 75 కిలోవాట్ (100 హెచ్‌పి)")</f>
        <v>1 × రోల్స్ రాయిస్/కాంటినెంటల్ ఓ -200-ఎయిర్-కూల్డ్ ఫ్లాట్-ఫోర్ ఇంజిన్, 75 కిలోవాట్ (100 హెచ్‌పి)</v>
      </c>
      <c r="BB101" s="1" t="s">
        <v>2211</v>
      </c>
      <c r="BC101" s="1" t="s">
        <v>2212</v>
      </c>
      <c r="BD101" s="1" t="s">
        <v>2213</v>
      </c>
      <c r="BG101" s="2"/>
      <c r="BR101" s="1" t="s">
        <v>2214</v>
      </c>
      <c r="BS101" s="1" t="s">
        <v>2215</v>
      </c>
      <c r="BT101" s="1" t="s">
        <v>2216</v>
      </c>
      <c r="BX101" s="1"/>
      <c r="BY101" s="1" t="s">
        <v>2217</v>
      </c>
    </row>
    <row r="102">
      <c r="A102" s="1" t="s">
        <v>2218</v>
      </c>
      <c r="B102" s="1" t="str">
        <f>IFERROR(__xludf.DUMMYFUNCTION("GOOGLETRANSLATE(A:A, ""en"", ""te"")"),"కవాసాకి కెహెచ్ -4")</f>
        <v>కవాసాకి కెహెచ్ -4</v>
      </c>
      <c r="C102" s="1" t="s">
        <v>2219</v>
      </c>
      <c r="D102" s="1" t="str">
        <f>IFERROR(__xludf.DUMMYFUNCTION("GOOGLETRANSLATE(C:C, ""en"", ""te"")"),"కవాసాకి KH-4 అనేది 1960 లలో జపాన్లో ఉత్పత్తి చేయబడిన లైట్ యుటిలిటీ హెలికాప్టర్, ఇది 1952 నుండి కవాసాకి లైసెన్స్ కింద నిర్మిస్తున్న బెల్ 47 యొక్క అభివృద్ధిగా ఉంది. KH-4 మరియు దాని ముందస్తు మధ్య చాలా కనిపించే వ్యత్యాసం దాని కొత్త మరియు విస్తరించినది క్యాబిన"&amp;"్. ఇది పూర్తిగా జతచేయబడింది (సైడ్ తలుపులు తొలగించబడినప్పటికీ) మరియు పైలట్ సీటు వెనుక ఉన్న బెంచ్ సీటుపై ముగ్గురు ప్రయాణీకులకు పక్కపక్కనే సీటింగ్ అందించారు. హెలికాప్టర్‌కు కొత్త నియంత్రణ వ్యవస్థ, సవరించిన ఇన్స్ట్రుమెంటేషన్ మరియు పెద్ద ఇంధన ట్యాంక్ అందించబడ్"&amp;"డాయి. మొత్తం 211 KH-4 లు నిర్మించబడ్డాయి, వీటిలో నాలుగు ఉన్నాయి, వీటిలో ఇప్పటికే ఉన్న బెల్ 47 జిఎస్ నుండి సవరించబడింది. వీటిలో ఎక్కువ భాగం సివిల్ ఆపరేటర్లు కొనుగోలు చేశారు, అయినప్పటికీ కొన్నింటిని జపాన్ మరియు థాయిలాండ్ యొక్క సైనిక దళాలు కొనుగోలు చేశాయి. ["&amp;"సైటేషన్ అవసరం] జేన్ యొక్క అన్ని ప్రపంచ విమానాల నుండి డేటా 1966-67 [5] సాధారణ లక్షణాల పనితీరు సంబంధిత అభివృద్ధి విమానం పోల్చదగిన పాత్ర , కాన్ఫిగరేషన్ మరియు ERA")</f>
        <v>కవాసాకి KH-4 అనేది 1960 లలో జపాన్లో ఉత్పత్తి చేయబడిన లైట్ యుటిలిటీ హెలికాప్టర్, ఇది 1952 నుండి కవాసాకి లైసెన్స్ కింద నిర్మిస్తున్న బెల్ 47 యొక్క అభివృద్ధిగా ఉంది. KH-4 మరియు దాని ముందస్తు మధ్య చాలా కనిపించే వ్యత్యాసం దాని కొత్త మరియు విస్తరించినది క్యాబిన్. ఇది పూర్తిగా జతచేయబడింది (సైడ్ తలుపులు తొలగించబడినప్పటికీ) మరియు పైలట్ సీటు వెనుక ఉన్న బెంచ్ సీటుపై ముగ్గురు ప్రయాణీకులకు పక్కపక్కనే సీటింగ్ అందించారు. హెలికాప్టర్‌కు కొత్త నియంత్రణ వ్యవస్థ, సవరించిన ఇన్స్ట్రుమెంటేషన్ మరియు పెద్ద ఇంధన ట్యాంక్ అందించబడ్డాయి. మొత్తం 211 KH-4 లు నిర్మించబడ్డాయి, వీటిలో నాలుగు ఉన్నాయి, వీటిలో ఇప్పటికే ఉన్న బెల్ 47 జిఎస్ నుండి సవరించబడింది. వీటిలో ఎక్కువ భాగం సివిల్ ఆపరేటర్లు కొనుగోలు చేశారు, అయినప్పటికీ కొన్నింటిని జపాన్ మరియు థాయిలాండ్ యొక్క సైనిక దళాలు కొనుగోలు చేశాయి. [సైటేషన్ అవసరం] జేన్ యొక్క అన్ని ప్రపంచ విమానాల నుండి డేటా 1966-67 [5] సాధారణ లక్షణాల పనితీరు సంబంధిత అభివృద్ధి విమానం పోల్చదగిన పాత్ర , కాన్ఫిగరేషన్ మరియు ERA</v>
      </c>
      <c r="E102" s="1" t="s">
        <v>2220</v>
      </c>
      <c r="F102" s="1" t="s">
        <v>2221</v>
      </c>
      <c r="G102" s="1" t="str">
        <f>IFERROR(__xludf.DUMMYFUNCTION("GOOGLETRANSLATE(F:F, ""en"", ""te"")"),"యుటిలిటీ హెలికాప్టర్")</f>
        <v>యుటిలిటీ హెలికాప్టర్</v>
      </c>
      <c r="H102" s="1" t="s">
        <v>2222</v>
      </c>
      <c r="I102" s="1" t="s">
        <v>581</v>
      </c>
      <c r="J102" s="1" t="str">
        <f>IFERROR(__xludf.DUMMYFUNCTION("GOOGLETRANSLATE(I:I, ""en"", ""te"")"),"జపాన్")</f>
        <v>జపాన్</v>
      </c>
      <c r="L102" s="1" t="s">
        <v>2223</v>
      </c>
      <c r="M102" s="1" t="str">
        <f>IFERROR(__xludf.DUMMYFUNCTION("GOOGLETRANSLATE(L:L, ""en"", ""te"")"),"కవాసాకి")</f>
        <v>కవాసాకి</v>
      </c>
      <c r="N102" s="3" t="s">
        <v>2224</v>
      </c>
      <c r="R102" s="5">
        <v>22859.0</v>
      </c>
      <c r="S102" s="1">
        <v>211.0</v>
      </c>
      <c r="V102" s="1">
        <v>1.0</v>
      </c>
      <c r="W102" s="1" t="s">
        <v>2225</v>
      </c>
      <c r="Y102" s="1" t="s">
        <v>2226</v>
      </c>
      <c r="AG102" s="1" t="s">
        <v>2227</v>
      </c>
      <c r="AV102" s="1" t="s">
        <v>2228</v>
      </c>
      <c r="AX102" s="1" t="s">
        <v>2229</v>
      </c>
      <c r="AY102" s="1" t="str">
        <f>IFERROR(__xludf.DUMMYFUNCTION("GOOGLETRANSLATE(AX:AX, ""en"", ""te"")"),"1 × లైమింగ్ TVO-435-B1A ఎయిర్-కూల్డ్ ఆరు-సిలిండర్ అడ్డంగా-ప్రతిపాదించిన ఇంజిన్, 200 kW (270 HP)")</f>
        <v>1 × లైమింగ్ TVO-435-B1A ఎయిర్-కూల్డ్ ఆరు-సిలిండర్ అడ్డంగా-ప్రతిపాదించిన ఇంజిన్, 200 kW (270 HP)</v>
      </c>
      <c r="BB102" s="1" t="s">
        <v>2230</v>
      </c>
      <c r="BC102" s="1" t="s">
        <v>1783</v>
      </c>
      <c r="BD102" s="1" t="s">
        <v>2231</v>
      </c>
      <c r="BG102" s="2"/>
      <c r="BI102" s="1" t="s">
        <v>2232</v>
      </c>
      <c r="BJ102" s="1" t="s">
        <v>2233</v>
      </c>
      <c r="BS102" s="1" t="s">
        <v>2215</v>
      </c>
      <c r="BT102" s="1" t="s">
        <v>2234</v>
      </c>
      <c r="BX102" s="1"/>
      <c r="BY102" s="1" t="s">
        <v>2235</v>
      </c>
      <c r="BZ102" s="1" t="s">
        <v>2236</v>
      </c>
      <c r="DL102" s="1" t="s">
        <v>2237</v>
      </c>
      <c r="DM102" s="1" t="s">
        <v>2238</v>
      </c>
    </row>
    <row r="103">
      <c r="A103" s="1" t="s">
        <v>2239</v>
      </c>
      <c r="B103" s="1" t="str">
        <f>IFERROR(__xludf.DUMMYFUNCTION("GOOGLETRANSLATE(A:A, ""en"", ""te"")"),"కాడ్రాన్ G.3")</f>
        <v>కాడ్రాన్ G.3</v>
      </c>
      <c r="C103" s="1" t="s">
        <v>2240</v>
      </c>
      <c r="D103" s="1" t="str">
        <f>IFERROR(__xludf.DUMMYFUNCTION("GOOGLETRANSLATE(C:C, ""en"", ""te"")"),"కాడ్రాన్ జి. కాడ్రాన్ G.3 ను రెనే మరియు గాస్టన్ కాడ్రాన్ సైనిక ఉపయోగం కోసం వారి మునుపటి కాడ్రాన్ G.2 యొక్క అభివృద్ధిగా రూపొందించారు. ఇది మొదట మే 1914 లో వారి లే క్రోటోయ్ ఏరోడ్రోమ్ వద్ద ప్రయాణించింది. [2] ఈ విమానం ఒక చిన్న సిబ్బంది నాసెల్లెను కలిగి ఉంది, న"&amp;"ాసెల్లె యొక్క ముక్కులో ఒకే ఇంజిన్ మరియు ఓపెన్ టెయిల్బూమ్ ట్రస్ ఉన్నాయి. ఇది సెస్క్విప్లేన్ లేఅవుట్, మరియు పార్శ్వ నియంత్రణ కోసం వింగ్ వార్పింగ్ ఉపయోగించింది, అయినప్పటికీ ఇది చివరి ఉత్పత్తి విమానాలలో ఎగువ వింగ్‌లో సాంప్రదాయిక ఐలెరాన్‌ల ద్వారా భర్తీ చేయబడిం"&amp;"ది. సాధారణంగా, G.3 సాయుధంగా లేదు, అయినప్పటికీ కొన్నిసార్లు లైట్ మెషిన్ గన్స్ మరియు చిన్న బాంబులు అమర్చబడి ఉంటాయి. మొదటి ప్రపంచ యుద్ధం ప్రారంభమైన తరువాత ఇది పెద్ద పరిమాణంలో ఆదేశించబడింది, ఫ్రాన్స్‌లో నిర్మించిన 2450 లో కాడ్రాన్ ఫ్యాక్టరీలు 1423 భవన నిర్మాణ"&amp;"ంతో. 233 ను ఇంగ్లాండ్‌లో మరియు 166 మంది ఇటలీలో అనేక ఇతర దేశాలతో నిర్మించారు. కాడ్రాన్ బ్రదర్స్ దేశభక్తి చర్యగా డిజైన్ కోసం లైసెన్సింగ్ ఫీజును వసూలు చేయలేదు. [2] దీనిని కాడ్రాన్ G.4 ఉత్పత్తిలో అనుసరించింది, ఇది జంట-ఇంజిన్ అభివృద్ధి. ఇది గరిష్టంగా 66 mph లే"&amp;"దా 80 HP ను కలిగి ఉంది, ఇది యుద్ధం ప్రారంభమైనప్పుడు ఫ్రెంచ్ ఏనోన్యుటిక్ మిలీటైర్ యొక్క G.3 అమర్చిన ఎస్కాడ్రిల్. యుద్ధం అభివృద్ధి చెందుతున్నప్పుడు, దాని తక్కువ పనితీరు మరియు ఆయుధాలు లేకపోవడం ఫ్రంట్ లైన్ సేవకు చాలా హాని కలిగించింది, మరియు ఇది 1916 మధ్యలో ఫ్"&amp;"రంట్ లైన్ కార్యకలాపాల నుండి ఉపసంహరించబడింది. [2] ఇటాలియన్లు 1917 వరకు పున onna పరిశీలన కోసం G.3 ను విస్తృత స్థాయిలో ఉపయోగించారు, బ్రిటిష్ RFC (అక్టోబర్ 1917 వరకు నిరంతర కార్యకలాపాలు), వారు గ్రౌండ్ అటాక్ కోసం తేలికపాటి బాంబులు మరియు మెషిన్ గన్లతో కొన్నింటి"&amp;"ని అమర్చారు. [2] 1915-16 నాటి మెసొపొటేమియన్ ప్రచారంలో ఆస్ట్రేలియన్ ఫ్లయింగ్ కార్ప్స్ G.3 ను నిర్వహించింది. ఇది యుద్ధం ముగిసే వరకు శిక్షకుడిగా వాడుకలో కొనసాగింది. చైనీస్ ఫెంగియన్ క్లిక్ వార్లార్డ్ కాడ్రాన్ G.3 లు 1931 లో ముక్డెన్ సంఘటన వరకు శిక్షకులుగా సేవ"&amp;"లో ఉన్నాయి, చాలామంది జపనీయులు స్వాధీనం చేసుకున్నారు. 1921 లో, కాడ్రాన్ కోసం పనిచేస్తున్న ఫ్రెంచ్ టెస్ట్ పైలట్ అయిన అడ్రియన్ బోలాండ్, ఒక మహిళ చేత అండీస్ యొక్క మొదటి క్రాసింగ్ చేసాడు, అర్జెంటీనా మరియు చిలీ మధ్య G.3 లో ఎగురుతూ. చాలా G.3 లు A2 మోడల్, వీటిని వ"&amp;"ెస్ట్రన్ ఫ్రంట్‌లో, రష్యాలో మరియు మధ్యప్రాచ్యంలో ఫిరంగిదళాలు గుర్తించడానికి వివిధ వైమానిక దళాలు ఉపయోగించబడ్డాయి. G.3 D2 రెండు సీట్ల శిక్షకుడు, ద్వంద్వ నియంత్రణలు మరియు E2 ప్రాథమిక శిక్షకుడు. R1 వెర్షన్ (రౌలూర్ లేదా రోలర్) ను టాక్సీ శిక్షణ కోసం ఫ్రాన్స్ మర"&amp;"ియు అమెరికా ఎయిర్ సర్వీస్ ఉపయోగించాయి, వింగ్ అది గాలిలో మారకుండా నిరోధించడానికి తగ్గించబడింది. చివరి వెర్షన్, G.3. L2, మరింత శక్తివంతమైన 100 HP (75 kW) అంజాని 10 రేడియల్ ఇంజిన్‌ను కలిగి ఉంది. జర్మనీలో, గోథా జి. కొన్ని కాడ్రాన్ జి. సాయుధ దళాలలో, బ్రస్సెల్స"&amp;"్, - ఒకటి ఫిన్లాండ్‌లోని హాలిన్‌పోర్టి ఏవియేషన్ మ్యూజియంలో 1e18 గా పునరుద్ధరించబడింది, - ఒకటి 3066 గా పునరుద్ధరించబడింది, RAF మ్యూజియం హెండన్ వద్ద, - ఒకటి రియో ​​డి జనీరో యొక్క మ్యూజియూ ఏరోస్పేషియల్ వద్ద పునరుద్ధరించబడింది, - ఒకటి అసలు భాగాల నుండి పునర్ని"&amp;"ర్మించబడింది వెనిజులాలోని మరాకా మ్యూజియంలో ప్రదర్శించబడింది. సహా. ఒక కాడ్రాన్ G.3 ఫ్రాన్స్‌లోని ఒక ప్రైవేట్ సేకరణలో భాగం కాని అన్‌స్టెడ్. కాడ్రాన్ G.3 ప్రతిరూపం, న్యూయార్క్‌లోని రైన్‌బెక్‌లోని పాత రైన్బెక్ ఏరోడ్రోమ్ లివింగ్ ఏవియేషన్ మ్యూజియంలో, ఖచ్చితంగా "&amp;"నిర్మించిన పాతకాలపు విమాన పునరుత్పత్తి యొక్క రోటరీ ఇంజిన్ బృందంలో భాగం. [3] ఫ్రాన్స్‌లో, వాల్టర్ రేడియల్ ఇంజిన్‌తో నడిచే లా ఫెర్టే అలైయిస్‌లో ప్రస్తుతం ప్రతిరూపం ఉంది. 2017 నాటికి, G.3 యొక్క మరొక గాలి ప్రతిరూపం చెక్ రిపబ్లిక్ అయిన మ్లాడే బోలెస్లావ్‌లోని మ"&amp;"ెటోడాజ్ వ్లాచ్ యొక్క ఏవియేషన్ మ్యూజియం యొక్క సేకరణలకు పరిచయం చేయబడింది. కొలతలు మరియు రూపంలో ప్రతిరూపం దృశ్యమానంగా ఉన్నప్పటికీ, ఇది అల్ట్రాలైట్ ప్రాతిపదికన నిర్మించబడింది. ప్రాజెక్ట్ అభివృద్ధి 2009 లో ప్రారంభమైంది, మరియు ప్రతిరూపం ప్యారిస్‌లోని లే బౌర్గెట్"&amp;"‌లోని మ్యూసీ డి ఎల్ ఎయిర్ ఎట్ డి ఎస్పేస్‌లో ప్రదర్శించబడిన కాడ్రాన్ G.3 పై ఆధారపడింది. [4] [5] సుమెన్ నుండి డేటా ఇల్మావోయిమియన్ లెంటోకోనెట్ 1918-1939 [12] సాధారణ లక్షణాలు పనితీరు ఆయుధ సంబంధిత అభివృద్ధి")</f>
        <v>కాడ్రాన్ జి. కాడ్రాన్ G.3 ను రెనే మరియు గాస్టన్ కాడ్రాన్ సైనిక ఉపయోగం కోసం వారి మునుపటి కాడ్రాన్ G.2 యొక్క అభివృద్ధిగా రూపొందించారు. ఇది మొదట మే 1914 లో వారి లే క్రోటోయ్ ఏరోడ్రోమ్ వద్ద ప్రయాణించింది. [2] ఈ విమానం ఒక చిన్న సిబ్బంది నాసెల్లెను కలిగి ఉంది, నాసెల్లె యొక్క ముక్కులో ఒకే ఇంజిన్ మరియు ఓపెన్ టెయిల్బూమ్ ట్రస్ ఉన్నాయి. ఇది సెస్క్విప్లేన్ లేఅవుట్, మరియు పార్శ్వ నియంత్రణ కోసం వింగ్ వార్పింగ్ ఉపయోగించింది, అయినప్పటికీ ఇది చివరి ఉత్పత్తి విమానాలలో ఎగువ వింగ్‌లో సాంప్రదాయిక ఐలెరాన్‌ల ద్వారా భర్తీ చేయబడింది. సాధారణంగా, G.3 సాయుధంగా లేదు, అయినప్పటికీ కొన్నిసార్లు లైట్ మెషిన్ గన్స్ మరియు చిన్న బాంబులు అమర్చబడి ఉంటాయి. మొదటి ప్రపంచ యుద్ధం ప్రారంభమైన తరువాత ఇది పెద్ద పరిమాణంలో ఆదేశించబడింది, ఫ్రాన్స్‌లో నిర్మించిన 2450 లో కాడ్రాన్ ఫ్యాక్టరీలు 1423 భవన నిర్మాణంతో. 233 ను ఇంగ్లాండ్‌లో మరియు 166 మంది ఇటలీలో అనేక ఇతర దేశాలతో నిర్మించారు. కాడ్రాన్ బ్రదర్స్ దేశభక్తి చర్యగా డిజైన్ కోసం లైసెన్సింగ్ ఫీజును వసూలు చేయలేదు. [2] దీనిని కాడ్రాన్ G.4 ఉత్పత్తిలో అనుసరించింది, ఇది జంట-ఇంజిన్ అభివృద్ధి. ఇది గరిష్టంగా 66 mph లేదా 80 HP ను కలిగి ఉంది, ఇది యుద్ధం ప్రారంభమైనప్పుడు ఫ్రెంచ్ ఏనోన్యుటిక్ మిలీటైర్ యొక్క G.3 అమర్చిన ఎస్కాడ్రిల్. యుద్ధం అభివృద్ధి చెందుతున్నప్పుడు, దాని తక్కువ పనితీరు మరియు ఆయుధాలు లేకపోవడం ఫ్రంట్ లైన్ సేవకు చాలా హాని కలిగించింది, మరియు ఇది 1916 మధ్యలో ఫ్రంట్ లైన్ కార్యకలాపాల నుండి ఉపసంహరించబడింది. [2] ఇటాలియన్లు 1917 వరకు పున onna పరిశీలన కోసం G.3 ను విస్తృత స్థాయిలో ఉపయోగించారు, బ్రిటిష్ RFC (అక్టోబర్ 1917 వరకు నిరంతర కార్యకలాపాలు), వారు గ్రౌండ్ అటాక్ కోసం తేలికపాటి బాంబులు మరియు మెషిన్ గన్లతో కొన్నింటిని అమర్చారు. [2] 1915-16 నాటి మెసొపొటేమియన్ ప్రచారంలో ఆస్ట్రేలియన్ ఫ్లయింగ్ కార్ప్స్ G.3 ను నిర్వహించింది. ఇది యుద్ధం ముగిసే వరకు శిక్షకుడిగా వాడుకలో కొనసాగింది. చైనీస్ ఫెంగియన్ క్లిక్ వార్లార్డ్ కాడ్రాన్ G.3 లు 1931 లో ముక్డెన్ సంఘటన వరకు శిక్షకులుగా సేవలో ఉన్నాయి, చాలామంది జపనీయులు స్వాధీనం చేసుకున్నారు. 1921 లో, కాడ్రాన్ కోసం పనిచేస్తున్న ఫ్రెంచ్ టెస్ట్ పైలట్ అయిన అడ్రియన్ బోలాండ్, ఒక మహిళ చేత అండీస్ యొక్క మొదటి క్రాసింగ్ చేసాడు, అర్జెంటీనా మరియు చిలీ మధ్య G.3 లో ఎగురుతూ. చాలా G.3 లు A2 మోడల్, వీటిని వెస్ట్రన్ ఫ్రంట్‌లో, రష్యాలో మరియు మధ్యప్రాచ్యంలో ఫిరంగిదళాలు గుర్తించడానికి వివిధ వైమానిక దళాలు ఉపయోగించబడ్డాయి. G.3 D2 రెండు సీట్ల శిక్షకుడు, ద్వంద్వ నియంత్రణలు మరియు E2 ప్రాథమిక శిక్షకుడు. R1 వెర్షన్ (రౌలూర్ లేదా రోలర్) ను టాక్సీ శిక్షణ కోసం ఫ్రాన్స్ మరియు అమెరికా ఎయిర్ సర్వీస్ ఉపయోగించాయి, వింగ్ అది గాలిలో మారకుండా నిరోధించడానికి తగ్గించబడింది. చివరి వెర్షన్, G.3. L2, మరింత శక్తివంతమైన 100 HP (75 kW) అంజాని 10 రేడియల్ ఇంజిన్‌ను కలిగి ఉంది. జర్మనీలో, గోథా జి. కొన్ని కాడ్రాన్ జి. సాయుధ దళాలలో, బ్రస్సెల్స్, - ఒకటి ఫిన్లాండ్‌లోని హాలిన్‌పోర్టి ఏవియేషన్ మ్యూజియంలో 1e18 గా పునరుద్ధరించబడింది, - ఒకటి 3066 గా పునరుద్ధరించబడింది, RAF మ్యూజియం హెండన్ వద్ద, - ఒకటి రియో ​​డి జనీరో యొక్క మ్యూజియూ ఏరోస్పేషియల్ వద్ద పునరుద్ధరించబడింది, - ఒకటి అసలు భాగాల నుండి పునర్నిర్మించబడింది వెనిజులాలోని మరాకా మ్యూజియంలో ప్రదర్శించబడింది. సహా. ఒక కాడ్రాన్ G.3 ఫ్రాన్స్‌లోని ఒక ప్రైవేట్ సేకరణలో భాగం కాని అన్‌స్టెడ్. కాడ్రాన్ G.3 ప్రతిరూపం, న్యూయార్క్‌లోని రైన్‌బెక్‌లోని పాత రైన్బెక్ ఏరోడ్రోమ్ లివింగ్ ఏవియేషన్ మ్యూజియంలో, ఖచ్చితంగా నిర్మించిన పాతకాలపు విమాన పునరుత్పత్తి యొక్క రోటరీ ఇంజిన్ బృందంలో భాగం. [3] ఫ్రాన్స్‌లో, వాల్టర్ రేడియల్ ఇంజిన్‌తో నడిచే లా ఫెర్టే అలైయిస్‌లో ప్రస్తుతం ప్రతిరూపం ఉంది. 2017 నాటికి, G.3 యొక్క మరొక గాలి ప్రతిరూపం చెక్ రిపబ్లిక్ అయిన మ్లాడే బోలెస్లావ్‌లోని మెటోడాజ్ వ్లాచ్ యొక్క ఏవియేషన్ మ్యూజియం యొక్క సేకరణలకు పరిచయం చేయబడింది. కొలతలు మరియు రూపంలో ప్రతిరూపం దృశ్యమానంగా ఉన్నప్పటికీ, ఇది అల్ట్రాలైట్ ప్రాతిపదికన నిర్మించబడింది. ప్రాజెక్ట్ అభివృద్ధి 2009 లో ప్రారంభమైంది, మరియు ప్రతిరూపం ప్యారిస్‌లోని లే బౌర్గెట్‌లోని మ్యూసీ డి ఎల్ ఎయిర్ ఎట్ డి ఎస్పేస్‌లో ప్రదర్శించబడిన కాడ్రాన్ G.3 పై ఆధారపడింది. [4] [5] సుమెన్ నుండి డేటా ఇల్మావోయిమియన్ లెంటోకోనెట్ 1918-1939 [12] సాధారణ లక్షణాలు పనితీరు ఆయుధ సంబంధిత అభివృద్ధి</v>
      </c>
      <c r="E103" s="1" t="s">
        <v>2241</v>
      </c>
      <c r="F103" s="1" t="s">
        <v>1292</v>
      </c>
      <c r="G103" s="1" t="str">
        <f>IFERROR(__xludf.DUMMYFUNCTION("GOOGLETRANSLATE(F:F, ""en"", ""te"")"),"నిఘా విమానం")</f>
        <v>నిఘా విమానం</v>
      </c>
      <c r="J103" s="1" t="str">
        <f>IFERROR(__xludf.DUMMYFUNCTION("GOOGLETRANSLATE(I:I, ""en"", ""te"")"),"#VALUE!")</f>
        <v>#VALUE!</v>
      </c>
      <c r="L103" s="1" t="s">
        <v>2242</v>
      </c>
      <c r="M103" s="1" t="str">
        <f>IFERROR(__xludf.DUMMYFUNCTION("GOOGLETRANSLATE(L:L, ""en"", ""te"")"),"కాడ్రాన్")</f>
        <v>కాడ్రాన్</v>
      </c>
      <c r="N103" s="3" t="s">
        <v>2243</v>
      </c>
      <c r="R103" s="1" t="s">
        <v>2244</v>
      </c>
      <c r="T103" s="1" t="s">
        <v>2245</v>
      </c>
      <c r="V103" s="1">
        <v>1.0</v>
      </c>
      <c r="W103" s="1" t="s">
        <v>2246</v>
      </c>
      <c r="X103" s="1" t="s">
        <v>2247</v>
      </c>
      <c r="Y103" s="1" t="s">
        <v>2248</v>
      </c>
      <c r="Z103" s="1" t="s">
        <v>2249</v>
      </c>
      <c r="AG103" s="1" t="s">
        <v>2250</v>
      </c>
      <c r="AO103" s="1" t="s">
        <v>2251</v>
      </c>
      <c r="AS103" s="1" t="s">
        <v>2252</v>
      </c>
      <c r="AT103" s="1"/>
      <c r="AU103" s="1" t="s">
        <v>2253</v>
      </c>
      <c r="AX103" s="1" t="s">
        <v>2254</v>
      </c>
      <c r="AY103" s="1" t="str">
        <f>IFERROR(__xludf.DUMMYFUNCTION("GOOGLETRANSLATE(AX:AX, ""en"", ""te"")"),"1 × లే రోన్ 9 సి 9-సిలిండర్ ఎయిర్-కూల్డ్ రోటరీ పిస్టన్ ఇంజిన్, 60 కిలోవాట్ (80 హెచ్‌పి)")</f>
        <v>1 × లే రోన్ 9 సి 9-సిలిండర్ ఎయిర్-కూల్డ్ రోటరీ పిస్టన్ ఇంజిన్, 60 కిలోవాట్ (80 హెచ్‌పి)</v>
      </c>
      <c r="AZ103" s="1" t="s">
        <v>297</v>
      </c>
      <c r="BA103" s="1" t="str">
        <f>IFERROR(__xludf.DUMMYFUNCTION("GOOGLETRANSLATE(AZ:AZ, ""en"", ""te"")"),"2-బ్లేడెడ్ ఫిక్స్‌డ్-పిచ్ ప్రొపెల్లర్")</f>
        <v>2-బ్లేడెడ్ ఫిక్స్‌డ్-పిచ్ ప్రొపెల్లర్</v>
      </c>
      <c r="BB103" s="1" t="s">
        <v>2255</v>
      </c>
      <c r="BD103" s="1" t="s">
        <v>2256</v>
      </c>
      <c r="BG103" s="2"/>
      <c r="BI103" s="1" t="s">
        <v>2257</v>
      </c>
      <c r="BJ103" s="1" t="s">
        <v>2258</v>
      </c>
      <c r="BX103" s="1"/>
      <c r="BY103" s="1" t="s">
        <v>2259</v>
      </c>
      <c r="BZ103" s="1" t="s">
        <v>2260</v>
      </c>
      <c r="CC103" s="1" t="s">
        <v>2261</v>
      </c>
      <c r="CD103" s="1" t="str">
        <f>IFERROR(__xludf.DUMMYFUNCTION("GOOGLETRANSLATE(CC:CC, ""en"", ""te"")"),"ఒక లైట్ మెషిన్ గన్ (ఐచ్ఛికం)")</f>
        <v>ఒక లైట్ మెషిన్ గన్ (ఐచ్ఛికం)</v>
      </c>
      <c r="CE103" s="1" t="s">
        <v>2262</v>
      </c>
      <c r="CF103" s="1" t="str">
        <f>IFERROR(__xludf.DUMMYFUNCTION("GOOGLETRANSLATE(CE:CE, ""en"", ""te"")"),"చేతితో విడుదల చేసిన బాంబులు (ఐచ్ఛికం)")</f>
        <v>చేతితో విడుదల చేసిన బాంబులు (ఐచ్ఛికం)</v>
      </c>
    </row>
    <row r="104">
      <c r="A104" s="1" t="s">
        <v>2263</v>
      </c>
      <c r="B104" s="1" t="str">
        <f>IFERROR(__xludf.DUMMYFUNCTION("GOOGLETRANSLATE(A:A, ""en"", ""te"")"),"సూపర్ మేరిన్ రకం 224")</f>
        <v>సూపర్ మేరిన్ రకం 224</v>
      </c>
      <c r="C104" s="1" t="s">
        <v>2264</v>
      </c>
      <c r="D104" s="1" t="str">
        <f>IFERROR(__xludf.DUMMYFUNCTION("GOOGLETRANSLATE(C:C, ""en"", ""te"")"),"సూపర్ మేరిన్ టైప్ 224 అనేది విలోమ గల్-వింగ్ మోనోప్లేన్ ఫైటర్ విమానం. ఎయిర్ మినిస్ట్రీ స్పెసిఫికేషన్ F.7/30 కు ప్రతిస్పందనగా సూపర్‌మరైన్ వద్ద మిచెల్, ఇది గ్లోస్టర్ గాంట్లెట్ తరువాత పరిచయం కోసం ఒక పోరాట యోధుడిని కోరింది. ఇది రోల్స్ రాయిస్ గోషాక్ ఇంజిన్ చేత "&amp;"శక్తిని పొందింది, ఇది ప్రయోగాత్మక బాష్పీభవన శీతలీకరణ వ్యవస్థను ఉపయోగించింది మరియు ఈ వ్యవస్థతో సమస్యలు, దాని నిరాశపరిచే పనితీరుతో కలిపి, దానిని తిరస్కరించడానికి దారితీసింది, ఉత్పత్తి విమానాల కోసం ఒక ఒప్పందం చివరికి గ్లోస్టర్ గ్లాడియేటర్‌కు వెళుతుంది. ఇది గ"&amp;"ుర్తించదగినది ఎందుకంటే R.J. మిచెల్ దాని వైఫల్యం నుండి పాఠాలు నేర్చుకున్నాడు, అది సూపర్ మేరిన్ స్పిట్‌ఫైర్‌తో అతని విజయానికి ఎంతో దోహదపడుతుంది. అక్టోబర్ 1931 లో విమాన పరిశ్రమకు అధికారికంగా జారీ చేయబడిన స్పెసిఫికేషన్ ఎఫ్. 60 mph కంటే. కాక్‌పిట్ నుండి మంచి ద"&amp;"ృశ్యం యొక్క ప్రాముఖ్యత స్పష్టమైంది. ఏదైనా విద్యుత్ ప్లాంట్ వాడకానికి అనుమతి ఉన్నప్పటికీ, బాష్పీభవనంగా చల్లబడిన రోల్స్ రాయిస్ గోషాక్ కోసం వైమానిక మంత్రిత్వ శాఖ ప్రాధాన్యతనిచ్చింది. తయారీదారులు సమర్పించిన అనేక ప్రతిపాదనలలో, ముగ్గురు అధికారిక అభివృద్ధికి ప్ర"&amp;"ోటోటైప్‌లుగా ఎంపికయ్యారు, వాటిలో సూపర్ మెరైన్ 224. అదనంగా, పోటీ కోసం ప్రైవేటు నిధుల సమర్పణలను ప్రోత్సహించారు. సూపర్ మేరిన్ యొక్క డిజైనర్ ఆర్. జె. మిచెల్, 600 హెచ్‌పి గోషాక్ II చేత శక్తినిచ్చే స్థిరమైన అండర్ క్యారేజీతో శుభ్రంగా కనిపించే విలోమ గల్-వింగ్ మోన"&amp;"ోప్లేన్‌తో ముందుకు వచ్చారు. అండర్ క్యారేజ్ కాళ్ళను తగ్గించడానికి మరియు డ్రాగ్‌ను తగ్గించడానికి గుల్ వింగ్ కాన్ఫిగరేషన్ ఎంపిక చేయబడింది, అయితే ఈ కాన్ఫిగరేషన్ పార్శ్వ స్థిరత్వంతో సమస్యలను ఉత్పత్తి చేయడానికి బాధ్యత వహించినందున, మోడళ్లను ఉపయోగించి విండ్-టన్నె"&amp;"ల్ టెస్టింగ్ యొక్క విస్తృతమైన ప్రోగ్రామ్ వద్దకు రావడానికి ముందు జరిగింది. తుది రూపకల్పన. ఈ పరీక్షలు దిశాత్మక స్థిరత్వం లేకపోవడాన్ని కూడా వెల్లడించాయి: తదనుగుణంగా మిచెల్ ఫిన్ ప్రాంతాన్ని విస్తరించాడు. కాక్‌పిట్ తెరిచి ఉంది, మరియు పైలట్ అనవసరమైన బఫేటింగ్‌కు"&amp;" లోబడి ఉండకుండా చూసుకోవడానికి కాక్‌పిట్ ప్రాంతం యొక్క పూర్తి-పరిమాణ మోడల్‌పై మరింత విండ్-టన్నెల్ పరీక్షలు జరిగాయి. ఫ్యూజ్‌లేజ్ మోనోకోక్ నిర్మాణానికి చెందినది, కాక్‌పిట్‌కు ఇరువైపులా ఒక జత తుపాకులు మరియు మరొక జత అండర్ క్యారేజ్ యొక్క 'ప్యాంటు' ఫెయిరింగ్స్‌ల"&amp;"ో అమర్చబడి ఉన్నాయి. రెక్క అసాధారణమైన నిర్మాణంలో ఉంది, ఒకే ప్రధాన స్పార్ కలిగి ఉంది, వీటిలో ఇంజిన్ శీతలీకరణ వ్యవస్థ యొక్క కండెన్సర్లు రెక్క యొక్క మొత్తం ప్రముఖ అంచుని ఏర్పరుస్తాయి, ఈ రెండింటి కలయిక గొప్ప టోర్షనల్ దృ g త్వం యొక్క 'డి-బాక్స్' స్పార్‌ను ఉత్పత"&amp;"్తి చేస్తుంది. ప్రధాన స్పార్ వెనుక రెక్క ఫాబ్రిక్ కప్పబడి ఉంది. గోషాక్ ఉపయోగించే బాష్పీభవన శీతలీకరణ వ్యవస్థ ఇంజిన్ ద్వారా ప్రసరించేటప్పుడు ఒత్తిడిలో ఉంచడం ద్వారా శీతలీకరణ నీటిని 100 ° C కంటే ఎక్కువ ఉష్ణోగ్రత చేరుకోకుండా ఉడకబెట్టడానికి అనుమతిస్తుంది: ఈ సూప"&amp;"ర్హీట్ నీరు ఒత్తిడిని విడుదల చేయడం ద్వారా ఉడకబెట్టడానికి అనుమతించబడింది, ఫలితంగా ఆవిరిని కండెన్సర్‌లో చల్లబరుస్తుంది, నీటిగా సేకరించి ఇంజిన్ ద్వారా పునర్వినియోగపరచబడుతుంది. ఈ వ్యవస్థ ప్రయోగాత్మకంగా ఇతర విమానాలలో ఎగురవేయబడింది, అయితే ఇవన్నీ బైప్‌లాన్లు, మర"&amp;"ియు ఘనీకృత నీటి కోసం కండెన్సర్లు మరియు కలెక్టర్ ట్యాంక్ అన్నీ ఎగువ రెక్కలో అమర్చబడ్డాయి. టైప్ 224 లో, కలెక్టర్ ట్యాంకులు అండర్ క్యారేజ్ ఫెయిరింగ్స్‌లో ఉన్నాయి, మరియు, ఘనీకృత నీరు దాదాపు మరిగే దశలో ఉన్నందున, ఒత్తిడి యొక్క స్వల్ప మార్పు కింద ఆవిరి వైపు తిరగ"&amp;"డం బాధ్యత వహిస్తుంది; ఇది తరచూ నీటి పంపులలో సంభవించింది మరియు అవి పని చేయకుండా ఉండటానికి కారణమవుతాయి. [2] టైప్ 224 మొదట 19 ఫిబ్రవరి 1934 న ఎగిరింది, దీనిని ""మట్"" సమ్మర్స్ పైలట్ చేసింది. [3] దీని పనితీరు నిరాశపరిచింది: గరిష్ట వేగం 228 mph (367 కిమీ/గం) మ"&amp;"రియు ఇది 15,000 అడుగుల (4,600 మీ) కు ఎక్కడానికి 9.5 నిమిషాలు పట్టింది, ఇది 245 mph (394 km/h) వేగం యొక్క పనితీరు కంటే చాలా తక్కువ మరియు ఎక్కండి 6.6 నిమిషాల్లో 15,000 అడుగులు (4,600 మీ). [4] ఉత్పత్తి కోసం ఎంపిక చేయబడిన విమానం, రేడియల్-ఇంజిన్ గ్లోస్టర్ గ్లా"&amp;"డియేటర్, F.7/30 పోటీకి ఆలస్యంగా ప్రవేశించింది, ఇది 12 సెప్టెంబర్ 1934 న మొదటి విమానంలో ఉంది మరియు పోటీకి ఉద్దేశించిన విమానాల అభివృద్ధి వేగంగా చేపట్టబడింది దీనికి ప్రత్యామ్నాయాన్ని అందించండి. ఏదేమైనా, మిచెల్ ఇప్పటికే అనేక మెరుగుదలల గురించి చర్చలు జరుపుతున్"&amp;"నాడు - వీటిలో కొత్త వింగ్, టెయిల్ ప్లేన్ మరియు ఇంజిన్ ఏర్పాట్లు ఉన్నాయి - ఇది 265 mph (426 కిమీ/గం) వేగంతో ఇస్తుంది. నాలుగు తుపాకుల కంటే ఎనిమిది అవసరం కాబట్టి, టైప్ 224 యొక్క మార్పు కాకుండా పూర్తిగా కొత్త విమానం పిలువబడిందని మంత్రిత్వ శాఖ అభిప్రాయపడింది. "&amp;"[1] 1933 లో, సూపర్ మెరైన్ ""స్పిట్ ఫైర్"" అనే పేరును దాని కోసం రిజర్వు చేయమని వైమానిక మంత్రిత్వ శాఖను కోరింది. [1] టైప్ 224 తన కెరీర్‌ను ఓర్ఫోర్డ్ నెస్, సఫోల్క్ వద్ద ఫైరింగ్ రేంజ్‌ను లక్ష్యంగా చేసుకుంది, వేసవి 1937 లో సఫోల్క్. [5] 1914 నుండి సూపర్ మేరిన్ "&amp;"విమానాల నుండి డేటా. [6] సాధారణ లక్షణాలు పనితీరు ఆయుధాలు, కాన్ఫిగరేషన్ మరియు యుగం యొక్క ఆయుధ విమానం")</f>
        <v>సూపర్ మేరిన్ టైప్ 224 అనేది విలోమ గల్-వింగ్ మోనోప్లేన్ ఫైటర్ విమానం. ఎయిర్ మినిస్ట్రీ స్పెసిఫికేషన్ F.7/30 కు ప్రతిస్పందనగా సూపర్‌మరైన్ వద్ద మిచెల్, ఇది గ్లోస్టర్ గాంట్లెట్ తరువాత పరిచయం కోసం ఒక పోరాట యోధుడిని కోరింది. ఇది రోల్స్ రాయిస్ గోషాక్ ఇంజిన్ చేత శక్తిని పొందింది, ఇది ప్రయోగాత్మక బాష్పీభవన శీతలీకరణ వ్యవస్థను ఉపయోగించింది మరియు ఈ వ్యవస్థతో సమస్యలు, దాని నిరాశపరిచే పనితీరుతో కలిపి, దానిని తిరస్కరించడానికి దారితీసింది, ఉత్పత్తి విమానాల కోసం ఒక ఒప్పందం చివరికి గ్లోస్టర్ గ్లాడియేటర్‌కు వెళుతుంది. ఇది గుర్తించదగినది ఎందుకంటే R.J. మిచెల్ దాని వైఫల్యం నుండి పాఠాలు నేర్చుకున్నాడు, అది సూపర్ మేరిన్ స్పిట్‌ఫైర్‌తో అతని విజయానికి ఎంతో దోహదపడుతుంది. అక్టోబర్ 1931 లో విమాన పరిశ్రమకు అధికారికంగా జారీ చేయబడిన స్పెసిఫికేషన్ ఎఫ్. 60 mph కంటే. కాక్‌పిట్ నుండి మంచి దృశ్యం యొక్క ప్రాముఖ్యత స్పష్టమైంది. ఏదైనా విద్యుత్ ప్లాంట్ వాడకానికి అనుమతి ఉన్నప్పటికీ, బాష్పీభవనంగా చల్లబడిన రోల్స్ రాయిస్ గోషాక్ కోసం వైమానిక మంత్రిత్వ శాఖ ప్రాధాన్యతనిచ్చింది. తయారీదారులు సమర్పించిన అనేక ప్రతిపాదనలలో, ముగ్గురు అధికారిక అభివృద్ధికి ప్రోటోటైప్‌లుగా ఎంపికయ్యారు, వాటిలో సూపర్ మెరైన్ 224. అదనంగా, పోటీ కోసం ప్రైవేటు నిధుల సమర్పణలను ప్రోత్సహించారు. సూపర్ మేరిన్ యొక్క డిజైనర్ ఆర్. జె. మిచెల్, 600 హెచ్‌పి గోషాక్ II చేత శక్తినిచ్చే స్థిరమైన అండర్ క్యారేజీతో శుభ్రంగా కనిపించే విలోమ గల్-వింగ్ మోనోప్లేన్‌తో ముందుకు వచ్చారు. అండర్ క్యారేజ్ కాళ్ళను తగ్గించడానికి మరియు డ్రాగ్‌ను తగ్గించడానికి గుల్ వింగ్ కాన్ఫిగరేషన్ ఎంపిక చేయబడింది, అయితే ఈ కాన్ఫిగరేషన్ పార్శ్వ స్థిరత్వంతో సమస్యలను ఉత్పత్తి చేయడానికి బాధ్యత వహించినందున, మోడళ్లను ఉపయోగించి విండ్-టన్నెల్ టెస్టింగ్ యొక్క విస్తృతమైన ప్రోగ్రామ్ వద్దకు రావడానికి ముందు జరిగింది. తుది రూపకల్పన. ఈ పరీక్షలు దిశాత్మక స్థిరత్వం లేకపోవడాన్ని కూడా వెల్లడించాయి: తదనుగుణంగా మిచెల్ ఫిన్ ప్రాంతాన్ని విస్తరించాడు. కాక్‌పిట్ తెరిచి ఉంది, మరియు పైలట్ అనవసరమైన బఫేటింగ్‌కు లోబడి ఉండకుండా చూసుకోవడానికి కాక్‌పిట్ ప్రాంతం యొక్క పూర్తి-పరిమాణ మోడల్‌పై మరింత విండ్-టన్నెల్ పరీక్షలు జరిగాయి. ఫ్యూజ్‌లేజ్ మోనోకోక్ నిర్మాణానికి చెందినది, కాక్‌పిట్‌కు ఇరువైపులా ఒక జత తుపాకులు మరియు మరొక జత అండర్ క్యారేజ్ యొక్క 'ప్యాంటు' ఫెయిరింగ్స్‌లో అమర్చబడి ఉన్నాయి. రెక్క అసాధారణమైన నిర్మాణంలో ఉంది, ఒకే ప్రధాన స్పార్ కలిగి ఉంది, వీటిలో ఇంజిన్ శీతలీకరణ వ్యవస్థ యొక్క కండెన్సర్లు రెక్క యొక్క మొత్తం ప్రముఖ అంచుని ఏర్పరుస్తాయి, ఈ రెండింటి కలయిక గొప్ప టోర్షనల్ దృ g త్వం యొక్క 'డి-బాక్స్' స్పార్‌ను ఉత్పత్తి చేస్తుంది. ప్రధాన స్పార్ వెనుక రెక్క ఫాబ్రిక్ కప్పబడి ఉంది. గోషాక్ ఉపయోగించే బాష్పీభవన శీతలీకరణ వ్యవస్థ ఇంజిన్ ద్వారా ప్రసరించేటప్పుడు ఒత్తిడిలో ఉంచడం ద్వారా శీతలీకరణ నీటిని 100 ° C కంటే ఎక్కువ ఉష్ణోగ్రత చేరుకోకుండా ఉడకబెట్టడానికి అనుమతిస్తుంది: ఈ సూపర్హీట్ నీరు ఒత్తిడిని విడుదల చేయడం ద్వారా ఉడకబెట్టడానికి అనుమతించబడింది, ఫలితంగా ఆవిరిని కండెన్సర్‌లో చల్లబరుస్తుంది, నీటిగా సేకరించి ఇంజిన్ ద్వారా పునర్వినియోగపరచబడుతుంది. ఈ వ్యవస్థ ప్రయోగాత్మకంగా ఇతర విమానాలలో ఎగురవేయబడింది, అయితే ఇవన్నీ బైప్‌లాన్లు, మరియు ఘనీకృత నీటి కోసం కండెన్సర్లు మరియు కలెక్టర్ ట్యాంక్ అన్నీ ఎగువ రెక్కలో అమర్చబడ్డాయి. టైప్ 224 లో, కలెక్టర్ ట్యాంకులు అండర్ క్యారేజ్ ఫెయిరింగ్స్‌లో ఉన్నాయి, మరియు, ఘనీకృత నీరు దాదాపు మరిగే దశలో ఉన్నందున, ఒత్తిడి యొక్క స్వల్ప మార్పు కింద ఆవిరి వైపు తిరగడం బాధ్యత వహిస్తుంది; ఇది తరచూ నీటి పంపులలో సంభవించింది మరియు అవి పని చేయకుండా ఉండటానికి కారణమవుతాయి. [2] టైప్ 224 మొదట 19 ఫిబ్రవరి 1934 న ఎగిరింది, దీనిని "మట్" సమ్మర్స్ పైలట్ చేసింది. [3] దీని పనితీరు నిరాశపరిచింది: గరిష్ట వేగం 228 mph (367 కిమీ/గం) మరియు ఇది 15,000 అడుగుల (4,600 మీ) కు ఎక్కడానికి 9.5 నిమిషాలు పట్టింది, ఇది 245 mph (394 km/h) వేగం యొక్క పనితీరు కంటే చాలా తక్కువ మరియు ఎక్కండి 6.6 నిమిషాల్లో 15,000 అడుగులు (4,600 మీ). [4] ఉత్పత్తి కోసం ఎంపిక చేయబడిన విమానం, రేడియల్-ఇంజిన్ గ్లోస్టర్ గ్లాడియేటర్, F.7/30 పోటీకి ఆలస్యంగా ప్రవేశించింది, ఇది 12 సెప్టెంబర్ 1934 న మొదటి విమానంలో ఉంది మరియు పోటీకి ఉద్దేశించిన విమానాల అభివృద్ధి వేగంగా చేపట్టబడింది దీనికి ప్రత్యామ్నాయాన్ని అందించండి. ఏదేమైనా, మిచెల్ ఇప్పటికే అనేక మెరుగుదలల గురించి చర్చలు జరుపుతున్నాడు - వీటిలో కొత్త వింగ్, టెయిల్ ప్లేన్ మరియు ఇంజిన్ ఏర్పాట్లు ఉన్నాయి - ఇది 265 mph (426 కిమీ/గం) వేగంతో ఇస్తుంది. నాలుగు తుపాకుల కంటే ఎనిమిది అవసరం కాబట్టి, టైప్ 224 యొక్క మార్పు కాకుండా పూర్తిగా కొత్త విమానం పిలువబడిందని మంత్రిత్వ శాఖ అభిప్రాయపడింది. [1] 1933 లో, సూపర్ మెరైన్ "స్పిట్ ఫైర్" అనే పేరును దాని కోసం రిజర్వు చేయమని వైమానిక మంత్రిత్వ శాఖను కోరింది. [1] టైప్ 224 తన కెరీర్‌ను ఓర్ఫోర్డ్ నెస్, సఫోల్క్ వద్ద ఫైరింగ్ రేంజ్‌ను లక్ష్యంగా చేసుకుంది, వేసవి 1937 లో సఫోల్క్. [5] 1914 నుండి సూపర్ మేరిన్ విమానాల నుండి డేటా. [6] సాధారణ లక్షణాలు పనితీరు ఆయుధాలు, కాన్ఫిగరేషన్ మరియు యుగం యొక్క ఆయుధ విమానం</v>
      </c>
      <c r="E104" s="1" t="s">
        <v>2265</v>
      </c>
      <c r="F104" s="1" t="s">
        <v>311</v>
      </c>
      <c r="G104" s="1" t="str">
        <f>IFERROR(__xludf.DUMMYFUNCTION("GOOGLETRANSLATE(F:F, ""en"", ""te"")"),"ఫైటర్ విమానం")</f>
        <v>ఫైటర్ విమానం</v>
      </c>
      <c r="I104" s="1" t="s">
        <v>964</v>
      </c>
      <c r="J104" s="1" t="str">
        <f>IFERROR(__xludf.DUMMYFUNCTION("GOOGLETRANSLATE(I:I, ""en"", ""te"")"),"యునైటెడ్ కింగ్‌డమ్")</f>
        <v>యునైటెడ్ కింగ్‌డమ్</v>
      </c>
      <c r="L104" s="1" t="s">
        <v>539</v>
      </c>
      <c r="M104" s="1" t="str">
        <f>IFERROR(__xludf.DUMMYFUNCTION("GOOGLETRANSLATE(L:L, ""en"", ""te"")"),"సూపర్ మెరైన్")</f>
        <v>సూపర్ మెరైన్</v>
      </c>
      <c r="N104" s="3" t="s">
        <v>540</v>
      </c>
      <c r="O104" s="1" t="s">
        <v>2266</v>
      </c>
      <c r="P104" s="1" t="str">
        <f>IFERROR(__xludf.DUMMYFUNCTION("GOOGLETRANSLATE(O:O, ""en"", ""te"")"),"R. J. మిచెల్")</f>
        <v>R. J. మిచెల్</v>
      </c>
      <c r="Q104" s="1" t="s">
        <v>2267</v>
      </c>
      <c r="R104" s="1" t="s">
        <v>2268</v>
      </c>
      <c r="S104" s="1">
        <v>1.0</v>
      </c>
      <c r="V104" s="1">
        <v>1.0</v>
      </c>
      <c r="W104" s="1" t="s">
        <v>2269</v>
      </c>
      <c r="X104" s="1" t="s">
        <v>2270</v>
      </c>
      <c r="Y104" s="1" t="s">
        <v>1042</v>
      </c>
      <c r="Z104" s="1" t="s">
        <v>2271</v>
      </c>
      <c r="AF104" s="1" t="s">
        <v>247</v>
      </c>
      <c r="AG104" s="1" t="s">
        <v>2272</v>
      </c>
      <c r="AH104" s="1" t="s">
        <v>2273</v>
      </c>
      <c r="AX104" s="1" t="s">
        <v>2274</v>
      </c>
      <c r="AY104" s="1" t="str">
        <f>IFERROR(__xludf.DUMMYFUNCTION("GOOGLETRANSLATE(AX:AX, ""en"", ""te"")"),"1 × రోల్స్ రాయిస్ గోషాక్ II V-12 బాష్పీభవన/ఆవిరి కూల్డ్ పిస్టన్ ఇంజిన్, 600 హెచ్‌పి (450 కిలోవాట్)")</f>
        <v>1 × రోల్స్ రాయిస్ గోషాక్ II V-12 బాష్పీభవన/ఆవిరి కూల్డ్ పిస్టన్ ఇంజిన్, 600 హెచ్‌పి (450 కిలోవాట్)</v>
      </c>
      <c r="AZ104" s="1" t="s">
        <v>297</v>
      </c>
      <c r="BA104" s="1" t="str">
        <f>IFERROR(__xludf.DUMMYFUNCTION("GOOGLETRANSLATE(AZ:AZ, ""en"", ""te"")"),"2-బ్లేడెడ్ ఫిక్స్‌డ్-పిచ్ ప్రొపెల్లర్")</f>
        <v>2-బ్లేడెడ్ ఫిక్స్‌డ్-పిచ్ ప్రొపెల్లర్</v>
      </c>
      <c r="BB104" s="1" t="s">
        <v>2275</v>
      </c>
      <c r="BD104" s="1" t="s">
        <v>2276</v>
      </c>
      <c r="BG104" s="2"/>
      <c r="CB104" s="1" t="s">
        <v>2277</v>
      </c>
      <c r="CC104" s="1" t="s">
        <v>2278</v>
      </c>
      <c r="CD104" s="1" t="str">
        <f>IFERROR(__xludf.DUMMYFUNCTION("GOOGLETRANSLATE(CC:CC, ""en"", ""te"")"),"4 × 0.303 in (7.7 mm) విక్కర్స్ MK IV మెషిన్-గన్స్")</f>
        <v>4 × 0.303 in (7.7 mm) విక్కర్స్ MK IV మెషిన్-గన్స్</v>
      </c>
    </row>
    <row r="105">
      <c r="A105" s="1" t="s">
        <v>2279</v>
      </c>
      <c r="B105" s="1" t="str">
        <f>IFERROR(__xludf.DUMMYFUNCTION("GOOGLETRANSLATE(A:A, ""en"", ""te"")"),"నార్త్రోప్ n-1m")</f>
        <v>నార్త్రోప్ n-1m</v>
      </c>
      <c r="C105" s="1" t="s">
        <v>2280</v>
      </c>
      <c r="D105" s="1" t="str">
        <f>IFERROR(__xludf.DUMMYFUNCTION("GOOGLETRANSLATE(C:C, ""en"", ""te"")"),"నార్త్రోప్ N-1M (నార్త్రోప్ మోడల్ 1 మోకాప్), [1] ""జీప్"" అనే మారుపేరు ద్వారా కూడా పిలుస్తారు, [1] 1940 లలో నార్త్రోప్ విమానం ఫ్లయింగ్ వింగ్ కాన్సెప్ట్ అభివృద్ధికి ఉపయోగించే రిటైర్డ్ అమెరికన్ ప్రయోగాత్మక విమానం. జాక్ నార్త్రోప్ 1920 ల చివరలో ఆల్-వింగ్ ఎయి"&amp;"ర్క్రాఫ్ట్ డిజైన్లతో సంబంధం కలిగి ఉన్నాడు, అతని మొట్టమొదటి ఫ్లయింగ్ వింగ్ 1928-1930 కాల వ్యవధిలో నిర్మించబడింది. ఆ మొదటి నమూనా, 1929 ఫ్లయింగ్ వింగ్ X-216H, మునుపటి డిజైన్ అధ్యయనాల నుండి ఉద్భవించింది. X-216H లో జంట రడ్డర్లు ఉన్నాయి, వాటి మధ్య ఒకే క్షితిజ స"&amp;"మాంతర స్టెబిలైజర్ నడుస్తుంది; రెండు రడ్డర్లు జంట బూమ్‌ల ద్వారా మందపాటి, ఆల్-వింగ్ బ్లెండెడ్ ఫ్యూజ్‌లేజ్‌తో అనుసంధానించబడ్డాయి. ఈ విమానం సెంటర్ వింగ్ విభాగంలో ఓపెన్ కాక్‌పిట్‌ను కలిగి ఉంది మరియు సింగిల్, రియర్ ఫేసింగ్, పషర్ ప్రొపెల్లర్ పిస్టన్ ఇంజిన్‌కు అన"&amp;"ుసంధానించబడి ఆల్-వింగ్ ఆకారంలో మిళితం చేయబడింది. X-216H మొదటి పరీక్ష 1929 లో ఎడ్వర్డ్ బెల్లాండేతో నియంత్రణల వద్ద ఎగిరింది; [2] విమానం తగిన పనితీరును ప్రదర్శించింది మరియు దాని ప్రత్యేకమైన ఆల్-మెటల్ ఒత్తిడితో కూడిన చర్మం మరియు బహుళ-సెల్యులార్ నిర్మాణానికి గ"&amp;"ుర్తించబడింది. ఇదే సమయంలో, జాక్ నార్త్రోప్ వాల్టర్ మరియు రీమార్ హోర్టెన్ యొక్క ప్రీవరెన్ యొక్క ప్రీవర్-సెట్టింగ్ ""టైలెస్"" ఫ్లయింగ్ వింగ్ గ్లైడర్ డిజైన్ల గురించి 1934 నుండి జర్మనీలో పరీక్షించబడుతోంది. [3] నార్త్రోప్ యొక్క ఆల్-వింగ్ భావనను మరింత అభివృద్ధి"&amp;" చేసిన ప్రయోగాత్మక విమానాల పురోగతి N-1M ఒకటి. ఈ విమానం అమెరికాలో ఉత్పత్తి చేయబడింది మరియు 1939 మరియు 1940 లలో జాక్ నార్త్రోప్ యొక్క ఆచరణాత్మక ఫ్లయింగ్ వింగ్ యొక్క దృష్టిని రుజువు చేసే ఉద్దేశ్యంతో ఫ్లయింగ్ టెస్ట్‌బెడ్‌గా అభివృద్ధి చేయబడింది. ప్రత్యేకంగా అత"&amp;"ుక్కొని కలప యొక్క లామినేటెడ్ పొరలతో నిర్మించబడింది, చెక్క రెక్కల రెండు రూపకల్పన సెంట్రల్ బ్లెండెడ్ ఫ్యూజ్‌లేజ్‌తో సులభంగా కాన్ఫిగరేషన్ మార్పులకు అనుమతించబడింది, ఇది గొట్టపు ఉక్కుతో తయారు చేయబడింది. ఈ విమానం మొట్టమొదట 3 జూలై 1941 న కాలిఫోర్నియాలోని బేకర్ డ"&amp;"్రై లేక్ వద్ద ప్రయాణించింది. రన్. విమానం ఐదు అడుగుల కంటే ఎగరలేదని ఆయన నివేదించారు. దాడి యొక్క ఖచ్చితమైన కోణాన్ని కొనసాగించడం ద్వారా మాత్రమే ఫ్లైట్ కొనసాగించబడుతుంది, కాని థియోడర్ వాన్ కోర్మాన్ ఎలివన్ల వెనుకంజలో ఉన్న అంచులకు సర్దుబాట్లు చేయడం ద్వారా సమస్యన"&amp;"ు పరిష్కరించాడు. ఎలివాన్స్ మరియు వింగ్టిప్ రడ్డర్ల వ్యవస్థను ఉపయోగించడం ద్వారా విమానం యొక్క నియంత్రణ సాధించబడింది. ఎలివేన్లు టైలెస్ రకం విమానంలో ఎలివేటర్లు మరియు ఐలెరాన్‌లుగా పనిచేశాయి, అయితే క్రిందికి కోణాల వింగ్‌టిప్స్‌పై స్ప్లిట్ ఫ్లాప్‌లు సాంప్రదాయ చు"&amp;"క్కాని స్థానంలో ఉన్నాయి; విమాన పరీక్ష సమయంలో కోణం అనవసరంగా నిరూపించబడిన తరువాత వారు తరువాత నిఠారుగా ఉన్నారు. [5] ఫ్లైట్ టెస్ట్ ప్రోగ్రాం మోాయ్ డబ్ల్యూ. స్టీఫెన్స్, నార్త్రోప్ టెస్ట్ పైలట్ మరియు నార్త్రోప్ కార్పొరేషన్ కార్యదర్శి, టెస్ట్ పైలట్‌గా పనిచేసింది"&amp;". ప్రారంభ పరీక్షలు N-1M స్థిరత్వం మరియు నియంత్రణలో సంతృప్తికరంగా ఉన్నాయని చూపించాయి, కాని అధిక బరువు మరియు తక్కువ శక్తి. విమానం యొక్క రెండు 65-హార్స్‌పవర్ (48 kW) లైమింగ్ O-145 నాలుగు-సిలిండర్ ఇంజన్లు (డ్రాగ్‌ను తగ్గించడానికి రెక్కలో ఖననం చేయబడ్డాయి) రెండ"&amp;"ు 120-హార్స్‌పవర్ (89 kW) ఆరు-సిలిండర్ 6AC264F2 ఎయిర్-కూల్డ్ ఫ్రాంక్లిన్ ఇంజిన్‌లతో భర్తీ చేయబడ్డాయి. నవంబర్ 1941 నాటికి, 28 విమానాల తరువాత, స్టీఫెన్స్ తన నిలువు అక్షం గురించి N-1M ను తరలించడానికి ప్రయత్నించినప్పుడు, ఈ విమానం ""డచ్ రోల్"" ధోరణిని కలిగి ఉం"&amp;"దని నివేదించింది. విమానం యొక్క వింగ్ కాన్ఫిగరేషన్‌కు సర్దుబాట్లు చేసినప్పుడు డోలనాలు నిర్వహించబడుతున్నాయని నిరూపించబడింది. [5] N-1M ప్రాథమికంగా మంచిదని నిరూపించబడింది, నార్త్రోప్ యొక్క తరువాత మరియు చాలా పెద్ద నార్త్రోప్ YB-35 మరియు YB-49 విమానాలకు మార్గం "&amp;"సుగమం చేసింది. ఈ విమానం 1945 లో అమెరికా ఆర్మీ ఎయిర్ దళాలకు విరాళంగా ఇవ్వబడింది మరియు మరుసటి సంవత్సరం నేషనల్ ఎయిర్ మ్యూజియం యొక్క నిల్వ సేకరణలో ఉంచబడింది. ఇది దాదాపు మూడు దశాబ్దాలుగా అక్కడే కూర్చుంది, కాని 1980 లలో చాలా సంవత్సరాల పునరుద్ధరణ తరువాత, దాని చి"&amp;"వరి విమాన ఆకృతీకరణలో, స్టాటిక్, ఎగిరే లేని స్థితికి తిరిగి తీసుకురాబడింది. N-1M ఇప్పుడు నేషనల్ ఎయిర్ అండ్ స్పేస్ మ్యూజియం యొక్క స్టీవెన్ ఎఫ్. ఉడ్వర్-హేజీ సెంటర్‌లో బహిరంగ ప్రదర్శనలో ఉంది. [5] అమెరికన్ X &amp; Y విమానాల నుండి డేటా [5] సాధారణ లక్షణాలు పనితీరు స"&amp;"ంబంధిత అభివృద్ధి")</f>
        <v>నార్త్రోప్ N-1M (నార్త్రోప్ మోడల్ 1 మోకాప్), [1] "జీప్" అనే మారుపేరు ద్వారా కూడా పిలుస్తారు, [1] 1940 లలో నార్త్రోప్ విమానం ఫ్లయింగ్ వింగ్ కాన్సెప్ట్ అభివృద్ధికి ఉపయోగించే రిటైర్డ్ అమెరికన్ ప్రయోగాత్మక విమానం. జాక్ నార్త్రోప్ 1920 ల చివరలో ఆల్-వింగ్ ఎయిర్క్రాఫ్ట్ డిజైన్లతో సంబంధం కలిగి ఉన్నాడు, అతని మొట్టమొదటి ఫ్లయింగ్ వింగ్ 1928-1930 కాల వ్యవధిలో నిర్మించబడింది. ఆ మొదటి నమూనా, 1929 ఫ్లయింగ్ వింగ్ X-216H, మునుపటి డిజైన్ అధ్యయనాల నుండి ఉద్భవించింది. X-216H లో జంట రడ్డర్లు ఉన్నాయి, వాటి మధ్య ఒకే క్షితిజ సమాంతర స్టెబిలైజర్ నడుస్తుంది; రెండు రడ్డర్లు జంట బూమ్‌ల ద్వారా మందపాటి, ఆల్-వింగ్ బ్లెండెడ్ ఫ్యూజ్‌లేజ్‌తో అనుసంధానించబడ్డాయి. ఈ విమానం సెంటర్ వింగ్ విభాగంలో ఓపెన్ కాక్‌పిట్‌ను కలిగి ఉంది మరియు సింగిల్, రియర్ ఫేసింగ్, పషర్ ప్రొపెల్లర్ పిస్టన్ ఇంజిన్‌కు అనుసంధానించబడి ఆల్-వింగ్ ఆకారంలో మిళితం చేయబడింది. X-216H మొదటి పరీక్ష 1929 లో ఎడ్వర్డ్ బెల్లాండేతో నియంత్రణల వద్ద ఎగిరింది; [2] విమానం తగిన పనితీరును ప్రదర్శించింది మరియు దాని ప్రత్యేకమైన ఆల్-మెటల్ ఒత్తిడితో కూడిన చర్మం మరియు బహుళ-సెల్యులార్ నిర్మాణానికి గుర్తించబడింది. ఇదే సమయంలో, జాక్ నార్త్రోప్ వాల్టర్ మరియు రీమార్ హోర్టెన్ యొక్క ప్రీవరెన్ యొక్క ప్రీవర్-సెట్టింగ్ "టైలెస్" ఫ్లయింగ్ వింగ్ గ్లైడర్ డిజైన్ల గురించి 1934 నుండి జర్మనీలో పరీక్షించబడుతోంది. [3] నార్త్రోప్ యొక్క ఆల్-వింగ్ భావనను మరింత అభివృద్ధి చేసిన ప్రయోగాత్మక విమానాల పురోగతి N-1M ఒకటి. ఈ విమానం అమెరికాలో ఉత్పత్తి చేయబడింది మరియు 1939 మరియు 1940 లలో జాక్ నార్త్రోప్ యొక్క ఆచరణాత్మక ఫ్లయింగ్ వింగ్ యొక్క దృష్టిని రుజువు చేసే ఉద్దేశ్యంతో ఫ్లయింగ్ టెస్ట్‌బెడ్‌గా అభివృద్ధి చేయబడింది. ప్రత్యేకంగా అతుక్కొని కలప యొక్క లామినేటెడ్ పొరలతో నిర్మించబడింది, చెక్క రెక్కల రెండు రూపకల్పన సెంట్రల్ బ్లెండెడ్ ఫ్యూజ్‌లేజ్‌తో సులభంగా కాన్ఫిగరేషన్ మార్పులకు అనుమతించబడింది, ఇది గొట్టపు ఉక్కుతో తయారు చేయబడింది. ఈ విమానం మొట్టమొదట 3 జూలై 1941 న కాలిఫోర్నియాలోని బేకర్ డ్రై లేక్ వద్ద ప్రయాణించింది. రన్. విమానం ఐదు అడుగుల కంటే ఎగరలేదని ఆయన నివేదించారు. దాడి యొక్క ఖచ్చితమైన కోణాన్ని కొనసాగించడం ద్వారా మాత్రమే ఫ్లైట్ కొనసాగించబడుతుంది, కాని థియోడర్ వాన్ కోర్మాన్ ఎలివన్ల వెనుకంజలో ఉన్న అంచులకు సర్దుబాట్లు చేయడం ద్వారా సమస్యను పరిష్కరించాడు. ఎలివాన్స్ మరియు వింగ్టిప్ రడ్డర్ల వ్యవస్థను ఉపయోగించడం ద్వారా విమానం యొక్క నియంత్రణ సాధించబడింది. ఎలివేన్లు టైలెస్ రకం విమానంలో ఎలివేటర్లు మరియు ఐలెరాన్‌లుగా పనిచేశాయి, అయితే క్రిందికి కోణాల వింగ్‌టిప్స్‌పై స్ప్లిట్ ఫ్లాప్‌లు సాంప్రదాయ చుక్కాని స్థానంలో ఉన్నాయి; విమాన పరీక్ష సమయంలో కోణం అనవసరంగా నిరూపించబడిన తరువాత వారు తరువాత నిఠారుగా ఉన్నారు. [5] ఫ్లైట్ టెస్ట్ ప్రోగ్రాం మోాయ్ డబ్ల్యూ. స్టీఫెన్స్, నార్త్రోప్ టెస్ట్ పైలట్ మరియు నార్త్రోప్ కార్పొరేషన్ కార్యదర్శి, టెస్ట్ పైలట్‌గా పనిచేసింది. ప్రారంభ పరీక్షలు N-1M స్థిరత్వం మరియు నియంత్రణలో సంతృప్తికరంగా ఉన్నాయని చూపించాయి, కాని అధిక బరువు మరియు తక్కువ శక్తి. విమానం యొక్క రెండు 65-హార్స్‌పవర్ (48 kW) లైమింగ్ O-145 నాలుగు-సిలిండర్ ఇంజన్లు (డ్రాగ్‌ను తగ్గించడానికి రెక్కలో ఖననం చేయబడ్డాయి) రెండు 120-హార్స్‌పవర్ (89 kW) ఆరు-సిలిండర్ 6AC264F2 ఎయిర్-కూల్డ్ ఫ్రాంక్లిన్ ఇంజిన్‌లతో భర్తీ చేయబడ్డాయి. నవంబర్ 1941 నాటికి, 28 విమానాల తరువాత, స్టీఫెన్స్ తన నిలువు అక్షం గురించి N-1M ను తరలించడానికి ప్రయత్నించినప్పుడు, ఈ విమానం "డచ్ రోల్" ధోరణిని కలిగి ఉందని నివేదించింది. విమానం యొక్క వింగ్ కాన్ఫిగరేషన్‌కు సర్దుబాట్లు చేసినప్పుడు డోలనాలు నిర్వహించబడుతున్నాయని నిరూపించబడింది. [5] N-1M ప్రాథమికంగా మంచిదని నిరూపించబడింది, నార్త్రోప్ యొక్క తరువాత మరియు చాలా పెద్ద నార్త్రోప్ YB-35 మరియు YB-49 విమానాలకు మార్గం సుగమం చేసింది. ఈ విమానం 1945 లో అమెరికా ఆర్మీ ఎయిర్ దళాలకు విరాళంగా ఇవ్వబడింది మరియు మరుసటి సంవత్సరం నేషనల్ ఎయిర్ మ్యూజియం యొక్క నిల్వ సేకరణలో ఉంచబడింది. ఇది దాదాపు మూడు దశాబ్దాలుగా అక్కడే కూర్చుంది, కాని 1980 లలో చాలా సంవత్సరాల పునరుద్ధరణ తరువాత, దాని చివరి విమాన ఆకృతీకరణలో, స్టాటిక్, ఎగిరే లేని స్థితికి తిరిగి తీసుకురాబడింది. N-1M ఇప్పుడు నేషనల్ ఎయిర్ అండ్ స్పేస్ మ్యూజియం యొక్క స్టీవెన్ ఎఫ్. ఉడ్వర్-హేజీ సెంటర్‌లో బహిరంగ ప్రదర్శనలో ఉంది. [5] అమెరికన్ X &amp; Y విమానాల నుండి డేటా [5] సాధారణ లక్షణాలు పనితీరు సంబంధిత అభివృద్ధి</v>
      </c>
      <c r="E105" s="1" t="s">
        <v>2281</v>
      </c>
      <c r="F105" s="1" t="s">
        <v>2282</v>
      </c>
      <c r="G105" s="1" t="str">
        <f>IFERROR(__xludf.DUMMYFUNCTION("GOOGLETRANSLATE(F:F, ""en"", ""te"")"),"ఫ్లయింగ్ వింగ్")</f>
        <v>ఫ్లయింగ్ వింగ్</v>
      </c>
      <c r="H105" s="1" t="s">
        <v>2283</v>
      </c>
      <c r="I105" s="1" t="s">
        <v>447</v>
      </c>
      <c r="J105" s="1" t="str">
        <f>IFERROR(__xludf.DUMMYFUNCTION("GOOGLETRANSLATE(I:I, ""en"", ""te"")"),"అమెరికా")</f>
        <v>అమెరికా</v>
      </c>
      <c r="L105" s="1" t="s">
        <v>1563</v>
      </c>
      <c r="M105" s="1" t="str">
        <f>IFERROR(__xludf.DUMMYFUNCTION("GOOGLETRANSLATE(L:L, ""en"", ""te"")"),"నార్త్రోప్ కార్పొరేషన్")</f>
        <v>నార్త్రోప్ కార్పొరేషన్</v>
      </c>
      <c r="N105" s="1" t="s">
        <v>1564</v>
      </c>
      <c r="O105" s="1" t="s">
        <v>1887</v>
      </c>
      <c r="P105" s="1" t="str">
        <f>IFERROR(__xludf.DUMMYFUNCTION("GOOGLETRANSLATE(O:O, ""en"", ""te"")"),"జాక్ నార్త్రోప్")</f>
        <v>జాక్ నార్త్రోప్</v>
      </c>
      <c r="Q105" s="1" t="s">
        <v>1888</v>
      </c>
      <c r="R105" s="4">
        <v>14795.0</v>
      </c>
      <c r="S105" s="1">
        <v>1.0</v>
      </c>
      <c r="T105" s="1" t="s">
        <v>1884</v>
      </c>
      <c r="U105" s="1" t="s">
        <v>2284</v>
      </c>
      <c r="V105" s="1" t="s">
        <v>518</v>
      </c>
      <c r="W105" s="1" t="s">
        <v>2285</v>
      </c>
      <c r="X105" s="1" t="s">
        <v>2286</v>
      </c>
      <c r="Y105" s="1" t="s">
        <v>2287</v>
      </c>
      <c r="Z105" s="1" t="s">
        <v>2288</v>
      </c>
      <c r="AH105" s="1" t="s">
        <v>2289</v>
      </c>
      <c r="AQ105" s="1">
        <v>1945.0</v>
      </c>
      <c r="AR105" s="3" t="s">
        <v>2290</v>
      </c>
      <c r="AX105" s="1" t="s">
        <v>2291</v>
      </c>
      <c r="AY105" s="1" t="str">
        <f>IFERROR(__xludf.DUMMYFUNCTION("GOOGLETRANSLATE(AX:AX, ""en"", ""te"")"),"2 × ఫ్రాంక్లిన్ 6AC-264F2 సిక్స్-సిలిండర్ ఎయిర్-కూల్డ్ అడ్డంగా వ్యతిరేకించిన పిస్టన్ ఇంజన్లు, 117 HP (87 kW) ఒక్కొక్కటి (రీంగినింగ్ తరువాత) [1]")</f>
        <v>2 × ఫ్రాంక్లిన్ 6AC-264F2 సిక్స్-సిలిండర్ ఎయిర్-కూల్డ్ అడ్డంగా వ్యతిరేకించిన పిస్టన్ ఇంజన్లు, 117 HP (87 kW) ఒక్కొక్కటి (రీంగినింగ్ తరువాత) [1]</v>
      </c>
      <c r="BB105" s="1" t="s">
        <v>484</v>
      </c>
      <c r="BD105" s="1" t="s">
        <v>2292</v>
      </c>
      <c r="BG105" s="2"/>
      <c r="BI105" s="1" t="s">
        <v>2293</v>
      </c>
      <c r="BJ105" s="1" t="s">
        <v>2294</v>
      </c>
      <c r="BT105" s="1" t="s">
        <v>2295</v>
      </c>
      <c r="BU105" s="1" t="s">
        <v>684</v>
      </c>
      <c r="BV105" s="1" t="str">
        <f>IFERROR(__xludf.DUMMYFUNCTION("GOOGLETRANSLATE(BU:BU, ""en"", ""te"")"),"ప్రయోగాత్మక")</f>
        <v>ప్రయోగాత్మక</v>
      </c>
    </row>
    <row r="106">
      <c r="A106" s="1" t="s">
        <v>2296</v>
      </c>
      <c r="B106" s="1" t="str">
        <f>IFERROR(__xludf.DUMMYFUNCTION("GOOGLETRANSLATE(A:A, ""en"", ""te"")"),"ఉత్తర అమెరికా XF-108 రేపియర్")</f>
        <v>ఉత్తర అమెరికా XF-108 రేపియర్</v>
      </c>
      <c r="C106" s="1" t="s">
        <v>2297</v>
      </c>
      <c r="D106" s="1" t="str">
        <f>IFERROR(__xludf.DUMMYFUNCTION("GOOGLETRANSLATE(C:C, ""en"", ""te"")"),"నార్త్ అమెరికన్ ఎక్స్‌ఎఫ్ -108 రాపియర్, సూపర్సోనిక్ సోవియట్ స్ట్రాటజిక్ బాంబర్ల నుండి అమెరికాను రక్షించడానికి ఉద్దేశించిన ఉత్తర అమెరికా ఏవియేషన్ రూపొందించిన ప్రతిపాదిత సుదూర, హై-స్పీడ్ ఇంటర్‌సెప్టర్ విమానం. ఈ విమానం మాక్ 3 (3,200 కిమీ/గం/గంటకు 3,200 కిమీ;"&amp;" 2,000 mph) చుట్టూ వేగవంతం అయ్యింది, 1,000 నాటికల్ మైళ్ళు (1,900 కిమీ; 1,200 మైళ్ళు) పైగా తొలగించని పోరాట వ్యాసార్థంతో, మరియు 100 మైళ్ళ వరకు ఎంగేజ్‌మెంట్ శ్రేణులను అందించే రాడార్ మరియు క్షిపణులతో అమర్చబడి ఉంటుంది. (160 కి.మీ) బాంబర్-పరిమాణ లక్ష్యాలకు వ్యత"&amp;"ిరేకంగా. అభివృద్ధి ఖర్చులను పరిమితం చేయడానికి, ప్రోగ్రామ్ నార్త్ అమెరికన్ ఎక్స్‌బి -70 వాల్‌కైరీ స్ట్రాటజిక్ బాంబర్ ప్రోగ్రామ్‌తో ఇంజిన్ అభివృద్ధిని పంచుకుంటుంది మరియు మునుపటి ఇంటర్‌సెప్టర్ ప్రాజెక్టుల యొక్క అనేక అంశాలను ఉపయోగించింది. ఈ కార్యక్రమం 1959 లో"&amp;" రద్దు చేయబడినప్పుడు ఒకే చెక్క మోకాప్ నిర్మాణం వరకు మాత్రమే అభివృద్ధి చెందింది, ఎందుకంటే నిధుల కొరత మరియు సోవియట్లు బాలిస్టిక్ క్షిపణులను వారి ప్రాధమిక అణు దాడికి వారి ప్రాధమిక మార్గంగా స్వీకరించడం. అది ఎగిరినట్లయితే, F-108 దాని యుగంలో భారీ పోరాట యోధుడు. "&amp;"ప్రాజెక్ట్ రద్దు చేయడానికి ముందు, యు.ఎస్. ప్రెసిడెంట్ డ్వైట్ డి. ఐసెన్‌హోవర్ ఎఫ్ -108 ఇంటర్‌సెప్టర్ ఫోర్స్‌ను పెంచడం వల్ల యు.ఎస్. పన్ను చెల్లింపుదారునికి 4 బిలియన్ డాలర్లు ఖర్చు అవుతుందని గుర్తించారు (ఈ రోజు 36 బిలియన్ డాలర్లకు సమానం). [1] 1950 ల ప్రారంభం"&amp;"లో, USAF చాలా ఎక్కువ-పనితీరు, సుదూర ఇంటర్‌సెప్టర్‌ను ప్రతిపాదించింది. 20 జూలై 1955 న, లాంగ్-రేంజ్ ఇంటర్‌సెప్టర్ అని పిలువబడే అధికారిక అభివృద్ధి, ప్రయోగాత్మక (ఎల్‌ఆర్‌ఐ-ఎక్స్) ఆమోదించబడింది, ఇది ఎఫ్ -102 డెల్టా డాగర్/ఎఫ్ -106 డెల్టా డార్ట్ రీప్లేస్‌మెంట్‌గ"&amp;"ా ప్రణాళిక చేయబడింది. [2] ఈ స్పెసిఫికేషన్ 6 అక్టోబర్ 1955 న నిర్దేశించబడింది, ఇది మాక్ 1.7 (1,122 mph (1,806 కిమీ/గం) వేగంతో 60,000 అడుగుల (18,000 మీ) వద్ద ఎగరగల ఇంటర్‌సెప్టర్ కోసం పిలుపునిచ్చింది, 1,000 మైళ్ళు (1,600 కిమీ) . మరియు ఒకే మిషన్ సమయంలో మూడు ల"&amp;"క్ష్యాలు నాశనం చేయబడతాయి. [3] ఆసక్తిగల ఎనిమిది కంపెనీలలో, ప్రాధమిక అధ్యయనాల కోసం ఒప్పందాలు నార్త్ అమెరికన్ ఏవియేషన్, లాక్‌హీడ్ మరియు నార్త్రోప్‌కు 1955 అక్టోబర్ 11 న, స్పెసిఫికేషన్ విడుదలైన ఐదు రోజుల తరువాత. [2] పేపర్ డిజైన్స్, ""NA-236"" గా పిలువబడే నార్"&amp;"త్ అమెరికన్ ప్రతిపాదన చాలా ఆశాజనకంగా అనిపించింది. NA-236 XF-108 తో కొన్ని సారూప్యతలను పంచుకుంది, అయినప్పటికీ చాలా స్పష్టమైన తేడాలు మిడ్‌స్పాన్ వద్ద రెండు ఫిన్లెట్ల చేర్పులు క్షితిజ సమాంతర స్టెబిలైజర్లు మరియు కానార్డ్స్. [4] రాజకీయ మరియు బడ్జెట్ ఇబ్బందులు "&amp;"సి కు దారితీశాయి 9 మే 1956 న ఈ కార్యక్రమం యొక్క పూర్వం. గణనీయమైన గందరగోళం తరువాత, ఈ కార్యక్రమాన్ని 11 ఏప్రిల్ 1957 న తిరిగి స్థాపించారు, ఉత్తర అమెరికా రెండు ప్రోటోటైప్‌లకు ఒప్పందాన్ని ఇచ్చింది. ఎఫ్ -108 హోదా జారీ చేయబడింది, దీనిని ""వెపన్ సిస్టమ్ 202 ఎ"" "&amp;"(డబ్ల్యుఎస్ -202 ఎ) అని కూడా పిలుస్తారు. నార్త్ అమెరికన్ కంపెనీ హోదా ""NA-257"", అయినప్పటికీ ఇది ప్రాథమికంగా NA-236 కు సమానంగా ఉంటుంది. ఆ సమయంలో, ఎయిర్ డిఫెన్స్ కమాండ్ 480 విమానాల కోసం ఒక ఆర్డర్‌ను ated హించింది. [5] ఫలిత రూపకల్పన గణనీయమైన పరిణామం ద్వారా "&amp;"సాగింది, దాని అత్యాధునిక సాంకేతిక పరిజ్ఞానం మరియు USAF అవసరాల యొక్క నిరంతర పునర్నిర్మాణం రెండింటి కారణంగా. ప్రారంభ పునర్విమర్శలు 19 అడుగుల 10 అంగుళాలు (6.05 మీ), మరియు 53.5 ° స్వీప్ యొక్క రెక్కతో కానార్డ్‌లను ప్రముఖంగా కలిగి ఉన్నాయి. [6] ఈ కాన్ఫిగరేషన్‌లో"&amp;"ని విమానం 72,550-అడుగుల (22,110 మీ) కార్యాచరణ పైకప్పుతో గరిష్టంగా 99,400 పౌండ్ల (45,100 కిలోలు) టేకాఫ్ బరువు ఉంటుంది. [6] F-108 యొక్క ఇంటర్‌సెప్టర్ పాత్రతో పాటు, నార్త్ అమెరికన్ దీనిని దాని స్వంత B-70 వాల్‌కైరీ సూపర్సోనిక్ బాంబర్ ప్రోటోటైప్‌కు సహాయం చేయడా"&amp;"నికి చొచ్చుకుపోయే పోరాట యోధునిగా ప్రతిపాదించింది. [7] B-70 బాంబర్ మరియు F-108 మధ్య సామాన్యత ఎస్కేప్ క్యాప్సూల్ మరియు జనరల్ ఎలక్ట్రిక్ YJ93 ఇంజన్లను కలిగి ఉంది. పరిగణించబడే మరొక పాత్ర F-108 సుదూర ప్రారంభ హెచ్చరిక (DEW) వ్యవస్థ కోసం ""గ్యాప్-ఫిల్లర్స్"" గా "&amp;"ఉంటుంది; దాని గొప్ప వేగం కారణంగా, F-108 గంటకు 278,000 చదరపు మైళ్ళు (720,000 కిమీ 2) వరకు స్కాన్ చేసి ఉండవచ్చు. [8] సెప్టెంబర్ 1958 నుండి, గణనీయమైన ఇంజనీరింగ్ మరియు డిజైన్ మార్పులు అమలు చేయబడ్డాయి; అయితే, ఎస్కార్ట్ ఫైటర్ భావనపై SAC ఆసక్తి కోల్పోయింది. B-70"&amp;" తో దాని లక్ష్యం మరియు వెనుకకు వెళ్ళడానికి, దాని ప్రారంభ భావనలో F-108 ఉత్తమంగా, ఉపాంత పరిధిని కలిగి ఉంటుంది. [9] 30 డిసెంబర్ 1958 న, YF-108A ప్రిప్రొడక్షన్ విమానం ఆన్ ఆర్డర్‌పై 31 నుండి 20 పరీక్ష విమానాలకు తగ్గించబడింది మరియు మొదటి పరీక్షా విమానంలో ఫిబ్రవ"&amp;"రి నుండి ఏప్రిల్ 1961 వరకు ఆలస్యం అయింది. [10] చివరికి పూర్తి-పరిమాణ XF-108 మోకాప్‌గా నిర్మించిన డిజైన్ 17-20 జనవరి 1959 న వైమానిక దళ అధికారులకు ప్రదర్శించబడింది. [9] ఈ ప్రాజెక్టుకు 15 మే 1959 న ""రాపియర్"" అనే పేరు ఇవ్వబడింది, ఎయిర్ డిఫెన్స్ కమాండ్ ఎయిర్"&amp;" మెన్ సూచనలను అడిగిన పోటీ తరువాత. [10] XF-108 కార్యక్రమం బాగా అభివృద్ధి చెందుతున్నప్పటికీ, చివరికి దాని రద్దుకు దారితీసే సంకేతాలు ఉన్నాయి. ధృవీకరించని సోవియట్ బాంబర్ బెదిరింపులు, 1950 ల చివరలో మరియు 1960 ల ప్రారంభంలో ప్రమాదకర మరియు రక్షణాత్మక అణు క్షిపణుల"&amp;" పట్ల అధిక ధోరణి, అలాగే పెరుగుతున్న ఖర్చులు, XF-108 యొక్క ముగింపుకు దోహదపడ్డాయి. [8] [11] రద్దు 23 సెప్టెంబర్ 1959 న ప్రకటించబడింది. [8] ఈ కార్యక్రమాన్ని పునరుద్ధరించవచ్చనే ఆశతో ఉత్తర అమెరికా 1960 వరకు డిజైన్‌ను మెరుగుపరచడం కొనసాగించింది. [12] రేపియర్ కోస"&amp;"ం అదనపు డబ్బు మరియు సమయం గడిపినప్పటికీ, అది పూర్తిగా ఫలించలేదు; నార్త్ అమెరికన్ ఎ -5 విజిలెంట్ సూపర్సోనిక్ క్యారియర్-ఆధారిత అణు సమ్మె బాంబర్ యు.ఎస్. నేవీ కోసం అభివృద్ధి చేయబడింది, తరువాత దీనిని క్యారియర్-ఆధారిత నిఘా విమానంగా సవరించారు, ఫ్యూజ్‌లేజ్/ఆయుధ ప్"&amp;"యాకేజీ మరియు రాపియర్ యొక్క వ్యవస్థల రూపకల్పనను నిలుపుకుంది. అనేక విధాలుగా అప్రమత్తంగా మాక్ 2 సూపర్సోనిక్ డిజైన్‌లో రేపియర్ డిజైన్ సూత్రాల విజయవంతమైన అనువర్తనంగా చూడవచ్చు. [13] హ్యూస్ విమానం అడ్వాన్స్‌డ్ ఫైర్ కంట్రోల్ సిస్టమ్ మరియు GAR-9 క్షిపణి అభివృద్ధిన"&amp;"ి కొనసాగిస్తుంది. [N 1] F-108 రాడార్ మరియు క్షిపణుల అభివృద్ధి USAF చేత కొనసాగించబడింది మరియు ఈ వ్యవస్థ చివరికి లాక్‌హీడ్ YF-12 ప్రోగ్రామ్‌లో ఉపయోగించబడింది . [[ YF-12A లోని వెనుక కాక్‌పిట్ కోసం తుది కాన్ఫిగరేషన్ F-108 మాదిరిగానే కనిపిస్తుంది, ఎందుకంటే ఇది"&amp;" హ్యూస్ AN/ASG-18 ఫైర్ కంట్రోల్ సిస్టమ్‌కు అవసరమైన అదే డిస్ప్లేలు మరియు నియంత్రణలను కలిగి ఉంది. [15] ప్రారంభ F-108 కాన్ఫిగరేషన్‌లో చాలా పెద్ద ""క్రాంక్డ్"" డెల్టా వింగ్ ఉంది. రెక్కలపై స్థిర వెంట్రల్ స్టెబిలైజర్లు ఉన్నాయి, మిడ్-స్పాన్ వద్ద అమర్చబడి, పొడవైన"&amp;" ఆల్-కదిలే నిలువు టెయిల్‌ఫిన్, ల్యాండింగ్ గేర్ ఉపసంహరించుకున్నప్పుడు విస్తరించిన రెండు వెంట్రల్ స్టెబిలైజర్‌లచే భర్తీ చేయబడ్డాయి. డిజైన్ యొక్క కొన్ని మునుపటి వెర్షన్లలో ప్రత్యేక టెయిల్‌ప్లేన్లు లేదా ఫార్వర్డ్ కానార్డ్‌లు ఉన్నప్పటికీ, రెండూ తుది రూపకల్పనలో"&amp;" వదిలివేయబడ్డాయి. [16] పెద్ద ఫ్యూజ్‌లేజ్ మరియు వింగ్ వరుసగా రెండు మరియు ఐదు ఇంధన ట్యాంకులను కలిగి ఉన్నాయి, ఇది 1,100 నాటికల్ మైళ్ళు (2,000 కిమీ) అంచనా వేసిన పోరాట వ్యాసార్థాన్ని ఇస్తుంది. [6] టాప్ స్పీడ్ గంటకు 1,980 మైళ్ళు (గంటకు 3,190 కిమీ), మాక్ 3 గురిం"&amp;"చి, 81,800 అడుగులు (24,900 మీ) వద్ద అంచనా వేయబడింది. [5] ఈ విమానం రెండు జనరల్ ఎలక్ట్రిక్ జె 93 టర్బోజెట్ ఇంజిన్లచే శక్తిని పొందింది, దీనిని నార్త్ అమెరికన్ యొక్క ఎక్స్‌బి -70 వాల్‌కైరీ బాంబర్‌లో, ఫ్యూజ్‌లేజ్‌లో కూడా ఉపయోగించారు. [17] F-108 U.S. యొక్క మొదట"&amp;"ి పల్స్-డాప్లర్ రాడార్ సెట్ అయిన హ్యూస్ AN/ASG-18 రాడార్‌ను తీసుకెళ్లడానికి ఉద్దేశించబడింది. [18] ఇది లుక్-డౌన్/షూట్-డౌన్ సామర్ధ్యాన్ని కలిగి ఉంది, కానీ ఒకేసారి ఒక లక్ష్యాన్ని మాత్రమే ట్రాక్ చేయగలదు. రాడార్ రెక్క ప్రముఖ అంచులలో ఇన్ఫ్రా-రెడ్ సెర్చ్ అండ్ ట్"&amp;"రాకింగ్ (IRST) వ్యవస్థతో జత చేయబడింది. రాడార్ హ్యూస్ గార్ -9 (తరువాత పున es రూపకల్పన చేసిన AIM-47) గాలి నుండి గాలికి మార్గనిర్దేశం చేయడానికి ఉపయోగించబడింది, వాటిలో మూడు అంతర్గత ఆయుధాల బేలో రోటరీ లాంచర్‌పై తీసుకువెళతాయి. [8] GAR-9 చాలా పెద్ద, సుదూర ఆయుధం, "&amp;"టెర్మినల్ హోమింగ్ కోసం దాని స్వంత రాడార్ సెట్ ఉంది. ఇది మాక్ 6 వద్ద ఎగరడానికి ఉద్దేశించబడింది, దాదాపు 112 మైళ్ళు (180 కిమీ) ఉంటుంది. [19] WS-202A లో భాగంగా, F-108 యొక్క ఆయుధ వ్యవస్థను పరీక్షించడంలో ఉపయోగం కోసం హై-స్పీడ్ (MACH 3+) వైమానిక లక్ష్యం కోసం డిజై"&amp;"న్ ప్రతిపాదించబడింది. రైట్ ఎయిర్ డెవలప్‌మెంట్ సెంటర్ లక్ష్య రూపకల్పన కోసం XQ-11 హోదాను అభ్యర్థించింది; అభివృద్ధి యొక్క ప్రారంభ దశ కారణంగా అభ్యర్థన తిరస్కరించబడింది మరియు తదుపరి పనులు చేపట్టడానికి ముందే F-108 కార్యక్రమం రద్దు చేయబడింది. [20] నేషనల్ మ్యూజియ"&amp;"ం ఆఫ్ ది అమెరికా ఎయిర్ ఫోర్స్ [7] మరియు యు.ఎస్. ప్రామాణిక విమాన లక్షణాలు [21] సాధారణ లక్షణాలు పనితీరు ఆయుధాల ఏవియానిక్స్ సంబంధిత అభివృద్ధి విమానం పోల్చదగిన పాత్ర, కాన్ఫిగరేషన్ మరియు ERA సంబంధిత జాబితాలు")</f>
        <v>నార్త్ అమెరికన్ ఎక్స్‌ఎఫ్ -108 రాపియర్, సూపర్సోనిక్ సోవియట్ స్ట్రాటజిక్ బాంబర్ల నుండి అమెరికాను రక్షించడానికి ఉద్దేశించిన ఉత్తర అమెరికా ఏవియేషన్ రూపొందించిన ప్రతిపాదిత సుదూర, హై-స్పీడ్ ఇంటర్‌సెప్టర్ విమానం. ఈ విమానం మాక్ 3 (3,200 కిమీ/గం/గంటకు 3,200 కిమీ; 2,000 mph) చుట్టూ వేగవంతం అయ్యింది, 1,000 నాటికల్ మైళ్ళు (1,900 కిమీ; 1,200 మైళ్ళు) పైగా తొలగించని పోరాట వ్యాసార్థంతో, మరియు 100 మైళ్ళ వరకు ఎంగేజ్‌మెంట్ శ్రేణులను అందించే రాడార్ మరియు క్షిపణులతో అమర్చబడి ఉంటుంది. (160 కి.మీ) బాంబర్-పరిమాణ లక్ష్యాలకు వ్యతిరేకంగా. అభివృద్ధి ఖర్చులను పరిమితం చేయడానికి, ప్రోగ్రామ్ నార్త్ అమెరికన్ ఎక్స్‌బి -70 వాల్‌కైరీ స్ట్రాటజిక్ బాంబర్ ప్రోగ్రామ్‌తో ఇంజిన్ అభివృద్ధిని పంచుకుంటుంది మరియు మునుపటి ఇంటర్‌సెప్టర్ ప్రాజెక్టుల యొక్క అనేక అంశాలను ఉపయోగించింది. ఈ కార్యక్రమం 1959 లో రద్దు చేయబడినప్పుడు ఒకే చెక్క మోకాప్ నిర్మాణం వరకు మాత్రమే అభివృద్ధి చెందింది, ఎందుకంటే నిధుల కొరత మరియు సోవియట్లు బాలిస్టిక్ క్షిపణులను వారి ప్రాధమిక అణు దాడికి వారి ప్రాధమిక మార్గంగా స్వీకరించడం. అది ఎగిరినట్లయితే, F-108 దాని యుగంలో భారీ పోరాట యోధుడు. ప్రాజెక్ట్ రద్దు చేయడానికి ముందు, యు.ఎస్. ప్రెసిడెంట్ డ్వైట్ డి. ఐసెన్‌హోవర్ ఎఫ్ -108 ఇంటర్‌సెప్టర్ ఫోర్స్‌ను పెంచడం వల్ల యు.ఎస్. పన్ను చెల్లింపుదారునికి 4 బిలియన్ డాలర్లు ఖర్చు అవుతుందని గుర్తించారు (ఈ రోజు 36 బిలియన్ డాలర్లకు సమానం). [1] 1950 ల ప్రారంభంలో, USAF చాలా ఎక్కువ-పనితీరు, సుదూర ఇంటర్‌సెప్టర్‌ను ప్రతిపాదించింది. 20 జూలై 1955 న, లాంగ్-రేంజ్ ఇంటర్‌సెప్టర్ అని పిలువబడే అధికారిక అభివృద్ధి, ప్రయోగాత్మక (ఎల్‌ఆర్‌ఐ-ఎక్స్) ఆమోదించబడింది, ఇది ఎఫ్ -102 డెల్టా డాగర్/ఎఫ్ -106 డెల్టా డార్ట్ రీప్లేస్‌మెంట్‌గా ప్రణాళిక చేయబడింది. [2] ఈ స్పెసిఫికేషన్ 6 అక్టోబర్ 1955 న నిర్దేశించబడింది, ఇది మాక్ 1.7 (1,122 mph (1,806 కిమీ/గం) వేగంతో 60,000 అడుగుల (18,000 మీ) వద్ద ఎగరగల ఇంటర్‌సెప్టర్ కోసం పిలుపునిచ్చింది, 1,000 మైళ్ళు (1,600 కిమీ) . మరియు ఒకే మిషన్ సమయంలో మూడు లక్ష్యాలు నాశనం చేయబడతాయి. [3] ఆసక్తిగల ఎనిమిది కంపెనీలలో, ప్రాధమిక అధ్యయనాల కోసం ఒప్పందాలు నార్త్ అమెరికన్ ఏవియేషన్, లాక్‌హీడ్ మరియు నార్త్రోప్‌కు 1955 అక్టోబర్ 11 న, స్పెసిఫికేషన్ విడుదలైన ఐదు రోజుల తరువాత. [2] పేపర్ డిజైన్స్, "NA-236" గా పిలువబడే నార్త్ అమెరికన్ ప్రతిపాదన చాలా ఆశాజనకంగా అనిపించింది. NA-236 XF-108 తో కొన్ని సారూప్యతలను పంచుకుంది, అయినప్పటికీ చాలా స్పష్టమైన తేడాలు మిడ్‌స్పాన్ వద్ద రెండు ఫిన్లెట్ల చేర్పులు క్షితిజ సమాంతర స్టెబిలైజర్లు మరియు కానార్డ్స్. [4] రాజకీయ మరియు బడ్జెట్ ఇబ్బందులు సి కు దారితీశాయి 9 మే 1956 న ఈ కార్యక్రమం యొక్క పూర్వం. గణనీయమైన గందరగోళం తరువాత, ఈ కార్యక్రమాన్ని 11 ఏప్రిల్ 1957 న తిరిగి స్థాపించారు, ఉత్తర అమెరికా రెండు ప్రోటోటైప్‌లకు ఒప్పందాన్ని ఇచ్చింది. ఎఫ్ -108 హోదా జారీ చేయబడింది, దీనిని "వెపన్ సిస్టమ్ 202 ఎ" (డబ్ల్యుఎస్ -202 ఎ) అని కూడా పిలుస్తారు. నార్త్ అమెరికన్ కంపెనీ హోదా "NA-257", అయినప్పటికీ ఇది ప్రాథమికంగా NA-236 కు సమానంగా ఉంటుంది. ఆ సమయంలో, ఎయిర్ డిఫెన్స్ కమాండ్ 480 విమానాల కోసం ఒక ఆర్డర్‌ను ated హించింది. [5] ఫలిత రూపకల్పన గణనీయమైన పరిణామం ద్వారా సాగింది, దాని అత్యాధునిక సాంకేతిక పరిజ్ఞానం మరియు USAF అవసరాల యొక్క నిరంతర పునర్నిర్మాణం రెండింటి కారణంగా. ప్రారంభ పునర్విమర్శలు 19 అడుగుల 10 అంగుళాలు (6.05 మీ), మరియు 53.5 ° స్వీప్ యొక్క రెక్కతో కానార్డ్‌లను ప్రముఖంగా కలిగి ఉన్నాయి. [6] ఈ కాన్ఫిగరేషన్‌లోని విమానం 72,550-అడుగుల (22,110 మీ) కార్యాచరణ పైకప్పుతో గరిష్టంగా 99,400 పౌండ్ల (45,100 కిలోలు) టేకాఫ్ బరువు ఉంటుంది. [6] F-108 యొక్క ఇంటర్‌సెప్టర్ పాత్రతో పాటు, నార్త్ అమెరికన్ దీనిని దాని స్వంత B-70 వాల్‌కైరీ సూపర్సోనిక్ బాంబర్ ప్రోటోటైప్‌కు సహాయం చేయడానికి చొచ్చుకుపోయే పోరాట యోధునిగా ప్రతిపాదించింది. [7] B-70 బాంబర్ మరియు F-108 మధ్య సామాన్యత ఎస్కేప్ క్యాప్సూల్ మరియు జనరల్ ఎలక్ట్రిక్ YJ93 ఇంజన్లను కలిగి ఉంది. పరిగణించబడే మరొక పాత్ర F-108 సుదూర ప్రారంభ హెచ్చరిక (DEW) వ్యవస్థ కోసం "గ్యాప్-ఫిల్లర్స్" గా ఉంటుంది; దాని గొప్ప వేగం కారణంగా, F-108 గంటకు 278,000 చదరపు మైళ్ళు (720,000 కిమీ 2) వరకు స్కాన్ చేసి ఉండవచ్చు. [8] సెప్టెంబర్ 1958 నుండి, గణనీయమైన ఇంజనీరింగ్ మరియు డిజైన్ మార్పులు అమలు చేయబడ్డాయి; అయితే, ఎస్కార్ట్ ఫైటర్ భావనపై SAC ఆసక్తి కోల్పోయింది. B-70 తో దాని లక్ష్యం మరియు వెనుకకు వెళ్ళడానికి, దాని ప్రారంభ భావనలో F-108 ఉత్తమంగా, ఉపాంత పరిధిని కలిగి ఉంటుంది. [9] 30 డిసెంబర్ 1958 న, YF-108A ప్రిప్రొడక్షన్ విమానం ఆన్ ఆర్డర్‌పై 31 నుండి 20 పరీక్ష విమానాలకు తగ్గించబడింది మరియు మొదటి పరీక్షా విమానంలో ఫిబ్రవరి నుండి ఏప్రిల్ 1961 వరకు ఆలస్యం అయింది. [10] చివరికి పూర్తి-పరిమాణ XF-108 మోకాప్‌గా నిర్మించిన డిజైన్ 17-20 జనవరి 1959 న వైమానిక దళ అధికారులకు ప్రదర్శించబడింది. [9] ఈ ప్రాజెక్టుకు 15 మే 1959 న "రాపియర్" అనే పేరు ఇవ్వబడింది, ఎయిర్ డిఫెన్స్ కమాండ్ ఎయిర్ మెన్ సూచనలను అడిగిన పోటీ తరువాత. [10] XF-108 కార్యక్రమం బాగా అభివృద్ధి చెందుతున్నప్పటికీ, చివరికి దాని రద్దుకు దారితీసే సంకేతాలు ఉన్నాయి. ధృవీకరించని సోవియట్ బాంబర్ బెదిరింపులు, 1950 ల చివరలో మరియు 1960 ల ప్రారంభంలో ప్రమాదకర మరియు రక్షణాత్మక అణు క్షిపణుల పట్ల అధిక ధోరణి, అలాగే పెరుగుతున్న ఖర్చులు, XF-108 యొక్క ముగింపుకు దోహదపడ్డాయి. [8] [11] రద్దు 23 సెప్టెంబర్ 1959 న ప్రకటించబడింది. [8] ఈ కార్యక్రమాన్ని పునరుద్ధరించవచ్చనే ఆశతో ఉత్తర అమెరికా 1960 వరకు డిజైన్‌ను మెరుగుపరచడం కొనసాగించింది. [12] రేపియర్ కోసం అదనపు డబ్బు మరియు సమయం గడిపినప్పటికీ, అది పూర్తిగా ఫలించలేదు; నార్త్ అమెరికన్ ఎ -5 విజిలెంట్ సూపర్సోనిక్ క్యారియర్-ఆధారిత అణు సమ్మె బాంబర్ యు.ఎస్. నేవీ కోసం అభివృద్ధి చేయబడింది, తరువాత దీనిని క్యారియర్-ఆధారిత నిఘా విమానంగా సవరించారు, ఫ్యూజ్‌లేజ్/ఆయుధ ప్యాకేజీ మరియు రాపియర్ యొక్క వ్యవస్థల రూపకల్పనను నిలుపుకుంది. అనేక విధాలుగా అప్రమత్తంగా మాక్ 2 సూపర్సోనిక్ డిజైన్‌లో రేపియర్ డిజైన్ సూత్రాల విజయవంతమైన అనువర్తనంగా చూడవచ్చు. [13] హ్యూస్ విమానం అడ్వాన్స్‌డ్ ఫైర్ కంట్రోల్ సిస్టమ్ మరియు GAR-9 క్షిపణి అభివృద్ధిని కొనసాగిస్తుంది. [N 1] F-108 రాడార్ మరియు క్షిపణుల అభివృద్ధి USAF చేత కొనసాగించబడింది మరియు ఈ వ్యవస్థ చివరికి లాక్‌హీడ్ YF-12 ప్రోగ్రామ్‌లో ఉపయోగించబడింది . [[ YF-12A లోని వెనుక కాక్‌పిట్ కోసం తుది కాన్ఫిగరేషన్ F-108 మాదిరిగానే కనిపిస్తుంది, ఎందుకంటే ఇది హ్యూస్ AN/ASG-18 ఫైర్ కంట్రోల్ సిస్టమ్‌కు అవసరమైన అదే డిస్ప్లేలు మరియు నియంత్రణలను కలిగి ఉంది. [15] ప్రారంభ F-108 కాన్ఫిగరేషన్‌లో చాలా పెద్ద "క్రాంక్డ్" డెల్టా వింగ్ ఉంది. రెక్కలపై స్థిర వెంట్రల్ స్టెబిలైజర్లు ఉన్నాయి, మిడ్-స్పాన్ వద్ద అమర్చబడి, పొడవైన ఆల్-కదిలే నిలువు టెయిల్‌ఫిన్, ల్యాండింగ్ గేర్ ఉపసంహరించుకున్నప్పుడు విస్తరించిన రెండు వెంట్రల్ స్టెబిలైజర్‌లచే భర్తీ చేయబడ్డాయి. డిజైన్ యొక్క కొన్ని మునుపటి వెర్షన్లలో ప్రత్యేక టెయిల్‌ప్లేన్లు లేదా ఫార్వర్డ్ కానార్డ్‌లు ఉన్నప్పటికీ, రెండూ తుది రూపకల్పనలో వదిలివేయబడ్డాయి. [16] పెద్ద ఫ్యూజ్‌లేజ్ మరియు వింగ్ వరుసగా రెండు మరియు ఐదు ఇంధన ట్యాంకులను కలిగి ఉన్నాయి, ఇది 1,100 నాటికల్ మైళ్ళు (2,000 కిమీ) అంచనా వేసిన పోరాట వ్యాసార్థాన్ని ఇస్తుంది. [6] టాప్ స్పీడ్ గంటకు 1,980 మైళ్ళు (గంటకు 3,190 కిమీ), మాక్ 3 గురించి, 81,800 అడుగులు (24,900 మీ) వద్ద అంచనా వేయబడింది. [5] ఈ విమానం రెండు జనరల్ ఎలక్ట్రిక్ జె 93 టర్బోజెట్ ఇంజిన్లచే శక్తిని పొందింది, దీనిని నార్త్ అమెరికన్ యొక్క ఎక్స్‌బి -70 వాల్‌కైరీ బాంబర్‌లో, ఫ్యూజ్‌లేజ్‌లో కూడా ఉపయోగించారు. [17] F-108 U.S. యొక్క మొదటి పల్స్-డాప్లర్ రాడార్ సెట్ అయిన హ్యూస్ AN/ASG-18 రాడార్‌ను తీసుకెళ్లడానికి ఉద్దేశించబడింది. [18] ఇది లుక్-డౌన్/షూట్-డౌన్ సామర్ధ్యాన్ని కలిగి ఉంది, కానీ ఒకేసారి ఒక లక్ష్యాన్ని మాత్రమే ట్రాక్ చేయగలదు. రాడార్ రెక్క ప్రముఖ అంచులలో ఇన్ఫ్రా-రెడ్ సెర్చ్ అండ్ ట్రాకింగ్ (IRST) వ్యవస్థతో జత చేయబడింది. రాడార్ హ్యూస్ గార్ -9 (తరువాత పున es రూపకల్పన చేసిన AIM-47) గాలి నుండి గాలికి మార్గనిర్దేశం చేయడానికి ఉపయోగించబడింది, వాటిలో మూడు అంతర్గత ఆయుధాల బేలో రోటరీ లాంచర్‌పై తీసుకువెళతాయి. [8] GAR-9 చాలా పెద్ద, సుదూర ఆయుధం, టెర్మినల్ హోమింగ్ కోసం దాని స్వంత రాడార్ సెట్ ఉంది. ఇది మాక్ 6 వద్ద ఎగరడానికి ఉద్దేశించబడింది, దాదాపు 112 మైళ్ళు (180 కిమీ) ఉంటుంది. [19] WS-202A లో భాగంగా, F-108 యొక్క ఆయుధ వ్యవస్థను పరీక్షించడంలో ఉపయోగం కోసం హై-స్పీడ్ (MACH 3+) వైమానిక లక్ష్యం కోసం డిజైన్ ప్రతిపాదించబడింది. రైట్ ఎయిర్ డెవలప్‌మెంట్ సెంటర్ లక్ష్య రూపకల్పన కోసం XQ-11 హోదాను అభ్యర్థించింది; అభివృద్ధి యొక్క ప్రారంభ దశ కారణంగా అభ్యర్థన తిరస్కరించబడింది మరియు తదుపరి పనులు చేపట్టడానికి ముందే F-108 కార్యక్రమం రద్దు చేయబడింది. [20] నేషనల్ మ్యూజియం ఆఫ్ ది అమెరికా ఎయిర్ ఫోర్స్ [7] మరియు యు.ఎస్. ప్రామాణిక విమాన లక్షణాలు [21] సాధారణ లక్షణాలు పనితీరు ఆయుధాల ఏవియానిక్స్ సంబంధిత అభివృద్ధి విమానం పోల్చదగిన పాత్ర, కాన్ఫిగరేషన్ మరియు ERA సంబంధిత జాబితాలు</v>
      </c>
      <c r="E106" s="1" t="s">
        <v>2298</v>
      </c>
      <c r="F106" s="1" t="s">
        <v>2299</v>
      </c>
      <c r="G106" s="1" t="str">
        <f>IFERROR(__xludf.DUMMYFUNCTION("GOOGLETRANSLATE(F:F, ""en"", ""te"")"),"ఇంటర్‌సెప్టర్ విమానం")</f>
        <v>ఇంటర్‌సెప్టర్ విమానం</v>
      </c>
      <c r="H106" s="1" t="s">
        <v>2300</v>
      </c>
      <c r="J106" s="1" t="str">
        <f>IFERROR(__xludf.DUMMYFUNCTION("GOOGLETRANSLATE(I:I, ""en"", ""te"")"),"#VALUE!")</f>
        <v>#VALUE!</v>
      </c>
      <c r="L106" s="1" t="s">
        <v>2301</v>
      </c>
      <c r="M106" s="1" t="str">
        <f>IFERROR(__xludf.DUMMYFUNCTION("GOOGLETRANSLATE(L:L, ""en"", ""te"")"),"నార్త్ అమెరికన్ ఏవియేషన్")</f>
        <v>నార్త్ అమెరికన్ ఏవియేషన్</v>
      </c>
      <c r="N106" s="1" t="s">
        <v>2302</v>
      </c>
      <c r="S106" s="1" t="s">
        <v>2303</v>
      </c>
      <c r="V106" s="1" t="s">
        <v>428</v>
      </c>
      <c r="W106" s="1" t="s">
        <v>2304</v>
      </c>
      <c r="X106" s="1" t="s">
        <v>2305</v>
      </c>
      <c r="Y106" s="1" t="s">
        <v>2306</v>
      </c>
      <c r="Z106" s="1" t="s">
        <v>2307</v>
      </c>
      <c r="AE106" s="1">
        <v>1.68</v>
      </c>
      <c r="AG106" s="1" t="s">
        <v>2308</v>
      </c>
      <c r="AH106" s="1" t="s">
        <v>2309</v>
      </c>
      <c r="AM106" s="1" t="s">
        <v>2310</v>
      </c>
      <c r="AX106" s="1" t="s">
        <v>2311</v>
      </c>
      <c r="AY106" s="1" t="str">
        <f>IFERROR(__xludf.DUMMYFUNCTION("GOOGLETRANSLATE(AX:AX, ""en"", ""te"")"),"2 × జనరల్ ఎలక్ట్రిక్ J93-GE-3AR ఆఫ్టర్ బర్నింగ్ టర్బోజెట్, 20,900 ఎల్బిఎఫ్ (93 కెఎన్) ప్రతి పొడి, 29,300 ఎల్బిఎఫ్ (130 కెఎన్) తరువాత.")</f>
        <v>2 × జనరల్ ఎలక్ట్రిక్ J93-GE-3AR ఆఫ్టర్ బర్నింగ్ టర్బోజెట్, 20,900 ఎల్బిఎఫ్ (93 కెఎన్) ప్రతి పొడి, 29,300 ఎల్బిఎఫ్ (130 కెఎన్) తరువాత.</v>
      </c>
      <c r="BB106" s="1" t="s">
        <v>2312</v>
      </c>
      <c r="BD106" s="1" t="s">
        <v>2313</v>
      </c>
      <c r="BF106" s="1" t="s">
        <v>2314</v>
      </c>
      <c r="BG106" s="2" t="str">
        <f>IFERROR(__xludf.DUMMYFUNCTION("GOOGLETRANSLATE(BF:BF, ""en"", ""te"")"),"అమెరికా వైమానిక దళం (ఉద్దేశించినది)")</f>
        <v>అమెరికా వైమానిక దళం (ఉద్దేశించినది)</v>
      </c>
      <c r="BH106" s="1" t="s">
        <v>2315</v>
      </c>
      <c r="BR106" s="1" t="s">
        <v>2316</v>
      </c>
      <c r="BS106" s="1" t="s">
        <v>2317</v>
      </c>
      <c r="BU106" s="1" t="s">
        <v>2318</v>
      </c>
      <c r="BV106" s="1" t="str">
        <f>IFERROR(__xludf.DUMMYFUNCTION("GOOGLETRANSLATE(BU:BU, ""en"", ""te"")"),"రద్దు చేయబడింది (1959)")</f>
        <v>రద్దు చేయబడింది (1959)</v>
      </c>
      <c r="BX106" s="1"/>
      <c r="BY106" s="1" t="s">
        <v>2319</v>
      </c>
      <c r="DJ106" s="1" t="s">
        <v>2320</v>
      </c>
      <c r="DW106" s="1" t="s">
        <v>2321</v>
      </c>
      <c r="EC106" s="1">
        <v>0.77</v>
      </c>
      <c r="EK106" s="1" t="s">
        <v>2322</v>
      </c>
    </row>
    <row r="107">
      <c r="A107" s="1" t="s">
        <v>2323</v>
      </c>
      <c r="B107" s="1" t="str">
        <f>IFERROR(__xludf.DUMMYFUNCTION("GOOGLETRANSLATE(A:A, ""en"", ""te"")"),"స్టిన్సన్ విమానాలు")</f>
        <v>స్టిన్సన్ విమానాలు</v>
      </c>
      <c r="C107" s="1" t="s">
        <v>2324</v>
      </c>
      <c r="D107" s="1" t="str">
        <f>IFERROR(__xludf.DUMMYFUNCTION("GOOGLETRANSLATE(C:C, ""en"", ""te"")"),"స్టిన్సన్ SM-6000 విమానాలు 1930 లలో మూడు-ఇంజిన్ (ట్రిమోటర్) పది-ప్రయాణీకుల విమానాలు స్టిన్సన్ ఎయిర్క్రాఫ్ట్ కార్పొరేషన్ రూపొందించి నిర్మించబడ్డాయి. SM-6000 పైలట్ కోసం గది మరియు పది మంది ప్రయాణీకులకు క్యాబిన్ ఉన్న అధిక-వింగ్ బ్రేస్డ్ మోనోప్లేన్. ఇది మూడు 2"&amp;"15 హెచ్‌పి (160 కిలోవాట్ల) లైమింగ్ R-680 ఇంజన్లు ప్రధాన ల్యాండింగ్ గేర్ యూనిట్ల పైన ప్రతి వైపు మరియు ముక్కులో ఒకటి. అనేక వైవిధ్యాలు ప్రధానంగా మెరుగైన ఇంటీరియర్‌లతో నిర్మించబడ్డాయి. 1932 లో మోడల్ యు విమానాల ఉత్పత్తి చేయబడింది, ఇది ప్రతి వింగ్టిప్ వద్ద అమర్"&amp;"చిన ఇంజిన్‌తో తక్కువ-సెట్ స్టబ్ రెక్కలను కలిగి ఉంది. ఈ హై-వింగ్ మోడళ్లలో రెండు మాత్రమే ఉనికిలో ఉన్నాయి. ఒకటి టిఎక్స్ లోని మౌంట్ ప్లెసెంట్‌లోని మిడ్ అమెరికా ఫ్లైట్ మ్యూజియం యాజమాన్యంలో ఉంది మరియు నిర్వహిస్తుంది, మరొకటి కెర్మిట్ వారాల వారీగా మరియు ఫ్లోరిడాల"&amp;"ోని పోల్క్ సిటీలోని ఫాంటసీ ఆఫ్ ఫ్లైట్ వద్ద గాలికి అవసరమైన స్థితిలో నిర్వహించబడుతుంది. [3] వికీమీడియా కామన్స్ వద్ద స్టిన్సన్ SM-6000 కు సంబంధించిన సాధారణ లక్షణాల పనితీరు మీడియా నుండి [4] [5] డేటా నుండి డేటా")</f>
        <v>స్టిన్సన్ SM-6000 విమానాలు 1930 లలో మూడు-ఇంజిన్ (ట్రిమోటర్) పది-ప్రయాణీకుల విమానాలు స్టిన్సన్ ఎయిర్క్రాఫ్ట్ కార్పొరేషన్ రూపొందించి నిర్మించబడ్డాయి. SM-6000 పైలట్ కోసం గది మరియు పది మంది ప్రయాణీకులకు క్యాబిన్ ఉన్న అధిక-వింగ్ బ్రేస్డ్ మోనోప్లేన్. ఇది మూడు 215 హెచ్‌పి (160 కిలోవాట్ల) లైమింగ్ R-680 ఇంజన్లు ప్రధాన ల్యాండింగ్ గేర్ యూనిట్ల పైన ప్రతి వైపు మరియు ముక్కులో ఒకటి. అనేక వైవిధ్యాలు ప్రధానంగా మెరుగైన ఇంటీరియర్‌లతో నిర్మించబడ్డాయి. 1932 లో మోడల్ యు విమానాల ఉత్పత్తి చేయబడింది, ఇది ప్రతి వింగ్టిప్ వద్ద అమర్చిన ఇంజిన్‌తో తక్కువ-సెట్ స్టబ్ రెక్కలను కలిగి ఉంది. ఈ హై-వింగ్ మోడళ్లలో రెండు మాత్రమే ఉనికిలో ఉన్నాయి. ఒకటి టిఎక్స్ లోని మౌంట్ ప్లెసెంట్‌లోని మిడ్ అమెరికా ఫ్లైట్ మ్యూజియం యాజమాన్యంలో ఉంది మరియు నిర్వహిస్తుంది, మరొకటి కెర్మిట్ వారాల వారీగా మరియు ఫ్లోరిడాలోని పోల్క్ సిటీలోని ఫాంటసీ ఆఫ్ ఫ్లైట్ వద్ద గాలికి అవసరమైన స్థితిలో నిర్వహించబడుతుంది. [3] వికీమీడియా కామన్స్ వద్ద స్టిన్సన్ SM-6000 కు సంబంధించిన సాధారణ లక్షణాల పనితీరు మీడియా నుండి [4] [5] డేటా నుండి డేటా</v>
      </c>
      <c r="E107" s="1" t="s">
        <v>2325</v>
      </c>
      <c r="F107" s="1" t="s">
        <v>2326</v>
      </c>
      <c r="G107" s="1" t="str">
        <f>IFERROR(__xludf.DUMMYFUNCTION("GOOGLETRANSLATE(F:F, ""en"", ""te"")"),"మూడు ఇంజిన్ విమానాలు")</f>
        <v>మూడు ఇంజిన్ విమానాలు</v>
      </c>
      <c r="I107" s="1" t="s">
        <v>447</v>
      </c>
      <c r="J107" s="1" t="str">
        <f>IFERROR(__xludf.DUMMYFUNCTION("GOOGLETRANSLATE(I:I, ""en"", ""te"")"),"అమెరికా")</f>
        <v>అమెరికా</v>
      </c>
      <c r="L107" s="1" t="s">
        <v>2327</v>
      </c>
      <c r="M107" s="1" t="str">
        <f>IFERROR(__xludf.DUMMYFUNCTION("GOOGLETRANSLATE(L:L, ""en"", ""te"")"),"స్టిన్సన్ ఎయిర్క్రాఫ్ట్ కార్పొరేషన్")</f>
        <v>స్టిన్సన్ ఎయిర్క్రాఫ్ట్ కార్పొరేషన్</v>
      </c>
      <c r="N107" s="1" t="s">
        <v>2328</v>
      </c>
      <c r="S107" s="1" t="s">
        <v>2329</v>
      </c>
      <c r="T107" s="1" t="s">
        <v>216</v>
      </c>
      <c r="V107" s="1" t="s">
        <v>428</v>
      </c>
      <c r="W107" s="1" t="s">
        <v>2330</v>
      </c>
      <c r="X107" s="1" t="s">
        <v>2331</v>
      </c>
      <c r="Y107" s="1" t="s">
        <v>2332</v>
      </c>
      <c r="Z107" s="1" t="s">
        <v>2333</v>
      </c>
      <c r="AG107" s="1" t="s">
        <v>2334</v>
      </c>
      <c r="AH107" s="1" t="s">
        <v>2335</v>
      </c>
      <c r="AV107" s="1" t="s">
        <v>2336</v>
      </c>
      <c r="AX107" s="1" t="s">
        <v>2337</v>
      </c>
      <c r="AY107" s="1" t="str">
        <f>IFERROR(__xludf.DUMMYFUNCTION("GOOGLETRANSLATE(AX:AX, ""en"", ""te"")"),"3 × లైమింగ్ R-680, 215 HP (160 kW) ఒక్కొక్కటి")</f>
        <v>3 × లైమింగ్ R-680, 215 HP (160 kW) ఒక్కొక్కటి</v>
      </c>
      <c r="BB107" s="1" t="s">
        <v>2338</v>
      </c>
      <c r="BC107" s="1" t="s">
        <v>2339</v>
      </c>
      <c r="BD107" s="1" t="s">
        <v>2340</v>
      </c>
      <c r="BG107" s="2"/>
      <c r="BS107" s="1" t="s">
        <v>2341</v>
      </c>
      <c r="BT107" s="1" t="s">
        <v>2342</v>
      </c>
    </row>
    <row r="108">
      <c r="A108" s="1" t="s">
        <v>2343</v>
      </c>
      <c r="B108" s="1" t="str">
        <f>IFERROR(__xludf.DUMMYFUNCTION("GOOGLETRANSLATE(A:A, ""en"", ""te"")"),"వైడ్-బాడీ విమానం")</f>
        <v>వైడ్-బాడీ విమానం</v>
      </c>
      <c r="C108" s="1" t="s">
        <v>2344</v>
      </c>
      <c r="D108" s="1" t="str">
        <f>IFERROR(__xludf.DUMMYFUNCTION("GOOGLETRANSLATE(C:C, ""en"", ""te"")"),"విస్తృత-శరీర విమానం, ట్విన్-నస్లే విమానం అని కూడా పిలుస్తారు, ఇది రెండు ప్రయాణీకుల నడవలను ఏడు లేదా అంతకంటే ఎక్కువ సీట్లతో ఉంచడానికి తగినంత వెడల్పు గల ఫ్యూజ్‌లేజ్ కలిగిన విమానాలు. [1] సాధారణ ఫ్యూజ్‌లేజ్ వ్యాసం 5 నుండి 6 మీ (16 నుండి 20 అడుగులు). [2] విలక్ష"&amp;"ణమైన వైడ్-బాడీ ఎకానమీ క్యాబిన్లో, ప్రయాణీకులు ఏడు నుండి పది వరకు కూర్చుంటారు, [3] మొత్తం 200 నుండి 850 [4] ప్రయాణీకులను అనుమతిస్తుంది. అతిపెద్ద వైడ్-బాడీ విమానం 6 మీ (20 అడుగులు) వెడల్పుతో ఉంటుంది మరియు అధిక-సాంద్రత కలిగిన కాన్ఫిగరేషన్లలో పదకొండు మంది ప్ర"&amp;"యాణీకులను కలిగి ఉంటుంది. . వైడ్-బాడీ విమానాలు మొదట సామర్థ్యం మరియు ప్రయాణీకుల సౌకర్యం కలయిక కోసం మరియు కార్గో స్థలం మొత్తాన్ని పెంచడానికి రూపొందించబడ్డాయి. ఏదేమైనా, విమానయాన సంస్థలు త్వరగా ఆర్థిక కారకాలను ఇచ్చాయి మరియు ఆదాయం మరియు లాభాలను పెంచడానికి అదనపు"&amp;" ప్రయాణీకుల స్థలాన్ని తగ్గించాయి. [7] వాణిజ్య సరుకు రవాణా మరియు కార్గో [8] మరియు ఇతర ప్రత్యేక ఉపయోగాల రవాణా కోసం విస్తృత-శరీర విమానాలను కూడా ఉపయోగిస్తారు, వీటిని మరింత క్రింద వివరించారు. జంబో జెట్ అనే పదం సాధారణంగా చాలా పెద్ద పరిమాణం కారణంగా అతిపెద్ద విస్"&amp;"తృత-శరీర విమానాలను సూచిస్తుంది; ఉదాహరణలు బోయింగ్ 747 (మొదటి వైడ్-బాడీ మరియు అసలైన ""జంబో జెట్""), ఎయిర్‌బస్ A380 (""సూపర్‌జంబో జెట్""), మరియు బోయింగ్ 777x (""మినీ జంబో జెట్""). [9] [10] ""జంబో జెట్"" అనే పదం 19 వ శతాబ్దంలో సర్కస్ ఏనుగు అయిన జంబో నుండి వచ్"&amp;"చింది. [11] [12] ఏడు-అబ్రిస్ట్ విమానం సాధారణంగా 160 నుండి 260 మంది ప్రయాణికులు, ఎనిమిది-అబ్రిస్ట్ 250 నుండి 380, తొమ్మిది- మరియు పది-అబ్రిస్ట్ 350 నుండి 480 వరకు సీట్ చేస్తుంది. [13] 2017 చివరి నాటికి, 1969 నుండి దాదాపు 8,800 వైడ్-బాడీ విమానాలు పంపిణీ చేయ"&amp;"బడ్డాయి, ఇది 2015 లో 412 వద్ద ఉంది. [14] 1950 ల చివరలో మరియు 1960 ల ప్రారంభంలో బోయింగ్ 707 మరియు డగ్లస్ డిసి -8 విజయం సాధించిన తరువాత, విమాన ప్రయాణానికి పెరుగుతున్న ప్రపంచ డిమాండ్‌ను తీర్చడానికి విమానయాన సంస్థలు పెద్ద విమానాలను కోరడం ప్రారంభించాయి. విమానయ"&amp;"ాన సంస్థలు ప్రతి విమానానికి ఎక్కువ ప్రయాణీకుల సీట్లు, ఎక్కువ శ్రేణులు మరియు తక్కువ నిర్వహణ వ్యయాలు డిమాండ్ చేయడంతో ఇంజనీర్లు అనేక సవాళ్లను ఎదుర్కొన్నారు. ప్రారంభ జెట్ విమానం 707 మరియు డిసి -8 కూర్చున్న ప్రయాణీకులు ఒకే నడవకు ఇరువైపులా కూర్చున్నారు, వరుసకు "&amp;"ఆరు సీట్లు కంటే ఎక్కువ. పెద్ద విమానాలు ఎక్కువ సంఖ్యలో ప్రయాణీకుల సీట్లకు అనుగుణంగా ఎక్కువ, ఎక్కువ, ఎక్కువ (డబుల్ డెక్ వంటివి) లేదా విస్తృతంగా ఉండాలి. ఆ సమయంలో లభించే సాంకేతిక పరిజ్ఞానంతో అత్యవసర తరలింపు నిబంధనలను తీర్చడంలో రెండు డెక్స్ కలిగి ఉండటం ఇబ్బందు"&amp;"లను సృష్టించారని ఇంజనీర్లు గ్రహించారు. 1960 వ దశకంలో, సూపర్సోనిక్ విమానాలు పెద్ద, నెమ్మదిగా విమానాలు విజయవంతమవుతాయని కూడా నమ్ముతారు. అందువల్ల, చాలా సబ్సోనిక్ విమానాలు ప్రయాణీకుల ప్రయాణానికి వాడుకలో లేవని మరియు చివరికి సరుకు రవాణాదారులుగా మార్చబడుతుందని నమ"&amp;"్ముతారు. తత్ఫలితంగా, విమానయాన తయారీదారులు పొడవైనది కాకుండా విస్తృత ఫ్యూజ్‌లేజ్‌ను ఎంచుకున్నారు (747, మరియు చివరికి DC-10 మరియు L-1011). రెండవ నడవను జోడించడం ద్వారా, విస్తృత విమానం అంతటా 10 సీట్లను కలిగి ఉంటుంది, కానీ సులభంగా ఫ్రైటర్‌గా మార్చవచ్చు మరియు రె"&amp;"ండు ఎనిమిది-బై-ఎనిమిది మంది సరుకు రవాణా ప్యాలెట్లను తీసుకువెళ్ళవచ్చు. [15] ఇంజనీర్లు DC-8 (61, 62 మరియు 63 మోడల్స్) యొక్క ""సాగిన"" సంస్కరణలను, అలాగే బోయింగ్ యొక్క 707 (-320B మరియు 320C మోడల్స్) మరియు 727 (-200 మోడల్) యొక్క పొడవైన సంస్కరణలను కూడా ఎంచుకున్"&amp;"నారు; మరియు డగ్లస్ యొక్క DC -9 (-30, -40, మరియు -50 మోడల్స్), ఇవన్నీ వారి తక్కువ పూర్వీకుల సంస్కరణల కంటే ఎక్కువ సీట్లను కలిగి ఉండగలవు. విస్తృత-శరీర యుగం 1970 లో మొదటి వైడ్-బాడీ విమానాల సేవలోకి ప్రవేశించడంతో ప్రారంభమైంది, నాలుగు ఇంజిన్, పాక్షిక డబుల్ డెక్ "&amp;"బోయింగ్ 747. [16] కొత్త ట్రైజెట్ వైడ్-బాడీ విమానం త్వరలోనే జరిగింది, వీటిలో మెక్‌డోనెల్ డగ్లస్ డిసి -10 మరియు లాక్‌హీడ్ ఎల్ -1011 ట్రిస్టార్ ఉన్నాయి. మొట్టమొదటి వైడ్-బాడీ ట్విన్జెట్, ఎయిర్‌బస్ A300, 1974 లో సేవలోకి ప్రవేశించింది. ఈ కాలాన్ని ""వైడ్-బాడీ వా"&amp;"ర్స్"" అని పిలుస్తారు. [17] లాక్‌హీడ్ ఈ విమానాన్ని ఏరోఫ్లోట్‌కు విక్రయించడానికి ప్రయత్నించినందున, 1974 లో యుఎస్‌ఎస్‌ఆర్‌లో ఎల్ -1011 ట్రిస్టార్లు ప్రదర్శించబడ్డాయి. [18] [19] ఏదేమైనా, 1976 లో సోవియట్ యూనియన్ తన స్వంత మొదటి నాలుగు-ఇంజిన్ వైడ్-బాడీ, ఇలూషిన్"&amp;" IL-86 ను ప్రారంభించింది. [20] ప్రారంభ విస్తృత-శరీర విమానాల విజయం తరువాత, తరువాతి రెండు దశాబ్దాలలో బోయింగ్ 767 మరియు 777, ఎయిర్‌బస్ A330 మరియు A340 మరియు మెక్‌డోనెల్ డగ్లస్ MD-11 తో సహా అనేక తదుపరి నమూనాలు మార్కెట్లోకి వచ్చాయి. ""జంబో"" విభాగంలో, బోయింగ్ "&amp;"747 యొక్క సామర్థ్యం అక్టోబర్ 2007 వరకు అధిగమించబడలేదు, ఎయిర్ బస్ A380 ""సూపర్ జంబో"" అనే మారుపేరుతో వాణిజ్య సేవలోకి ప్రవేశించింది. [21] బోయింగ్ 747 మరియు ఎయిర్‌బస్ A380 ""జంబో జెట్స్"" రెండూ నాలుగు ఇంజన్లను కలిగి ఉన్నాయి (క్వాడ్-జెట్స్), కానీ రాబోయే బోయిం"&amp;"గ్ 777x (""మినీ జంబో జెట్"") ఒక ట్విన్జెట్. [9] [10] 2000 ల మధ్యలో, 9/11 వాతావరణంలో పెరుగుతున్న చమురు ఖర్చులు విమానయాన సంస్థలు కొత్త, మరింత ఇంధన-సమర్థవంతమైన విమానాల వైపు చూస్తాయి. ఇటువంటి రెండు ఉదాహరణలు బోయింగ్ 787 డ్రీమ్‌లైనర్ మరియు ఎయిర్‌బస్ A350 XWB. ప"&amp;"్రతిపాదిత COMAC C929 మరియు C939 కూడా ఈ కొత్త వైడ్-బాడీ మార్కెట్‌ను పంచుకోవచ్చు. పెద్ద బోయింగ్ 747-8 మరియు ఎయిర్‌బస్ A380 నాలుగు-ఇంజిన్ల ఉత్పత్తి, సుదూర జెట్‌లు ముగింపుకు వస్తున్నాయి, ఎందుకంటే విమానయాన సంస్థలు ఇప్పుడు చిన్న, సమర్థవంతమైన A350, 787 మరియు 777"&amp;" ట్విన్-ఇంజిన్, లాంగ్-రేంజ్ విమానాలను ఇష్టపడతాయి. 22] విస్తృత-శరీర విమానాలు ఇరుకైన-శరీర విమానాల కంటే పెద్ద ఫ్రంటల్ ప్రాంతాలను (అందువల్ల ఎక్కువ రూపం డ్రాగ్) కలిగి ఉన్నప్పటికీ, వారి ఇరుకైన-శరీర ప్రతిరూపాలపై అనేక ప్రయోజనాలు ఉన్నాయి, వంటివి: బ్రిటిష్ మరియు రష"&amp;"్యన్ డిజైనర్లు విస్తృత-శరీర విమానాలను ప్రతిపాదించారు. విక్కర్స్ VC10 మరియు డగ్లస్ DC-9 లకు ఆకృతీకరణలో, కానీ విస్తృత-శరీర ఫ్యూజ్‌లేజ్‌తో. బ్రిటీష్ త్రీ-ఎలెవెన్ ప్రాజెక్ట్ డ్రాయింగ్ బోర్డ్‌ను విడిచిపెట్టలేదు, అయితే రష్యన్ IL-86 వైడ్-బాడీ ప్రతిపాదన చివరికి మ"&amp;"రింత సాంప్రదాయిక వింగ్-మౌంటెడ్ ఇంజిన్ డిజైన్‌కు దారితీసింది, చాలావరకు వెనుక ఫ్యూజ్‌లేజ్‌లో ఇటువంటి పెద్ద ఇంజిన్‌లను పెంచడం యొక్క అసమర్థత కారణంగా చాలావరకు . గత దశాబ్దాలుగా జెట్ ఇంజిన్ శక్తి మరియు విశ్వసనీయత పెరిగినందున, ఈ రోజు నిర్మించిన విస్తృత-శరీర విమాన"&amp;"ాలలో చాలావరకు రెండు ఇంజన్లు మాత్రమే ఉన్నాయి. ట్విన్జెట్ డిజైన్ ఇలాంటి పరిమాణంలో ఉన్న ట్రైజెట్ లేదా క్వాడ్జెట్ కంటే ఎక్కువ ఇంధన-సమర్థవంతమైనది. [సైటేషన్ అవసరం] ఆధునిక జెట్ ఇంజిన్ల యొక్క పెరిగిన విశ్వసనీయత కూడా విమానాలను ETOPS ధృవీకరణ ప్రమాణానికి అనుగుణంగా అ"&amp;"నుమతిస్తుంది, ఇది మహాసముద్రాల అంతటా విమానాలకు సహేతుకమైన భద్రతా మార్జిన్లను లెక్కిస్తుంది. ట్విన్జెట్‌తో పోలిస్తే అధిక నిర్వహణ మరియు ఇంధన వ్యయాల కారణంగా ట్రైజెట్ డిజైన్ కొట్టివేయబడింది. -8. రాబోయే బోయింగ్ 777x-9 ట్విన్జెట్ మునుపటి బోయింగ్ 747 యొక్క సామర్థ్"&amp;"యాన్ని చేరుకుంటుంది. [9] [10] బోయింగ్ 777 ట్విన్జెట్‌లో అత్యంత శక్తివంతమైన జెట్ ఇంజిన్, జనరల్ ఎలక్ట్రిక్ GE90 ఉంది. [24] ప్రారంభ వైవిధ్యాలు అభిమానుల వ్యాసం 312 సెంటీమీటర్లు (123 అంగుళాలు), మరియు పెద్ద GE90-115B 325 సెంటీమీటర్ల (128 అంగుళాలు) అభిమాని వ్యాస"&amp;"ం కలిగి ఉంది. [25] ఇది 3.30 మీటర్లు (130 అంగుళాలు) ఫోకర్ 100 ఫ్యూజ్‌లేజ్ వలె దాదాపు వెడల్పుగా ఉంది. పూర్తి GE90 ఇంజిన్‌లను ఆంటోనోవ్ AN-124 వంటి అవుట్సైజ్ కార్గో విమానాల ద్వారా మాత్రమే ప్రయాణించవచ్చు, సరైన విడి భాగాలు లేకుండా అత్యవసర మళ్లింపుల కారణంగా 777 "&amp;"ఒక ప్రదేశంలో చిక్కుకుపోతే లాజిస్టిక్స్ సమస్యలను ప్రదర్శిస్తుంది. అభిమాని కోర్ నుండి తొలగించబడితే, అప్పుడు ఇంజన్లు బోయింగ్ 747 సరుకు రవాణాలో రవాణా చేయబడతాయి. [26] బోయింగ్ 777x ను శక్తివంతం చేసే జనరల్ ఎలక్ట్రిక్ GE9X, GE90 కన్నా 15 సెంటీమీటర్ల (6 అంగుళాలు) "&amp;"విస్తృతంగా ఉంది. 560 టన్నులు (1,230,000 పౌండ్లు) ఎయిర్‌బస్ A380 యొక్క గరిష్ట టేకాఫ్ బరువు, కాంట్రా-రొటేటింగ్ స్పూల్స్ వంటి బోయింగ్ 777 కోసం అభివృద్ధి చేసిన ఇంజిన్ టెక్నాలజీ లేకుండా సాధ్యం కాదు. [27] దీని ట్రెంట్ 900 ఇంజిన్ అభిమాని వ్యాసం 290 సెంటీమీటర్లు "&amp;"(116 అంగుళాలు), బోయింగ్ 777 లోని GE90 ఇంజిన్ల కంటే కొంచెం చిన్నది. ట్రెంట్ 900 ఎయిర్ కార్గో ద్వారా సులభంగా రవాణా చేయడానికి బోయింగ్ 747-400 ఎఫ్ ఫ్రైటర్‌కు సరిపోయేలా రూపొందించబడింది. [28 ] విమాన క్యాబిన్ అని పిలువబడే విమానాల ఇంటీరియర్స్ మొదటి ప్రయాణీకుల విమ"&amp;"ానం నుండి పరిణామానికి లోనవుతున్నాయి. నేడు, ఒకటి మరియు నాలుగు తరగతుల ప్రయాణాల మధ్య విస్తృత-శరీర విమానాలలో లభిస్తుంది. ఒకప్పుడు వైడ్-బాడీ విమానాలలో వ్యవస్థాపించిన బార్ మరియు లాంజ్ ప్రాంతాలు ఎక్కువగా అదృశ్యమయ్యాయి, కాని కొన్ని ఎయిర్‌బస్ A340-600, [29] బోయింగ"&amp;"్ 777-300ER, [30] మరియు ఎయిర్‌బస్‌లో ఫస్ట్ క్లాస్ లేదా బిజినెస్ క్లాస్‌లో తిరిగి వచ్చాయి. A380. [31] ఎమిరేట్స్ A380 లో ఫస్ట్-క్లాస్ ప్రయాణీకుల కోసం జల్లులను ఏర్పాటు చేసింది; గదిని ఉపయోగించడానికి ఇరవై ఐదు నిమిషాలు కేటాయించబడ్డాయి మరియు షవర్ గరిష్టంగా ఐదు న"&amp;"ిమిషాలు పనిచేస్తుంది. [32] [33] విమానయాన సంస్థ విమానాన్ని ఎలా కాన్ఫిగర్ చేస్తుందనే దానిపై ఆధారపడి, విమానయాన సీట్ల పరిమాణం మరియు సీటు పిచ్ గణనీయంగా మారుతుంది. [34] ఉదాహరణకు, తక్కువ విమానాల కోసం షెడ్యూల్ చేయబడిన విమానం తరచుగా సుదూర విమానాల కంటే ఎక్కువ సీటు "&amp;"సాంద్రతతో కాన్ఫిగర్ చేయబడుతుంది. వైమానిక పరిశ్రమపై ప్రస్తుత ఆర్థిక ఒత్తిళ్ల కారణంగా, ఎకానమీ క్లాస్ క్యాబిన్లో అధిక సీటింగ్ సాంద్రతలు కొనసాగే అవకాశం ఉంది. [35] బోయింగ్ 777 వంటి అతిపెద్ద సింగిల్-డెక్ వైడ్-బాడీ విమానాలలో, క్యాబిన్ పైన ఉన్న అదనపు స్థలం సిబ్బం"&amp;"ది విశ్రాంతి ప్రాంతాలు మరియు గాలీ స్టోరేజ్ కోసం ఉపయోగించబడుతుంది. ఇంటీరియర్ క్యాబిన్ వెడల్పులు మరియు ఎకానమీ క్లాస్ సీటింగ్ లేఅవుట్ల పోలిక విస్తృత-శరీర లక్షణాల క్రింద క్రింద చూపబడింది. మరింత సమాచారం బాహ్య లింక్‌ల క్రింద చూడవచ్చు. A350 లో ఎయిర్ బస్ A350 యొక"&amp;"్క ఎకానమీ క్లాస్ క్యాబిన్ A350 లో బిజినెస్ క్లాస్ క్యాబిన్. బోయింగ్ 747-400 విమానాలను బోర్డులో ఉన్న కాథే పసిఫిక్ యొక్క ఫస్ట్ క్లాస్ క్యాబిన్ వారు ఉత్పత్తి చేసే మేల్కొలుపు అల్లకల్లోలం ప్రకారం ICAO చే వర్గీకరించబడింది. వేక్ అల్లకల్లోలం సాధారణంగా విమానం యొక్"&amp;"క బరువుకు సంబంధించినది కాబట్టి, ఈ వర్గాలు నాలుగు బరువు వర్గాలలో ఒకటిపై ఆధారపడి ఉంటాయి: [36] కాంతి, మధ్యస్థ, భారీ మరియు సూపర్. [37] వారి బరువు కారణంగా, ప్రస్తుత వైడ్-బాడీ విమానాలన్నీ ""భారీ"" గా లేదా యు.ఎస్. వైమానిక దృశ్యంలో A380 విషయంలో ""సూపర్"" అని వర్గ"&amp;"ీకరించబడ్డాయి. విమానాల విభజనకు మార్గనిర్దేశం చేయడానికి వేక్-టర్బులెన్స్ వర్గం కూడా ఉపయోగించబడుతుంది. [38] సూపర్- మరియు హెవీ-వర్గం విమానాలకు ఇతర వర్గాల కంటే వాటి వెనుక ఎక్కువ విభజన అవసరం. అమెరికా వంటి కొన్ని దేశాలలో, కొన్ని ప్రాంతాలలో ఎయిర్ ట్రాఫిక్ నియంత్"&amp;"రణతో కమ్యూనికేట్ చేసేటప్పుడు విమానం యొక్క కాల్ గుర్తును హెవీ (లేదా సూపర్) అనే పదంతో మార్చడం అవసరం. వైడ్-బాడీ విమానాలను సైన్స్, రీసెర్చ్ మరియు మిలిటరీలో ఉపయోగిస్తారు. కొన్ని విస్తృత-శరీర విమానాలను మిలిటరీ ఇలూషిన్ IL-80 [సైటేషన్ అవసరం] లేదా బోయింగ్ E-4 వంటి"&amp;" మిలటరీ ఫ్లయింగ్ కమాండ్ పోస్ట్‌లుగా ఉపయోగిస్తారు, అయితే బోయింగ్ E-767 వాయుమార్గాన ప్రారంభ హెచ్చరిక మరియు నియంత్రణ కోసం ఉపయోగించబడుతుంది. బోయింగ్ YAL-1 పై లేజర్ ఆయుధాల పరీక్షలో మాదిరిగా కొత్త సైనిక ఆయుధాలు విస్తృత శరీరాలలో పరీక్షించబడతాయి. ఇతర విస్తృత-శరీర"&amp;" విమానాలను ఉమ్మడి జర్మన్-యు.ఎస్ వంటి ఎగిరే పరిశోధనా కేంద్రాలుగా ఉపయోగిస్తారు. పరారుణ ఖగోళ శాస్త్రం (సోఫియా) కోసం స్ట్రాటో ఆవరణ అబ్జర్వేటరీ. ఎయిర్‌బస్ A340, [39] ఎయిర్‌బస్ A380, [40] మరియు బోయింగ్ 747 [41] విమానంలో కొత్త తరాల విమాన ఇంజిన్‌లను పరీక్షించడాని"&amp;"కి నాలుగు-ఇంజిన్ వైడ్-బాడీ విమానాలు ఉపయోగించబడతాయి. DC-10- ఆధారిత [42] ట్యాంకర్ 910 మరియు 747 ఆధారిత ఎవర్‌గ్రీన్ సూపర్‌ట్యాంకర్ వంటి వైమానిక అగ్నిమాపక కోసం కొన్ని విమానాలు మార్చబడ్డాయి. [43] కొన్ని విస్తృత-శరీర విమానాలను విఐపి రవాణాగా ఉపయోగిస్తారు. కెనడా "&amp;"ఎయిర్‌బస్ A310 ను ఉపయోగిస్తుంది, అయితే రష్యా ఇలూషిన్ IL-96 ను ఉపయోగిస్తుంది, అత్యున్నత కార్యాలయాలు ఉన్నవారిని రవాణా చేయడానికి. జర్మనీ వారి ఎయిర్‌బస్ A310 ను 2011 వసంతకాలంలో ఎయిర్‌బస్ A340 తో భర్తీ చేసింది. ప్రత్యేకంగా సవరించిన బోయింగ్ 747-200 లు (బోయింగ్ "&amp;"VC-25S) అమెరికా అధ్యక్షుడిని ఫెర్రీ చేయడానికి ఉపయోగిస్తారు. ముఖ్యంగా పెద్ద సరుకు రవాణా చేయడానికి కొన్ని విస్తృత-శరీర విమానాలు సవరించబడ్డాయి. ఉదాహరణలు ఎయిర్‌బస్ బెలూగా, ఎయిర్‌బస్ బెలూగా ఎక్స్‌ఎల్ మరియు బోయింగ్ డ్రీమ్‌లిఫ్టర్. యు.ఎస్. స్పేస్ షటిల్‌ను రవాణా "&amp;"చేయడానికి ప్రత్యేకంగా సవరించిన రెండు బోయింగ్ 747 లు ఉపయోగించబడ్డాయి, అయితే ఆంటోనోవ్ AN-225 ప్రారంభంలో బురాన్‌ను తీసుకువెళ్ళడానికి నిర్మించబడింది.")</f>
        <v>విస్తృత-శరీర విమానం, ట్విన్-నస్లే విమానం అని కూడా పిలుస్తారు, ఇది రెండు ప్రయాణీకుల నడవలను ఏడు లేదా అంతకంటే ఎక్కువ సీట్లతో ఉంచడానికి తగినంత వెడల్పు గల ఫ్యూజ్‌లేజ్ కలిగిన విమానాలు. [1] సాధారణ ఫ్యూజ్‌లేజ్ వ్యాసం 5 నుండి 6 మీ (16 నుండి 20 అడుగులు). [2] విలక్షణమైన వైడ్-బాడీ ఎకానమీ క్యాబిన్లో, ప్రయాణీకులు ఏడు నుండి పది వరకు కూర్చుంటారు, [3] మొత్తం 200 నుండి 850 [4] ప్రయాణీకులను అనుమతిస్తుంది. అతిపెద్ద వైడ్-బాడీ విమానం 6 మీ (20 అడుగులు) వెడల్పుతో ఉంటుంది మరియు అధిక-సాంద్రత కలిగిన కాన్ఫిగరేషన్లలో పదకొండు మంది ప్రయాణీకులను కలిగి ఉంటుంది. . వైడ్-బాడీ విమానాలు మొదట సామర్థ్యం మరియు ప్రయాణీకుల సౌకర్యం కలయిక కోసం మరియు కార్గో స్థలం మొత్తాన్ని పెంచడానికి రూపొందించబడ్డాయి. ఏదేమైనా, విమానయాన సంస్థలు త్వరగా ఆర్థిక కారకాలను ఇచ్చాయి మరియు ఆదాయం మరియు లాభాలను పెంచడానికి అదనపు ప్రయాణీకుల స్థలాన్ని తగ్గించాయి. [7] వాణిజ్య సరుకు రవాణా మరియు కార్గో [8] మరియు ఇతర ప్రత్యేక ఉపయోగాల రవాణా కోసం విస్తృత-శరీర విమానాలను కూడా ఉపయోగిస్తారు, వీటిని మరింత క్రింద వివరించారు. జంబో జెట్ అనే పదం సాధారణంగా చాలా పెద్ద పరిమాణం కారణంగా అతిపెద్ద విస్తృత-శరీర విమానాలను సూచిస్తుంది; ఉదాహరణలు బోయింగ్ 747 (మొదటి వైడ్-బాడీ మరియు అసలైన "జంబో జెట్"), ఎయిర్‌బస్ A380 ("సూపర్‌జంబో జెట్"), మరియు బోయింగ్ 777x ("మినీ జంబో జెట్"). [9] [10] "జంబో జెట్" అనే పదం 19 వ శతాబ్దంలో సర్కస్ ఏనుగు అయిన జంబో నుండి వచ్చింది. [11] [12] ఏడు-అబ్రిస్ట్ విమానం సాధారణంగా 160 నుండి 260 మంది ప్రయాణికులు, ఎనిమిది-అబ్రిస్ట్ 250 నుండి 380, తొమ్మిది- మరియు పది-అబ్రిస్ట్ 350 నుండి 480 వరకు సీట్ చేస్తుంది. [13] 2017 చివరి నాటికి, 1969 నుండి దాదాపు 8,800 వైడ్-బాడీ విమానాలు పంపిణీ చేయబడ్డాయి, ఇది 2015 లో 412 వద్ద ఉంది. [14] 1950 ల చివరలో మరియు 1960 ల ప్రారంభంలో బోయింగ్ 707 మరియు డగ్లస్ డిసి -8 విజయం సాధించిన తరువాత, విమాన ప్రయాణానికి పెరుగుతున్న ప్రపంచ డిమాండ్‌ను తీర్చడానికి విమానయాన సంస్థలు పెద్ద విమానాలను కోరడం ప్రారంభించాయి. విమానయాన సంస్థలు ప్రతి విమానానికి ఎక్కువ ప్రయాణీకుల సీట్లు, ఎక్కువ శ్రేణులు మరియు తక్కువ నిర్వహణ వ్యయాలు డిమాండ్ చేయడంతో ఇంజనీర్లు అనేక సవాళ్లను ఎదుర్కొన్నారు. ప్రారంభ జెట్ విమానం 707 మరియు డిసి -8 కూర్చున్న ప్రయాణీకులు ఒకే నడవకు ఇరువైపులా కూర్చున్నారు, వరుసకు ఆరు సీట్లు కంటే ఎక్కువ. పెద్ద విమానాలు ఎక్కువ సంఖ్యలో ప్రయాణీకుల సీట్లకు అనుగుణంగా ఎక్కువ, ఎక్కువ, ఎక్కువ (డబుల్ డెక్ వంటివి) లేదా విస్తృతంగా ఉండాలి. ఆ సమయంలో లభించే సాంకేతిక పరిజ్ఞానంతో అత్యవసర తరలింపు నిబంధనలను తీర్చడంలో రెండు డెక్స్ కలిగి ఉండటం ఇబ్బందులను సృష్టించారని ఇంజనీర్లు గ్రహించారు. 1960 వ దశకంలో, సూపర్సోనిక్ విమానాలు పెద్ద, నెమ్మదిగా విమానాలు విజయవంతమవుతాయని కూడా నమ్ముతారు. అందువల్ల, చాలా సబ్సోనిక్ విమానాలు ప్రయాణీకుల ప్రయాణానికి వాడుకలో లేవని మరియు చివరికి సరుకు రవాణాదారులుగా మార్చబడుతుందని నమ్ముతారు. తత్ఫలితంగా, విమానయాన తయారీదారులు పొడవైనది కాకుండా విస్తృత ఫ్యూజ్‌లేజ్‌ను ఎంచుకున్నారు (747, మరియు చివరికి DC-10 మరియు L-1011). రెండవ నడవను జోడించడం ద్వారా, విస్తృత విమానం అంతటా 10 సీట్లను కలిగి ఉంటుంది, కానీ సులభంగా ఫ్రైటర్‌గా మార్చవచ్చు మరియు రెండు ఎనిమిది-బై-ఎనిమిది మంది సరుకు రవాణా ప్యాలెట్లను తీసుకువెళ్ళవచ్చు. [15] ఇంజనీర్లు DC-8 (61, 62 మరియు 63 మోడల్స్) యొక్క "సాగిన" సంస్కరణలను, అలాగే బోయింగ్ యొక్క 707 (-320B మరియు 320C మోడల్స్) మరియు 727 (-200 మోడల్) యొక్క పొడవైన సంస్కరణలను కూడా ఎంచుకున్నారు; మరియు డగ్లస్ యొక్క DC -9 (-30, -40, మరియు -50 మోడల్స్), ఇవన్నీ వారి తక్కువ పూర్వీకుల సంస్కరణల కంటే ఎక్కువ సీట్లను కలిగి ఉండగలవు. విస్తృత-శరీర యుగం 1970 లో మొదటి వైడ్-బాడీ విమానాల సేవలోకి ప్రవేశించడంతో ప్రారంభమైంది, నాలుగు ఇంజిన్, పాక్షిక డబుల్ డెక్ బోయింగ్ 747. [16] కొత్త ట్రైజెట్ వైడ్-బాడీ విమానం త్వరలోనే జరిగింది, వీటిలో మెక్‌డోనెల్ డగ్లస్ డిసి -10 మరియు లాక్‌హీడ్ ఎల్ -1011 ట్రిస్టార్ ఉన్నాయి. మొట్టమొదటి వైడ్-బాడీ ట్విన్జెట్, ఎయిర్‌బస్ A300, 1974 లో సేవలోకి ప్రవేశించింది. ఈ కాలాన్ని "వైడ్-బాడీ వార్స్" అని పిలుస్తారు. [17] లాక్‌హీడ్ ఈ విమానాన్ని ఏరోఫ్లోట్‌కు విక్రయించడానికి ప్రయత్నించినందున, 1974 లో యుఎస్‌ఎస్‌ఆర్‌లో ఎల్ -1011 ట్రిస్టార్లు ప్రదర్శించబడ్డాయి. [18] [19] ఏదేమైనా, 1976 లో సోవియట్ యూనియన్ తన స్వంత మొదటి నాలుగు-ఇంజిన్ వైడ్-బాడీ, ఇలూషిన్ IL-86 ను ప్రారంభించింది. [20] ప్రారంభ విస్తృత-శరీర విమానాల విజయం తరువాత, తరువాతి రెండు దశాబ్దాలలో బోయింగ్ 767 మరియు 777, ఎయిర్‌బస్ A330 మరియు A340 మరియు మెక్‌డోనెల్ డగ్లస్ MD-11 తో సహా అనేక తదుపరి నమూనాలు మార్కెట్లోకి వచ్చాయి. "జంబో" విభాగంలో, బోయింగ్ 747 యొక్క సామర్థ్యం అక్టోబర్ 2007 వరకు అధిగమించబడలేదు, ఎయిర్ బస్ A380 "సూపర్ జంబో" అనే మారుపేరుతో వాణిజ్య సేవలోకి ప్రవేశించింది. [21] బోయింగ్ 747 మరియు ఎయిర్‌బస్ A380 "జంబో జెట్స్" రెండూ నాలుగు ఇంజన్లను కలిగి ఉన్నాయి (క్వాడ్-జెట్స్), కానీ రాబోయే బోయింగ్ 777x ("మినీ జంబో జెట్") ఒక ట్విన్జెట్. [9] [10] 2000 ల మధ్యలో, 9/11 వాతావరణంలో పెరుగుతున్న చమురు ఖర్చులు విమానయాన సంస్థలు కొత్త, మరింత ఇంధన-సమర్థవంతమైన విమానాల వైపు చూస్తాయి. ఇటువంటి రెండు ఉదాహరణలు బోయింగ్ 787 డ్రీమ్‌లైనర్ మరియు ఎయిర్‌బస్ A350 XWB. ప్రతిపాదిత COMAC C929 మరియు C939 కూడా ఈ కొత్త వైడ్-బాడీ మార్కెట్‌ను పంచుకోవచ్చు. పెద్ద బోయింగ్ 747-8 మరియు ఎయిర్‌బస్ A380 నాలుగు-ఇంజిన్ల ఉత్పత్తి, సుదూర జెట్‌లు ముగింపుకు వస్తున్నాయి, ఎందుకంటే విమానయాన సంస్థలు ఇప్పుడు చిన్న, సమర్థవంతమైన A350, 787 మరియు 777 ట్విన్-ఇంజిన్, లాంగ్-రేంజ్ విమానాలను ఇష్టపడతాయి. 22] విస్తృత-శరీర విమానాలు ఇరుకైన-శరీర విమానాల కంటే పెద్ద ఫ్రంటల్ ప్రాంతాలను (అందువల్ల ఎక్కువ రూపం డ్రాగ్) కలిగి ఉన్నప్పటికీ, వారి ఇరుకైన-శరీర ప్రతిరూపాలపై అనేక ప్రయోజనాలు ఉన్నాయి, వంటివి: బ్రిటిష్ మరియు రష్యన్ డిజైనర్లు విస్తృత-శరీర విమానాలను ప్రతిపాదించారు. విక్కర్స్ VC10 మరియు డగ్లస్ DC-9 లకు ఆకృతీకరణలో, కానీ విస్తృత-శరీర ఫ్యూజ్‌లేజ్‌తో. బ్రిటీష్ త్రీ-ఎలెవెన్ ప్రాజెక్ట్ డ్రాయింగ్ బోర్డ్‌ను విడిచిపెట్టలేదు, అయితే రష్యన్ IL-86 వైడ్-బాడీ ప్రతిపాదన చివరికి మరింత సాంప్రదాయిక వింగ్-మౌంటెడ్ ఇంజిన్ డిజైన్‌కు దారితీసింది, చాలావరకు వెనుక ఫ్యూజ్‌లేజ్‌లో ఇటువంటి పెద్ద ఇంజిన్‌లను పెంచడం యొక్క అసమర్థత కారణంగా చాలావరకు . గత దశాబ్దాలుగా జెట్ ఇంజిన్ శక్తి మరియు విశ్వసనీయత పెరిగినందున, ఈ రోజు నిర్మించిన విస్తృత-శరీర విమానాలలో చాలావరకు రెండు ఇంజన్లు మాత్రమే ఉన్నాయి. ట్విన్జెట్ డిజైన్ ఇలాంటి పరిమాణంలో ఉన్న ట్రైజెట్ లేదా క్వాడ్జెట్ కంటే ఎక్కువ ఇంధన-సమర్థవంతమైనది. [సైటేషన్ అవసరం] ఆధునిక జెట్ ఇంజిన్ల యొక్క పెరిగిన విశ్వసనీయత కూడా విమానాలను ETOPS ధృవీకరణ ప్రమాణానికి అనుగుణంగా అనుమతిస్తుంది, ఇది మహాసముద్రాల అంతటా విమానాలకు సహేతుకమైన భద్రతా మార్జిన్లను లెక్కిస్తుంది. ట్విన్జెట్‌తో పోలిస్తే అధిక నిర్వహణ మరియు ఇంధన వ్యయాల కారణంగా ట్రైజెట్ డిజైన్ కొట్టివేయబడింది. -8. రాబోయే బోయింగ్ 777x-9 ట్విన్జెట్ మునుపటి బోయింగ్ 747 యొక్క సామర్థ్యాన్ని చేరుకుంటుంది. [9] [10] బోయింగ్ 777 ట్విన్జెట్‌లో అత్యంత శక్తివంతమైన జెట్ ఇంజిన్, జనరల్ ఎలక్ట్రిక్ GE90 ఉంది. [24] ప్రారంభ వైవిధ్యాలు అభిమానుల వ్యాసం 312 సెంటీమీటర్లు (123 అంగుళాలు), మరియు పెద్ద GE90-115B 325 సెంటీమీటర్ల (128 అంగుళాలు) అభిమాని వ్యాసం కలిగి ఉంది. [25] ఇది 3.30 మీటర్లు (130 అంగుళాలు) ఫోకర్ 100 ఫ్యూజ్‌లేజ్ వలె దాదాపు వెడల్పుగా ఉంది. పూర్తి GE90 ఇంజిన్‌లను ఆంటోనోవ్ AN-124 వంటి అవుట్సైజ్ కార్గో విమానాల ద్వారా మాత్రమే ప్రయాణించవచ్చు, సరైన విడి భాగాలు లేకుండా అత్యవసర మళ్లింపుల కారణంగా 777 ఒక ప్రదేశంలో చిక్కుకుపోతే లాజిస్టిక్స్ సమస్యలను ప్రదర్శిస్తుంది. అభిమాని కోర్ నుండి తొలగించబడితే, అప్పుడు ఇంజన్లు బోయింగ్ 747 సరుకు రవాణాలో రవాణా చేయబడతాయి. [26] బోయింగ్ 777x ను శక్తివంతం చేసే జనరల్ ఎలక్ట్రిక్ GE9X, GE90 కన్నా 15 సెంటీమీటర్ల (6 అంగుళాలు) విస్తృతంగా ఉంది. 560 టన్నులు (1,230,000 పౌండ్లు) ఎయిర్‌బస్ A380 యొక్క గరిష్ట టేకాఫ్ బరువు, కాంట్రా-రొటేటింగ్ స్పూల్స్ వంటి బోయింగ్ 777 కోసం అభివృద్ధి చేసిన ఇంజిన్ టెక్నాలజీ లేకుండా సాధ్యం కాదు. [27] దీని ట్రెంట్ 900 ఇంజిన్ అభిమాని వ్యాసం 290 సెంటీమీటర్లు (116 అంగుళాలు), బోయింగ్ 777 లోని GE90 ఇంజిన్ల కంటే కొంచెం చిన్నది. ట్రెంట్ 900 ఎయిర్ కార్గో ద్వారా సులభంగా రవాణా చేయడానికి బోయింగ్ 747-400 ఎఫ్ ఫ్రైటర్‌కు సరిపోయేలా రూపొందించబడింది. [28 ] విమాన క్యాబిన్ అని పిలువబడే విమానాల ఇంటీరియర్స్ మొదటి ప్రయాణీకుల విమానం నుండి పరిణామానికి లోనవుతున్నాయి. నేడు, ఒకటి మరియు నాలుగు తరగతుల ప్రయాణాల మధ్య విస్తృత-శరీర విమానాలలో లభిస్తుంది. ఒకప్పుడు వైడ్-బాడీ విమానాలలో వ్యవస్థాపించిన బార్ మరియు లాంజ్ ప్రాంతాలు ఎక్కువగా అదృశ్యమయ్యాయి, కాని కొన్ని ఎయిర్‌బస్ A340-600, [29] బోయింగ్ 777-300ER, [30] మరియు ఎయిర్‌బస్‌లో ఫస్ట్ క్లాస్ లేదా బిజినెస్ క్లాస్‌లో తిరిగి వచ్చాయి. A380. [31] ఎమిరేట్స్ A380 లో ఫస్ట్-క్లాస్ ప్రయాణీకుల కోసం జల్లులను ఏర్పాటు చేసింది; గదిని ఉపయోగించడానికి ఇరవై ఐదు నిమిషాలు కేటాయించబడ్డాయి మరియు షవర్ గరిష్టంగా ఐదు నిమిషాలు పనిచేస్తుంది. [32] [33] విమానయాన సంస్థ విమానాన్ని ఎలా కాన్ఫిగర్ చేస్తుందనే దానిపై ఆధారపడి, విమానయాన సీట్ల పరిమాణం మరియు సీటు పిచ్ గణనీయంగా మారుతుంది. [34] ఉదాహరణకు, తక్కువ విమానాల కోసం షెడ్యూల్ చేయబడిన విమానం తరచుగా సుదూర విమానాల కంటే ఎక్కువ సీటు సాంద్రతతో కాన్ఫిగర్ చేయబడుతుంది. వైమానిక పరిశ్రమపై ప్రస్తుత ఆర్థిక ఒత్తిళ్ల కారణంగా, ఎకానమీ క్లాస్ క్యాబిన్లో అధిక సీటింగ్ సాంద్రతలు కొనసాగే అవకాశం ఉంది. [35] బోయింగ్ 777 వంటి అతిపెద్ద సింగిల్-డెక్ వైడ్-బాడీ విమానాలలో, క్యాబిన్ పైన ఉన్న అదనపు స్థలం సిబ్బంది విశ్రాంతి ప్రాంతాలు మరియు గాలీ స్టోరేజ్ కోసం ఉపయోగించబడుతుంది. ఇంటీరియర్ క్యాబిన్ వెడల్పులు మరియు ఎకానమీ క్లాస్ సీటింగ్ లేఅవుట్ల పోలిక విస్తృత-శరీర లక్షణాల క్రింద క్రింద చూపబడింది. మరింత సమాచారం బాహ్య లింక్‌ల క్రింద చూడవచ్చు. A350 లో ఎయిర్ బస్ A350 యొక్క ఎకానమీ క్లాస్ క్యాబిన్ A350 లో బిజినెస్ క్లాస్ క్యాబిన్. బోయింగ్ 747-400 విమానాలను బోర్డులో ఉన్న కాథే పసిఫిక్ యొక్క ఫస్ట్ క్లాస్ క్యాబిన్ వారు ఉత్పత్తి చేసే మేల్కొలుపు అల్లకల్లోలం ప్రకారం ICAO చే వర్గీకరించబడింది. వేక్ అల్లకల్లోలం సాధారణంగా విమానం యొక్క బరువుకు సంబంధించినది కాబట్టి, ఈ వర్గాలు నాలుగు బరువు వర్గాలలో ఒకటిపై ఆధారపడి ఉంటాయి: [36] కాంతి, మధ్యస్థ, భారీ మరియు సూపర్. [37] వారి బరువు కారణంగా, ప్రస్తుత వైడ్-బాడీ విమానాలన్నీ "భారీ" గా లేదా యు.ఎస్. వైమానిక దృశ్యంలో A380 విషయంలో "సూపర్" అని వర్గీకరించబడ్డాయి. విమానాల విభజనకు మార్గనిర్దేశం చేయడానికి వేక్-టర్బులెన్స్ వర్గం కూడా ఉపయోగించబడుతుంది. [38] సూపర్- మరియు హెవీ-వర్గం విమానాలకు ఇతర వర్గాల కంటే వాటి వెనుక ఎక్కువ విభజన అవసరం. అమెరికా వంటి కొన్ని దేశాలలో, కొన్ని ప్రాంతాలలో ఎయిర్ ట్రాఫిక్ నియంత్రణతో కమ్యూనికేట్ చేసేటప్పుడు విమానం యొక్క కాల్ గుర్తును హెవీ (లేదా సూపర్) అనే పదంతో మార్చడం అవసరం. వైడ్-బాడీ విమానాలను సైన్స్, రీసెర్చ్ మరియు మిలిటరీలో ఉపయోగిస్తారు. కొన్ని విస్తృత-శరీర విమానాలను మిలిటరీ ఇలూషిన్ IL-80 [సైటేషన్ అవసరం] లేదా బోయింగ్ E-4 వంటి మిలటరీ ఫ్లయింగ్ కమాండ్ పోస్ట్‌లుగా ఉపయోగిస్తారు, అయితే బోయింగ్ E-767 వాయుమార్గాన ప్రారంభ హెచ్చరిక మరియు నియంత్రణ కోసం ఉపయోగించబడుతుంది. బోయింగ్ YAL-1 పై లేజర్ ఆయుధాల పరీక్షలో మాదిరిగా కొత్త సైనిక ఆయుధాలు విస్తృత శరీరాలలో పరీక్షించబడతాయి. ఇతర విస్తృత-శరీర విమానాలను ఉమ్మడి జర్మన్-యు.ఎస్ వంటి ఎగిరే పరిశోధనా కేంద్రాలుగా ఉపయోగిస్తారు. పరారుణ ఖగోళ శాస్త్రం (సోఫియా) కోసం స్ట్రాటో ఆవరణ అబ్జర్వేటరీ. ఎయిర్‌బస్ A340, [39] ఎయిర్‌బస్ A380, [40] మరియు బోయింగ్ 747 [41] విమానంలో కొత్త తరాల విమాన ఇంజిన్‌లను పరీక్షించడానికి నాలుగు-ఇంజిన్ వైడ్-బాడీ విమానాలు ఉపయోగించబడతాయి. DC-10- ఆధారిత [42] ట్యాంకర్ 910 మరియు 747 ఆధారిత ఎవర్‌గ్రీన్ సూపర్‌ట్యాంకర్ వంటి వైమానిక అగ్నిమాపక కోసం కొన్ని విమానాలు మార్చబడ్డాయి. [43] కొన్ని విస్తృత-శరీర విమానాలను విఐపి రవాణాగా ఉపయోగిస్తారు. కెనడా ఎయిర్‌బస్ A310 ను ఉపయోగిస్తుంది, అయితే రష్యా ఇలూషిన్ IL-96 ను ఉపయోగిస్తుంది, అత్యున్నత కార్యాలయాలు ఉన్నవారిని రవాణా చేయడానికి. జర్మనీ వారి ఎయిర్‌బస్ A310 ను 2011 వసంతకాలంలో ఎయిర్‌బస్ A340 తో భర్తీ చేసింది. ప్రత్యేకంగా సవరించిన బోయింగ్ 747-200 లు (బోయింగ్ VC-25S) అమెరికా అధ్యక్షుడిని ఫెర్రీ చేయడానికి ఉపయోగిస్తారు. ముఖ్యంగా పెద్ద సరుకు రవాణా చేయడానికి కొన్ని విస్తృత-శరీర విమానాలు సవరించబడ్డాయి. ఉదాహరణలు ఎయిర్‌బస్ బెలూగా, ఎయిర్‌బస్ బెలూగా ఎక్స్‌ఎల్ మరియు బోయింగ్ డ్రీమ్‌లిఫ్టర్. యు.ఎస్. స్పేస్ షటిల్‌ను రవాణా చేయడానికి ప్రత్యేకంగా సవరించిన రెండు బోయింగ్ 747 లు ఉపయోగించబడ్డాయి, అయితే ఆంటోనోవ్ AN-225 ప్రారంభంలో బురాన్‌ను తీసుకువెళ్ళడానికి నిర్మించబడింది.</v>
      </c>
      <c r="J108" s="1" t="str">
        <f>IFERROR(__xludf.DUMMYFUNCTION("GOOGLETRANSLATE(I:I, ""en"", ""te"")"),"#VALUE!")</f>
        <v>#VALUE!</v>
      </c>
      <c r="M108" s="1" t="str">
        <f>IFERROR(__xludf.DUMMYFUNCTION("GOOGLETRANSLATE(L:L, ""en"", ""te"")"),"#VALUE!")</f>
        <v>#VALUE!</v>
      </c>
      <c r="BG108" s="2"/>
    </row>
    <row r="109">
      <c r="A109" s="1" t="s">
        <v>2345</v>
      </c>
      <c r="B109" s="1" t="str">
        <f>IFERROR(__xludf.DUMMYFUNCTION("GOOGLETRANSLATE(A:A, ""en"", ""te"")"),"Aeg dj.i")</f>
        <v>Aeg dj.i</v>
      </c>
      <c r="C109" s="1" t="s">
        <v>2346</v>
      </c>
      <c r="D109" s="1" t="str">
        <f>IFERROR(__xludf.DUMMYFUNCTION("GOOGLETRANSLATE(C:C, ""en"", ""te"")"),"AEG DJ.I అనేది ప్రపంచ యుద్ధం చివరిలో చివరిగా క్రమబద్ధీకరించబడిన బిప్‌లేన్ గ్రౌండ్ అటాక్ విమానం, ఇది యుద్ధ విరమణ సమయంలో మూల్యాంకనం చేయబడుతోంది. [1] సింగిల్ సీట్ అటాక్ బిప్‌లేన్, సెప్టెంబర్ 1918 లో మూల్యాంకనం ప్రారంభించింది, ఒక జత 7.92 మిమీ (.312 అంగుళాలు) "&amp;"""స్పాండౌ"" -టైప్ మెషిన్ గన్స్ మరియు తేలికపాటి బాంబు లోడ్. ఈ డిజైన్‌లో అల్యూమినియం ఫ్యూజ్‌లేజ్ కవరింగ్‌లు, ఫ్లయింగ్ లేదా ల్యాండింగ్ వైర్లు మరియు రక్షిత కవచం లేని ఐ-టైప్ ఇంటర్‌ప్లేన్ స్ట్రట్స్ ఉన్నాయి. [1] మొదటి ప్రపంచ యుద్ధం యొక్క జర్మన్ విమానాల నుండి డేట"&amp;"ా [1] సాధారణ లక్షణాలు పనితీరు ఆయుధాలు, కాన్ఫిగరేషన్ మరియు ERA సంబంధిత జాబితాల ఆయుధ విమానం")</f>
        <v>AEG DJ.I అనేది ప్రపంచ యుద్ధం చివరిలో చివరిగా క్రమబద్ధీకరించబడిన బిప్‌లేన్ గ్రౌండ్ అటాక్ విమానం, ఇది యుద్ధ విరమణ సమయంలో మూల్యాంకనం చేయబడుతోంది. [1] సింగిల్ సీట్ అటాక్ బిప్‌లేన్, సెప్టెంబర్ 1918 లో మూల్యాంకనం ప్రారంభించింది, ఒక జత 7.92 మిమీ (.312 అంగుళాలు) "స్పాండౌ" -టైప్ మెషిన్ గన్స్ మరియు తేలికపాటి బాంబు లోడ్. ఈ డిజైన్‌లో అల్యూమినియం ఫ్యూజ్‌లేజ్ కవరింగ్‌లు, ఫ్లయింగ్ లేదా ల్యాండింగ్ వైర్లు మరియు రక్షిత కవచం లేని ఐ-టైప్ ఇంటర్‌ప్లేన్ స్ట్రట్స్ ఉన్నాయి. [1] మొదటి ప్రపంచ యుద్ధం యొక్క జర్మన్ విమానాల నుండి డేటా [1] సాధారణ లక్షణాలు పనితీరు ఆయుధాలు, కాన్ఫిగరేషన్ మరియు ERA సంబంధిత జాబితాల ఆయుధ విమానం</v>
      </c>
      <c r="F109" s="1" t="s">
        <v>2347</v>
      </c>
      <c r="G109" s="1" t="str">
        <f>IFERROR(__xludf.DUMMYFUNCTION("GOOGLETRANSLATE(F:F, ""en"", ""te"")"),"సాయుధ భూ దాడి")</f>
        <v>సాయుధ భూ దాడి</v>
      </c>
      <c r="I109" s="1" t="s">
        <v>185</v>
      </c>
      <c r="J109" s="1" t="str">
        <f>IFERROR(__xludf.DUMMYFUNCTION("GOOGLETRANSLATE(I:I, ""en"", ""te"")"),"జర్మనీ")</f>
        <v>జర్మనీ</v>
      </c>
      <c r="K109" s="3" t="s">
        <v>186</v>
      </c>
      <c r="L109" s="1" t="s">
        <v>2348</v>
      </c>
      <c r="M109" s="1" t="str">
        <f>IFERROR(__xludf.DUMMYFUNCTION("GOOGLETRANSLATE(L:L, ""en"", ""te"")"),"ఏగ్")</f>
        <v>ఏగ్</v>
      </c>
      <c r="N109" s="1" t="s">
        <v>2349</v>
      </c>
      <c r="R109" s="1" t="s">
        <v>2350</v>
      </c>
      <c r="V109" s="1">
        <v>1.0</v>
      </c>
      <c r="W109" s="1" t="s">
        <v>2351</v>
      </c>
      <c r="X109" s="1" t="s">
        <v>722</v>
      </c>
      <c r="Y109" s="1" t="s">
        <v>2352</v>
      </c>
      <c r="AG109" s="1" t="s">
        <v>2353</v>
      </c>
      <c r="AH109" s="1" t="s">
        <v>1340</v>
      </c>
      <c r="AX109" s="1" t="s">
        <v>2354</v>
      </c>
      <c r="AY109" s="1" t="str">
        <f>IFERROR(__xludf.DUMMYFUNCTION("GOOGLETRANSLATE(AX:AX, ""en"", ""te"")"),"1 × బెంజ్ BZ.IIIB V-8 వాటర్-కూల్డ్ పిస్టన్ ఇంజిన్, 145 kW (194 HP)")</f>
        <v>1 × బెంజ్ BZ.IIIB V-8 వాటర్-కూల్డ్ పిస్టన్ ఇంజిన్, 145 kW (194 HP)</v>
      </c>
      <c r="BB109" s="1" t="s">
        <v>1601</v>
      </c>
      <c r="BG109" s="2"/>
      <c r="BS109" s="1" t="s">
        <v>2355</v>
      </c>
      <c r="CB109" s="1" t="s">
        <v>2356</v>
      </c>
      <c r="CC109" s="1" t="s">
        <v>2357</v>
      </c>
      <c r="CD109" s="1" t="str">
        <f>IFERROR(__xludf.DUMMYFUNCTION("GOOGLETRANSLATE(CC:CC, ""en"", ""te"")"),"* 2 × ఫార్వర్డ్-ఫైరింగ్ 7.92 మిమీ (.312 in) LMG 08/15 స్పాండౌ మెషిన్ గన్స్")</f>
        <v>* 2 × ఫార్వర్డ్-ఫైరింగ్ 7.92 మిమీ (.312 in) LMG 08/15 స్పాండౌ మెషిన్ గన్స్</v>
      </c>
      <c r="CE109" s="1" t="s">
        <v>2358</v>
      </c>
      <c r="CF109" s="1" t="str">
        <f>IFERROR(__xludf.DUMMYFUNCTION("GOOGLETRANSLATE(CE:CE, ""en"", ""te"")"),"తేలికపాటి బాంబు లోడ్")</f>
        <v>తేలికపాటి బాంబు లోడ్</v>
      </c>
    </row>
    <row r="110">
      <c r="A110" s="1" t="s">
        <v>2359</v>
      </c>
      <c r="B110" s="1" t="str">
        <f>IFERROR(__xludf.DUMMYFUNCTION("GOOGLETRANSLATE(A:A, ""en"", ""te"")"),"హాకర్ వుడ్‌కాక్")</f>
        <v>హాకర్ వుడ్‌కాక్</v>
      </c>
      <c r="C110" s="1" t="s">
        <v>2360</v>
      </c>
      <c r="D110" s="1" t="str">
        <f>IFERROR(__xludf.DUMMYFUNCTION("GOOGLETRANSLATE(C:C, ""en"", ""te"")"),"హాకర్ వుడ్‌కాక్ హాకర్ ఇంజనీరింగ్ సంస్థ చేత నిర్మించిన మొదటి ఫైటర్‌గా హాకర్ ఇంజనీరింగ్ సంస్థ నిర్మించిన బ్రిటిష్ సింగిల్-సీట్ ఫైటర్, హాకర్ ఇంజనీరింగ్ (సోప్విత్ ఏవియేషన్ వారసుడు) చేత నిర్మించబడ్డాడు. దీనిని 1920 లలో RAF నైట్ ఫైటర్‌గా ఉపయోగించారు. హాకర్ వుడ్"&amp;"‌కాక్ 1922 లో స్పెసిఫికేషన్ 25/22 ను కలవడానికి నైట్ ఫైటర్‌గా రూపొందించబడింది. [1] చీఫ్ డిజైనర్ కెప్టెన్ థామ్సన్, మరియు ప్రోటోటైప్, సీరియల్ నంబర్ J6987, మొదట 358 హెచ్‌పి (267 కిలోవాట్ల) ఆర్మ్‌స్ట్రాంగ్ సిడ్లీ జాగ్వార్ II ఇంజిన్‌తో మార్చి 1923 లో ఎఫ్. పి. ఇ"&amp;"ది రెండు-బే వింగ్ కలిగి ఉంది. [2] [3] యుక్తి లేకపోవడం మరియు తీవ్రమైన వింగ్ ఫ్లట్టర్ మరియు అసమర్థమైన చుక్కాని నియంత్రణతో బాధపడుతున్నందున, స్పిన్నింగ్ నిషేధించబడినందున ఈ నమూనా తిరస్కరించబడింది. [4] మొదటి విమానంలో W. G. కార్టర్ చీఫ్ డిజైనర్‌గా బాధ్యతలు స్వీక"&amp;"రించారు మరియు డిజైన్‌ను మార్చాడు, వింగ్స్‌పాన్‌ను 2 అడుగుల (0.61 మీ) తగ్గించి, సింగిల్-బే నిర్మాణంగా మార్చాడు. పవర్‌ప్లాంట్‌ను 380 హెచ్‌పి (283 కిలోవాట్) బ్రిస్టల్ బృహస్పతి ఐవి ఇంజిన్‌కు మార్చారు. సవరించిన డిజైన్ వుడ్‌కాక్ MK II గా నియమించబడింది మరియు మొద"&amp;"ట ఆగస్టు 1923 లో ప్రయాణించారు, మరియు మరింత మార్పుల తరువాత, 1924 చివరిలో ఉంచిన ప్రారంభ ఆర్డర్‌లతో సేవ కోసం అంగీకరించబడింది. [5] [2] సేవ యొక్క ప్రారంభ భాగంలో అనేక ప్రమాదాలు సంభవించాయి, విమానం రెక్కల స్పార్ వైఫల్యాలు మరియు అండర్ క్యారేజ్ పతనం కురిసే అవకాశం ఉ"&amp;"ంది, అయితే ఈ నిర్మాణాత్మక బలహీనత 1925 చివరి నాటికి నయమైంది. [6] వుడ్‌కాక్ రెండు .303 లో (7.7 మిమీ) విక్కర్స్ మెషిన్ గన్‌లతో సాయుధమైంది, ప్రొపెల్లర్ ఆర్క్ ద్వారా కాల్పులు జరపడానికి సమకాలీకరించబడింది. కాక్‌పిట్ అంచున ఉన్న ఫ్యూజ్‌లేజ్ యొక్క ప్రతి వైపు తుపాకు"&amp;"లు బాహ్యంగా అమర్చబడ్డాయి. [7] రాయల్ వైమానిక దళం యొక్క మొదటి ఆర్డర్ పది వుడ్‌కాక్ IIS కోసం, మొదటి ఆరు రాత్రి ఎగిరే పరికరాలు లేకుండా పూర్తయ్యాయి. [1] ఈ సేవ చివరికి మొత్తం 62 విమానాలను ఆదేశించింది. మొదటి బ్యాచ్ విమానాలలో ఒకటి స్కాండినేవియాలో ప్రదర్శించడానికి"&amp;" అనుమతించడానికి సివిల్ రిజిస్ట్రేషన్ ఇవ్వబడింది. [1] [8] యునైటెడ్ కింగ్‌డమ్‌కు తిరిగి వచ్చినప్పుడు, ప్రదర్శనకారుడు 1925 కింగ్స్ కప్ ఎయిర్ రేస్‌లో ప్రవేశించాడు, కాని లూటన్ సమీపంలో చెడు వాతావరణంలో రేసులో ఇది కుప్పకూలింది. [1] రాయల్ ఎయిర్ ఫోర్స్‌కు పంపిణీ చే"&amp;"యబడిన మొట్టమొదటి విమానం మే 1925 లో 3 స్క్వాడ్రన్‌తో కలిసి RAF ఉపవాన్ వద్ద సేవలను ప్రవేశపెట్టింది. 17 వ స్క్వాడ్రన్ మాత్రమే ఇతర కార్యాచరణ స్క్వాడ్రన్, మొదటి డెలివరీలు మార్చి 1926 లో చేయబడ్డాయి. రకం యొక్క ప్రారంభ నిర్మాణ సమస్యలు పరిష్కరించబడిన తర్వాత, వుడ్‌"&amp;"కాక్ దాని పైలట్‌లతో ప్రాచుర్యం పొందింది. దీనిని 1928 లో గ్లోస్టర్ గేమ్‌కాక్ భర్తీ చేశారు. అయినప్పటికీ, కొన్ని వుడ్‌కాక్స్ ఇప్పటికీ 1936 లో ఎగురుతున్నాయి. [6] జూన్ 1927 లో, నంబర్ 17 స్క్వాడ్రన్ యొక్క వుడ్కాక్ II ను ప్రముఖ ఏవియేటర్ చార్లెస్ లిండ్బర్గ్ అరువు"&amp;"గా తీసుకున్నారు. [1] అతను సెయింట్ లూయిస్ స్ఫూర్తితో తన అట్లాంటిక్ ఫ్లైట్ తర్వాత లండన్ నుండి పారిస్‌కు తిరిగి వెళ్ళడానికి ఈ విమానాన్ని ఉపయోగించాడు. [1] 1912 నుండి బ్రిటిష్ ఫైటర్ నుండి వచ్చిన డేటా [11] సాధారణ లక్షణాలు పనితీరు ఆయుధ సంబంధిత జాబితాలు")</f>
        <v>హాకర్ వుడ్‌కాక్ హాకర్ ఇంజనీరింగ్ సంస్థ చేత నిర్మించిన మొదటి ఫైటర్‌గా హాకర్ ఇంజనీరింగ్ సంస్థ నిర్మించిన బ్రిటిష్ సింగిల్-సీట్ ఫైటర్, హాకర్ ఇంజనీరింగ్ (సోప్విత్ ఏవియేషన్ వారసుడు) చేత నిర్మించబడ్డాడు. దీనిని 1920 లలో RAF నైట్ ఫైటర్‌గా ఉపయోగించారు. హాకర్ వుడ్‌కాక్ 1922 లో స్పెసిఫికేషన్ 25/22 ను కలవడానికి నైట్ ఫైటర్‌గా రూపొందించబడింది. [1] చీఫ్ డిజైనర్ కెప్టెన్ థామ్సన్, మరియు ప్రోటోటైప్, సీరియల్ నంబర్ J6987, మొదట 358 హెచ్‌పి (267 కిలోవాట్ల) ఆర్మ్‌స్ట్రాంగ్ సిడ్లీ జాగ్వార్ II ఇంజిన్‌తో మార్చి 1923 లో ఎఫ్. పి. ఇది రెండు-బే వింగ్ కలిగి ఉంది. [2] [3] యుక్తి లేకపోవడం మరియు తీవ్రమైన వింగ్ ఫ్లట్టర్ మరియు అసమర్థమైన చుక్కాని నియంత్రణతో బాధపడుతున్నందున, స్పిన్నింగ్ నిషేధించబడినందున ఈ నమూనా తిరస్కరించబడింది. [4] మొదటి విమానంలో W. G. కార్టర్ చీఫ్ డిజైనర్‌గా బాధ్యతలు స్వీకరించారు మరియు డిజైన్‌ను మార్చాడు, వింగ్స్‌పాన్‌ను 2 అడుగుల (0.61 మీ) తగ్గించి, సింగిల్-బే నిర్మాణంగా మార్చాడు. పవర్‌ప్లాంట్‌ను 380 హెచ్‌పి (283 కిలోవాట్) బ్రిస్టల్ బృహస్పతి ఐవి ఇంజిన్‌కు మార్చారు. సవరించిన డిజైన్ వుడ్‌కాక్ MK II గా నియమించబడింది మరియు మొదట ఆగస్టు 1923 లో ప్రయాణించారు, మరియు మరింత మార్పుల తరువాత, 1924 చివరిలో ఉంచిన ప్రారంభ ఆర్డర్‌లతో సేవ కోసం అంగీకరించబడింది. [5] [2] సేవ యొక్క ప్రారంభ భాగంలో అనేక ప్రమాదాలు సంభవించాయి, విమానం రెక్కల స్పార్ వైఫల్యాలు మరియు అండర్ క్యారేజ్ పతనం కురిసే అవకాశం ఉంది, అయితే ఈ నిర్మాణాత్మక బలహీనత 1925 చివరి నాటికి నయమైంది. [6] వుడ్‌కాక్ రెండు .303 లో (7.7 మిమీ) విక్కర్స్ మెషిన్ గన్‌లతో సాయుధమైంది, ప్రొపెల్లర్ ఆర్క్ ద్వారా కాల్పులు జరపడానికి సమకాలీకరించబడింది. కాక్‌పిట్ అంచున ఉన్న ఫ్యూజ్‌లేజ్ యొక్క ప్రతి వైపు తుపాకులు బాహ్యంగా అమర్చబడ్డాయి. [7] రాయల్ వైమానిక దళం యొక్క మొదటి ఆర్డర్ పది వుడ్‌కాక్ IIS కోసం, మొదటి ఆరు రాత్రి ఎగిరే పరికరాలు లేకుండా పూర్తయ్యాయి. [1] ఈ సేవ చివరికి మొత్తం 62 విమానాలను ఆదేశించింది. మొదటి బ్యాచ్ విమానాలలో ఒకటి స్కాండినేవియాలో ప్రదర్శించడానికి అనుమతించడానికి సివిల్ రిజిస్ట్రేషన్ ఇవ్వబడింది. [1] [8] యునైటెడ్ కింగ్‌డమ్‌కు తిరిగి వచ్చినప్పుడు, ప్రదర్శనకారుడు 1925 కింగ్స్ కప్ ఎయిర్ రేస్‌లో ప్రవేశించాడు, కాని లూటన్ సమీపంలో చెడు వాతావరణంలో రేసులో ఇది కుప్పకూలింది. [1] రాయల్ ఎయిర్ ఫోర్స్‌కు పంపిణీ చేయబడిన మొట్టమొదటి విమానం మే 1925 లో 3 స్క్వాడ్రన్‌తో కలిసి RAF ఉపవాన్ వద్ద సేవలను ప్రవేశపెట్టింది. 17 వ స్క్వాడ్రన్ మాత్రమే ఇతర కార్యాచరణ స్క్వాడ్రన్, మొదటి డెలివరీలు మార్చి 1926 లో చేయబడ్డాయి. రకం యొక్క ప్రారంభ నిర్మాణ సమస్యలు పరిష్కరించబడిన తర్వాత, వుడ్‌కాక్ దాని పైలట్‌లతో ప్రాచుర్యం పొందింది. దీనిని 1928 లో గ్లోస్టర్ గేమ్‌కాక్ భర్తీ చేశారు. అయినప్పటికీ, కొన్ని వుడ్‌కాక్స్ ఇప్పటికీ 1936 లో ఎగురుతున్నాయి. [6] జూన్ 1927 లో, నంబర్ 17 స్క్వాడ్రన్ యొక్క వుడ్కాక్ II ను ప్రముఖ ఏవియేటర్ చార్లెస్ లిండ్బర్గ్ అరువుగా తీసుకున్నారు. [1] అతను సెయింట్ లూయిస్ స్ఫూర్తితో తన అట్లాంటిక్ ఫ్లైట్ తర్వాత లండన్ నుండి పారిస్‌కు తిరిగి వెళ్ళడానికి ఈ విమానాన్ని ఉపయోగించాడు. [1] 1912 నుండి బ్రిటిష్ ఫైటర్ నుండి వచ్చిన డేటా [11] సాధారణ లక్షణాలు పనితీరు ఆయుధ సంబంధిత జాబితాలు</v>
      </c>
      <c r="E110" s="1" t="s">
        <v>2361</v>
      </c>
      <c r="F110" s="1" t="s">
        <v>421</v>
      </c>
      <c r="G110" s="1" t="str">
        <f>IFERROR(__xludf.DUMMYFUNCTION("GOOGLETRANSLATE(F:F, ""en"", ""te"")"),"యుద్ధ")</f>
        <v>యుద్ధ</v>
      </c>
      <c r="I110" s="1" t="s">
        <v>964</v>
      </c>
      <c r="J110" s="1" t="str">
        <f>IFERROR(__xludf.DUMMYFUNCTION("GOOGLETRANSLATE(I:I, ""en"", ""te"")"),"యునైటెడ్ కింగ్‌డమ్")</f>
        <v>యునైటెడ్ కింగ్‌డమ్</v>
      </c>
      <c r="L110" s="1" t="s">
        <v>597</v>
      </c>
      <c r="M110" s="1" t="str">
        <f>IFERROR(__xludf.DUMMYFUNCTION("GOOGLETRANSLATE(L:L, ""en"", ""te"")"),"హాకర్")</f>
        <v>హాకర్</v>
      </c>
      <c r="N110" s="3" t="s">
        <v>598</v>
      </c>
      <c r="O110" s="1" t="s">
        <v>2362</v>
      </c>
      <c r="P110" s="1" t="str">
        <f>IFERROR(__xludf.DUMMYFUNCTION("GOOGLETRANSLATE(O:O, ""en"", ""te"")"),"కెప్టెన్ థామ్సన్ W.G. కార్టర్")</f>
        <v>కెప్టెన్ థామ్సన్ W.G. కార్టర్</v>
      </c>
      <c r="Q110" s="1" t="s">
        <v>2363</v>
      </c>
      <c r="R110" s="5">
        <v>8461.0</v>
      </c>
      <c r="S110" s="1">
        <v>64.0</v>
      </c>
      <c r="T110" s="1" t="s">
        <v>216</v>
      </c>
      <c r="U110" s="1" t="s">
        <v>2364</v>
      </c>
      <c r="V110" s="1">
        <v>1.0</v>
      </c>
      <c r="W110" s="1" t="s">
        <v>2365</v>
      </c>
      <c r="X110" s="1" t="s">
        <v>2366</v>
      </c>
      <c r="Y110" s="1" t="s">
        <v>2367</v>
      </c>
      <c r="Z110" s="1" t="s">
        <v>2368</v>
      </c>
      <c r="AG110" s="1" t="s">
        <v>2369</v>
      </c>
      <c r="AH110" s="1" t="s">
        <v>2370</v>
      </c>
      <c r="AO110" s="1">
        <v>1925.0</v>
      </c>
      <c r="AW110" s="1" t="s">
        <v>2371</v>
      </c>
      <c r="AX110" s="1" t="s">
        <v>2372</v>
      </c>
      <c r="AY110" s="1" t="str">
        <f>IFERROR(__xludf.DUMMYFUNCTION("GOOGLETRANSLATE(AX:AX, ""en"", ""te"")"),"1 × బ్రిస్టల్ బృహస్పతి IV 9-సిలిండర్ రేడియల్ ఇంజిన్, 425 HP (317 kW)")</f>
        <v>1 × బ్రిస్టల్ బృహస్పతి IV 9-సిలిండర్ రేడియల్ ఇంజిన్, 425 HP (317 kW)</v>
      </c>
      <c r="BB110" s="1" t="s">
        <v>2373</v>
      </c>
      <c r="BC110" s="1" t="s">
        <v>2374</v>
      </c>
      <c r="BD110" s="1" t="s">
        <v>2375</v>
      </c>
      <c r="BF110" s="1" t="s">
        <v>610</v>
      </c>
      <c r="BG110" s="2" t="str">
        <f>IFERROR(__xludf.DUMMYFUNCTION("GOOGLETRANSLATE(BF:BF, ""en"", ""te"")"),"రాయల్ వైమానిక దళం")</f>
        <v>రాయల్ వైమానిక దళం</v>
      </c>
      <c r="BH110" s="1" t="s">
        <v>611</v>
      </c>
      <c r="BT110" s="1" t="s">
        <v>2376</v>
      </c>
      <c r="BW110" s="1" t="s">
        <v>2377</v>
      </c>
      <c r="CB110" s="1" t="s">
        <v>2378</v>
      </c>
      <c r="CC110" s="1" t="s">
        <v>2379</v>
      </c>
      <c r="CD110" s="1" t="str">
        <f>IFERROR(__xludf.DUMMYFUNCTION("GOOGLETRANSLATE(CC:CC, ""en"", ""te"")"),"2 × .303 (7.7 మిమీ) విక్కర్స్ మెషిన్ గన్స్ ఫ్యూజ్‌లేజ్ వైపులా")</f>
        <v>2 × .303 (7.7 మిమీ) విక్కర్స్ మెషిన్ గన్స్ ఫ్యూజ్‌లేజ్ వైపులా</v>
      </c>
    </row>
    <row r="111">
      <c r="A111" s="1" t="s">
        <v>2380</v>
      </c>
      <c r="B111" s="1" t="str">
        <f>IFERROR(__xludf.DUMMYFUNCTION("GOOGLETRANSLATE(A:A, ""en"", ""te"")"),"మికోయన్-గ్యూర్విచ్ మిగ్ -9")</f>
        <v>మికోయన్-గ్యూర్విచ్ మిగ్ -9</v>
      </c>
      <c r="C111" s="1" t="s">
        <v>2381</v>
      </c>
      <c r="D111" s="1" t="str">
        <f>IFERROR(__xludf.DUMMYFUNCTION("GOOGLETRANSLATE(C:C, ""en"", ""te"")"),"మికోయాన్-గురెవిచ్ మిగ్ -9 (రష్యన్: микоян г гревич -9 యుద్ధం II. ఇది రివర్స్-ఇంజనీరింగ్ జర్మన్ BMW 003 ఇంజిన్లను ఉపయోగించింది. మొదటి తరం జెట్ ఫైటర్‌గా వర్గీకరించబడింది, ఇది మధ్యస్తంగా విజయవంతమైంది, కాని తుపాకీ గ్యాస్ తీసుకోవడం వల్ల తుపాకులను అధిక ఎత్తులో "&amp;"కాల్చేటప్పుడు ఇంజిన్ ఫ్లేమ్‌అవుట్‌లతో నిరంతర సమస్యలతో బాధపడుతోంది. అనేక విభిన్న ఆయుధ ఆకృతీకరణలు పరీక్షించబడ్డాయి, కానీ ఏదీ సమస్యను పరిష్కరించలేదు. అనేక విభిన్న ఇంజన్లు మూల్యాంకనం చేయబడ్డాయి, కాని మికోయన్-గ్యూర్విచ్ MIG-15 యొక్క నమూనా ఉన్నతమైన పనితీరును వా"&amp;"గ్దానం చేసినందున ఏదీ ఎగరలేదు. ప్రోటోటైప్‌లతో సహా మొత్తం 610 విమానాలు నిర్మించబడ్డాయి మరియు వారు 1948 లో సోవియట్ వైమానిక దళాలతో సేవలో ప్రవేశించారు. జాతీయవాద చైనీస్ వైమానిక దాడులకు వ్యతిరేకంగా చైనా నగరాలను రక్షించడానికి మరియు చైనా పైలట్లకు జెట్ కార్యకలాపాలల"&amp;"ో శిక్షణ ఇవ్వడానికి చైనా నగరాలను రక్షించడానికి కనీసం 372 మందిని 1950 లో పీపుల్స్ లిబరేషన్ ఆర్మీ వైమానిక దళానికి బదిలీ చేశారు. MIG-9 ను త్వరగా MIG-15 ద్వారా భర్తీ చేశారు. ముగ్గురు మనుగడ సాగిస్తారు. ఫిబ్రవరి 1945 లో, కౌన్సిల్ ఆఫ్ పీపుల్స్ కమీస్సార్స్ మికోయన"&amp;"్-గ్యూరివిచ్ (MIG) OKB ని సింగిల్-సీట్ జెట్ ఫైటర్‌ను అభివృద్ధి చేయాలని ఆదేశించింది, రెండు జర్మన్ BMW 003 ఇంజన్లు ఉన్నాయి. బాంబర్లను నాశనం చేయడానికి ఉద్దేశించిన ఈ విమానంలో ఒకే 57-మిల్లీమీటర్ (2.2 అంగుళాలు) లేదా 37-మిల్లీమీటర్ (1.5 అంగుళాలు) తుపాకీతో పాటు ర"&amp;"ెండు 23-మిల్లీమీటర్ (0.9 అంగుళాలు) తుపాకులు ఉన్నాయి. ఏప్రిల్ 9 న మరింత వివరణాత్మక ఆదేశం జారీ చేయబడింది, ఈ విమానం సముద్ర మట్టంలో గంటకు గరిష్టంగా 900 కిలోమీటర్లు (559 mph) మరియు 5,000 మీటర్ల ఎత్తులో 910 కిమీ/గం (565 mph) వేగం కలిగి ఉండాలి (16,400 అడుగులు). "&amp;"ఇది నాలుగు నిమిషాల్లో లేదా అంతకంటే తక్కువ వ్యవధిలో ఆ ఎత్తుకు ఎక్కగలగాలి మరియు ఇది గరిష్టంగా 820 కిలోమీటర్ల (510 మైళ్ళు) కలిగి ఉండాలి. 15 మార్చి 1946 నాటికి మూడు ప్రోటోటైప్‌లు విమాన పరీక్షలకు సిద్ధంగా ఉండాలని ఆదేశించబడ్డాయి. [3] OKB వారి కొత్త ఫైటర్ కోసం "&amp;"""పాడ్-అండ్-బూమ్"" లేఅవుట్ను ఎంచుకుంది, I-300 (OKB చేత ఇజ్డెలియే F (మోడల్ లేదా ప్రొడక్ట్ ఎఫ్) అని కూడా పిలుస్తారు) ఎందుకంటే ఇది మెరుగైన ల్యాండింగ్ పనితీరు మరియు మంచి దృశ్యమానతను అందించింది ల్యాండింగ్ చేసేటప్పుడు కాక్‌పిట్ కానీ ల్యాండింగ్ గేర్ యొక్క తెలియన"&amp;"ి ట్రైసైకిల్ అమరిక, జెట్ ఎగ్జాస్ట్ నుండి వెనుక ఫ్యూజ్‌లేజ్‌ను రక్షించడం మరియు విమానం యొక్క ఆయుధాన్ని ఎక్కడ ఉంచాలి వంటి కొన్ని లోపాలు ఉన్నాయి. ఆల్-మెటల్ విమానాలలో ముక్కులో రెండు ప్రముఖ గాలి తీసుకోవడం వంటివి, మిడ్-మౌంటెడ్ రెక్కలు ఉన్నాయి. దీని రెండు-స్పేర్ "&amp;"రెక్కలు స్లాట్డ్ ఫ్లాప్స్ మరియు ఫ్రైజ్ ఐలెరాన్‌లతో అమర్చబడ్డాయి. దీని పవర్‌ప్లాంట్‌లో రెండు RD-20 టర్బోజెట్లు ఉన్నాయి, ఇవి BMW 003 యొక్క సోవియట్-తయారీ వెర్షన్లు. రెండు ఇంజన్లు కాక్‌పిట్ వెనుక దిగువ ఫ్యూజ్‌లేజ్‌లో ఉన్నాయి, ఎగ్జాస్ట్ టెయిల్ యూనిట్ కింద నిష్"&amp;"క్రమించింది. ఎగ్జాస్ట్ వాయువుల నుండి రక్షించడానికి వెనుక ఫ్యూజ్‌లేజ్ దిగువన స్టీల్ లామినేట్ హీట్‌షీల్డ్ ఏర్పాటు చేయబడింది. ఫ్యూజ్‌లేజ్‌లో నాలుగు బ్యాగ్-రకం ఇంధన ట్యాంకులు మరియు ప్రతి రెక్కలో మూడు ఉన్నాయి, ఇది మొత్తం అంతర్గత ఇంధన సామర్థ్యాన్ని 1,625 లీటర్ల"&amp;"ు (429 యుఎస్ గ్యాలన్లు) అందిస్తుంది. కాక్‌పిట్ ఒత్తిడి చేయబడలేదు. ప్రణాళికాబద్ధమైన ఆయుధంలో 57 mM NL-57 కానన్ ఉన్నాయి, సెంటర్‌లైన్ ఇంజిన్ తీసుకోవడం బల్క్‌హెడ్ మరియు రెండు 23 mM నుడెల్మాన్-సురనోవ్ NS-23 ఆటోకానన్ గాలి తీసుకోవడం యొక్క దిగువ పెదవిపై అమర్చారు. "&amp;"[4] N-57 తుపాకీకి 28 రౌండ్లు మరియు రెండు NS-23 ఫిరంగులకు 80 రౌండ్లు ఉన్నాయి. [5] మూడు ప్రోటోటైప్‌ల నిర్మాణం 1945 చివరలో ప్రారంభమైంది మరియు మొదటి నమూనా డిసెంబర్ 30 న తయారీదారుల పరీక్షను ప్రారంభించింది. ఇంజిన్ ఎగ్జాస్ట్ వెనుక ఫ్యూజ్‌లేజ్ కింద తక్కువ-పీడన ప్"&amp;"రాంతానికి కారణమైందని గ్రౌండ్ టెస్టింగ్ వెల్లడించింది కఠినంగా అమర్చిన హీట్‌షీల్డ్ వెనుక ఫ్యూజ్‌లేజ్ యొక్క దిగువ భాగంలో వైకల్యానికి కారణమైంది, ఎందుకంటే ఉక్కు మరియు ఫ్యూజ్‌లేజ్ యొక్క డ్యూరాలిమిన్ చర్మం వేడిచేసినప్పుడు వేర్వేరు విస్తరణ నిష్పత్తులను కలిగి ఉన్న"&amp;"ాయి. ఈ సమస్యలను తొలగించడానికి వెనుక ఫ్యూజ్‌లేజ్ మరియు హీట్‌షీల్డ్ రెండూ పున es రూపకల్పన చేయబడ్డాయి. మార్చి 23 న, ఫ్లైట్ టెస్టింగ్ కోసం సన్నాహాలను ప్రారంభించడానికి ఈ నమూనాను ఫ్లైట్ రీసెర్చ్ ఇన్స్టిట్యూట్ (LII) యొక్క ఎయిర్ఫీల్డ్కు ఫ్లైట్ రీసెర్చ్ ఇన్స్టిట్య"&amp;"ూట్ (LII) యొక్క ఎయిర్ఫీల్డ్కు ట్రక్ చేశారు. [6] ఏవియేషన్ హిస్టారియన్ బిల్ గన్స్టన్ ప్రకారం, 24 ఏప్రిల్ 1946 న మైకోయన్-గ్యూర్విచ్ మరియు యాకోవ్లెవ్ ఓక్బ్ ప్రతినిధులు ఒక నాణెం విసిరి, ఏ విమానం ఎగురుతున్న మొదటి సోవియట్ జెట్ అని నిర్ధారించారు. . ఈ ప్రారంభ విమా"&amp;"నాలు విమానం యొక్క స్థిరత్వం మరియు కొత్త ఉచ్చారణ హీట్‌షీల్డ్‌తో వైబ్రేషన్ సమస్యలతో సమస్యలను వెల్లడించాయి. ఇది పన్నెండవ విమానానికి ముందు గట్టిపడింది, కానీ అది పాక్షికంగా మాత్రమే సమస్యను నయం చేసింది. జూలై 11 న ఉన్నత స్థాయి అధికారుల ముందు ప్రదర్శన సందర్భంగా మ"&amp;"ొదటి విమానం పైలట్‌ను చంపింది, వింగ్ లీడింగ్ ఎడ్జ్ ఫెయిరింగ్స్ యొక్క అటాచ్మెంట్ లగ్స్ విఫలమైనప్పుడు మరియు అవి క్షితిజ సమాంతర స్టెబిలైజర్లను కొట్టాయి. మిగిలిన రెండు ప్రోటోటైప్‌లు తరువాతి నెలలో విమాన పరీక్షను ప్రారంభించాయి, కాని అక్టోబర్ విప్లవాన్ని జ్ఞాపకార"&amp;"్థం నవంబర్ 7 పరేడ్‌కు సన్నాహాలు డిసెంబర్ 17 వరకు రాష్ట్ర అంగీకార పరీక్షల ప్రారంభాన్ని ఆలస్యం చేశాయి. ఇంతలో, రెండవ ప్రోటోటైప్ యొక్క క్షితిజ సమాంతర స్టెబిలైజర్ ఫ్లైట్ సమయంలో విచ్ఛిన్నమైంది, కాని పైలట్ విమానాన్ని సురక్షితంగా ల్యాండ్ చేయగలిగాడు. ఇలాంటి మరో సం"&amp;"ఘటన ఫిబ్రవరి 1947 లో మూడవ నమూనాకు జరిగింది మరియు తోకను బలోపేతం చేయమని బలవంతం చేసింది. [9] ఈ విమానానికి MIG-9 (I-301 మరియు ఇజ్డెలియే FS యొక్క అంతర్గత OKB హోదా) యొక్క సేవా హోదా ఇవ్వబడింది మరియు అసలు జర్మన్ ఇంజిన్లతో కూడిన పది విమానాల యొక్క చిన్న బ్యాచ్, 194"&amp;"6 లో కజాన్‌లో ఫ్యాక్టరీ నంబర్ 1 నుండి ఫ్లైట్ ముందు ఆదేశించబడింది పరీక్ష పూర్తయింది. వారు కవాతులో ఉపయోగించాలని ఉద్దేశించారు, కాని చెడు వాతావరణం వారి ఫ్లైపాస్ట్ రద్దు చేయమని బలవంతం చేసింది. వారిలో ఇద్దరిని రాష్ట్ర అంగీకార ప్రయత్నాలలో పాల్గొనడానికి నియమించబడ"&amp;"్డారు, మరికొందరు వివిధ కార్యక్రమాలకు టెస్ట్‌బెడ్‌లుగా ఉపయోగించబడ్డారు. ట్రయల్స్ జూన్లో ముగిశాయి మరియు మిగ్ -9 సాధారణంగా కౌన్సిల్ ఆఫ్ పీపుల్స్ కమీస్సార్స్ నిర్దేశించిన పనితీరు లక్ష్యాలను చేరుకుంది. టెస్ట్ పైలట్లు ఫైటర్ సులభం మరియు ఎగరడం సులభం. పరీక్ష సమయంల"&amp;"ో గుర్తించబడిన లోపాలు ఏమిటంటే, తుపాకీ వాయువు తీసుకోవడం వల్ల ఫిరంగిని అధిక ఎత్తులో కాల్చేటప్పుడు ఇంజన్లు మంటలు చెలరేగాయి, ఎజెక్షన్ సీటు అమర్చబడలేదు, లేదా ఎయిర్ బ్రేక్‌లు లేదా అగ్ని అణచివేత వ్యవస్థ కూడా లేదు. ఇంధన ట్యాంకులు స్వీయ సీలింగ్ కాదు మరియు పైలట్ కో"&amp;"సం కవచం అందించబడలేదు. ఈ లోపాలు ఉన్నప్పటికీ, సోవియట్ నాయకత్వం ఉత్పత్తి సమయంలో దాని లోపాలను సరిదిద్దవచ్చని నమ్ముతున్నందున అంగీకార పరీక్షలు పూర్తయ్యే ముందు MIG-9 ను ఫ్యాక్టరీ నంబర్ 1 వద్ద ఉత్పత్తిలోకి తీసుకున్నారు. 50 విమానాల బ్యాచ్, 40 సింగిల్-సీట్ ఫైటర్స్ "&amp;"మరియు 10 రెండు-సీట్ల శిక్షకులు 1946 చివరిలో 1947 మే డే పరేడ్‌లో పాల్గొనాలని ఆదేశించారు. వారి సాధనను గుర్తించి ఆర్టెమ్ మికోయన్ మరియు మిఖాయిల్ గురెవిచ్లకు 1947 లో స్టాలిన్ బహుమతి లభించింది. [10] రెండు-సీట్ల శిక్షకుడికి I-301T మరియు IZDELIYE FT యొక్క అంతర్గత"&amp;" OKB హోదా ఉంది మరియు మొదటి నమూనా 1946 లో ""పరేడ్"" విమానంలో ఒకటి నుండి మార్చబడింది. దాని ఇంధన సామర్థ్యాన్ని రెండవ వంతు తగ్గించవలసి వచ్చింది, రెండవది గదిని రూపొందించడానికి తగ్గించాల్సి వచ్చింది. టెన్డం కాక్‌పిట్. బోధకుడు మరియు విద్యార్థి గాలిలో కమ్యూనికేట్"&amp;" చేయడానికి అనుమతించే ఇంటర్‌కామ్ వలె ద్వంద్వ నియంత్రణలు అమర్చబడ్డాయి. ప్రతి మనిషికి ఎజెక్షన్ సీటు ఉంది, ఆ తర్వాత జర్మన్లు ​​వారి హీంకెల్ అతను 162 ఫైటర్. ఈ విమానం 17 జనవరి 1947 న పంపిణీ చేయబడింది, అయినప్పటికీ ఏప్రిల్ 5 వరకు విమాన పరీక్ష పూర్తి కాలేదు. ఎజెక్"&amp;"షన్ సీట్లు గాలిలో పరీక్షించబడలేదు, కాని సీటు యొక్క సరైన ఆపరేషన్ను నిర్ధారించడానికి వారికి మైదానంలో విస్తృతమైన పరీక్షలు అవసరం. జూన్ 2 వరకు రాష్ట్ర అంగీకార పరీక్షలు పూర్తి కాలేదు మరియు వెనుక కాక్‌పిట్ నుండి దృశ్యమానత తక్కువగా ఉన్నందున విమానం తిరస్కరించబడింద"&amp;"ి. రెండవ విమానం జూలై 15 న పూర్తయింది మరియు అసలు బుల్లెట్ ప్రూఫ్ విండ్‌స్క్రీన్‌ను పెద్ద గ్లాస్ ప్లేట్‌తో భర్తీ చేయడం ద్వారా, పందిరి సైడ్ ప్యానెల్స్‌ను పున hap రూపకల్పన చేయడం మరియు కాక్‌పిట్‌ల మధ్య విభజనను తొలగించడం ద్వారా వెనుక కాక్‌పిట్ నుండి దృశ్యమానత మ"&amp;"ెరుగుపరచబడింది. ఈ విమానం రెక్కలలో ఎయిర్ బ్రేక్‌లు మరియు రెండు 260-లీటర్ (57 ఇంప్ గల్; 69 యుఎస్ గాల్) డ్రాప్ ట్యాంకులు దాని వింగ్‌టిప్స్ కింద వేలాడదీయబడ్డాయి. ఇది 1947 లో దాని రాష్ట్ర అంగీకార పరీక్షలను ఆమోదించింది మరియు యుటిఐ మిగ్ -9 యొక్క సేవా హోదాతో ఉత్ప"&amp;"త్తికి సిఫార్సు చేయబడింది. ఎజెక్షన్ సీట్లు 1948 లో విస్తృతంగా పరీక్షించబడ్డాయి మరియు ఉపయోగం కోసం ఆమోదించబడ్డాయి, కానీ ఈ సమయానికి విమానం వాడుకలో లేదని భావించారు మరియు శిక్షణ సంస్కరణను నిర్మించడంలో అర్థం లేదు. [11] 1946 లో ఉంచిన 50 విమానాల ఆర్డర్ 48 సింగిల్"&amp;" సీటర్లకు మరియు OKB కి ఒక విమానానికి సవరించబడింది, అన్నింటికీ ఆయుధాలు లేవు. వారు మార్చి-ఏప్రిల్ 1947 లో ఒక 37 మిమీ న్యూడెల్మాన్ ఎన్ -37 ఆటోకానన్ యొక్క ప్రామాణిక ఆయుధంతో, 40 రౌండ్లు, మరియు రెండు 23 మిమీ న్యూడెల్మాన్-సురానోవ్ ఎన్ఎస్ -23 తుపాకులతో తయారు చేయబ"&amp;"డ్డారు, కాని తరువాత ఉత్పత్తి రేఖ మూసివేయబడింది. కావలసిన మార్పులు. పార్శ్వ స్థిరత్వాన్ని మెరుగుపరచడానికి నిలువు తోక యొక్క ఉపబల మరియు విస్తరణ వీటిలో ఉన్నాయి; రెక్కలపై ఎయిర్ బ్రేక్‌లు జోడించబడ్డాయి మరియు ఇంధన వ్యవస్థ మెరుగుపరచబడింది. ఇంజిన్ ఎగ్జాస్ట్ యొక్క గ"&amp;"ాలి ప్రవాహాన్ని సున్నితంగా చేయడానికి వెనుక ఫ్యూజ్‌లేజ్ యొక్క దిగువ భాగం తిరిగి పొందబడింది మరియు ఫ్యూజ్‌లేజ్ లోపల గాలి చూషణ తొలగించబడింది. ఉత్పత్తి పున ar ప్రారంభించబడింది మరియు మిగిలిన సంవత్సరంలో మొత్తం 243 సింగిల్ సీటర్లు పూర్తయ్యాయి. 250 మంది యోధులు మరి"&amp;"యు 60 మంది శిక్షకులు 1948 లో నిర్మించవలసి ఉంది, కాని ఆ సంవత్సరం తరువాత చాలా ఉన్నతమైన MIG-15 తయారీని ప్రారంభించడానికి సన్నాహాలు ద్వారా ఉత్పత్తి దెబ్బతింది. ఉత్పత్తి ఆగిపోవడానికి ముందు ఆ సంవత్సరం 302 మంది యోధులు మాత్రమే పంపిణీ చేయబడ్డారు. [12] పరేడ్ బ్యాచ్ "&amp;"యొక్క నాల్గవ మరియు ఐదవ విమానాలు 1947 చివరి నుండి 1948 ప్రారంభం వరకు ఇంజిన్ ఫ్లేమౌట్ సమస్యను తొలగించడానికి విమాన పరీక్షలలో ఉపయోగించబడ్డాయి. అవి ఎన్ -37 ఫిరంగి యొక్క బారెల్‌లోని ప్రముఖ దీర్ఘచతురస్రాకార బోలు వేన్‌తో అమర్చబడ్డాయి, ఇది మారుపేరుతో ఉంది "" సీతాక"&amp;"ోకచిలుక ""(బాహోచ్కా). ఇది మూడు ఫిరంగిని 10,100 మీటర్లు (33,100 అడుగులు) వరకు ఒకేసారి కాల్చడానికి అనుమతించింది, కాని ఫిన్ కేవలం 813 షాట్ల తర్వాత మాత్రమే విచ్ఛిన్నమైంది, ఫిన్ నుండి శిధిలాలను ఇంజిన్లు తీసుకుంటే చాలా ప్రమాదకరం. అదనపు సమస్య ఏమిటంటే, ఫిన్ విమాన"&amp;"ం యొక్క దిశాత్మక స్థిరత్వానికి ఆటంకం కలిగించింది మరియు 3–5 షాట్ల తర్వాత ఆ YAW కి కారణమైంది. సమస్యను పరిష్కరించే మరో ప్రయత్నం I-302 (ఇజ్డెలియే FP) లో ఉత్పత్తి విమానం యొక్క మార్పు, ఇది N-37 ను విమానం యొక్క పోర్ట్ వైపుకు తరలించింది, కానీ ఇది విజయవంతం కాలేదు."&amp;" సమస్యను మెరుగుపర్చడానికి ఇతర ప్రయత్నాలలో N-37 లో మూతి బ్రేక్‌ను అమర్చడం మరియు దాని బారెల్‌ను విస్తరించడం వంటివి ఉన్నాయి, కానీ ఏమీ పని చేయలేదు. [13] I-305 (ఇజ్డెలియే FT) ఒక మిగ్ -9 ఎయిర్ఫ్రేమ్, ఇది 1,500 కిలోల (15 kn; 3,300 lbf) యొక్క ఒకే లియుల్కా టిఆర్ -"&amp;"1 టర్బోజెట్, ఇది RD-20 టర్బోజెట్ల జత స్థానంలో ఉంది. సెంటర్‌లైన్ బల్క్‌హెడ్‌లోని N-37 తుపాకీతో కూడా, 23 మిమీ ఫిరంగి ఫ్యూజ్‌లేజ్ యొక్క ప్రతి వైపుకు తరలించడంతో ఆయుధాన్ని పునర్వ్యవస్థీకరించారు; తరువాతి మందుగుండు సామగ్రిని 45 రౌండ్లకు పెంచారు. ఈ విమానం ఒత్తిడి"&amp;"తో కూడిన కాక్‌పిట్‌ను కలిగి ఉండటానికి ఉద్దేశించబడింది మరియు దాని మొత్తం బరువు 4,500 కిలోగ్రాముల (9,900 పౌండ్లు) కు తగ్గించబడింది. అయినప్పటికీ, ఇంజిన్ పరీక్షకు సిద్ధంగా లేదు మరియు 1948 ప్రారంభంలో MIG-15 ప్రోటోటైప్ MIG-15 విమాన పరీక్షను ప్రారంభించిన తరువాత "&amp;"విమానం యొక్క అభివృద్ధి రద్దు చేయబడింది. [14] 1946 మధ్యలో, కౌన్సిల్ ఆఫ్ మంత్రులు BMW 003S ఇంజిన్ ఆధారంగా RD-20 యొక్క ఆఫర్ బర్నింగ్ వెర్షన్లతో MIG-9 ను అభివృద్ధి చేయాలని ఆదేశించింది. ఈ ఇంజన్లు గరిష్టంగా 1,000–1,050 kgf (9.8–10.3 kN; 2,200–2,300 lbf) శక్తిని"&amp;" కలిగి ఉన్నాయి మరియు విమానం యొక్క వేగాన్ని సముద్ర మట్టంలో 920 km/h (570 mph) మరియు 950 km/h (590 mph ) 5,000 మీటర్ల (16,000 అడుగులు) వద్ద. N-37 ను భర్తీ చేసే 45-మిల్లీమీటర్ (1.8 అంగుళాలు) తుపాకీతో రెండు ప్రోటోటైప్‌లను నిర్మించాలని OKB ఆదేశించారు, ఇది ఏప్ర"&amp;"ిల్ 1947 లో విమాన పరీక్షలను ప్రారంభిస్తుంది. OKB 12-మిల్లీమీటర్ (0.47 అంగుళాలు) కవచపు పలకలను ముందు మరియు వెనుకకు జోడించింది పైలట్‌ను రక్షించండి మరియు అతనికి బుల్లెట్ ప్రూఫ్ విండ్‌స్క్రీన్ అందించబడింది, కాని విమానంలో ఇతర మార్పులు చేయలేదు. I-307 (ఇజ్డెలియే "&amp;"FF) ఒక నెల ఆలస్యంగా విమాన పరీక్షకు సిద్ధంగా ఉంది మరియు జర్మన్ ఇంజిన్లను ఉపయోగించాల్సి వచ్చింది ఎందుకంటే సోవియట్ నిర్మించిన సంస్కరణలు ఇంకా పరీక్షించబడలేదు. తయారీదారుల విమాన పరీక్షలు జూన్ 21 న పూర్తయ్యాయి మరియు ఫైటర్ ఆగస్టు 2 న దాని ఇంజిన్లను భర్తీ చేసిన తర"&amp;"ువాత ఆగస్టు 2 న రాష్ట్ర అంగీకార పరీక్షలను ప్రారంభించింది, కాని ఆగస్టు 19 న క్రాష్ అయ్యింది. రెండవ నమూనా పరేడ్ బ్యాచ్ యొక్క ఐదవ విమానం నుండి మార్చబడింది మరియు దాని మునుపటి తుపాకీ పరీక్షల సమయంలో ఉపయోగించిన సీతాకోకచిలుకను నిలుపుకుంది. దీనికి మొదటి ప్రోటోటైప్"&amp;" వలె అదే కాక్‌పిట్ కవచం మరియు విండ్‌స్క్రీన్ ఇవ్వబడింది, అయితే ఇది సోవియట్ నిర్మించిన RD-20F (తరువాత RD-21) ఇంజిన్‌లను ఉపయోగించింది. ఇది డిసెంబరులో తన విమాన పరీక్షలను ప్రారంభించింది మరియు ఇది 3,000 మీటర్ల (9,843 అడుగులు) మరియు 928 కిమీ/గం (577 mph) 5,200 "&amp;"మీటర్లు (17,100 అడుగులు) వద్ద 947 కిమీ/గం (588 mph) వేగంతో ప్రదర్శించింది, కానీ తదుపరి అభివృద్ధి పనులు జరగలేదు. కొన్ని ఆలస్య-ఉత్పత్తి విమానం ఈ ఇంజిన్‌ను అందుకుంది. [15] RD-21 ఇంజన్లు మరియు ఒత్తిడితో కూడిన కాక్‌పిట్‌తో కూడిన మరో నమూనా జూన్ 1947 లో పూర్తయిం"&amp;"ది. దీనిని అంతర్గతంగా I-307 (ఇజ్డెలియే FR) అని పిలుస్తారు మరియు దీనికి MIG-9M యొక్క సేవా హోదా ఇవ్వబడింది. తుపాకీ గ్యాస్ తీసుకోవడం సమస్యను మెరుగుపర్చడానికి మరొక ప్రయత్నంలో ఈ ఆయుధాలు పునర్వ్యవస్థీకరించబడ్డాయి, N-37 ఫ్యూజ్‌లేజ్ యొక్క స్టార్‌బోర్డ్ వైపున మరియ"&amp;"ు పోర్ట్ వైపు రెండు NS-23 లు, తుపాకీ బారెల్స్ మించినది కాదు గాలి తీసుకోవడం. ఇది కాక్‌పిట్‌ను కొద్దిగా ముందుకు తరలించడానికి కారణమైంది, ఇది ల్యాండింగ్ చేసేటప్పుడు పైలట్‌కు మంచి వీక్షణను ఇచ్చింది. ఇంధన ట్యాంకుల సంఖ్య ఐదుకి తగ్గించబడింది, కాని విమానం యొక్క మొ"&amp;"త్తం సామర్థ్యం అదే విధంగా ఉంది. ఇది జూలైలో మొదటి విమానంలో సాధించింది, కాని ఫ్యాక్టరీ విమాన పరీక్షలు 1948 ప్రారంభం వరకు పూర్తి కాలేదు. 5,000 మీటర్లు (16,000 అడుగులు) వద్ద 965 కిమీ/గం (600 mph) వేగం ఉన్నప్పటికీ, అది దాని రాష్ట్ర అంగీకార పరీక్షలలో విఫలమైంది."&amp;" ఇచ్చిన కారణాలు ఏమిటంటే, ఇంజన్లు 8,000 మీటర్ల (26,000 అడుగులు) కంటే తక్కువ ఎత్తులో తక్కువ RPM వద్ద నడుస్తుంటే, ఫిరంగి కోసం మౌంట్లు పూర్తిగా అభివృద్ధి చెందలేదు మరియు ఒత్తిడితో కూడిన కాక్‌పిట్ యొక్క పనితనం తక్కువగా ఉంది. అసలు కారణం ఏమిటంటే, విమానం అప్పటికే "&amp;"విమాన పరీక్షలో ఉన్న MIG-15 కంటే తక్కువ. [16] MIG-9 యొక్క మరో పునర్నిర్మించిన సంస్కరణ I-320 (ఇజ్డెలియే FN). ఇది దిగుమతి చేసుకున్న రోల్స్ రాయిస్ నేనే ఐ సెంట్రిఫ్యూగల్-ఫ్లో టర్బోజెట్ 2,230 కిలోల (21.9 kN; 4,900 lbf) గా రేట్ చేయబడింది మరియు గ్యాస్ తీసుకునే సమ"&amp;"స్యను తొలగించే మరో ప్రయత్నంలో ఆయుధాలు మరోసారి పునర్వ్యవస్థీకరించబడ్డాయి. N-37 ఫిరంగిని ఫ్యూజ్‌లేజ్ యొక్క దిగువ భాగంలోకి తరలించారు మరియు NS-23 తుపాకులను I-305 లో ఉన్నట్లుగా ఫ్యూజ్‌లేజ్ యొక్క ప్రతి వైపుకు తరలించారు, అయినప్పటికీ తుపాకీ బారెల్స్ ఏవీ గాలి తీసు"&amp;"కోవడం యొక్క పెదవులను దాటిపోలేదు. 1947 చివరలో నిర్మాణం ప్రారంభమైంది, కాని మిగ్ -15 ప్రోటోటైప్ అదే ఇంజిన్‌ను ఉపయోగించినందున మరియు అధిక పనితీరును కలిగి ఉన్నందున ఇది ఎప్పుడూ పూర్తి కాలేదు. [17] KS-1 కోమెట్ ఎయిర్-లాంచ్ యాంటీ-షిప్పింగ్ క్రూయిజ్ క్షిపణికి టెస్ట్"&amp;"‌బెడ్‌గా పనిచేయడానికి 1949 లో ఒక మిగ్ -9 (ఇజ్డెలియే ఎఫ్‌కె) సవరించబడింది. గైడెన్స్ సిస్టమ్ ఆపరేటర్ కోసం రెక్క యొక్క వెనుకంజలో ఉన్న అప్రధానమైన కాక్‌పిట్ నిర్మించబడింది. ఈ విమానం రెండు రాడార్లతో అమర్చబడింది, గాలి తీసుకోవడం పైన ఒక ప్రముఖ బుల్లెట్ ఆకారపు ఫెయి"&amp;"రింగ్‌లో K-1M టార్గెట్ ఇల్యూమినేషన్ రాడార్ మరియు నిలువు స్టెబిలైజర్ పైభాగంలో సిగార్ ఆకారపు ఫెయిరింగ్‌లో అమర్చిన వెనుక కనిపించే రాడార్. ఈ తరువాతి వ్యవస్థ లాంచింగ్ విమానం యొక్క మిడ్-కోర్సు మార్గదర్శక వ్యవస్థను మరియు క్షిపణి యొక్క మార్గదర్శక వ్యవస్థలను పరీక్"&amp;"షించడానికి ఉద్దేశించబడింది. K-1M రాడార్ నుండి సిగ్నల్స్ రెక్కల యొక్క ప్రముఖ అంచులలో చిన్న బుల్లెట్ ఆకారపు ఫెయిరింగ్స్‌లో స్వీకరించబడ్డాయి. ఈ విమానం ఈ పాత్రలో నాలుగు సంవత్సరాలు పనిచేసింది, క్షిపణి 1952–53లో తన రాష్ట్ర అంగీకార పరీక్షలను ఆమోదించే వరకు. [18] "&amp;"1, 7, 14, 15, మరియు 16 వ ఎయిర్ సైన్యాలలో ఫైటర్ రెజిమెంట్ల ద్వారా MIG-9 ను సోవియట్ సేవలో ఎగురవేసింది. ఈ చివరి రెండు వరుసగా కాలినిన్గ్రాడ్ మరియు తూర్పు జర్మనీలో ఉన్నాయి. అదనంగా, యారోస్లావ్ల్ సమీపంలోని 303 వ ఏవియేషన్ డివిజన్ యొక్క 177 వ ఫైటర్ ఏవియేషన్ రెజిమె"&amp;"ంట్ 1949 లో ఈ విమానం ఎగిరింది. [19] MIG-9 ల యొక్క ఆరు విభాగాలు, ఒక్కొక్కటి 31 విమానాల యొక్క రెండు రెజిమెంట్లు, నవంబర్-డిసెంబర్ 1950 లో వాయు రక్షణ మరియు శిక్షణా విధుల కోసం చైనాకు బదిలీ చేయబడ్డాయి. 17 వ గార్డ్స్ ఫైటర్ ఏవియేషన్ డివిజన్ (జిఐఎడి) షెన్యాంగ్‌ను "&amp;"సమర్థించింది, 20 వ ఫైటర్ ఏవియేషన్ డివిజన్ (ఐఎడి) టాంగ్షాన్‌ను కాపలాగా చేసింది మరియు 65 వ ఐఎడి గ్వాంగ్జౌను రక్షించారు. 144 వ IAD షాంఘైని సమర్థించింది, 309 వ కాపలాగా గోంగ్జూలింగ్ మరియు 328 వ IAD రక్షిత పెకింగ్‌ను రక్షించారు. ఈ యూనిట్లు తరువాత వారి విమానాలను"&amp;" వారి శిక్షణ పూర్తయినప్పుడు పీపుల్స్ లిబరేషన్ ఆర్మీ వైమానిక దళం యొక్క 6, 7, 12, 14, 16, మరియు 17 వ ఫైటర్ డివిజన్లకు అప్పగించాయి. [20] చైనీయులు తమ మిగ్ -9 లను 1951 లో సోవియట్ ఒత్తిడిలో కొరియాకు పంపాలని భావించారు, కాని పిఎల్‌ఎఎఫ్ కమాండర్లు మిగ్ -15 లలో మిగ్"&amp;" -9 పైలట్‌లను తిరిగి శిక్షణ ఇవ్వడం మంచిదని వారు నమ్ముతున్నారని నివేదించినప్పుడు పున ons పరిశీలించారు. [21] సోవియట్ యూనియన్ పీపుల్స్ రిపబ్లిక్ ఆఫ్ చైనా డేటా మిగ్ నుండి డేటా: యాభై సంవత్సరాల రహస్య విమాన రూపకల్పన [23] సాధారణ లక్షణాలు పనితీరు ఆయుధాలు పోల్చదగిన"&amp;" పాత్ర, కాన్ఫిగరేషన్ మరియు యుగం సంబంధిత జాబితాలు")</f>
        <v>మికోయాన్-గురెవిచ్ మిగ్ -9 (రష్యన్: микоян г гревич -9 యుద్ధం II. ఇది రివర్స్-ఇంజనీరింగ్ జర్మన్ BMW 003 ఇంజిన్లను ఉపయోగించింది. మొదటి తరం జెట్ ఫైటర్‌గా వర్గీకరించబడింది, ఇది మధ్యస్తంగా విజయవంతమైంది, కాని తుపాకీ గ్యాస్ తీసుకోవడం వల్ల తుపాకులను అధిక ఎత్తులో కాల్చేటప్పుడు ఇంజిన్ ఫ్లేమ్‌అవుట్‌లతో నిరంతర సమస్యలతో బాధపడుతోంది. అనేక విభిన్న ఆయుధ ఆకృతీకరణలు పరీక్షించబడ్డాయి, కానీ ఏదీ సమస్యను పరిష్కరించలేదు. అనేక విభిన్న ఇంజన్లు మూల్యాంకనం చేయబడ్డాయి, కాని మికోయన్-గ్యూర్విచ్ MIG-15 యొక్క నమూనా ఉన్నతమైన పనితీరును వాగ్దానం చేసినందున ఏదీ ఎగరలేదు. ప్రోటోటైప్‌లతో సహా మొత్తం 610 విమానాలు నిర్మించబడ్డాయి మరియు వారు 1948 లో సోవియట్ వైమానిక దళాలతో సేవలో ప్రవేశించారు. జాతీయవాద చైనీస్ వైమానిక దాడులకు వ్యతిరేకంగా చైనా నగరాలను రక్షించడానికి మరియు చైనా పైలట్లకు జెట్ కార్యకలాపాలలో శిక్షణ ఇవ్వడానికి చైనా నగరాలను రక్షించడానికి కనీసం 372 మందిని 1950 లో పీపుల్స్ లిబరేషన్ ఆర్మీ వైమానిక దళానికి బదిలీ చేశారు. MIG-9 ను త్వరగా MIG-15 ద్వారా భర్తీ చేశారు. ముగ్గురు మనుగడ సాగిస్తారు. ఫిబ్రవరి 1945 లో, కౌన్సిల్ ఆఫ్ పీపుల్స్ కమీస్సార్స్ మికోయన్-గ్యూరివిచ్ (MIG) OKB ని సింగిల్-సీట్ జెట్ ఫైటర్‌ను అభివృద్ధి చేయాలని ఆదేశించింది, రెండు జర్మన్ BMW 003 ఇంజన్లు ఉన్నాయి. బాంబర్లను నాశనం చేయడానికి ఉద్దేశించిన ఈ విమానంలో ఒకే 57-మిల్లీమీటర్ (2.2 అంగుళాలు) లేదా 37-మిల్లీమీటర్ (1.5 అంగుళాలు) తుపాకీతో పాటు రెండు 23-మిల్లీమీటర్ (0.9 అంగుళాలు) తుపాకులు ఉన్నాయి. ఏప్రిల్ 9 న మరింత వివరణాత్మక ఆదేశం జారీ చేయబడింది, ఈ విమానం సముద్ర మట్టంలో గంటకు గరిష్టంగా 900 కిలోమీటర్లు (559 mph) మరియు 5,000 మీటర్ల ఎత్తులో 910 కిమీ/గం (565 mph) వేగం కలిగి ఉండాలి (16,400 అడుగులు). ఇది నాలుగు నిమిషాల్లో లేదా అంతకంటే తక్కువ వ్యవధిలో ఆ ఎత్తుకు ఎక్కగలగాలి మరియు ఇది గరిష్టంగా 820 కిలోమీటర్ల (510 మైళ్ళు) కలిగి ఉండాలి. 15 మార్చి 1946 నాటికి మూడు ప్రోటోటైప్‌లు విమాన పరీక్షలకు సిద్ధంగా ఉండాలని ఆదేశించబడ్డాయి. [3] OKB వారి కొత్త ఫైటర్ కోసం "పాడ్-అండ్-బూమ్" లేఅవుట్ను ఎంచుకుంది, I-300 (OKB చేత ఇజ్డెలియే F (మోడల్ లేదా ప్రొడక్ట్ ఎఫ్) అని కూడా పిలుస్తారు) ఎందుకంటే ఇది మెరుగైన ల్యాండింగ్ పనితీరు మరియు మంచి దృశ్యమానతను అందించింది ల్యాండింగ్ చేసేటప్పుడు కాక్‌పిట్ కానీ ల్యాండింగ్ గేర్ యొక్క తెలియని ట్రైసైకిల్ అమరిక, జెట్ ఎగ్జాస్ట్ నుండి వెనుక ఫ్యూజ్‌లేజ్‌ను రక్షించడం మరియు విమానం యొక్క ఆయుధాన్ని ఎక్కడ ఉంచాలి వంటి కొన్ని లోపాలు ఉన్నాయి. ఆల్-మెటల్ విమానాలలో ముక్కులో రెండు ప్రముఖ గాలి తీసుకోవడం వంటివి, మిడ్-మౌంటెడ్ రెక్కలు ఉన్నాయి. దీని రెండు-స్పేర్ రెక్కలు స్లాట్డ్ ఫ్లాప్స్ మరియు ఫ్రైజ్ ఐలెరాన్‌లతో అమర్చబడ్డాయి. దీని పవర్‌ప్లాంట్‌లో రెండు RD-20 టర్బోజెట్లు ఉన్నాయి, ఇవి BMW 003 యొక్క సోవియట్-తయారీ వెర్షన్లు. రెండు ఇంజన్లు కాక్‌పిట్ వెనుక దిగువ ఫ్యూజ్‌లేజ్‌లో ఉన్నాయి, ఎగ్జాస్ట్ టెయిల్ యూనిట్ కింద నిష్క్రమించింది. ఎగ్జాస్ట్ వాయువుల నుండి రక్షించడానికి వెనుక ఫ్యూజ్‌లేజ్ దిగువన స్టీల్ లామినేట్ హీట్‌షీల్డ్ ఏర్పాటు చేయబడింది. ఫ్యూజ్‌లేజ్‌లో నాలుగు బ్యాగ్-రకం ఇంధన ట్యాంకులు మరియు ప్రతి రెక్కలో మూడు ఉన్నాయి, ఇది మొత్తం అంతర్గత ఇంధన సామర్థ్యాన్ని 1,625 లీటర్లు (429 యుఎస్ గ్యాలన్లు) అందిస్తుంది. కాక్‌పిట్ ఒత్తిడి చేయబడలేదు. ప్రణాళికాబద్ధమైన ఆయుధంలో 57 mM NL-57 కానన్ ఉన్నాయి, సెంటర్‌లైన్ ఇంజిన్ తీసుకోవడం బల్క్‌హెడ్ మరియు రెండు 23 mM నుడెల్మాన్-సురనోవ్ NS-23 ఆటోకానన్ గాలి తీసుకోవడం యొక్క దిగువ పెదవిపై అమర్చారు. [4] N-57 తుపాకీకి 28 రౌండ్లు మరియు రెండు NS-23 ఫిరంగులకు 80 రౌండ్లు ఉన్నాయి. [5] మూడు ప్రోటోటైప్‌ల నిర్మాణం 1945 చివరలో ప్రారంభమైంది మరియు మొదటి నమూనా డిసెంబర్ 30 న తయారీదారుల పరీక్షను ప్రారంభించింది. ఇంజిన్ ఎగ్జాస్ట్ వెనుక ఫ్యూజ్‌లేజ్ కింద తక్కువ-పీడన ప్రాంతానికి కారణమైందని గ్రౌండ్ టెస్టింగ్ వెల్లడించింది కఠినంగా అమర్చిన హీట్‌షీల్డ్ వెనుక ఫ్యూజ్‌లేజ్ యొక్క దిగువ భాగంలో వైకల్యానికి కారణమైంది, ఎందుకంటే ఉక్కు మరియు ఫ్యూజ్‌లేజ్ యొక్క డ్యూరాలిమిన్ చర్మం వేడిచేసినప్పుడు వేర్వేరు విస్తరణ నిష్పత్తులను కలిగి ఉన్నాయి. ఈ సమస్యలను తొలగించడానికి వెనుక ఫ్యూజ్‌లేజ్ మరియు హీట్‌షీల్డ్ రెండూ పున es రూపకల్పన చేయబడ్డాయి. మార్చి 23 న, ఫ్లైట్ టెస్టింగ్ కోసం సన్నాహాలను ప్రారంభించడానికి ఈ నమూనాను ఫ్లైట్ రీసెర్చ్ ఇన్స్టిట్యూట్ (LII) యొక్క ఎయిర్ఫీల్డ్కు ఫ్లైట్ రీసెర్చ్ ఇన్స్టిట్యూట్ (LII) యొక్క ఎయిర్ఫీల్డ్కు ట్రక్ చేశారు. [6] ఏవియేషన్ హిస్టారియన్ బిల్ గన్స్టన్ ప్రకారం, 24 ఏప్రిల్ 1946 న మైకోయన్-గ్యూర్విచ్ మరియు యాకోవ్లెవ్ ఓక్బ్ ప్రతినిధులు ఒక నాణెం విసిరి, ఏ విమానం ఎగురుతున్న మొదటి సోవియట్ జెట్ అని నిర్ధారించారు. . ఈ ప్రారంభ విమానాలు విమానం యొక్క స్థిరత్వం మరియు కొత్త ఉచ్చారణ హీట్‌షీల్డ్‌తో వైబ్రేషన్ సమస్యలతో సమస్యలను వెల్లడించాయి. ఇది పన్నెండవ విమానానికి ముందు గట్టిపడింది, కానీ అది పాక్షికంగా మాత్రమే సమస్యను నయం చేసింది. జూలై 11 న ఉన్నత స్థాయి అధికారుల ముందు ప్రదర్శన సందర్భంగా మొదటి విమానం పైలట్‌ను చంపింది, వింగ్ లీడింగ్ ఎడ్జ్ ఫెయిరింగ్స్ యొక్క అటాచ్మెంట్ లగ్స్ విఫలమైనప్పుడు మరియు అవి క్షితిజ సమాంతర స్టెబిలైజర్లను కొట్టాయి. మిగిలిన రెండు ప్రోటోటైప్‌లు తరువాతి నెలలో విమాన పరీక్షను ప్రారంభించాయి, కాని అక్టోబర్ విప్లవాన్ని జ్ఞాపకార్థం నవంబర్ 7 పరేడ్‌కు సన్నాహాలు డిసెంబర్ 17 వరకు రాష్ట్ర అంగీకార పరీక్షల ప్రారంభాన్ని ఆలస్యం చేశాయి. ఇంతలో, రెండవ ప్రోటోటైప్ యొక్క క్షితిజ సమాంతర స్టెబిలైజర్ ఫ్లైట్ సమయంలో విచ్ఛిన్నమైంది, కాని పైలట్ విమానాన్ని సురక్షితంగా ల్యాండ్ చేయగలిగాడు. ఇలాంటి మరో సంఘటన ఫిబ్రవరి 1947 లో మూడవ నమూనాకు జరిగింది మరియు తోకను బలోపేతం చేయమని బలవంతం చేసింది. [9] ఈ విమానానికి MIG-9 (I-301 మరియు ఇజ్డెలియే FS యొక్క అంతర్గత OKB హోదా) యొక్క సేవా హోదా ఇవ్వబడింది మరియు అసలు జర్మన్ ఇంజిన్లతో కూడిన పది విమానాల యొక్క చిన్న బ్యాచ్, 1946 లో కజాన్‌లో ఫ్యాక్టరీ నంబర్ 1 నుండి ఫ్లైట్ ముందు ఆదేశించబడింది పరీక్ష పూర్తయింది. వారు కవాతులో ఉపయోగించాలని ఉద్దేశించారు, కాని చెడు వాతావరణం వారి ఫ్లైపాస్ట్ రద్దు చేయమని బలవంతం చేసింది. వారిలో ఇద్దరిని రాష్ట్ర అంగీకార ప్రయత్నాలలో పాల్గొనడానికి నియమించబడ్డారు, మరికొందరు వివిధ కార్యక్రమాలకు టెస్ట్‌బెడ్‌లుగా ఉపయోగించబడ్డారు. ట్రయల్స్ జూన్లో ముగిశాయి మరియు మిగ్ -9 సాధారణంగా కౌన్సిల్ ఆఫ్ పీపుల్స్ కమీస్సార్స్ నిర్దేశించిన పనితీరు లక్ష్యాలను చేరుకుంది. టెస్ట్ పైలట్లు ఫైటర్ సులభం మరియు ఎగరడం సులభం. పరీక్ష సమయంలో గుర్తించబడిన లోపాలు ఏమిటంటే, తుపాకీ వాయువు తీసుకోవడం వల్ల ఫిరంగిని అధిక ఎత్తులో కాల్చేటప్పుడు ఇంజన్లు మంటలు చెలరేగాయి, ఎజెక్షన్ సీటు అమర్చబడలేదు, లేదా ఎయిర్ బ్రేక్‌లు లేదా అగ్ని అణచివేత వ్యవస్థ కూడా లేదు. ఇంధన ట్యాంకులు స్వీయ సీలింగ్ కాదు మరియు పైలట్ కోసం కవచం అందించబడలేదు. ఈ లోపాలు ఉన్నప్పటికీ, సోవియట్ నాయకత్వం ఉత్పత్తి సమయంలో దాని లోపాలను సరిదిద్దవచ్చని నమ్ముతున్నందున అంగీకార పరీక్షలు పూర్తయ్యే ముందు MIG-9 ను ఫ్యాక్టరీ నంబర్ 1 వద్ద ఉత్పత్తిలోకి తీసుకున్నారు. 50 విమానాల బ్యాచ్, 40 సింగిల్-సీట్ ఫైటర్స్ మరియు 10 రెండు-సీట్ల శిక్షకులు 1946 చివరిలో 1947 మే డే పరేడ్‌లో పాల్గొనాలని ఆదేశించారు. వారి సాధనను గుర్తించి ఆర్టెమ్ మికోయన్ మరియు మిఖాయిల్ గురెవిచ్లకు 1947 లో స్టాలిన్ బహుమతి లభించింది. [10] రెండు-సీట్ల శిక్షకుడికి I-301T మరియు IZDELIYE FT యొక్క అంతర్గత OKB హోదా ఉంది మరియు మొదటి నమూనా 1946 లో "పరేడ్" విమానంలో ఒకటి నుండి మార్చబడింది. దాని ఇంధన సామర్థ్యాన్ని రెండవ వంతు తగ్గించవలసి వచ్చింది, రెండవది గదిని రూపొందించడానికి తగ్గించాల్సి వచ్చింది. టెన్డం కాక్‌పిట్. బోధకుడు మరియు విద్యార్థి గాలిలో కమ్యూనికేట్ చేయడానికి అనుమతించే ఇంటర్‌కామ్ వలె ద్వంద్వ నియంత్రణలు అమర్చబడ్డాయి. ప్రతి మనిషికి ఎజెక్షన్ సీటు ఉంది, ఆ తర్వాత జర్మన్లు ​​వారి హీంకెల్ అతను 162 ఫైటర్. ఈ విమానం 17 జనవరి 1947 న పంపిణీ చేయబడింది, అయినప్పటికీ ఏప్రిల్ 5 వరకు విమాన పరీక్ష పూర్తి కాలేదు. ఎజెక్షన్ సీట్లు గాలిలో పరీక్షించబడలేదు, కాని సీటు యొక్క సరైన ఆపరేషన్ను నిర్ధారించడానికి వారికి మైదానంలో విస్తృతమైన పరీక్షలు అవసరం. జూన్ 2 వరకు రాష్ట్ర అంగీకార పరీక్షలు పూర్తి కాలేదు మరియు వెనుక కాక్‌పిట్ నుండి దృశ్యమానత తక్కువగా ఉన్నందున విమానం తిరస్కరించబడింది. రెండవ విమానం జూలై 15 న పూర్తయింది మరియు అసలు బుల్లెట్ ప్రూఫ్ విండ్‌స్క్రీన్‌ను పెద్ద గ్లాస్ ప్లేట్‌తో భర్తీ చేయడం ద్వారా, పందిరి సైడ్ ప్యానెల్స్‌ను పున hap రూపకల్పన చేయడం మరియు కాక్‌పిట్‌ల మధ్య విభజనను తొలగించడం ద్వారా వెనుక కాక్‌పిట్ నుండి దృశ్యమానత మెరుగుపరచబడింది. ఈ విమానం రెక్కలలో ఎయిర్ బ్రేక్‌లు మరియు రెండు 260-లీటర్ (57 ఇంప్ గల్; 69 యుఎస్ గాల్) డ్రాప్ ట్యాంకులు దాని వింగ్‌టిప్స్ కింద వేలాడదీయబడ్డాయి. ఇది 1947 లో దాని రాష్ట్ర అంగీకార పరీక్షలను ఆమోదించింది మరియు యుటిఐ మిగ్ -9 యొక్క సేవా హోదాతో ఉత్పత్తికి సిఫార్సు చేయబడింది. ఎజెక్షన్ సీట్లు 1948 లో విస్తృతంగా పరీక్షించబడ్డాయి మరియు ఉపయోగం కోసం ఆమోదించబడ్డాయి, కానీ ఈ సమయానికి విమానం వాడుకలో లేదని భావించారు మరియు శిక్షణ సంస్కరణను నిర్మించడంలో అర్థం లేదు. [11] 1946 లో ఉంచిన 50 విమానాల ఆర్డర్ 48 సింగిల్ సీటర్లకు మరియు OKB కి ఒక విమానానికి సవరించబడింది, అన్నింటికీ ఆయుధాలు లేవు. వారు మార్చి-ఏప్రిల్ 1947 లో ఒక 37 మిమీ న్యూడెల్మాన్ ఎన్ -37 ఆటోకానన్ యొక్క ప్రామాణిక ఆయుధంతో, 40 రౌండ్లు, మరియు రెండు 23 మిమీ న్యూడెల్మాన్-సురానోవ్ ఎన్ఎస్ -23 తుపాకులతో తయారు చేయబడ్డారు, కాని తరువాత ఉత్పత్తి రేఖ మూసివేయబడింది. కావలసిన మార్పులు. పార్శ్వ స్థిరత్వాన్ని మెరుగుపరచడానికి నిలువు తోక యొక్క ఉపబల మరియు విస్తరణ వీటిలో ఉన్నాయి; రెక్కలపై ఎయిర్ బ్రేక్‌లు జోడించబడ్డాయి మరియు ఇంధన వ్యవస్థ మెరుగుపరచబడింది. ఇంజిన్ ఎగ్జాస్ట్ యొక్క గాలి ప్రవాహాన్ని సున్నితంగా చేయడానికి వెనుక ఫ్యూజ్‌లేజ్ యొక్క దిగువ భాగం తిరిగి పొందబడింది మరియు ఫ్యూజ్‌లేజ్ లోపల గాలి చూషణ తొలగించబడింది. ఉత్పత్తి పున ar ప్రారంభించబడింది మరియు మిగిలిన సంవత్సరంలో మొత్తం 243 సింగిల్ సీటర్లు పూర్తయ్యాయి. 250 మంది యోధులు మరియు 60 మంది శిక్షకులు 1948 లో నిర్మించవలసి ఉంది, కాని ఆ సంవత్సరం తరువాత చాలా ఉన్నతమైన MIG-15 తయారీని ప్రారంభించడానికి సన్నాహాలు ద్వారా ఉత్పత్తి దెబ్బతింది. ఉత్పత్తి ఆగిపోవడానికి ముందు ఆ సంవత్సరం 302 మంది యోధులు మాత్రమే పంపిణీ చేయబడ్డారు. [12] పరేడ్ బ్యాచ్ యొక్క నాల్గవ మరియు ఐదవ విమానాలు 1947 చివరి నుండి 1948 ప్రారంభం వరకు ఇంజిన్ ఫ్లేమౌట్ సమస్యను తొలగించడానికి విమాన పరీక్షలలో ఉపయోగించబడ్డాయి. అవి ఎన్ -37 ఫిరంగి యొక్క బారెల్‌లోని ప్రముఖ దీర్ఘచతురస్రాకార బోలు వేన్‌తో అమర్చబడ్డాయి, ఇది మారుపేరుతో ఉంది " సీతాకోకచిలుక "(బాహోచ్కా). ఇది మూడు ఫిరంగిని 10,100 మీటర్లు (33,100 అడుగులు) వరకు ఒకేసారి కాల్చడానికి అనుమతించింది, కాని ఫిన్ కేవలం 813 షాట్ల తర్వాత మాత్రమే విచ్ఛిన్నమైంది, ఫిన్ నుండి శిధిలాలను ఇంజిన్లు తీసుకుంటే చాలా ప్రమాదకరం. అదనపు సమస్య ఏమిటంటే, ఫిన్ విమానం యొక్క దిశాత్మక స్థిరత్వానికి ఆటంకం కలిగించింది మరియు 3–5 షాట్ల తర్వాత ఆ YAW కి కారణమైంది. సమస్యను పరిష్కరించే మరో ప్రయత్నం I-302 (ఇజ్డెలియే FP) లో ఉత్పత్తి విమానం యొక్క మార్పు, ఇది N-37 ను విమానం యొక్క పోర్ట్ వైపుకు తరలించింది, కానీ ఇది విజయవంతం కాలేదు. సమస్యను మెరుగుపర్చడానికి ఇతర ప్రయత్నాలలో N-37 లో మూతి బ్రేక్‌ను అమర్చడం మరియు దాని బారెల్‌ను విస్తరించడం వంటివి ఉన్నాయి, కానీ ఏమీ పని చేయలేదు. [13] I-305 (ఇజ్డెలియే FT) ఒక మిగ్ -9 ఎయిర్ఫ్రేమ్, ఇది 1,500 కిలోల (15 kn; 3,300 lbf) యొక్క ఒకే లియుల్కా టిఆర్ -1 టర్బోజెట్, ఇది RD-20 టర్బోజెట్ల జత స్థానంలో ఉంది. సెంటర్‌లైన్ బల్క్‌హెడ్‌లోని N-37 తుపాకీతో కూడా, 23 మిమీ ఫిరంగి ఫ్యూజ్‌లేజ్ యొక్క ప్రతి వైపుకు తరలించడంతో ఆయుధాన్ని పునర్వ్యవస్థీకరించారు; తరువాతి మందుగుండు సామగ్రిని 45 రౌండ్లకు పెంచారు. ఈ విమానం ఒత్తిడితో కూడిన కాక్‌పిట్‌ను కలిగి ఉండటానికి ఉద్దేశించబడింది మరియు దాని మొత్తం బరువు 4,500 కిలోగ్రాముల (9,900 పౌండ్లు) కు తగ్గించబడింది. అయినప్పటికీ, ఇంజిన్ పరీక్షకు సిద్ధంగా లేదు మరియు 1948 ప్రారంభంలో MIG-15 ప్రోటోటైప్ MIG-15 విమాన పరీక్షను ప్రారంభించిన తరువాత విమానం యొక్క అభివృద్ధి రద్దు చేయబడింది. [14] 1946 మధ్యలో, కౌన్సిల్ ఆఫ్ మంత్రులు BMW 003S ఇంజిన్ ఆధారంగా RD-20 యొక్క ఆఫర్ బర్నింగ్ వెర్షన్లతో MIG-9 ను అభివృద్ధి చేయాలని ఆదేశించింది. ఈ ఇంజన్లు గరిష్టంగా 1,000–1,050 kgf (9.8–10.3 kN; 2,200–2,300 lbf) శక్తిని కలిగి ఉన్నాయి మరియు విమానం యొక్క వేగాన్ని సముద్ర మట్టంలో 920 km/h (570 mph) మరియు 950 km/h (590 mph ) 5,000 మీటర్ల (16,000 అడుగులు) వద్ద. N-37 ను భర్తీ చేసే 45-మిల్లీమీటర్ (1.8 అంగుళాలు) తుపాకీతో రెండు ప్రోటోటైప్‌లను నిర్మించాలని OKB ఆదేశించారు, ఇది ఏప్రిల్ 1947 లో విమాన పరీక్షలను ప్రారంభిస్తుంది. OKB 12-మిల్లీమీటర్ (0.47 అంగుళాలు) కవచపు పలకలను ముందు మరియు వెనుకకు జోడించింది పైలట్‌ను రక్షించండి మరియు అతనికి బుల్లెట్ ప్రూఫ్ విండ్‌స్క్రీన్ అందించబడింది, కాని విమానంలో ఇతర మార్పులు చేయలేదు. I-307 (ఇజ్డెలియే FF) ఒక నెల ఆలస్యంగా విమాన పరీక్షకు సిద్ధంగా ఉంది మరియు జర్మన్ ఇంజిన్లను ఉపయోగించాల్సి వచ్చింది ఎందుకంటే సోవియట్ నిర్మించిన సంస్కరణలు ఇంకా పరీక్షించబడలేదు. తయారీదారుల విమాన పరీక్షలు జూన్ 21 న పూర్తయ్యాయి మరియు ఫైటర్ ఆగస్టు 2 న దాని ఇంజిన్లను భర్తీ చేసిన తరువాత ఆగస్టు 2 న రాష్ట్ర అంగీకార పరీక్షలను ప్రారంభించింది, కాని ఆగస్టు 19 న క్రాష్ అయ్యింది. రెండవ నమూనా పరేడ్ బ్యాచ్ యొక్క ఐదవ విమానం నుండి మార్చబడింది మరియు దాని మునుపటి తుపాకీ పరీక్షల సమయంలో ఉపయోగించిన సీతాకోకచిలుకను నిలుపుకుంది. దీనికి మొదటి ప్రోటోటైప్ వలె అదే కాక్‌పిట్ కవచం మరియు విండ్‌స్క్రీన్ ఇవ్వబడింది, అయితే ఇది సోవియట్ నిర్మించిన RD-20F (తరువాత RD-21) ఇంజిన్‌లను ఉపయోగించింది. ఇది డిసెంబరులో తన విమాన పరీక్షలను ప్రారంభించింది మరియు ఇది 3,000 మీటర్ల (9,843 అడుగులు) మరియు 928 కిమీ/గం (577 mph) 5,200 మీటర్లు (17,100 అడుగులు) వద్ద 947 కిమీ/గం (588 mph) వేగంతో ప్రదర్శించింది, కానీ తదుపరి అభివృద్ధి పనులు జరగలేదు. కొన్ని ఆలస్య-ఉత్పత్తి విమానం ఈ ఇంజిన్‌ను అందుకుంది. [15] RD-21 ఇంజన్లు మరియు ఒత్తిడితో కూడిన కాక్‌పిట్‌తో కూడిన మరో నమూనా జూన్ 1947 లో పూర్తయింది. దీనిని అంతర్గతంగా I-307 (ఇజ్డెలియే FR) అని పిలుస్తారు మరియు దీనికి MIG-9M యొక్క సేవా హోదా ఇవ్వబడింది. తుపాకీ గ్యాస్ తీసుకోవడం సమస్యను మెరుగుపర్చడానికి మరొక ప్రయత్నంలో ఈ ఆయుధాలు పునర్వ్యవస్థీకరించబడ్డాయి, N-37 ఫ్యూజ్‌లేజ్ యొక్క స్టార్‌బోర్డ్ వైపున మరియు పోర్ట్ వైపు రెండు NS-23 లు, తుపాకీ బారెల్స్ మించినది కాదు గాలి తీసుకోవడం. ఇది కాక్‌పిట్‌ను కొద్దిగా ముందుకు తరలించడానికి కారణమైంది, ఇది ల్యాండింగ్ చేసేటప్పుడు పైలట్‌కు మంచి వీక్షణను ఇచ్చింది. ఇంధన ట్యాంకుల సంఖ్య ఐదుకి తగ్గించబడింది, కాని విమానం యొక్క మొత్తం సామర్థ్యం అదే విధంగా ఉంది. ఇది జూలైలో మొదటి విమానంలో సాధించింది, కాని ఫ్యాక్టరీ విమాన పరీక్షలు 1948 ప్రారంభం వరకు పూర్తి కాలేదు. 5,000 మీటర్లు (16,000 అడుగులు) వద్ద 965 కిమీ/గం (600 mph) వేగం ఉన్నప్పటికీ, అది దాని రాష్ట్ర అంగీకార పరీక్షలలో విఫలమైంది. ఇచ్చిన కారణాలు ఏమిటంటే, ఇంజన్లు 8,000 మీటర్ల (26,000 అడుగులు) కంటే తక్కువ ఎత్తులో తక్కువ RPM వద్ద నడుస్తుంటే, ఫిరంగి కోసం మౌంట్లు పూర్తిగా అభివృద్ధి చెందలేదు మరియు ఒత్తిడితో కూడిన కాక్‌పిట్ యొక్క పనితనం తక్కువగా ఉంది. అసలు కారణం ఏమిటంటే, విమానం అప్పటికే విమాన పరీక్షలో ఉన్న MIG-15 కంటే తక్కువ. [16] MIG-9 యొక్క మరో పునర్నిర్మించిన సంస్కరణ I-320 (ఇజ్డెలియే FN). ఇది దిగుమతి చేసుకున్న రోల్స్ రాయిస్ నేనే ఐ సెంట్రిఫ్యూగల్-ఫ్లో టర్బోజెట్ 2,230 కిలోల (21.9 kN; 4,900 lbf) గా రేట్ చేయబడింది మరియు గ్యాస్ తీసుకునే సమస్యను తొలగించే మరో ప్రయత్నంలో ఆయుధాలు మరోసారి పునర్వ్యవస్థీకరించబడ్డాయి. N-37 ఫిరంగిని ఫ్యూజ్‌లేజ్ యొక్క దిగువ భాగంలోకి తరలించారు మరియు NS-23 తుపాకులను I-305 లో ఉన్నట్లుగా ఫ్యూజ్‌లేజ్ యొక్క ప్రతి వైపుకు తరలించారు, అయినప్పటికీ తుపాకీ బారెల్స్ ఏవీ గాలి తీసుకోవడం యొక్క పెదవులను దాటిపోలేదు. 1947 చివరలో నిర్మాణం ప్రారంభమైంది, కాని మిగ్ -15 ప్రోటోటైప్ అదే ఇంజిన్‌ను ఉపయోగించినందున మరియు అధిక పనితీరును కలిగి ఉన్నందున ఇది ఎప్పుడూ పూర్తి కాలేదు. [17] KS-1 కోమెట్ ఎయిర్-లాంచ్ యాంటీ-షిప్పింగ్ క్రూయిజ్ క్షిపణికి టెస్ట్‌బెడ్‌గా పనిచేయడానికి 1949 లో ఒక మిగ్ -9 (ఇజ్డెలియే ఎఫ్‌కె) సవరించబడింది. గైడెన్స్ సిస్టమ్ ఆపరేటర్ కోసం రెక్క యొక్క వెనుకంజలో ఉన్న అప్రధానమైన కాక్‌పిట్ నిర్మించబడింది. ఈ విమానం రెండు రాడార్లతో అమర్చబడింది, గాలి తీసుకోవడం పైన ఒక ప్రముఖ బుల్లెట్ ఆకారపు ఫెయిరింగ్‌లో K-1M టార్గెట్ ఇల్యూమినేషన్ రాడార్ మరియు నిలువు స్టెబిలైజర్ పైభాగంలో సిగార్ ఆకారపు ఫెయిరింగ్‌లో అమర్చిన వెనుక కనిపించే రాడార్. ఈ తరువాతి వ్యవస్థ లాంచింగ్ విమానం యొక్క మిడ్-కోర్సు మార్గదర్శక వ్యవస్థను మరియు క్షిపణి యొక్క మార్గదర్శక వ్యవస్థలను పరీక్షించడానికి ఉద్దేశించబడింది. K-1M రాడార్ నుండి సిగ్నల్స్ రెక్కల యొక్క ప్రముఖ అంచులలో చిన్న బుల్లెట్ ఆకారపు ఫెయిరింగ్స్‌లో స్వీకరించబడ్డాయి. ఈ విమానం ఈ పాత్రలో నాలుగు సంవత్సరాలు పనిచేసింది, క్షిపణి 1952–53లో తన రాష్ట్ర అంగీకార పరీక్షలను ఆమోదించే వరకు. [18] 1, 7, 14, 15, మరియు 16 వ ఎయిర్ సైన్యాలలో ఫైటర్ రెజిమెంట్ల ద్వారా MIG-9 ను సోవియట్ సేవలో ఎగురవేసింది. ఈ చివరి రెండు వరుసగా కాలినిన్గ్రాడ్ మరియు తూర్పు జర్మనీలో ఉన్నాయి. అదనంగా, యారోస్లావ్ల్ సమీపంలోని 303 వ ఏవియేషన్ డివిజన్ యొక్క 177 వ ఫైటర్ ఏవియేషన్ రెజిమెంట్ 1949 లో ఈ విమానం ఎగిరింది. [19] MIG-9 ల యొక్క ఆరు విభాగాలు, ఒక్కొక్కటి 31 విమానాల యొక్క రెండు రెజిమెంట్లు, నవంబర్-డిసెంబర్ 1950 లో వాయు రక్షణ మరియు శిక్షణా విధుల కోసం చైనాకు బదిలీ చేయబడ్డాయి. 17 వ గార్డ్స్ ఫైటర్ ఏవియేషన్ డివిజన్ (జిఐఎడి) షెన్యాంగ్‌ను సమర్థించింది, 20 వ ఫైటర్ ఏవియేషన్ డివిజన్ (ఐఎడి) టాంగ్షాన్‌ను కాపలాగా చేసింది మరియు 65 వ ఐఎడి గ్వాంగ్జౌను రక్షించారు. 144 వ IAD షాంఘైని సమర్థించింది, 309 వ కాపలాగా గోంగ్జూలింగ్ మరియు 328 వ IAD రక్షిత పెకింగ్‌ను రక్షించారు. ఈ యూనిట్లు తరువాత వారి విమానాలను వారి శిక్షణ పూర్తయినప్పుడు పీపుల్స్ లిబరేషన్ ఆర్మీ వైమానిక దళం యొక్క 6, 7, 12, 14, 16, మరియు 17 వ ఫైటర్ డివిజన్లకు అప్పగించాయి. [20] చైనీయులు తమ మిగ్ -9 లను 1951 లో సోవియట్ ఒత్తిడిలో కొరియాకు పంపాలని భావించారు, కాని పిఎల్‌ఎఎఫ్ కమాండర్లు మిగ్ -15 లలో మిగ్ -9 పైలట్‌లను తిరిగి శిక్షణ ఇవ్వడం మంచిదని వారు నమ్ముతున్నారని నివేదించినప్పుడు పున ons పరిశీలించారు. [21] సోవియట్ యూనియన్ పీపుల్స్ రిపబ్లిక్ ఆఫ్ చైనా డేటా మిగ్ నుండి డేటా: యాభై సంవత్సరాల రహస్య విమాన రూపకల్పన [23] సాధారణ లక్షణాలు పనితీరు ఆయుధాలు పోల్చదగిన పాత్ర, కాన్ఫిగరేషన్ మరియు యుగం సంబంధిత జాబితాలు</v>
      </c>
      <c r="E111" s="1" t="s">
        <v>2382</v>
      </c>
      <c r="F111" s="1" t="s">
        <v>311</v>
      </c>
      <c r="G111" s="1" t="str">
        <f>IFERROR(__xludf.DUMMYFUNCTION("GOOGLETRANSLATE(F:F, ""en"", ""te"")"),"ఫైటర్ విమానం")</f>
        <v>ఫైటర్ విమానం</v>
      </c>
      <c r="H111" s="1" t="s">
        <v>312</v>
      </c>
      <c r="I111" s="1" t="s">
        <v>944</v>
      </c>
      <c r="J111" s="1" t="str">
        <f>IFERROR(__xludf.DUMMYFUNCTION("GOOGLETRANSLATE(I:I, ""en"", ""te"")"),"సోవియట్ యూనియన్")</f>
        <v>సోవియట్ యూనియన్</v>
      </c>
      <c r="L111" s="1" t="s">
        <v>2383</v>
      </c>
      <c r="M111" s="1" t="str">
        <f>IFERROR(__xludf.DUMMYFUNCTION("GOOGLETRANSLATE(L:L, ""en"", ""te"")"),"మికోయన్-గ్యూర్విచ్")</f>
        <v>మికోయన్-గ్యూర్విచ్</v>
      </c>
      <c r="N111" s="3" t="s">
        <v>2384</v>
      </c>
      <c r="R111" s="4">
        <v>16916.0</v>
      </c>
      <c r="S111" s="1" t="s">
        <v>2385</v>
      </c>
      <c r="T111" s="1" t="s">
        <v>216</v>
      </c>
      <c r="V111" s="1">
        <v>1.0</v>
      </c>
      <c r="W111" s="1" t="s">
        <v>918</v>
      </c>
      <c r="X111" s="1" t="s">
        <v>722</v>
      </c>
      <c r="Y111" s="1" t="s">
        <v>2386</v>
      </c>
      <c r="Z111" s="1" t="s">
        <v>2387</v>
      </c>
      <c r="AF111" s="1" t="s">
        <v>247</v>
      </c>
      <c r="AG111" s="1" t="s">
        <v>2388</v>
      </c>
      <c r="AH111" s="1" t="s">
        <v>2389</v>
      </c>
      <c r="AI111" s="1" t="s">
        <v>2390</v>
      </c>
      <c r="AJ111" s="1" t="s">
        <v>2391</v>
      </c>
      <c r="AM111" s="1" t="s">
        <v>2392</v>
      </c>
      <c r="AS111" s="1" t="s">
        <v>2393</v>
      </c>
      <c r="AT111" s="1"/>
      <c r="AU111" s="1" t="s">
        <v>2394</v>
      </c>
      <c r="AW111" s="1" t="s">
        <v>2395</v>
      </c>
      <c r="AX111" s="1" t="s">
        <v>2396</v>
      </c>
      <c r="AY111" s="1" t="str">
        <f>IFERROR(__xludf.DUMMYFUNCTION("GOOGLETRANSLATE(AX:AX, ""en"", ""te"")"),"2 × Rd-20 యాక్సియల్-ఫ్లో టర్బోజెట్ ఇంజన్లు, 7.80 kN (1,754 lbf) ప్రతి ఒక్కటి థ్రస్ట్")</f>
        <v>2 × Rd-20 యాక్సియల్-ఫ్లో టర్బోజెట్ ఇంజన్లు, 7.80 kN (1,754 lbf) ప్రతి ఒక్కటి థ్రస్ట్</v>
      </c>
      <c r="BB111" s="1" t="s">
        <v>2397</v>
      </c>
      <c r="BD111" s="1" t="s">
        <v>2398</v>
      </c>
      <c r="BG111" s="2"/>
      <c r="BS111" s="1" t="s">
        <v>2399</v>
      </c>
      <c r="BT111" s="1" t="s">
        <v>378</v>
      </c>
      <c r="BU111" s="1" t="s">
        <v>36</v>
      </c>
      <c r="BV111" s="1" t="str">
        <f>IFERROR(__xludf.DUMMYFUNCTION("GOOGLETRANSLATE(BU:BU, ""en"", ""te"")"),"రిటైర్డ్")</f>
        <v>రిటైర్డ్</v>
      </c>
      <c r="BW111" s="1" t="s">
        <v>2400</v>
      </c>
    </row>
    <row r="112">
      <c r="A112" s="1" t="s">
        <v>2401</v>
      </c>
      <c r="B112" s="1" t="str">
        <f>IFERROR(__xludf.DUMMYFUNCTION("GOOGLETRANSLATE(A:A, ""en"", ""te"")"),"డ్యూయిటిన్ D.27")</f>
        <v>డ్యూయిటిన్ D.27</v>
      </c>
      <c r="C112" s="1" t="s">
        <v>2402</v>
      </c>
      <c r="D112" s="1" t="str">
        <f>IFERROR(__xludf.DUMMYFUNCTION("GOOGLETRANSLATE(C:C, ""en"", ""te"")"),"డ్యూయిటిన్ డి. మరుసటి సంవత్సరం, వీటిలో 66 1931 నుండి స్విస్ వైమానిక దళం కోసం ఉత్పత్తి చేయబడ్డాయి. ఇది యుగోస్లేవియాలో ZMAJ విమానం మరియు రొమేనియాలో లైసెన్స్ నిర్మించబడింది. ఏడు బలోపేత సంస్కరణలు, డి .53 ను నియమించాయి, ఫ్రెంచ్ ఎస్కాడ్రిల్ 7 సి 1 తో ప్రయోగాత్మ"&amp;"కంగా పనిచేశాయి, విమానం క్యారియర్ బెర్న్ నుండి ఎగురుతున్నాయి. మిలిటరీ విమానాల ఎన్సైక్లోపీడియా నుండి డేటా [1] సాధారణ లక్షణాలు పనితీరు ఆయుధ సంబంధిత జాబితాలు")</f>
        <v>డ్యూయిటిన్ డి. మరుసటి సంవత్సరం, వీటిలో 66 1931 నుండి స్విస్ వైమానిక దళం కోసం ఉత్పత్తి చేయబడ్డాయి. ఇది యుగోస్లేవియాలో ZMAJ విమానం మరియు రొమేనియాలో లైసెన్స్ నిర్మించబడింది. ఏడు బలోపేత సంస్కరణలు, డి .53 ను నియమించాయి, ఫ్రెంచ్ ఎస్కాడ్రిల్ 7 సి 1 తో ప్రయోగాత్మకంగా పనిచేశాయి, విమానం క్యారియర్ బెర్న్ నుండి ఎగురుతున్నాయి. మిలిటరీ విమానాల ఎన్సైక్లోపీడియా నుండి డేటా [1] సాధారణ లక్షణాలు పనితీరు ఆయుధ సంబంధిత జాబితాలు</v>
      </c>
      <c r="E112" s="1" t="s">
        <v>2403</v>
      </c>
      <c r="F112" s="1" t="s">
        <v>421</v>
      </c>
      <c r="G112" s="1" t="str">
        <f>IFERROR(__xludf.DUMMYFUNCTION("GOOGLETRANSLATE(F:F, ""en"", ""te"")"),"యుద్ధ")</f>
        <v>యుద్ధ</v>
      </c>
      <c r="H112" s="3" t="s">
        <v>754</v>
      </c>
      <c r="J112" s="1" t="str">
        <f>IFERROR(__xludf.DUMMYFUNCTION("GOOGLETRANSLATE(I:I, ""en"", ""te"")"),"#VALUE!")</f>
        <v>#VALUE!</v>
      </c>
      <c r="L112" s="1" t="s">
        <v>691</v>
      </c>
      <c r="M112" s="1" t="str">
        <f>IFERROR(__xludf.DUMMYFUNCTION("GOOGLETRANSLATE(L:L, ""en"", ""te"")"),"డ్యూయిటిన్")</f>
        <v>డ్యూయిటిన్</v>
      </c>
      <c r="R112" s="1">
        <v>1928.0</v>
      </c>
      <c r="T112" s="1" t="s">
        <v>2404</v>
      </c>
      <c r="V112" s="1" t="s">
        <v>518</v>
      </c>
      <c r="W112" s="1" t="s">
        <v>2405</v>
      </c>
      <c r="X112" s="1" t="s">
        <v>2406</v>
      </c>
      <c r="Y112" s="1" t="s">
        <v>2407</v>
      </c>
      <c r="AG112" s="1" t="s">
        <v>2408</v>
      </c>
      <c r="AH112" s="1" t="s">
        <v>2409</v>
      </c>
      <c r="AO112" s="1">
        <v>1931.0</v>
      </c>
      <c r="AX112" s="1" t="s">
        <v>2410</v>
      </c>
      <c r="AY112" s="1" t="str">
        <f>IFERROR(__xludf.DUMMYFUNCTION("GOOGLETRANSLATE(AX:AX, ""en"", ""te"")"),"1 × హిస్పానో-సుయిజా 12 ఎంసి వి -12 లిక్విడ్-కూల్డ్ పిస్టన్ ఇంజిన్, 373 కిలోవాట్ (500 హెచ్‌పి)")</f>
        <v>1 × హిస్పానో-సుయిజా 12 ఎంసి వి -12 లిక్విడ్-కూల్డ్ పిస్టన్ ఇంజిన్, 373 కిలోవాట్ (500 హెచ్‌పి)</v>
      </c>
      <c r="BB112" s="1" t="s">
        <v>854</v>
      </c>
      <c r="BD112" s="1" t="s">
        <v>2411</v>
      </c>
      <c r="BF112" s="1" t="s">
        <v>2412</v>
      </c>
      <c r="BG112" s="2" t="str">
        <f>IFERROR(__xludf.DUMMYFUNCTION("GOOGLETRANSLATE(BF:BF, ""en"", ""te"")"),"స్విస్ వైమానిక దళం")</f>
        <v>స్విస్ వైమానిక దళం</v>
      </c>
      <c r="BH112" s="1" t="s">
        <v>2413</v>
      </c>
      <c r="BS112" s="1" t="s">
        <v>2414</v>
      </c>
      <c r="BT112" s="1" t="s">
        <v>2164</v>
      </c>
      <c r="BX112" s="1"/>
      <c r="BY112" s="1" t="s">
        <v>2415</v>
      </c>
      <c r="CC112" s="1" t="s">
        <v>2416</v>
      </c>
      <c r="CD112" s="1" t="str">
        <f>IFERROR(__xludf.DUMMYFUNCTION("GOOGLETRANSLATE(CC:CC, ""en"", ""te"")"),"2 × స్థిర ఫార్వర్డ్-ఫైరింగ్ 7.5 మిమీ (.295 అంగుళాలు) డార్న్ మెషిన్ గన్స్")</f>
        <v>2 × స్థిర ఫార్వర్డ్-ఫైరింగ్ 7.5 మిమీ (.295 అంగుళాలు) డార్న్ మెషిన్ గన్స్</v>
      </c>
    </row>
    <row r="113">
      <c r="A113" s="1" t="s">
        <v>2417</v>
      </c>
      <c r="B113" s="1" t="str">
        <f>IFERROR(__xludf.DUMMYFUNCTION("GOOGLETRANSLATE(A:A, ""en"", ""te"")"),"డి హవిలాండ్ డాన్")</f>
        <v>డి హవిలాండ్ డాన్</v>
      </c>
      <c r="C113" s="1" t="s">
        <v>2418</v>
      </c>
      <c r="D113" s="1" t="str">
        <f>IFERROR(__xludf.DUMMYFUNCTION("GOOGLETRANSLATE(C:C, ""en"", ""te"")"),"డి హవిలాండ్ DH.93 డాన్ 1930 ల బ్రిటిష్ బహుళ-పాత్రల మూడు-సీట్ల శిక్షణా విమానం, ఇది హాట్ఫీల్డ్ ఏరోడ్రోమ్ వద్ద డి హవిలాండ్ నిర్మించింది. మల్టీ-రోల్ ట్రైనర్ కోసం ఎయిర్ మినిస్ట్రీ స్పెసిఫికేషన్ T.6/36 ను కలవడానికి DON రూపొందించబడింది మరియు చెక్క ఒత్తిడి-చర్మం "&amp;"నిర్మాణం యొక్క సింగిల్ ఇంజిన్ మోనోప్లేన్. Dh.93 డాన్ పైలట్లు మరియు రేడియో ఆపరేటర్లకు శిక్షకుడిగా ఉండటానికి ఉద్దేశించబడింది, మరియు గన్నరీ శిక్షకుడిగా, గన్నరీ అవసరం డోర్సల్ గన్ టరెంట్ యొక్క మౌంటు. స్టూడెంట్ పైలట్ మరియు బోధకుడు ముందు పక్కన కూర్చున్నారు, అయిత"&amp;"ే ట్రైనీ డబ్ల్యుటి (రేడియో) ఆపరేటర్ మరియు టరెట్ గన్నర్ క్యాబిన్లో వెనుక ఉన్నారు. [1] టెస్ట్ మార్క్స్ E-3 (తరువాత మిలిటరీ సీరియల్ నంబర్ L2387) తో ప్రోటోటైప్ మొదట 18 జూన్ 1937 న ప్రయాణించింది మరియు అధికారిక మూల్యాంకనం కోసం RAF మార్ట్‌షామ్ హీత్‌కు బదిలీ చేయబ"&amp;"డింది. ట్రయల్స్ సమయంలో, ఎక్కువ పరికరాలు జోడించబడ్డాయి, ఇది బరువును పెంచింది మరియు ఫలితంగా, బరువును తగ్గించే ప్రయత్నంలో, డోర్సల్ టరెంట్ తొలగించబడింది. ఈ విమానం టెయిల్ ప్లేన్ క్రింద అమర్చిన చిన్న సహాయక రెక్కలతో కూడా సవరించబడింది. [2] ఐదవ విమానం నుండి విలీనం"&amp;" చేయబడిన మార్పులు ఉన్నప్పటికీ, [2] ఈ రకం శిక్షణకు తగినది కాదని భావించారు మరియు 250 విమానాల అసలు క్రమాన్ని 50 విమానాలకు మాత్రమే తగ్గించారు, వీటిలో 20 భూమి శిక్షణ కోసం ఇంజనీరింగ్ ఎయిర్‌ఫ్రేమ్‌లుగా పంపిణీ చేయబడ్డాయి. [3] మిగిలిన విమానం కమ్యూనికేషన్స్ మరియు అ"&amp;"నుసంధాన విమానంగా పనిచేసింది, 1939 ప్రారంభం వరకు UK అంతటా 24 చదరపు N మరియు అనేక RAF స్టేషన్ విమానాలతో పనిచేస్తోంది, కాని అన్నీ మార్చి 1939 లో బోధనా ఎయిర్‌ఫ్రేమ్‌లుగా ఉపయోగించబడ్డాయి. [4] 1909 నుండి డి హవిలాండ్ విమానం నుండి డేటా [5] సాధారణ లక్షణాలు పనితీరు "&amp;"సంబంధిత జాబితాలు")</f>
        <v>డి హవిలాండ్ DH.93 డాన్ 1930 ల బ్రిటిష్ బహుళ-పాత్రల మూడు-సీట్ల శిక్షణా విమానం, ఇది హాట్ఫీల్డ్ ఏరోడ్రోమ్ వద్ద డి హవిలాండ్ నిర్మించింది. మల్టీ-రోల్ ట్రైనర్ కోసం ఎయిర్ మినిస్ట్రీ స్పెసిఫికేషన్ T.6/36 ను కలవడానికి DON రూపొందించబడింది మరియు చెక్క ఒత్తిడి-చర్మం నిర్మాణం యొక్క సింగిల్ ఇంజిన్ మోనోప్లేన్. Dh.93 డాన్ పైలట్లు మరియు రేడియో ఆపరేటర్లకు శిక్షకుడిగా ఉండటానికి ఉద్దేశించబడింది, మరియు గన్నరీ శిక్షకుడిగా, గన్నరీ అవసరం డోర్సల్ గన్ టరెంట్ యొక్క మౌంటు. స్టూడెంట్ పైలట్ మరియు బోధకుడు ముందు పక్కన కూర్చున్నారు, అయితే ట్రైనీ డబ్ల్యుటి (రేడియో) ఆపరేటర్ మరియు టరెట్ గన్నర్ క్యాబిన్లో వెనుక ఉన్నారు. [1] టెస్ట్ మార్క్స్ E-3 (తరువాత మిలిటరీ సీరియల్ నంబర్ L2387) తో ప్రోటోటైప్ మొదట 18 జూన్ 1937 న ప్రయాణించింది మరియు అధికారిక మూల్యాంకనం కోసం RAF మార్ట్‌షామ్ హీత్‌కు బదిలీ చేయబడింది. ట్రయల్స్ సమయంలో, ఎక్కువ పరికరాలు జోడించబడ్డాయి, ఇది బరువును పెంచింది మరియు ఫలితంగా, బరువును తగ్గించే ప్రయత్నంలో, డోర్సల్ టరెంట్ తొలగించబడింది. ఈ విమానం టెయిల్ ప్లేన్ క్రింద అమర్చిన చిన్న సహాయక రెక్కలతో కూడా సవరించబడింది. [2] ఐదవ విమానం నుండి విలీనం చేయబడిన మార్పులు ఉన్నప్పటికీ, [2] ఈ రకం శిక్షణకు తగినది కాదని భావించారు మరియు 250 విమానాల అసలు క్రమాన్ని 50 విమానాలకు మాత్రమే తగ్గించారు, వీటిలో 20 భూమి శిక్షణ కోసం ఇంజనీరింగ్ ఎయిర్‌ఫ్రేమ్‌లుగా పంపిణీ చేయబడ్డాయి. [3] మిగిలిన విమానం కమ్యూనికేషన్స్ మరియు అనుసంధాన విమానంగా పనిచేసింది, 1939 ప్రారంభం వరకు UK అంతటా 24 చదరపు N మరియు అనేక RAF స్టేషన్ విమానాలతో పనిచేస్తోంది, కాని అన్నీ మార్చి 1939 లో బోధనా ఎయిర్‌ఫ్రేమ్‌లుగా ఉపయోగించబడ్డాయి. [4] 1909 నుండి డి హవిలాండ్ విమానం నుండి డేటా [5] సాధారణ లక్షణాలు పనితీరు సంబంధిత జాబితాలు</v>
      </c>
      <c r="E113" s="1" t="s">
        <v>2419</v>
      </c>
      <c r="F113" s="1" t="s">
        <v>2420</v>
      </c>
      <c r="G113" s="1" t="str">
        <f>IFERROR(__xludf.DUMMYFUNCTION("GOOGLETRANSLATE(F:F, ""en"", ""te"")"),"కమ్యూనికేషన్స్/అనుసంధానం")</f>
        <v>కమ్యూనికేషన్స్/అనుసంధానం</v>
      </c>
      <c r="I113" s="1" t="s">
        <v>964</v>
      </c>
      <c r="J113" s="1" t="str">
        <f>IFERROR(__xludf.DUMMYFUNCTION("GOOGLETRANSLATE(I:I, ""en"", ""te"")"),"యునైటెడ్ కింగ్‌డమ్")</f>
        <v>యునైటెడ్ కింగ్‌డమ్</v>
      </c>
      <c r="L113" s="1" t="s">
        <v>2421</v>
      </c>
      <c r="M113" s="1" t="str">
        <f>IFERROR(__xludf.DUMMYFUNCTION("GOOGLETRANSLATE(L:L, ""en"", ""te"")"),"డి హవిలాండ్")</f>
        <v>డి హవిలాండ్</v>
      </c>
      <c r="N113" s="1" t="s">
        <v>2422</v>
      </c>
      <c r="R113" s="4">
        <v>13684.0</v>
      </c>
      <c r="S113" s="1" t="s">
        <v>2423</v>
      </c>
      <c r="V113" s="1">
        <v>1.0</v>
      </c>
      <c r="W113" s="1" t="s">
        <v>2424</v>
      </c>
      <c r="X113" s="1" t="s">
        <v>2425</v>
      </c>
      <c r="Y113" s="1" t="s">
        <v>1568</v>
      </c>
      <c r="Z113" s="1" t="s">
        <v>2426</v>
      </c>
      <c r="AF113" s="1" t="s">
        <v>2427</v>
      </c>
      <c r="AG113" s="1" t="s">
        <v>2428</v>
      </c>
      <c r="AH113" s="1" t="s">
        <v>2429</v>
      </c>
      <c r="AO113" s="1">
        <v>1938.0</v>
      </c>
      <c r="AQ113" s="1">
        <v>1940.0</v>
      </c>
      <c r="AV113" s="1" t="s">
        <v>2430</v>
      </c>
      <c r="AX113" s="1" t="s">
        <v>2431</v>
      </c>
      <c r="AY113" s="1" t="str">
        <f>IFERROR(__xludf.DUMMYFUNCTION("GOOGLETRANSLATE(AX:AX, ""en"", ""te"")"),"1 × డి హవిలాండ్ గిప్సీ కింగ్ వి -12 విలోమ ఎయిర్-కూల్డ్ పిస్టన్ ఇంజిన్, 525 హెచ్‌పి (391 కిలోవాట్)")</f>
        <v>1 × డి హవిలాండ్ గిప్సీ కింగ్ వి -12 విలోమ ఎయిర్-కూల్డ్ పిస్టన్ ఇంజిన్, 525 హెచ్‌పి (391 కిలోవాట్)</v>
      </c>
      <c r="AZ113" s="1" t="s">
        <v>2432</v>
      </c>
      <c r="BA113" s="1" t="str">
        <f>IFERROR(__xludf.DUMMYFUNCTION("GOOGLETRANSLATE(AZ:AZ, ""en"", ""te"")"),"2-బ్లేడెడ్ వేరియబుల్-పిచ్ ప్రొపెల్లర్")</f>
        <v>2-బ్లేడెడ్ వేరియబుల్-పిచ్ ప్రొపెల్లర్</v>
      </c>
      <c r="BB113" s="1" t="s">
        <v>2433</v>
      </c>
      <c r="BD113" s="1" t="s">
        <v>2434</v>
      </c>
      <c r="BF113" s="1" t="s">
        <v>610</v>
      </c>
      <c r="BG113" s="2" t="str">
        <f>IFERROR(__xludf.DUMMYFUNCTION("GOOGLETRANSLATE(BF:BF, ""en"", ""te"")"),"రాయల్ వైమానిక దళం")</f>
        <v>రాయల్ వైమానిక దళం</v>
      </c>
      <c r="BH113" s="1" t="s">
        <v>611</v>
      </c>
      <c r="BS113" s="1" t="s">
        <v>2435</v>
      </c>
      <c r="BT113" s="1" t="s">
        <v>2436</v>
      </c>
    </row>
    <row r="114">
      <c r="A114" s="1" t="s">
        <v>2437</v>
      </c>
      <c r="B114" s="1" t="str">
        <f>IFERROR(__xludf.DUMMYFUNCTION("GOOGLETRANSLATE(A:A, ""en"", ""te"")"),"డి హవిలాండ్ DH.71 టైగర్ చిమ్మట")</f>
        <v>డి హవిలాండ్ DH.71 టైగర్ చిమ్మట</v>
      </c>
      <c r="C114" s="1" t="s">
        <v>2438</v>
      </c>
      <c r="D114" s="1" t="str">
        <f>IFERROR(__xludf.DUMMYFUNCTION("GOOGLETRANSLATE(C:C, ""en"", ""te"")"),"డి హవిలాండ్ డుహెచ్ 71 టైగర్ చిమ్మట ఒక బ్రిటిష్ సింగిల్-సీట్ల మోనోప్లేన్, ఇది హై-స్పీడ్ ఫ్లైట్ గురించి పరిశోధించడానికి మరియు సిరస్ కోసం పున ment స్థాపన ఇంజిన్లను పరీక్షించడానికి రూపొందించబడింది. రెండు మాత్రమే నిర్మించబడ్డాయి. [1] ఇది మునుపటి చిమ్మట బైప్లేన"&amp;"్ల ఆధారంగా తక్కువ-వింగ్ మోనోప్లేన్, ఇది ఒత్తిడితో కూడిన ప్లైవుడ్ కవరింగ్ మరియు దాని టెస్ట్ పైలట్ హుబెర్ట్ బ్రాడ్ చుట్టూ రూపొందించిన కాక్‌పిట్, వీలైనంతవరకు క్రమబద్ధీకరించడానికి: దీని ఫలితంగా ఫ్యూజ్‌లేజ్ వైపులా బయటికి వాలుగా ఉంటుంది. భుజాలు. [1] టైగర్ చిమ్మ"&amp;"ట ఒక స్థిర సాంప్రదాయ ల్యాండింగ్ గేర్‌ను తోక స్కిడ్‌తో కలిగి ఉంది. [1] నిర్మించిన మొట్టమొదటి విమానం (రిజిస్ట్రేషన్ జి-ఎబ్క్యూ) మొదట 24 జూన్ 1927 న స్టాగ్ లేన్ ఏరోడ్రోమ్ నుండి ఎగిరింది మరియు దాని నిర్వహణ లక్షణాలను తనిఖీ చేయడానికి 85 హెచ్‌పి (63 కిలోవాట్ల) ఎ"&amp;"డిసి సిరస్ II ఇంజిన్‌తో అమర్చబడింది. ఇది మేజర్ హాల్ఫోర్డ్ యొక్క ప్రోటోటైప్ ఇంజిన్‌తో భర్తీ చేయబడింది, అప్పటికి జిప్సీ అని పేరు పెట్టారు. [1] రెండవ ఉదాహరణ, G-EBRV, సిరస్ ఇంజిన్‌తో అమర్చబడి, మొదటిసారి 28 జూలై 1927 న ప్రయాణించారు. [1] జూలై 30 న హక్నాల్ వద్ద "&amp;"జరగబోయే 1927 కింగ్స్ కప్ రేసు కోసం రెండు విమానాలు ప్రవేశించబడ్డాయి; 'క్యూ ఉపసంహరించబడింది, కానీ బ్రాడ్ ఎగిరింది' రేసులో rv, సమస్యలను నిర్వహించడం వల్ల పదవీ విరమణ చేశారు. [1] ఆగష్టు 1927 లో, బ్రాడ్ 62-మైళ్ల (100 కిమీ) క్లోజ్డ్-సర్క్యూట్ కంటే జి-ఎబ్క్యూని ఎగ"&amp;"రడానికి 186.47 mph (300.09 కిమీ/గం) క్లాస్ III లైట్ ఎయిర్‌క్రాఫ్ట్ కోసం కొత్త రికార్డును నెలకొల్పింది. [1] ఐదు రోజుల తరువాత అతను ఆక్సిజన్ లేకుండా 19,191 అడుగుల (5,849 మీ) కు వెళ్లాడు, దాని వర్గానికి ఎత్తు రికార్డును బద్దలు కొట్టే ప్రయత్నంలో. ఈ రికార్డ్ ప్"&amp;"రయత్నాల కోసం, ఈ విమానం 19 అడుగుల (6 మీ) తగ్గిన వ్యవధిలో కొత్త రెక్కలతో అమర్చబడింది. [1] జి-ఎబ్క్యూ 1930 లో ఆస్ట్రేలియాకు ఎగుమతి చేయబడింది మరియు VH-Unh ను నమోదు చేసింది. 17 సెప్టెంబర్ 1930 న, ఎయిర్ రేస్ కోసం ప్రాక్టీస్ చేస్తున్నప్పుడు ఇంజిన్ కటౌట్ అయినప్పు"&amp;"డు అది కుప్పకూలింది, పైలట్ డేవిడ్ స్మిత్‌ను చంపింది. [1] రెండవ ఎయిర్ఫ్రేమ్ డి హవిలాండ్ యొక్క హాట్ఫీల్డ్ ఫ్యాక్టరీ వెలుపల ప్రదర్శించబడే సమయం, చివరికి 3 అక్టోబర్ 1940 న వైమానిక దాడి సమయంలో అక్కడ నాశనం చేయబడింది. [1] 1909 నుండి డి హవిలాండ్ విమానం నుండి డేటా."&amp;" [1] సాధారణ లక్షణాలు పనితీరు సంబంధిత జాబితాలు")</f>
        <v>డి హవిలాండ్ డుహెచ్ 71 టైగర్ చిమ్మట ఒక బ్రిటిష్ సింగిల్-సీట్ల మోనోప్లేన్, ఇది హై-స్పీడ్ ఫ్లైట్ గురించి పరిశోధించడానికి మరియు సిరస్ కోసం పున ment స్థాపన ఇంజిన్లను పరీక్షించడానికి రూపొందించబడింది. రెండు మాత్రమే నిర్మించబడ్డాయి. [1] ఇది మునుపటి చిమ్మట బైప్లేన్ల ఆధారంగా తక్కువ-వింగ్ మోనోప్లేన్, ఇది ఒత్తిడితో కూడిన ప్లైవుడ్ కవరింగ్ మరియు దాని టెస్ట్ పైలట్ హుబెర్ట్ బ్రాడ్ చుట్టూ రూపొందించిన కాక్‌పిట్, వీలైనంతవరకు క్రమబద్ధీకరించడానికి: దీని ఫలితంగా ఫ్యూజ్‌లేజ్ వైపులా బయటికి వాలుగా ఉంటుంది. భుజాలు. [1] టైగర్ చిమ్మట ఒక స్థిర సాంప్రదాయ ల్యాండింగ్ గేర్‌ను తోక స్కిడ్‌తో కలిగి ఉంది. [1] నిర్మించిన మొట్టమొదటి విమానం (రిజిస్ట్రేషన్ జి-ఎబ్క్యూ) మొదట 24 జూన్ 1927 న స్టాగ్ లేన్ ఏరోడ్రోమ్ నుండి ఎగిరింది మరియు దాని నిర్వహణ లక్షణాలను తనిఖీ చేయడానికి 85 హెచ్‌పి (63 కిలోవాట్ల) ఎడిసి సిరస్ II ఇంజిన్‌తో అమర్చబడింది. ఇది మేజర్ హాల్ఫోర్డ్ యొక్క ప్రోటోటైప్ ఇంజిన్‌తో భర్తీ చేయబడింది, అప్పటికి జిప్సీ అని పేరు పెట్టారు. [1] రెండవ ఉదాహరణ, G-EBRV, సిరస్ ఇంజిన్‌తో అమర్చబడి, మొదటిసారి 28 జూలై 1927 న ప్రయాణించారు. [1] జూలై 30 న హక్నాల్ వద్ద జరగబోయే 1927 కింగ్స్ కప్ రేసు కోసం రెండు విమానాలు ప్రవేశించబడ్డాయి; 'క్యూ ఉపసంహరించబడింది, కానీ బ్రాడ్ ఎగిరింది' రేసులో rv, సమస్యలను నిర్వహించడం వల్ల పదవీ విరమణ చేశారు. [1] ఆగష్టు 1927 లో, బ్రాడ్ 62-మైళ్ల (100 కిమీ) క్లోజ్డ్-సర్క్యూట్ కంటే జి-ఎబ్క్యూని ఎగరడానికి 186.47 mph (300.09 కిమీ/గం) క్లాస్ III లైట్ ఎయిర్‌క్రాఫ్ట్ కోసం కొత్త రికార్డును నెలకొల్పింది. [1] ఐదు రోజుల తరువాత అతను ఆక్సిజన్ లేకుండా 19,191 అడుగుల (5,849 మీ) కు వెళ్లాడు, దాని వర్గానికి ఎత్తు రికార్డును బద్దలు కొట్టే ప్రయత్నంలో. ఈ రికార్డ్ ప్రయత్నాల కోసం, ఈ విమానం 19 అడుగుల (6 మీ) తగ్గిన వ్యవధిలో కొత్త రెక్కలతో అమర్చబడింది. [1] జి-ఎబ్క్యూ 1930 లో ఆస్ట్రేలియాకు ఎగుమతి చేయబడింది మరియు VH-Unh ను నమోదు చేసింది. 17 సెప్టెంబర్ 1930 న, ఎయిర్ రేస్ కోసం ప్రాక్టీస్ చేస్తున్నప్పుడు ఇంజిన్ కటౌట్ అయినప్పుడు అది కుప్పకూలింది, పైలట్ డేవిడ్ స్మిత్‌ను చంపింది. [1] రెండవ ఎయిర్ఫ్రేమ్ డి హవిలాండ్ యొక్క హాట్ఫీల్డ్ ఫ్యాక్టరీ వెలుపల ప్రదర్శించబడే సమయం, చివరికి 3 అక్టోబర్ 1940 న వైమానిక దాడి సమయంలో అక్కడ నాశనం చేయబడింది. [1] 1909 నుండి డి హవిలాండ్ విమానం నుండి డేటా. [1] సాధారణ లక్షణాలు పనితీరు సంబంధిత జాబితాలు</v>
      </c>
      <c r="E114" s="1" t="s">
        <v>2439</v>
      </c>
      <c r="F114" s="1" t="s">
        <v>2440</v>
      </c>
      <c r="G114" s="1" t="str">
        <f>IFERROR(__xludf.DUMMYFUNCTION("GOOGLETRANSLATE(F:F, ""en"", ""te"")"),"హై-స్పీడ్ రీసెర్చ్ మరియు రేసింగ్ మోనోప్లేన్")</f>
        <v>హై-స్పీడ్ రీసెర్చ్ మరియు రేసింగ్ మోనోప్లేన్</v>
      </c>
      <c r="I114" s="1" t="s">
        <v>964</v>
      </c>
      <c r="J114" s="1" t="str">
        <f>IFERROR(__xludf.DUMMYFUNCTION("GOOGLETRANSLATE(I:I, ""en"", ""te"")"),"యునైటెడ్ కింగ్‌డమ్")</f>
        <v>యునైటెడ్ కింగ్‌డమ్</v>
      </c>
      <c r="L114" s="1" t="s">
        <v>2441</v>
      </c>
      <c r="M114" s="1" t="str">
        <f>IFERROR(__xludf.DUMMYFUNCTION("GOOGLETRANSLATE(L:L, ""en"", ""te"")"),"డి హవిలాండ్ ఎయిర్క్రాఫ్ట్ కంపెనీ")</f>
        <v>డి హవిలాండ్ ఎయిర్క్రాఫ్ట్ కంపెనీ</v>
      </c>
      <c r="N114" s="1" t="s">
        <v>2442</v>
      </c>
      <c r="R114" s="4">
        <v>10037.0</v>
      </c>
      <c r="S114" s="1">
        <v>2.0</v>
      </c>
      <c r="V114" s="1">
        <v>1.0</v>
      </c>
      <c r="W114" s="1" t="s">
        <v>2443</v>
      </c>
      <c r="X114" s="1" t="s">
        <v>2444</v>
      </c>
      <c r="Y114" s="1" t="s">
        <v>2445</v>
      </c>
      <c r="Z114" s="1" t="s">
        <v>2446</v>
      </c>
      <c r="AG114" s="1" t="s">
        <v>2447</v>
      </c>
      <c r="AH114" s="1" t="s">
        <v>2448</v>
      </c>
      <c r="AO114" s="1">
        <v>1927.0</v>
      </c>
      <c r="AQ114" s="1">
        <v>1930.0</v>
      </c>
      <c r="AX114" s="1" t="s">
        <v>2449</v>
      </c>
      <c r="AY114" s="1" t="str">
        <f>IFERROR(__xludf.DUMMYFUNCTION("GOOGLETRANSLATE(AX:AX, ""en"", ""te"")"),"1 × ADC సిరస్ II ఇన్లైన్ పిస్టన్, 85 HP (63 kW)")</f>
        <v>1 × ADC సిరస్ II ఇన్లైన్ పిస్టన్, 85 HP (63 kW)</v>
      </c>
      <c r="AZ114" s="1" t="s">
        <v>1547</v>
      </c>
      <c r="BA114" s="1" t="str">
        <f>IFERROR(__xludf.DUMMYFUNCTION("GOOGLETRANSLATE(AZ:AZ, ""en"", ""te"")"),"2-బ్లేడెడ్")</f>
        <v>2-బ్లేడెడ్</v>
      </c>
      <c r="BB114" s="1" t="s">
        <v>2450</v>
      </c>
      <c r="BG114" s="2"/>
    </row>
    <row r="115">
      <c r="A115" s="1" t="s">
        <v>2451</v>
      </c>
      <c r="B115" s="1" t="str">
        <f>IFERROR(__xludf.DUMMYFUNCTION("GOOGLETRANSLATE(A:A, ""en"", ""te"")"),"బ్లెరియోట్ III")</f>
        <v>బ్లెరియోట్ III</v>
      </c>
      <c r="C115" s="1" t="s">
        <v>2452</v>
      </c>
      <c r="D115" s="1" t="str">
        <f>IFERROR(__xludf.DUMMYFUNCTION("GOOGLETRANSLATE(C:C, ""en"", ""te"")"),"బ్లెరియోట్ III అనేది పయనీర్ ఏవియేటర్స్ లూయిస్ బ్లెరియోట్ మరియు గాబ్రియేల్ వోసిన్ నిర్మించిన ప్రారంభ ఫ్రెంచ్ విమానం. ఇది తరువాత సవరించబడింది మరియు బ్లెరియోట్ IV అని పేరు మార్చబడింది, కాని రెండు వెర్షన్లు ఎగరడంలో విఫలమయ్యాయి. బ్లెరియోట్ III విమానం కోసం సనాత"&amp;"న రూపకల్పనగా మారడానికి భిన్నంగా ఉంటుంది, బూమ్స్ ద్వారా అనుసంధానించబడిన రెండు పెద్ద ఎలిప్టికల్ క్లోజ్డ్ వింగ్ కణాలను కలిగి ఉంది. దిగువ ఫ్రంట్ వింగ్‌లో అమర్చిన 24 హెచ్‌పి (18 కిలోవాట్ల) ఆంటోనిట్టే ఇంజిన్ రెండు ట్రాక్టర్ ప్రొపెల్లర్లను ఉపయోగించి ఫ్లెక్సిబుల్"&amp;" డ్రైవ్ షాఫ్ట్‌లను ఉపయోగించి రిడక్షన్ గేరింగ్‌ను కలిగి ఉంది. ప్రసార అమరిక విమానం యొక్క 400 కిలోల బరువులో 100 కిలోల వరకు ఉంది. అండర్ క్యారేజ్ ఫ్రంట్ వింగ్ సెల్ కింద ఒక జత పొడవైన ఫ్లోట్లను మరియు వెనుక వింగ్ సెల్ క్రింద మూడవది. బ్లెరియోట్ మరియు వోసిన్ మే 190"&amp;"6 లో లాక్ డి ఎంగీమ్ నుండి ఎగరడానికి ప్రయత్నించారు, కాని యంత్రం గాలిలో మారదు. [1] అక్టోబరులో వారు డిజైన్‌లో పెద్ద మార్పులు చేశారు, AFT సెల్‌కు చుక్కానిని జోడించి, ఫార్వర్డ్ రెక్కలను మరింత సాంప్రదాయిక బైప్‌లేన్ అమరికతో భర్తీ చేసి, రెండవ ఇంజిన్‌ను జోడించి, ప"&amp;"్రొపెల్లర్లను ట్రాక్టర్ల నుండి పషర్‌లకు మార్చడం. ఈ సమయంలో, దీనికి బ్లెరియోట్ IV గా మార్చబడింది. అక్టోబర్ 12 మరియు 18 తేదీలలో లాక్ డి ఎంగీమ్ వద్ద ఫ్లోట్‌ప్లేన్‌గా విమానం ఎగరడానికి చేసిన ప్రయత్నాలు జరిగాయి. [2] ఈ మార్పులతో కూడా, విమానం ఇప్పటికీ భూమిని విడిచ"&amp;"ిపెట్టడానికి నిరాకరించింది. అప్పుడు వారు ఫ్లోట్లను తీసివేసి, చక్రాల అండర్ క్యారేజీని జోడించారు. నవంబర్ 12, 1906 న, పార్క్ డి బాగటెల్లె వద్ద విమానంలో మరిన్ని ప్రయత్నాలు జరిగాయి, కాని ఈ విమానం గ్రౌండ్ రన్ సమయంలో అడ్డంకిని తాకింది మరియు మరమ్మత్తుకు మించి దెబ"&amp;"్బతింది. ఈ వైఫల్యాన్ని నొక్కిచెప్పడానికి, వోయిసిన్ మరియు బ్లెరియోట్ అప్పుడు 14-బిస్లో శాంటాస్-డుమోంట్ విజయవంతమైన విమానానికి సాక్ష్యమిచ్చారు, అదే రోజు బాగటెల్లెలో తయారు చేయబడింది. [3] ఈ వైఫల్యం తరువాత వోయిసిన్ మరియు బ్లెరియోట్ మధ్య భాగస్వామ్యం కరిగిపోయింది"&amp;", ఇద్దరూ తమ సొంత డిజైన్ ఆలోచనలపై దృష్టి పెట్టడానికి ఇష్టపడతారు. వోయిసిన్ తన సోదరుడితో కలిసి అప్పెరేల్స్ డి'ఏవియేషన్ లెస్ ఫ్రేర్స్ వోసిన్ ను ఏర్పాటు చేశాడు, మరియు బ్లెరియోట్ అనేక ఇతర వ్యక్తులతో కలిసి మరింత ప్రయోగాత్మక విమానాలను నిర్మించాడు. సాధారణ లక్షణాలు")</f>
        <v>బ్లెరియోట్ III అనేది పయనీర్ ఏవియేటర్స్ లూయిస్ బ్లెరియోట్ మరియు గాబ్రియేల్ వోసిన్ నిర్మించిన ప్రారంభ ఫ్రెంచ్ విమానం. ఇది తరువాత సవరించబడింది మరియు బ్లెరియోట్ IV అని పేరు మార్చబడింది, కాని రెండు వెర్షన్లు ఎగరడంలో విఫలమయ్యాయి. బ్లెరియోట్ III విమానం కోసం సనాతన రూపకల్పనగా మారడానికి భిన్నంగా ఉంటుంది, బూమ్స్ ద్వారా అనుసంధానించబడిన రెండు పెద్ద ఎలిప్టికల్ క్లోజ్డ్ వింగ్ కణాలను కలిగి ఉంది. దిగువ ఫ్రంట్ వింగ్‌లో అమర్చిన 24 హెచ్‌పి (18 కిలోవాట్ల) ఆంటోనిట్టే ఇంజిన్ రెండు ట్రాక్టర్ ప్రొపెల్లర్లను ఉపయోగించి ఫ్లెక్సిబుల్ డ్రైవ్ షాఫ్ట్‌లను ఉపయోగించి రిడక్షన్ గేరింగ్‌ను కలిగి ఉంది. ప్రసార అమరిక విమానం యొక్క 400 కిలోల బరువులో 100 కిలోల వరకు ఉంది. అండర్ క్యారేజ్ ఫ్రంట్ వింగ్ సెల్ కింద ఒక జత పొడవైన ఫ్లోట్లను మరియు వెనుక వింగ్ సెల్ క్రింద మూడవది. బ్లెరియోట్ మరియు వోసిన్ మే 1906 లో లాక్ డి ఎంగీమ్ నుండి ఎగరడానికి ప్రయత్నించారు, కాని యంత్రం గాలిలో మారదు. [1] అక్టోబరులో వారు డిజైన్‌లో పెద్ద మార్పులు చేశారు, AFT సెల్‌కు చుక్కానిని జోడించి, ఫార్వర్డ్ రెక్కలను మరింత సాంప్రదాయిక బైప్‌లేన్ అమరికతో భర్తీ చేసి, రెండవ ఇంజిన్‌ను జోడించి, ప్రొపెల్లర్లను ట్రాక్టర్ల నుండి పషర్‌లకు మార్చడం. ఈ సమయంలో, దీనికి బ్లెరియోట్ IV గా మార్చబడింది. అక్టోబర్ 12 మరియు 18 తేదీలలో లాక్ డి ఎంగీమ్ వద్ద ఫ్లోట్‌ప్లేన్‌గా విమానం ఎగరడానికి చేసిన ప్రయత్నాలు జరిగాయి. [2] ఈ మార్పులతో కూడా, విమానం ఇప్పటికీ భూమిని విడిచిపెట్టడానికి నిరాకరించింది. అప్పుడు వారు ఫ్లోట్లను తీసివేసి, చక్రాల అండర్ క్యారేజీని జోడించారు. నవంబర్ 12, 1906 న, పార్క్ డి బాగటెల్లె వద్ద విమానంలో మరిన్ని ప్రయత్నాలు జరిగాయి, కాని ఈ విమానం గ్రౌండ్ రన్ సమయంలో అడ్డంకిని తాకింది మరియు మరమ్మత్తుకు మించి దెబ్బతింది. ఈ వైఫల్యాన్ని నొక్కిచెప్పడానికి, వోయిసిన్ మరియు బ్లెరియోట్ అప్పుడు 14-బిస్లో శాంటాస్-డుమోంట్ విజయవంతమైన విమానానికి సాక్ష్యమిచ్చారు, అదే రోజు బాగటెల్లెలో తయారు చేయబడింది. [3] ఈ వైఫల్యం తరువాత వోయిసిన్ మరియు బ్లెరియోట్ మధ్య భాగస్వామ్యం కరిగిపోయింది, ఇద్దరూ తమ సొంత డిజైన్ ఆలోచనలపై దృష్టి పెట్టడానికి ఇష్టపడతారు. వోయిసిన్ తన సోదరుడితో కలిసి అప్పెరేల్స్ డి'ఏవియేషన్ లెస్ ఫ్రేర్స్ వోసిన్ ను ఏర్పాటు చేశాడు, మరియు బ్లెరియోట్ అనేక ఇతర వ్యక్తులతో కలిసి మరింత ప్రయోగాత్మక విమానాలను నిర్మించాడు. సాధారణ లక్షణాలు</v>
      </c>
      <c r="E115" s="1" t="s">
        <v>2453</v>
      </c>
      <c r="F115" s="1" t="s">
        <v>1120</v>
      </c>
      <c r="G115" s="1" t="str">
        <f>IFERROR(__xludf.DUMMYFUNCTION("GOOGLETRANSLATE(F:F, ""en"", ""te"")"),"ప్రయోగాత్మక విమానం")</f>
        <v>ప్రయోగాత్మక విమానం</v>
      </c>
      <c r="J115" s="1" t="str">
        <f>IFERROR(__xludf.DUMMYFUNCTION("GOOGLETRANSLATE(I:I, ""en"", ""te"")"),"#VALUE!")</f>
        <v>#VALUE!</v>
      </c>
      <c r="L115" s="1" t="s">
        <v>2454</v>
      </c>
      <c r="M115" s="1" t="str">
        <f>IFERROR(__xludf.DUMMYFUNCTION("GOOGLETRANSLATE(L:L, ""en"", ""te"")"),"లూయిస్ బ్లెరియోట్ మరియు గాబ్రియేల్ వోసిన్")</f>
        <v>లూయిస్ బ్లెరియోట్ మరియు గాబ్రియేల్ వోసిన్</v>
      </c>
      <c r="N115" s="1" t="s">
        <v>2455</v>
      </c>
      <c r="R115" s="1">
        <v>1906.0</v>
      </c>
      <c r="S115" s="1">
        <v>1.0</v>
      </c>
      <c r="V115" s="1" t="s">
        <v>1318</v>
      </c>
      <c r="X115" s="1" t="s">
        <v>841</v>
      </c>
      <c r="Z115" s="1" t="s">
        <v>2456</v>
      </c>
      <c r="AH115" s="1" t="s">
        <v>2457</v>
      </c>
      <c r="AN115" s="3" t="s">
        <v>2458</v>
      </c>
      <c r="AX115" s="1" t="s">
        <v>2459</v>
      </c>
      <c r="AY115" s="1" t="str">
        <f>IFERROR(__xludf.DUMMYFUNCTION("GOOGLETRANSLATE(AX:AX, ""en"", ""te"")"),"2 × ఆంటోనెట్ V-8, 18 kW (24 hp) ఒక్కొక్కటి")</f>
        <v>2 × ఆంటోనెట్ V-8, 18 kW (24 hp) ఒక్కొక్కటి</v>
      </c>
      <c r="BG115" s="2"/>
    </row>
    <row r="116">
      <c r="A116" s="1" t="s">
        <v>2460</v>
      </c>
      <c r="B116" s="1" t="str">
        <f>IFERROR(__xludf.DUMMYFUNCTION("GOOGLETRANSLATE(A:A, ""en"", ""te"")"),"టెమ్కో టిటి పింటో")</f>
        <v>టెమ్కో టిటి పింటో</v>
      </c>
      <c r="C116" s="1" t="s">
        <v>2461</v>
      </c>
      <c r="D116" s="1" t="str">
        <f>IFERROR(__xludf.DUMMYFUNCTION("GOOGLETRANSLATE(C:C, ""en"", ""te"")"),"టెమ్కో టిటి పింటో అనేది టెక్సాస్‌లోని డల్లాస్ యొక్క టెమ్కో విమానాలచే అమెరికా నేవీ కోసం నిర్మించిన రెండు-సీట్ల ప్రాధమిక జెట్ ట్రైనర్. [సైటేషన్ అవసరం] టెమ్కో మోడల్ 51 మొదట వైమానిక దళ పోటీకి ప్రతిస్పందనగా యుఎస్ వైమానిక దళానికి ప్రతిపాదించబడింది జెట్-శక్తితో "&amp;"పనిచేసే ప్రాధమిక శిక్షకుడి కోసం, దీనిని సెస్నా టి -37 ట్వీట్ గెలుచుకుంది. మోడల్ 51 వెనుక ఉన్న భావన జెట్-శక్తితో పనిచేసే విమానంలో ప్రాధమిక శిక్షణను అందించే ప్రయత్నం. మోడల్ 51 యొక్క అధికారిక పేరు పింటో. ఇంజిన్. ఈ విమానం ఆయుధాలను కలిగి లేదు. [సైటేషన్ అవసరం] "&amp;"టిటి -1 లు ఎజెక్షన్ సీట్లు, ద్రవ ఆక్సిజన్ పరికరాలు, స్పీడ్ బ్రేక్‌లు, విలక్షణమైన విమాన నియంత్రణలు మరియు ఇన్స్ట్రుమెంట్ ప్యానెల్స్‌తో సహా కార్యాచరణ జెట్లలో కనిపించే అనేక లక్షణాలను కలిగి ఉన్నాయి. విమాన లక్షణాలు మంచివిగా పరిగణించబడుతున్నప్పటికీ, ""వేవ్ ఆఫ్"""&amp;" సామర్ధ్యం కొంచెం తక్కువగా ఉండటం వల్ల ఉపాంతంగా రేట్ చేయబడింది. [సైటేషన్ అవసరం] 1956 లో దాని మొదటి విమానంలో, ప్రోటోటైప్ నావల్ ఎయిర్ టెస్ట్ సెంటర్ (NATC) పటుక్సెంట్ నదికి పంపబడింది బీచ్ మోడల్ 73 జెట్ మెంటర్‌తో పాటు అంచనా వేయండి. ఈ విమానం యొక్క పద్నాలుగు, టి"&amp;"టి -1 ను నియమించారు, 1955 మరియు 1957 మధ్య ఉత్పత్తి చేయబడ్డాయి. [ప్రస్తావన అవసరం] 1968 లో, అమెరికన్ జెట్ ఇండస్ట్రీస్ (ఎజిఐ) (తరువాత గల్ఫ్ స్ట్రీమ్ ఏరోస్పేస్ కావడానికి) టిటి -1 పింటోను తిరిగి ఇంజిన్ చేసింది. J69 స్థానంలో 2,850 ఎల్బిఎఫ్ (12.7 కెఎన్) జనరల్ ఎల"&amp;"క్ట్రిక్ సిజె 610 (జె 85 యొక్క సివిల్ వెర్షన్). టి -610 సూపర్ పింటో అని పిలువబడే సవరించిన విమానం 28 జూన్ 1968 న ప్రయాణించింది. [1] కొత్త ఇంజిన్ పనితీరును గణనీయంగా పెంచింది, గరిష్ట వేగం 450 kN (518 mph; 833 km/h) కు చేరుకుంది, మరియు AJI విమానాన్ని తేలికపాట"&amp;"ి దాడి విమానంగా విక్రయించింది. [1] [2] ప్రోటోటైప్ సూపర్ పింటో, డ్రాయింగ్‌లు మరియు ఉత్పత్తి హక్కులతో పాటు ఫిలిప్పీన్ వైమానిక దళం కొనుగోలు చేసింది, ఇది ఈ విమానాన్ని టి -610 కాలిగా నిర్మించాలని యోచిస్తోంది. [3] 1959 లో, ఈ విమానాలు ఫ్లోరిడాలోని పెన్సకోలాలోని "&amp;"ఎయిర్ ట్రైనింగ్ కమాండ్‌లో పనిచేశాయి మరియు ఒక శిక్షణా కార్యక్రమ ప్రదర్శనలో ఉపయోగించబడ్డాయి, ప్రాధమిక విమాన శిక్షణ కోసం జెట్-శక్తితో పనిచేసే శిక్షకుడిని ఉపయోగించుకునే సాధ్యాసాధ్యాలను పరీక్షిస్తుంది. [సైటేషన్ అవసరం] 1960 చివరి నాటికి, టిటి- నావికాదళ ఎయిర్ ట్"&amp;"రైనింగ్ కమాండ్‌లో 1 సె దశలవారీగా ఆపరేషన్లు చేయబడ్డాయి, ఎందుకంటే పనితీరు సరిపోదని భావించారు, [4] మరియు మిగులుగా విక్రయించబడింది. డిసెంబర్ 2016 లో, టిటి -1 పింటో సిరీస్ యొక్క ఐదు ఇప్పటికీ యు.ఎస్. సివిల్ రోస్టర్ [5] (గడువు ముగిసిన సర్టిఫికేట్ [6] తో ఒకటి) లో"&amp;" కనిపించాయి, ఏడు, వాటిలో నలుగురు సూపర్ పింటోస్, 2011 లో. [7] 2015 చివరి నాటికి, ఫిలిప్పీన్ ఎయిర్ ఫోర్స్ మ్యూజియంలో ఒక టి -610 ప్రోటోటైప్ ఇప్పటికీ భద్రపరచబడింది. [8] జేన్ యొక్క అన్ని ప్రపంచ విమానాల నుండి డేటా 1956–57 [9] సాధారణ లక్షణాలు పనితీరు సంబంధిత అభి"&amp;"వృద్ధి విమానం పోల్చదగిన పాత్ర, కాన్ఫిగరేషన్ మరియు ERA")</f>
        <v>టెమ్కో టిటి పింటో అనేది టెక్సాస్‌లోని డల్లాస్ యొక్క టెమ్కో విమానాలచే అమెరికా నేవీ కోసం నిర్మించిన రెండు-సీట్ల ప్రాధమిక జెట్ ట్రైనర్. [సైటేషన్ అవసరం] టెమ్కో మోడల్ 51 మొదట వైమానిక దళ పోటీకి ప్రతిస్పందనగా యుఎస్ వైమానిక దళానికి ప్రతిపాదించబడింది జెట్-శక్తితో పనిచేసే ప్రాధమిక శిక్షకుడి కోసం, దీనిని సెస్నా టి -37 ట్వీట్ గెలుచుకుంది. మోడల్ 51 వెనుక ఉన్న భావన జెట్-శక్తితో పనిచేసే విమానంలో ప్రాధమిక శిక్షణను అందించే ప్రయత్నం. మోడల్ 51 యొక్క అధికారిక పేరు పింటో. ఇంజిన్. ఈ విమానం ఆయుధాలను కలిగి లేదు. [సైటేషన్ అవసరం] టిటి -1 లు ఎజెక్షన్ సీట్లు, ద్రవ ఆక్సిజన్ పరికరాలు, స్పీడ్ బ్రేక్‌లు, విలక్షణమైన విమాన నియంత్రణలు మరియు ఇన్స్ట్రుమెంట్ ప్యానెల్స్‌తో సహా కార్యాచరణ జెట్లలో కనిపించే అనేక లక్షణాలను కలిగి ఉన్నాయి. విమాన లక్షణాలు మంచివిగా పరిగణించబడుతున్నప్పటికీ, "వేవ్ ఆఫ్" సామర్ధ్యం కొంచెం తక్కువగా ఉండటం వల్ల ఉపాంతంగా రేట్ చేయబడింది. [సైటేషన్ అవసరం] 1956 లో దాని మొదటి విమానంలో, ప్రోటోటైప్ నావల్ ఎయిర్ టెస్ట్ సెంటర్ (NATC) పటుక్సెంట్ నదికి పంపబడింది బీచ్ మోడల్ 73 జెట్ మెంటర్‌తో పాటు అంచనా వేయండి. ఈ విమానం యొక్క పద్నాలుగు, టిటి -1 ను నియమించారు, 1955 మరియు 1957 మధ్య ఉత్పత్తి చేయబడ్డాయి. [ప్రస్తావన అవసరం] 1968 లో, అమెరికన్ జెట్ ఇండస్ట్రీస్ (ఎజిఐ) (తరువాత గల్ఫ్ స్ట్రీమ్ ఏరోస్పేస్ కావడానికి) టిటి -1 పింటోను తిరిగి ఇంజిన్ చేసింది. J69 స్థానంలో 2,850 ఎల్బిఎఫ్ (12.7 కెఎన్) జనరల్ ఎలక్ట్రిక్ సిజె 610 (జె 85 యొక్క సివిల్ వెర్షన్). టి -610 సూపర్ పింటో అని పిలువబడే సవరించిన విమానం 28 జూన్ 1968 న ప్రయాణించింది. [1] కొత్త ఇంజిన్ పనితీరును గణనీయంగా పెంచింది, గరిష్ట వేగం 450 kN (518 mph; 833 km/h) కు చేరుకుంది, మరియు AJI విమానాన్ని తేలికపాటి దాడి విమానంగా విక్రయించింది. [1] [2] ప్రోటోటైప్ సూపర్ పింటో, డ్రాయింగ్‌లు మరియు ఉత్పత్తి హక్కులతో పాటు ఫిలిప్పీన్ వైమానిక దళం కొనుగోలు చేసింది, ఇది ఈ విమానాన్ని టి -610 కాలిగా నిర్మించాలని యోచిస్తోంది. [3] 1959 లో, ఈ విమానాలు ఫ్లోరిడాలోని పెన్సకోలాలోని ఎయిర్ ట్రైనింగ్ కమాండ్‌లో పనిచేశాయి మరియు ఒక శిక్షణా కార్యక్రమ ప్రదర్శనలో ఉపయోగించబడ్డాయి, ప్రాధమిక విమాన శిక్షణ కోసం జెట్-శక్తితో పనిచేసే శిక్షకుడిని ఉపయోగించుకునే సాధ్యాసాధ్యాలను పరీక్షిస్తుంది. [సైటేషన్ అవసరం] 1960 చివరి నాటికి, టిటి- నావికాదళ ఎయిర్ ట్రైనింగ్ కమాండ్‌లో 1 సె దశలవారీగా ఆపరేషన్లు చేయబడ్డాయి, ఎందుకంటే పనితీరు సరిపోదని భావించారు, [4] మరియు మిగులుగా విక్రయించబడింది. డిసెంబర్ 2016 లో, టిటి -1 పింటో సిరీస్ యొక్క ఐదు ఇప్పటికీ యు.ఎస్. సివిల్ రోస్టర్ [5] (గడువు ముగిసిన సర్టిఫికేట్ [6] తో ఒకటి) లో కనిపించాయి, ఏడు, వాటిలో నలుగురు సూపర్ పింటోస్, 2011 లో. [7] 2015 చివరి నాటికి, ఫిలిప్పీన్ ఎయిర్ ఫోర్స్ మ్యూజియంలో ఒక టి -610 ప్రోటోటైప్ ఇప్పటికీ భద్రపరచబడింది. [8] జేన్ యొక్క అన్ని ప్రపంచ విమానాల నుండి డేటా 1956–57 [9] సాధారణ లక్షణాలు పనితీరు సంబంధిత అభివృద్ధి విమానం పోల్చదగిన పాత్ర, కాన్ఫిగరేషన్ మరియు ERA</v>
      </c>
      <c r="E116" s="1" t="s">
        <v>2462</v>
      </c>
      <c r="F116" s="1" t="s">
        <v>2463</v>
      </c>
      <c r="G116" s="1" t="str">
        <f>IFERROR(__xludf.DUMMYFUNCTION("GOOGLETRANSLATE(F:F, ""en"", ""te"")"),"జెట్ ట్రైనర్")</f>
        <v>జెట్ ట్రైనర్</v>
      </c>
      <c r="H116" s="1" t="s">
        <v>2464</v>
      </c>
      <c r="J116" s="1" t="str">
        <f>IFERROR(__xludf.DUMMYFUNCTION("GOOGLETRANSLATE(I:I, ""en"", ""te"")"),"#VALUE!")</f>
        <v>#VALUE!</v>
      </c>
      <c r="L116" s="1" t="s">
        <v>2465</v>
      </c>
      <c r="M116" s="1" t="str">
        <f>IFERROR(__xludf.DUMMYFUNCTION("GOOGLETRANSLATE(L:L, ""en"", ""te"")"),"టెమ్కో విమానం")</f>
        <v>టెమ్కో విమానం</v>
      </c>
      <c r="N116" s="1" t="s">
        <v>2466</v>
      </c>
      <c r="R116" s="4">
        <v>20540.0</v>
      </c>
      <c r="S116" s="1">
        <v>15.0</v>
      </c>
      <c r="T116" s="1" t="s">
        <v>216</v>
      </c>
      <c r="U116" s="1" t="s">
        <v>2467</v>
      </c>
      <c r="V116" s="1">
        <v>2.0</v>
      </c>
      <c r="W116" s="1" t="s">
        <v>2468</v>
      </c>
      <c r="X116" s="1" t="s">
        <v>2469</v>
      </c>
      <c r="Y116" s="1" t="s">
        <v>2470</v>
      </c>
      <c r="Z116" s="1" t="s">
        <v>2471</v>
      </c>
      <c r="AH116" s="1" t="s">
        <v>2472</v>
      </c>
      <c r="AI116" s="1" t="s">
        <v>2473</v>
      </c>
      <c r="AO116" s="1">
        <v>1959.0</v>
      </c>
      <c r="AQ116" s="1">
        <v>1960.0</v>
      </c>
      <c r="AW116" s="1" t="s">
        <v>2474</v>
      </c>
      <c r="AX116" s="1" t="s">
        <v>2475</v>
      </c>
      <c r="AY116" s="1" t="str">
        <f>IFERROR(__xludf.DUMMYFUNCTION("GOOGLETRANSLATE(AX:AX, ""en"", ""te"")"),"1 × కాంటినెంటల్ YJ69-T-9 సెంట్రిఫ్యూగల్ ఫ్లో కంప్రెసర్ టర్బోజెట్ ఇంజిన్, 920 LBF (4.1 kN) థ్రస్ట్")</f>
        <v>1 × కాంటినెంటల్ YJ69-T-9 సెంట్రిఫ్యూగల్ ఫ్లో కంప్రెసర్ టర్బోజెట్ ఇంజిన్, 920 LBF (4.1 kN) థ్రస్ట్</v>
      </c>
      <c r="BB116" s="1" t="s">
        <v>2476</v>
      </c>
      <c r="BC116" s="1" t="s">
        <v>2477</v>
      </c>
      <c r="BD116" s="1" t="s">
        <v>2478</v>
      </c>
      <c r="BF116" s="1" t="s">
        <v>251</v>
      </c>
      <c r="BG116" s="2" t="str">
        <f>IFERROR(__xludf.DUMMYFUNCTION("GOOGLETRANSLATE(BF:BF, ""en"", ""te"")"),"అమెరికా నేవీ")</f>
        <v>అమెరికా నేవీ</v>
      </c>
      <c r="BH116" s="1" t="s">
        <v>252</v>
      </c>
      <c r="BR116" s="1" t="s">
        <v>2479</v>
      </c>
      <c r="BS116" s="1" t="s">
        <v>2480</v>
      </c>
      <c r="BZ116" s="1" t="s">
        <v>2481</v>
      </c>
    </row>
    <row r="117">
      <c r="A117" s="1" t="s">
        <v>2482</v>
      </c>
      <c r="B117" s="1" t="str">
        <f>IFERROR(__xludf.DUMMYFUNCTION("GOOGLETRANSLATE(A:A, ""en"", ""te"")"),"విక్కర్స్ విబాల్ట్")</f>
        <v>విక్కర్స్ విబాల్ట్</v>
      </c>
      <c r="C117" s="1" t="s">
        <v>2483</v>
      </c>
      <c r="D117" s="1" t="str">
        <f>IFERROR(__xludf.DUMMYFUNCTION("GOOGLETRANSLATE(C:C, ""en"", ""te"")"),"విక్కర్స్ టైప్ 121 విబాల్ట్ స్కౌట్ 1920 లలో విక్కర్స్ నిర్మించిన బ్రిటిష్ ఫైటర్. ఇది ఫ్రెంచ్ విబాల్ట్ 7 విమానాల యొక్క లైసెన్స్ పొందిన వెర్షన్, 1926 లో 26 చిలీకి విక్రయించబడింది, అక్కడ వారు 1934 వరకు పనిచేశారు. విక్కర్స్ ఫ్రెంచ్ విమాన తయారీదారు, సోషియాట్ డ"&amp;"ెస్ ఏవియన్స్ మిచెల్ విబాల్ట్‌తో భాగస్వామ్యాన్ని ఏర్పాటు చేశారు. -మెటాల్ నిర్మాణం మిచెల్ విబాల్ట్ అభివృద్ధి చేసింది. ఇది ముడతలు పెట్టిన కాంతి మిశ్రమం స్కిన్ ప్యానెల్లను ఉపయోగించింది మరియు సులభంగా నిర్వహణ మరియు తనిఖీ కోసం తయారు చేయబడింది. [1] ఈ భాగస్వామ్యంల"&amp;"ో భాగంగా, విక్కర్స్ విబాల్ట్‌తో ఒకే విబాల్ట్ 7 కోసం ఒక ఆర్డర్‌ను ఉంచారు, బ్రిస్టల్ బృహస్పతి VI రేడియల్ ఇంజిన్‌తో తిరిగి ఇంజిన్ చేయబడింది, సంభావ్య లైసెన్స్ పొందిన ఉత్పత్తికి ఒక నమూనాగా పనిచేయడానికి. విబాల్ట్ 7, అందువల్ల విక్కర్స్ లైసెన్స్ పొందిన కాపీ, సింగ"&amp;"ిల్-ఇంజిన్ హై-వింగ్ పారాసోల్ మోనోప్లేన్స్. ప్రామాణిక విబాల్ట్ 7 నుండి కొత్త అండర్ క్యారేజ్ మరియు బ్రిటిష్ వాయిద్యాలను కలిగి ఉండటం ద్వారా ఈ నమూనా ఫిబ్రవరి 1926 లో బ్రిటన్‌కు పంపిణీ చేయబడింది [2] మరియు తరువాత విక్కర్స్ చేత బలోపేతం అయిన వింగ్ స్ట్రట్‌లతో అమర"&amp;"్చబడింది. విమానం యొక్క ఆల్-మెటల్ నిర్మాణం యొక్క మన్నిక, వాగ్దానం చేసిన మంచి ఎత్తు పనితీరుతో పాటు, చిలీ మిలిటరీ ఎయిర్ సర్వీస్ దృష్టిని ఆకర్షించింది, ఇది ప్రోటోటైప్‌ను అంచనా వేసిన తరువాత, 26 విమానాలకు ఒక ఆర్డర్‌ను ఉంచింది, దీనిని విక్కర్స్ టైప్ 121 లేదా విక"&amp;"్కర్స్ అని పిలుస్తారు. -విబాల్ట్ స్కౌట్. [3] మొదటి విక్కర్స్ నిర్మించిన టైప్ 121 జూన్ 1926 చివరలో ఎగిరింది, కాని దాని మొదటి విమానంలో విలోమ స్పిన్ తరువాత క్రాష్ అయ్యింది. విమానం యొక్క గురుత్వాకర్షణ కేంద్రంతో సమస్యల వల్ల ఇది కనుగొనబడింది, ఇవి టెయిల్‌ప్లేన్‌"&amp;"ను సవరించడం ద్వారా పరిష్కరించబడ్డాయి. [4] మొదటి టైప్ 121 లు నవంబర్ 1926 లో చిలీకి పంపిణీ చేయబడ్డాయి, పాక్షికంగా గ్రూప్ మిక్స్టో డి ఏవియాసియన్ 1 ను సన్నద్ధం చేశాయి, అక్టోబర్ 1927 వరకు డెలివరీలు కొనసాగుతున్నాయి. [2] చాలా మంది ప్రమాదాలలో కోల్పోయారు, కనీసం ఒక"&amp;"రు విమానంలో రెక్కను కోల్పోయారు, [2] కాని చిలీ సైన్యం మరియు నావికాదళం యొక్క వాయు భాగాల నుండి చిలీ వైమానిక దళం ఏర్పడినప్పుడు ఇది సేవలో ఉంది, చివరికి 1934 లో రిటైర్ అయ్యారు. [2 ] 1912 నుండి బ్రిటిష్ ఫైటర్ నుండి వచ్చిన డేటా [4] సాధారణ లక్షణాలు పనితీరు ఆయుధ సం"&amp;"బంధిత అభివృద్ధి మీడియా విక్కర్స్ విబాల్ట్‌కు వికీమీడియా కామన్స్ వద్ద")</f>
        <v>విక్కర్స్ టైప్ 121 విబాల్ట్ స్కౌట్ 1920 లలో విక్కర్స్ నిర్మించిన బ్రిటిష్ ఫైటర్. ఇది ఫ్రెంచ్ విబాల్ట్ 7 విమానాల యొక్క లైసెన్స్ పొందిన వెర్షన్, 1926 లో 26 చిలీకి విక్రయించబడింది, అక్కడ వారు 1934 వరకు పనిచేశారు. విక్కర్స్ ఫ్రెంచ్ విమాన తయారీదారు, సోషియాట్ డెస్ ఏవియన్స్ మిచెల్ విబాల్ట్‌తో భాగస్వామ్యాన్ని ఏర్పాటు చేశారు. -మెటాల్ నిర్మాణం మిచెల్ విబాల్ట్ అభివృద్ధి చేసింది. ఇది ముడతలు పెట్టిన కాంతి మిశ్రమం స్కిన్ ప్యానెల్లను ఉపయోగించింది మరియు సులభంగా నిర్వహణ మరియు తనిఖీ కోసం తయారు చేయబడింది. [1] ఈ భాగస్వామ్యంలో భాగంగా, విక్కర్స్ విబాల్ట్‌తో ఒకే విబాల్ట్ 7 కోసం ఒక ఆర్డర్‌ను ఉంచారు, బ్రిస్టల్ బృహస్పతి VI రేడియల్ ఇంజిన్‌తో తిరిగి ఇంజిన్ చేయబడింది, సంభావ్య లైసెన్స్ పొందిన ఉత్పత్తికి ఒక నమూనాగా పనిచేయడానికి. విబాల్ట్ 7, అందువల్ల విక్కర్స్ లైసెన్స్ పొందిన కాపీ, సింగిల్-ఇంజిన్ హై-వింగ్ పారాసోల్ మోనోప్లేన్స్. ప్రామాణిక విబాల్ట్ 7 నుండి కొత్త అండర్ క్యారేజ్ మరియు బ్రిటిష్ వాయిద్యాలను కలిగి ఉండటం ద్వారా ఈ నమూనా ఫిబ్రవరి 1926 లో బ్రిటన్‌కు పంపిణీ చేయబడింది [2] మరియు తరువాత విక్కర్స్ చేత బలోపేతం అయిన వింగ్ స్ట్రట్‌లతో అమర్చబడింది. విమానం యొక్క ఆల్-మెటల్ నిర్మాణం యొక్క మన్నిక, వాగ్దానం చేసిన మంచి ఎత్తు పనితీరుతో పాటు, చిలీ మిలిటరీ ఎయిర్ సర్వీస్ దృష్టిని ఆకర్షించింది, ఇది ప్రోటోటైప్‌ను అంచనా వేసిన తరువాత, 26 విమానాలకు ఒక ఆర్డర్‌ను ఉంచింది, దీనిని విక్కర్స్ టైప్ 121 లేదా విక్కర్స్ అని పిలుస్తారు. -విబాల్ట్ స్కౌట్. [3] మొదటి విక్కర్స్ నిర్మించిన టైప్ 121 జూన్ 1926 చివరలో ఎగిరింది, కాని దాని మొదటి విమానంలో విలోమ స్పిన్ తరువాత క్రాష్ అయ్యింది. విమానం యొక్క గురుత్వాకర్షణ కేంద్రంతో సమస్యల వల్ల ఇది కనుగొనబడింది, ఇవి టెయిల్‌ప్లేన్‌ను సవరించడం ద్వారా పరిష్కరించబడ్డాయి. [4] మొదటి టైప్ 121 లు నవంబర్ 1926 లో చిలీకి పంపిణీ చేయబడ్డాయి, పాక్షికంగా గ్రూప్ మిక్స్టో డి ఏవియాసియన్ 1 ను సన్నద్ధం చేశాయి, అక్టోబర్ 1927 వరకు డెలివరీలు కొనసాగుతున్నాయి. [2] చాలా మంది ప్రమాదాలలో కోల్పోయారు, కనీసం ఒకరు విమానంలో రెక్కను కోల్పోయారు, [2] కాని చిలీ సైన్యం మరియు నావికాదళం యొక్క వాయు భాగాల నుండి చిలీ వైమానిక దళం ఏర్పడినప్పుడు ఇది సేవలో ఉంది, చివరికి 1934 లో రిటైర్ అయ్యారు. [2 ] 1912 నుండి బ్రిటిష్ ఫైటర్ నుండి వచ్చిన డేటా [4] సాధారణ లక్షణాలు పనితీరు ఆయుధ సంబంధిత అభివృద్ధి మీడియా విక్కర్స్ విబాల్ట్‌కు వికీమీడియా కామన్స్ వద్ద</v>
      </c>
      <c r="E117" s="1" t="s">
        <v>2484</v>
      </c>
      <c r="F117" s="1" t="s">
        <v>421</v>
      </c>
      <c r="G117" s="1" t="str">
        <f>IFERROR(__xludf.DUMMYFUNCTION("GOOGLETRANSLATE(F:F, ""en"", ""te"")"),"యుద్ధ")</f>
        <v>యుద్ధ</v>
      </c>
      <c r="J117" s="1" t="str">
        <f>IFERROR(__xludf.DUMMYFUNCTION("GOOGLETRANSLATE(I:I, ""en"", ""te"")"),"#VALUE!")</f>
        <v>#VALUE!</v>
      </c>
      <c r="L117" s="1" t="s">
        <v>2485</v>
      </c>
      <c r="M117" s="1" t="str">
        <f>IFERROR(__xludf.DUMMYFUNCTION("GOOGLETRANSLATE(L:L, ""en"", ""te"")"),"విక్కర్స్")</f>
        <v>విక్కర్స్</v>
      </c>
      <c r="N117" s="3" t="s">
        <v>2486</v>
      </c>
      <c r="R117" s="1">
        <v>1926.0</v>
      </c>
      <c r="S117" s="1">
        <v>26.0</v>
      </c>
      <c r="V117" s="1">
        <v>1.0</v>
      </c>
      <c r="W117" s="1" t="s">
        <v>2487</v>
      </c>
      <c r="X117" s="1" t="s">
        <v>2488</v>
      </c>
      <c r="Y117" s="1" t="s">
        <v>2489</v>
      </c>
      <c r="Z117" s="1" t="s">
        <v>2490</v>
      </c>
      <c r="AG117" s="1" t="s">
        <v>2491</v>
      </c>
      <c r="AH117" s="1" t="s">
        <v>2492</v>
      </c>
      <c r="AO117" s="1">
        <v>1926.0</v>
      </c>
      <c r="AQ117" s="1">
        <v>1934.0</v>
      </c>
      <c r="AX117" s="1" t="s">
        <v>2493</v>
      </c>
      <c r="AY117" s="1" t="str">
        <f>IFERROR(__xludf.DUMMYFUNCTION("GOOGLETRANSLATE(AX:AX, ""en"", ""te"")"),"1 × బ్రిస్టల్ బృహస్పతి VI నైన్ సిలిండర్ రేడియల్ ఇంజిన్, 455 హెచ్‌పి (339 కిలోవాట్)")</f>
        <v>1 × బ్రిస్టల్ బృహస్పతి VI నైన్ సిలిండర్ రేడియల్ ఇంజిన్, 455 హెచ్‌పి (339 కిలోవాట్)</v>
      </c>
      <c r="BB117" s="1" t="s">
        <v>2494</v>
      </c>
      <c r="BD117" s="1" t="s">
        <v>1839</v>
      </c>
      <c r="BF117" s="1" t="s">
        <v>2495</v>
      </c>
      <c r="BG117" s="2" t="str">
        <f>IFERROR(__xludf.DUMMYFUNCTION("GOOGLETRANSLATE(BF:BF, ""en"", ""te"")"),"చిలీ")</f>
        <v>చిలీ</v>
      </c>
      <c r="BH117" s="3" t="s">
        <v>2496</v>
      </c>
      <c r="BI117" s="1" t="s">
        <v>2497</v>
      </c>
      <c r="BJ117" s="1" t="s">
        <v>2498</v>
      </c>
      <c r="BT117" s="1" t="s">
        <v>2295</v>
      </c>
      <c r="CB117" s="1" t="s">
        <v>2499</v>
      </c>
      <c r="CC117" s="1" t="s">
        <v>2500</v>
      </c>
      <c r="CD117" s="1" t="str">
        <f>IFERROR(__xludf.DUMMYFUNCTION("GOOGLETRANSLATE(CC:CC, ""en"", ""te"")"),"2 × .303 ఇన్ (7.7 మిమీ) విక్కర్స్ మెషిన్ గన్స్")</f>
        <v>2 × .303 ఇన్ (7.7 మిమీ) విక్కర్స్ మెషిన్ గన్స్</v>
      </c>
    </row>
    <row r="118">
      <c r="A118" s="1" t="s">
        <v>2501</v>
      </c>
      <c r="B118" s="1" t="str">
        <f>IFERROR(__xludf.DUMMYFUNCTION("GOOGLETRANSLATE(A:A, ""en"", ""te"")"),"అన్సాల్డో A.120")</f>
        <v>అన్సాల్డో A.120</v>
      </c>
      <c r="C118" s="1" t="s">
        <v>2502</v>
      </c>
      <c r="D118" s="1" t="str">
        <f>IFERROR(__xludf.DUMMYFUNCTION("GOOGLETRANSLATE(C:C, ""en"", ""te"")"),"అన్సాల్డో A.120 (కొన్నిసార్లు ఫియట్ A.120 అని పిలుస్తారు, ఎందుకంటే ఫియట్ (ఫాబ్రికా ఇటాలియానా ఆటోమొబిలి టొరినో - ఇటాలియన్ ఆటోమొబైల్ ఫ్యాక్టరీ ఆఫ్ టురిన్ యొక్క ఇటాలియన్ ఆటోమొబైల్ ఫ్యాక్టరీ) అన్సాల్డో, 1920 లలో ఇటలీలో అభివృద్ధి చేయబడిన నిఘా విమానం. A.120 సాం"&amp;"ప్రదాయిక, సాంప్రదాయిక, పారాసోల్-వింగ్ మోనోప్లేన్ స్థిర టెయిల్స్కిడ్ అండర్ క్యారేజ్, ఇది పైలట్ మరియు పరిశీలకుడికి ఓపెన్ కాక్‌పిట్స్‌లో ఉంది. ఈ డిజైన్ అన్సాల్డో A.115 కోసం అభివృద్ధి చేసిన ఒక రెక్కపై ఆధారపడింది మరియు అన్సాల్డో లైసెన్స్ కింద నిర్మించిన డ్యూయి"&amp;"టిన్ D.1 యోధుల ఫ్యూజ్‌లేజ్. ఈ రకాన్ని ఇటాలియన్ వైమానిక దళం నిరాడంబరమైన పరిమాణంలో నిర్వహించింది మరియు ఆస్ట్రియా మరియు లిథువేనియా యొక్క వైమానిక దళాలకు ఎగుమతి చేయబడింది, తరువాతి యంత్రాలు దేశం యొక్క సోవియట్ అనుసంధానం వరకు సేవలో ఉన్నాయి. సాధారణ లక్షణాలు పనితీర"&amp;"ు ఆయుధాలు గమనిక: లిథువేనియన్ A.120 లు ఉన్నాయి రెండు వెనుక యంత్ర తుపాకులు. [1] సంబంధిత జాబితాలు")</f>
        <v>అన్సాల్డో A.120 (కొన్నిసార్లు ఫియట్ A.120 అని పిలుస్తారు, ఎందుకంటే ఫియట్ (ఫాబ్రికా ఇటాలియానా ఆటోమొబిలి టొరినో - ఇటాలియన్ ఆటోమొబైల్ ఫ్యాక్టరీ ఆఫ్ టురిన్ యొక్క ఇటాలియన్ ఆటోమొబైల్ ఫ్యాక్టరీ) అన్సాల్డో, 1920 లలో ఇటలీలో అభివృద్ధి చేయబడిన నిఘా విమానం. A.120 సాంప్రదాయిక, సాంప్రదాయిక, పారాసోల్-వింగ్ మోనోప్లేన్ స్థిర టెయిల్స్కిడ్ అండర్ క్యారేజ్, ఇది పైలట్ మరియు పరిశీలకుడికి ఓపెన్ కాక్‌పిట్స్‌లో ఉంది. ఈ డిజైన్ అన్సాల్డో A.115 కోసం అభివృద్ధి చేసిన ఒక రెక్కపై ఆధారపడింది మరియు అన్సాల్డో లైసెన్స్ కింద నిర్మించిన డ్యూయిటిన్ D.1 యోధుల ఫ్యూజ్‌లేజ్. ఈ రకాన్ని ఇటాలియన్ వైమానిక దళం నిరాడంబరమైన పరిమాణంలో నిర్వహించింది మరియు ఆస్ట్రియా మరియు లిథువేనియా యొక్క వైమానిక దళాలకు ఎగుమతి చేయబడింది, తరువాతి యంత్రాలు దేశం యొక్క సోవియట్ అనుసంధానం వరకు సేవలో ఉన్నాయి. సాధారణ లక్షణాలు పనితీరు ఆయుధాలు గమనిక: లిథువేనియన్ A.120 లు ఉన్నాయి రెండు వెనుక యంత్ర తుపాకులు. [1] సంబంధిత జాబితాలు</v>
      </c>
      <c r="E118" s="1" t="s">
        <v>2503</v>
      </c>
      <c r="F118" s="1" t="s">
        <v>1292</v>
      </c>
      <c r="G118" s="1" t="str">
        <f>IFERROR(__xludf.DUMMYFUNCTION("GOOGLETRANSLATE(F:F, ""en"", ""te"")"),"నిఘా విమానం")</f>
        <v>నిఘా విమానం</v>
      </c>
      <c r="J118" s="1" t="str">
        <f>IFERROR(__xludf.DUMMYFUNCTION("GOOGLETRANSLATE(I:I, ""en"", ""te"")"),"#VALUE!")</f>
        <v>#VALUE!</v>
      </c>
      <c r="L118" s="1" t="s">
        <v>2504</v>
      </c>
      <c r="M118" s="1" t="str">
        <f>IFERROR(__xludf.DUMMYFUNCTION("GOOGLETRANSLATE(L:L, ""en"", ""te"")"),"అన్సాల్డో")</f>
        <v>అన్సాల్డో</v>
      </c>
      <c r="N118" s="3" t="s">
        <v>2505</v>
      </c>
      <c r="R118" s="1">
        <v>1925.0</v>
      </c>
      <c r="S118" s="1">
        <v>77.0</v>
      </c>
      <c r="T118" s="1" t="s">
        <v>2506</v>
      </c>
      <c r="V118" s="1" t="s">
        <v>2507</v>
      </c>
      <c r="W118" s="1" t="s">
        <v>2508</v>
      </c>
      <c r="X118" s="1" t="s">
        <v>2509</v>
      </c>
      <c r="Y118" s="1" t="s">
        <v>2510</v>
      </c>
      <c r="Z118" s="1" t="s">
        <v>2511</v>
      </c>
      <c r="AX118" s="1" t="s">
        <v>2512</v>
      </c>
      <c r="AY118" s="1" t="str">
        <f>IFERROR(__xludf.DUMMYFUNCTION("GOOGLETRANSLATE(AX:AX, ""en"", ""te"")"),"1 × ఫియట్ A.22 పిస్టన్ ఇంజిన్, 410 kW (550 HP)")</f>
        <v>1 × ఫియట్ A.22 పిస్టన్ ఇంజిన్, 410 kW (550 HP)</v>
      </c>
      <c r="BB118" s="1" t="s">
        <v>2513</v>
      </c>
      <c r="BD118" s="1" t="s">
        <v>413</v>
      </c>
      <c r="BG118" s="2"/>
      <c r="BZ118" s="1" t="s">
        <v>2514</v>
      </c>
    </row>
    <row r="119">
      <c r="A119" s="1" t="s">
        <v>2515</v>
      </c>
      <c r="B119" s="1" t="str">
        <f>IFERROR(__xludf.DUMMYFUNCTION("GOOGLETRANSLATE(A:A, ""en"", ""te"")"),"బొంబార్డియర్ గ్లోబల్ 7500")</f>
        <v>బొంబార్డియర్ గ్లోబల్ 7500</v>
      </c>
      <c r="C119" s="1" t="s">
        <v>2516</v>
      </c>
      <c r="D119" s="1" t="str">
        <f>IFERROR(__xludf.DUMMYFUNCTION("GOOGLETRANSLATE(C:C, ""en"", ""te"")"),"బొంబార్డియర్ గ్లోబల్ 7500 మరియు గ్లోబల్ 8000 బొంబార్డియర్ ఏవియేషన్ (గతంలో బొంబార్డియర్ ఏరోస్పేస్) అభివృద్ధి చేసిన అల్ట్రా లాంగ్-రేంజ్ బిజినెస్ జెట్స్. అక్టోబర్ 2010 లో ప్రకటించిన ఈ కార్యక్రమం రెక్కల పున es రూపకల్పన ద్వారా రెండు సంవత్సరాలు ఆలస్యం అయింది. 7"&amp;"500, మొదట 7000 అని పేరు పెట్టారు, నవంబర్ 4, 2016 న మొదటి విమానంలో సాధించింది, సెప్టెంబర్ 28, 2018 న ట్రాన్స్పోర్ట్ కెనడా చేత ధృవీకరించబడింది మరియు 20 డిసెంబర్ 2018 న సేవలోకి ప్రవేశించింది. గ్లోబల్ 8000 షెడ్యూల్ ఇంకా నిర్ణయించబడలేదు. కొత్త ట్రాన్సోనిక్ విం"&amp;"గ్‌తో గ్లోబల్ 6000 ఆధారంగా, పొడవైన, నాలుగు-జోన్ క్యాబిన్ 7500 లో 7,700 ఎన్‌ఎంఐ (14,300 కిమీ) పరిధిలో ఉండగా, తక్కువ మూడు-జోన్ 8000 7,900 ఎన్‌ఎంఐ (14,600 కిమీ) చేరుకోవలసి ఉంది. అక్టోబర్ 2010 లో ప్రకటించిన, జెట్స్ మొదట్లో 8000 కోసం 7500 మరియు 2017 సంవత్సరాని"&amp;"కి 2016 లో పరిచయం కోసం షెడ్యూల్ చేయబడ్డాయి. [5] 2015 లో, బొంబార్డియర్ విమానం యొక్క విభాగాన్ని పున es రూపకల్పన చేయాలని నిర్ణయించుకున్నాడు మరియు ఇతర అభివృద్ధి సవాళ్లతో పాటు, ఈ కార్యక్రమాన్ని రెండేళ్లుగా ఆలస్యం చేశాడు. [6] పున es రూపకల్పన యొక్క లక్ష్యం దాని "&amp;"ఏరోడైనమిక్ ప్రొఫైల్‌ను మార్చకుండా రెక్కల బరువును తగ్గించడం. విమానం ఫ్లై-బై-వైర్ సిస్టమ్ ఆర్కిటెక్చర్ సిసరీస్ మీద ఆధారపడి ఉంటుంది. [7] ఎయిర్‌ఫ్రేమ్ కొత్త విమానయాన సంస్థ వంటి అల్యూమినియం -లిథియం మిశ్రమాలను ఉపయోగిస్తుంది. [8] ప్రోగ్రామ్‌కు 1 బిలియన్ డాలర్ల క"&amp;"ంటే ఎక్కువ ఖర్చు అవుతుంది. [9] గతంలో గ్లోబల్ 7000 అని పేరు పెట్టారు, దాని సేవలోకి ప్రవేశించడం మొదట్లో 2016 కోసం షెడ్యూల్ చేయబడింది. [5] మాజీ ఫార్ములా వన్ డ్రైవర్ మరియు చాలా కాలం బొంబార్డియర్ బ్రాండ్ అంబాసిడర్ నికి లాడా తన ఆర్డర్‌ను EBACE 2015 సమావేశానికి "&amp;"ముందు ప్రకటించారు. [10] మొదటి పరీక్ష విమానం అక్టోబర్ 2016 లో టాక్సీ పరీక్షకు గురైంది. [11] ప్రాథమిక వ్యవస్థ కార్యాచరణను పరీక్షించడానికి మరియు విమానం యొక్క నిర్వహణ మరియు ఎగిరే లక్షణాలను అంచనా వేయడానికి అంకితం చేయబడింది, దాని తొలి ఫ్లైట్ నవంబర్ 4, 2016 న జర"&amp;"ిగింది, 20,000 అడుగుల (6,096 మీ) కు చేరుకుంది మరియు 2 గం 27 నిమిషాల విమానంలో 240 నాట్లకు చేరుకుంది. [1 ] ప్రొడక్షన్ వింగ్ ఫిబ్రవరి 2017 లో తుది రూపకల్పనలో ఉంది. [12] FTV2 మార్చి 6, 2017 న ప్రయాణించి, ""ది పవర్‌హౌస్"" ప్రొపల్షన్, ఎలక్ట్రికల్ మరియు యాంత్రిక"&amp;" వ్యవస్థలతో సహా విమాన వ్యవస్థలను పరీక్షించడానికి రూపొందించబడింది. [13] పనితీరు కవరును తెరవడానికి FTV1 ఉపయోగించబడుతుంది మరియు మార్చి 29, 2017 న MACH 0.995 కి చేరుకుంది. [14] FTV3 మే 10, 2017 న ప్రయాణించి, ఏవియానిక్స్ మరియు ఎలక్ట్రికల్ సిస్టమ్ పనితీరును పరీ"&amp;"క్షించడానికి ""నావిగేటర్"" ఉపయోగించబడుతుంది. [15] మే 2017 చివరి నాటికి, మూడు ప్రోటోటైప్‌లు కలిపి 250 గంటలు ప్రయాణించాయి. [16] క్యాబిన్ ఇంటీరియర్ ధ్రువీకరణ కోసం ఉపయోగించే నాల్గవ ప్రోటోటైప్‌ను ""ది ఆర్కిటెక్ట్"" అని పిలుస్తారు మరియు ఐదవ మరియు ఫైనల్, ఎంట్రీ-"&amp;"ఇన్-సర్వీస్ కోసం, ""ది మాస్టర్ పీస్"" అని పిలుస్తారు. [17] ఐదవది రెక్కల బరువుపై వివాదం పరిష్కరించబడిన తరువాత, ట్రయంఫ్ గ్రూప్ సరఫరా చేసిన కొంచెం తేలికైన ఉత్పత్తి విభాగాన్ని కలిగి ఉంది. [18] జూలై 2017 మధ్య నాటికి, మూడు ఫ్లైట్-టెస్ట్ విమానాలు 500 గంటలు పేరుక"&amp;"ుపోయాయి. [8] 15 ఆగస్టు 2017 న, ""అధిక వైబ్రేషన్ మరియు అధిక ఇంటర్-టర్బైన్ ఉష్ణోగ్రత రీడింగులు"" తరువాత, రెండవ ప్రోటోటైప్ యొక్క కుడి GE పాస్‌పోర్ట్ FL410 వద్ద విమానంలో మంటను కలిగి ఉంది మరియు విమానం తిరిగి విచిత విమానాశ్రయం 156 NMI (290 కిమీ) దూరంలో ఉంది. ఇం"&amp;"జిన్ ల్యాండింగ్. [19] అక్టోబర్ 2017 నాటికి, నాలుగు ఫ్లైట్-టెస్ట్ విమానాలు 900 గంటలు ఎగిరిపోయాయి. [20] ఏప్రిల్ 2018 లో, ఫ్లైట్ టెస్ట్ ప్రచారం 1,800 గంటలు అధిగమించింది మరియు 7,400 నుండి 7,700 ఎన్ఎమ్ఐ (13,700 నుండి 14,300 కిమీ) వరకు శ్రేణి పెరుగుదలను ధృవీకరి"&amp;"ంచింది, ఇది పోటీ గల్ఫ్‌స్ట్రీమ్ జి 650 ఎర్ యొక్క 7,500 ఎన్‌ఎంఐ (13,900 కిమీ) కంటే ఎక్కువ, అయితే ఇప్పటికీ చిన్న గ్లోబల్ 8000 యొక్క రేంజ్ చేత అధికంగా ఉంది. గ్లోబల్ 7500 కన్నా 7,900 ఎన్ఎమ్ఐ (14,600 కిమీ), 200 ఎన్ఎమ్ఐ (370 కిమీ) ఎక్కువ. [21] అసలు గ్లోబల్ ఎక్స"&amp;"్‌ప్రెస్ గ్లోబల్ 5500 మరియు 6500 గా అభివృద్ధి చేయబడినందున, ఈ పరిధి పెరుగుదలను ప్రతిబింబించేలా గ్లోబల్ 7500 గా పేరు మార్చబడింది. [22] మే 2018 చివరి నాటికి, ఐదు ఫ్లైట్-టెస్ట్ విమానాలు సంవత్సరాంతంలో టైప్ యొక్క ప్రణాళికాబద్ధమైన ఎంట్రీ-సేవ కోసం సుమారు 2,000 గం"&amp;"టలు సేకరించాయి. [23] జూన్ 2018 నాటికి, టెస్ట్ ఫ్లీట్ ద్వారా ధృవీకరణ వైపు 2,300 విమాన పరీక్షా గంటలు పూర్తయ్యాయి. మొదటి ఉత్పత్తి విమానం మే 2018 లో పూర్తి కేంద్రంలోకి ప్రవేశించింది. [24] 2,400 గంటలకు పైగా ఆగస్టు 2018 నాటికి విమాన పరీక్ష పూర్తయింది; టైప్ సర్ట"&amp;"ిఫికేషన్ మరియు సేవలోకి పరిచయం సంవత్సరం చివరినాటికి, 2019 లో 15-20 కస్టమర్ డెలివరీలతో, 20 విమానాలు తుది అసెంబ్లీలో ఉన్నందున. [25] సెప్టెంబర్ 2018 నాటికి, పరీక్ష విమానం 2,700 గంటలకు పైగా ఎగిరింది, ఎందుకంటే ఎఫ్‌టివి 1 పరీక్ష నుండి రిటైర్ అయ్యింది మరియు ప్రదర"&amp;"్శనకారుడిగా ఉపయోగించటానికి పెయింట్ చేయబడింది. [26] బొంబార్డియర్ సెప్టెంబర్ 2018 లో ధృవీకరణ పత్రాన్ని ఆశిస్తున్నారు. [27] ట్రాన్స్పోర్ట్ కెనడా తన రకం ధృవీకరణను సెప్టెంబర్ 28, 2018 న ప్రదానం చేసింది. [28] FAA రకం ధృవీకరణ నవంబర్ 7, 2018 న జరిగింది. [29] మొదట"&amp;"ిది డిసెంబరులో పంపిణీ చేయాలి, మరియు బొంబార్డియర్ 2019 లో 15 నుండి 20 వరకు, తరువాత 2020 లో 35-40, ఈ కార్యక్రమం 2021 వరకు అమ్ముడవుతుంది. [30] డిసెంబర్ ఆరంభంలో పంపిణీ చేయబడిన తరువాత, గ్లోబల్ 7500 డిసెంబర్ 20 న 100 సురక్షిత ఆర్డర్‌లతో సేవలోకి ప్రవేశించింది. ["&amp;"2] ఫిబ్రవరి 2019 లో, బొంబార్డియర్ గ్లోబల్ 7500 వింగ్ తయారీ కార్యక్రమం మరియు ట్రయంఫ్ గ్రూప్ నుండి సౌకర్యాలను కొనుగోలు చేశాడు. [31] 2021 లో, దాని అమర్చిన ధర m 75 మిలియన్లు. [32] సేవలోకి ప్రవేశించడం మొదట్లో 2017 కోసం షెడ్యూల్ చేయబడింది. [5] సెప్టెంబర్ 2016 న"&amp;"ాటికి, ఇది 2019 ప్రారంభంలో ఆలస్యం అయింది. [6] 600 ఎన్ఎమ్ఐ (1,100 కిమీ) శ్రేణికి దాదాపు 8 అడుగుల (2.4 మీ) క్యాబిన్ స్థలాన్ని వర్తకం చేస్తూ, గ్లోబల్ 8000 డిసెంబర్ 2017 లో బ్యాక్‌లాగ్‌లో చాలా తక్కువ భాగాన్ని కలిగి ఉంది మరియు గ్లోబల్ 7500 సేవ చేసిన తర్వాత దాన"&amp;"ి షెడ్యూల్ నిర్ణయించబడుతుంది . భేదం లేకపోవడం, ఇది అధిక గరిష్ట టేకాఫ్ బరువు (MTOW) గ్లోబల్ 7500 వేరియంట్ ద్వారా ఎక్కువ శ్రేణితో భర్తీ చేయబడుతుంది. [3] 8000 యూనిట్ ఖర్చు 2014 లో million 71 మిలియన్లు. [33] రెండూ కొత్త ట్రాన్సోనిక్ వింగ్‌తో గ్లోబల్ 6000 యొక్క"&amp;" ఉత్పన్నాలు. [34] అవి కొత్త జనరల్ ఎలక్ట్రిక్ పాస్‌పోర్ట్ 20 16,500 ఎల్బిఎఫ్ (73 కెఎన్) థ్రస్ట్ ఇంజిన్ ద్వారా తగ్గిన NOX ఉద్గారాలు మరియు గ్లోబల్ ఎక్స్‌ప్రెస్ ఎక్స్‌ఆర్‌ల కంటే 8% మెరుగైన ఇంధన సామర్థ్యాన్ని కలిగి ఉంటాయి, ఇది మాక్ 0.90 హై-స్పీడ్ క్రూయిజ్‌ను అ"&amp;"నుమతిస్తుంది. [5] ప్రయాణీకులకు సుదూర విమానాలను సౌకర్యవంతంగా చేసే ప్రయత్నంలో భాగంగా, బొంబార్డియర్ న్యూజ్ అని పిలువబడే కొత్త ఎర్గోనామిక్ ప్యాసింజర్ సీటును అభివృద్ధి చేశాడు. సీటు రూపకల్పన పూర్తి కావడానికి ఏడు సంవత్సరాలు పట్టింది. [35] ఎయిర్ బస్ యాజమాన్యంలోని"&amp;" స్టెలియా ప్రధాన ఫ్యూజ్‌లేజ్‌ను సరఫరా చేస్తుంది. [36] కొత్త, పెద్ద మరియు దిగువ-డ్రాగ్ వింగ్ మాక్ 0.85 కోసం 35.3 ° క్వార్టర్ తీగ వింగ్ స్వీప్, సన్నని మందం-నుండి-తీగ నిష్పత్తి, సన్నగా ఉండే ఫ్లాప్ ట్రాక్ ఫెయిరింగ్‌లు, మెరుగైన లిఫ్ట్-టు-డ్రాగ్ పనితీరు, మరింత "&amp;"సమర్థవంతమైన వింగ్‌లెట్స్ మరియు అప్ తో ఆప్టిమైజ్ చేయబడింది. డబుల్-స్లాట్డ్, ఇన్బోర్డ్ ఫౌలర్ ఫ్లాప్‌ల కారణంగా 30% మెరుగైన తక్కువ-స్పీడ్ లిఫ్ట్. కొత్త ఫ్లై-బై-వైర్ ఫ్లైట్ క్రియాశీల లోడ్ ఉపశమనం మరియు సౌకర్యవంతమైన, సాపేక్షంగా అధికంగా లోడ్ చేయబడిన రెక్కల అల్లకల"&amp;"్లోలం. [37] మెటల్ ఎయిర్ఫ్రేమ్ బరువు ఆదా చేయడానికి అల్యూమినియం -లిథియం మిశ్రమాలను ఉపయోగిస్తుంది. [37] ఇది అదే ఫ్యూజ్‌లేజ్ వ్యాసాన్ని పాత గ్లోబల్ మోడళ్లతో పంచుకుంటుంది, కానీ సన్నగా ఉండే ఫ్రేమ్‌లను కలిగి ఉంది, ఇవి క్యాబిన్ వెడల్పు మరియు ఎత్తును 1 లో (25 మిమీ"&amp;") పెంచుతాయి. [37] అదనంగా, 300 చదరపు ఇన్ (19 DM2) క్యాబిన్ కిటికీలు 80% పెద్దవి, ముక్కు కౌల్ తిరిగి పొందబడింది, మరియు వెనుక ఫ్యూజ్‌లేజ్ మరియు ఎంపెనేజ్ రెండూ కొత్త నమూనాలు. [37] ప్రాథమిక తనిఖీ విరామాలు 850 గంటలు లేదా 36 నెలలు, సి తనిఖీలు ప్రతి 12 సంవత్సరాలక"&amp;"ు లేదా 8,500 చక్రాలు మరియు ఇంటెన్సివ్ మెయింటెనెన్స్ ద్వారా జీవిత పొడిగింపుకు ముందు 17,000 చక్రాల పరిమితి అవసరం. [37] అధికారికంగా BD-700-2A12 గా నియమించబడిన ఈ డిజైన్ గ్లోబల్ 7500 గా విక్రయించబడింది. ఇది అసలు గ్లోబల్ నుండి 11 అడుగుల 3 (3.43 మీ) లో విస్తరించ"&amp;"ి ఉంది. [34] ఇది నాలుగు-జోన్ 2,637 క్యూ ఎఫ్‌టి (74.67 ఎం 3) క్యాబిన్ కలిగి ఉండాలని యోచిస్తోంది, ఇది మునుపటి కంటే 20% ఎక్కువ. ఇది మొదట 7,300 ఎన్ఎమ్ఐ (13,500 కిమీ) పరిధిని మాక్ 0.85 వద్ద 10 ప్రయాణీకులతో కవర్ చేయడానికి రూపొందించబడింది. [5] దీని క్యాబిన్ పోటీ"&amp;" మోడళ్ల కంటే మూడింట ఒక వంతు పొడవు, మూడు నుండి నాల్గవ సీటింగ్ విభాగాన్ని అందిస్తుంది, ఎనిమిది మంది ప్రయాణీకులను నిద్రపోవచ్చు మరియు ఐచ్ఛిక షవర్ మరియు స్లీపింగ్ సిబ్బంది విశ్రాంతి ప్రాంతాన్ని అందిస్తుంది. బాంబార్డియర్ మార్కెటింగ్ అల్ట్రా-హై-నెట్-విలువైన వ్యక"&amp;"్తులపై దృష్టి పెట్టింది మరియు గ్లోబల్ 7500 అతిపెద్ద, పొడవైన శ్రేణి, గది మరియు విలాసవంతమైన ప్రయోజన-నిర్మిత వ్యాపార విమానాలు. [37] వింగ్ ప్రాంతం గల్ఫ్‌స్ట్రీమ్ G650ER మరియు 11% అధిక MTOW కంటే చిన్నది అయినప్పటికీ, ఇదే విధమైన శక్తి లోడింగ్ కోసం ప్రముఖ-ఎడ్జ్ స"&amp;"్లాట్‌లు మరియు డబుల్-స్లాట్డ్ ఫ్లాప్‌లతో హై-లిఫ్ట్ సిస్టమ్ కారణంగా ఇది తక్కువ V వేగం మరియు మెరుగైన రన్‌వే పనితీరును కలిగి ఉంది. ఇంజిన్‌కు గంట ఇంధన ప్రవాహం నిష్క్రియంగా 500 ఎల్బి (230 కిలోలు), టేకాఫ్ వద్ద 6,240 ఎల్బి (2,830 కిలోలు), 1,280 నుండి 1,370 ఎల్బి"&amp;" (580 నుండి 620 కిలోలు) మాక్ 0.85/484 కెఎన్ (896 కిమీ/గం) టాస్ వద్ద క్రూయిజ్‌లో ఉంటుంది, మాక్ 0.9/515 కెఎన్ (954 కిమీ/గం) టాస్ వద్ద 1,730 ఎల్బి (780 కిలోలు) మరియు మాక్ 0.925/523 కెఎన్ (969 కిమీ/గం) టాస్ వద్ద 2,400 ఎల్బి (1,100 కిలోలు), 75,000 ఎల్బి (34,00"&amp;"0 కిలోలు) మరియు ISA పరిస్థితులు . ఇంకా సుదీర్ఘ శ్రేణి వేరియంట్ మరో 8,000 ఎల్బి (3,600 కిలోల) ఇంధనంతో 1,000 ఎన్ఎమ్ఐ (1,900 కిమీ) ఎక్కువ చేరుకోవచ్చు. [37] గ్లోబల్ 8000 గా విక్రయించబడిన BD-700-2A13, గ్లోబల్ ఎక్స్‌ప్రెస్ నుండి 2 అడుగుల 3 (0.69 మీ) లో 2 అడుగుల"&amp;" 3 విస్తరించి ఉంది. [34] ఇది మూడు-జోన్ 2,236 Cu.ft. . . [[ మార్చి 2019 లో, గ్లోబల్ 7500 ఒక ఉద్దేశ్యంతో నిర్మించిన వ్యాపార జెట్ ద్వారా ఎగురుతున్న పొడవైన మిషన్ కోసం రికార్డు సృష్టించింది, 8,152 ఎన్ఎమ్ఐ (15,098 కిమీ), సింగపూర్ నుండి అరిజోనాలోని టక్సన్ వరకు 1"&amp;"6 గంటల విమానంతో; విమానం దాదాపు 1.5 గంటల అదనపు విమానంలో ఇంధన నిల్వలతో దిగింది. [38] గల్ఫ్‌స్ట్రీమ్ ఏప్రిల్ 2019 లో G650ER ఈ రికార్డును 8,379 NMI (15,518 కిమీ) ఎగురుతున్నట్లు ప్రకటించింది, అనగా 225 nm (417 కి.మీ) టైమ్‌స్పాన్ 44 నిమిషాల చిన్నది. [39] 6 అక్టో"&amp;"బర్ 2019 న బొంబార్డియర్ సిడ్నీ మరియు డెట్రాయిట్ మధ్య 8,225 ఎన్ఎమ్ఐ (15,233 కిమీ) నాన్-స్టాప్ ఫ్లైట్ తో తమ పొడవైన మిషన్‌ను మెరుగుపరిచాడు, ""ఉద్దేశ్యంతో నిర్మించిన వ్యాపార విమానం ద్వారా ఎగురుతున్న పొడవైన నగర-జత"" రికార్డును పేర్కొంది. [40] గ్లోబల్ 7500 లాస్"&amp;" ఏంజిల్స్‌కు సమీపంలో ఉన్న వాన్ న్యూస్ విమానాశ్రయం నుండి న్యూయార్క్ సమీపంలోని టెటర్‌బోరో విమానాశ్రయానికి నాలుగు గంటలలోపు విమానంలో వ్యాపార జెట్ స్పీడ్ రికార్డును బద్దలు కొట్టింది, మాక్ 0.925 వద్ద విమానాలలో ఎక్కువ భాగం. [41] బొంబార్డియర్ ఒక నిర్దిష్ట బ్యాక్‌"&amp;"లాగ్‌ను ప్రచురించకపోగా, పరిశ్రమ విశ్లేషకుడు రోలాండ్ విన్సెంట్ అంచనా వేశారు, నవంబర్ 2016 లో మొదటి విమానంలో 200 ఆర్డర్లు సేకరించబడ్డాయి, ఎక్కువగా 7500 వెర్షన్ కోసం. [42] గ్లోబల్ 5500/6500 తో సహా, బొంబార్డియర్ 2021 నాటికి సంవత్సరానికి 90-100 గ్లోబల్స్‌ను బట్"&amp;"వాడా చేయాలని భావిస్తున్నారు, 2018 లో 40 నుండి, నెలకు నాలుగు 7500, మరియు అవసరమైతే అంతకంటే ఎక్కువ. లగ్జరీ చార్టర్ విస్టాజెట్ 30 యూనిట్ల వరకు కొనుగోలు చేయడానికి ఒక ఒప్పందంపై సంతకం చేసింది; నెట్‌జెట్స్, అతిపెద్ద పాక్షిక జెట్ ప్రొవైడర్, 20 గ్లోబల్ 7500 లు మరియ"&amp;"ు హాంకాంగ్ మేనేజ్‌మెంట్ సంస్థ హెచ్‌కె బెల్లావింగ్స్ జెట్ 18 గ్లోబల్ 6500/7500 ల ఆర్డర్లు మరియు ఎంపికలను కలిగి ఉంటుంది. [43] గ్లోబల్ 7500 20 డిసెంబర్ 2018 న సేవలోకి ప్రవేశించినప్పుడు 100 సురక్షిత ఆర్డర్లు ఉన్నాయి. [2] అక్టోబర్ 2019 లో, విస్టాజెట్ జనవరి 202"&amp;"0 లో తన మొదటి గ్లోబల్ 7500 లో వాణిజ్య విమానాలను ప్రారంభించాలని యోచిస్తోంది. [44] బొంబార్డియర్ 2020 ను గ్లోబల్ 7500 కోసం విజయవంతమైన సంవత్సరాన్ని పరిగణనలోకి తీసుకున్నారు, ఎందుకంటే వారు 35 విమానాలను వివిధ వినియోగదారులకు అందించారు, మరియు 29 మార్చి 2021 న, కంప"&amp;"ెనీ 50 వ గ్లోబల్ 7500 యొక్క మైలురాయి డెలివరీగా గుర్తించింది. [45] పోల్చదగిన పాత్ర, కాన్ఫిగరేషన్ మరియు ERA సంబంధిత జాబితాల సంబంధిత అభివృద్ధి విమానం")</f>
        <v>బొంబార్డియర్ గ్లోబల్ 7500 మరియు గ్లోబల్ 8000 బొంబార్డియర్ ఏవియేషన్ (గతంలో బొంబార్డియర్ ఏరోస్పేస్) అభివృద్ధి చేసిన అల్ట్రా లాంగ్-రేంజ్ బిజినెస్ జెట్స్. అక్టోబర్ 2010 లో ప్రకటించిన ఈ కార్యక్రమం రెక్కల పున es రూపకల్పన ద్వారా రెండు సంవత్సరాలు ఆలస్యం అయింది. 7500, మొదట 7000 అని పేరు పెట్టారు, నవంబర్ 4, 2016 న మొదటి విమానంలో సాధించింది, సెప్టెంబర్ 28, 2018 న ట్రాన్స్పోర్ట్ కెనడా చేత ధృవీకరించబడింది మరియు 20 డిసెంబర్ 2018 న సేవలోకి ప్రవేశించింది. గ్లోబల్ 8000 షెడ్యూల్ ఇంకా నిర్ణయించబడలేదు. కొత్త ట్రాన్సోనిక్ వింగ్‌తో గ్లోబల్ 6000 ఆధారంగా, పొడవైన, నాలుగు-జోన్ క్యాబిన్ 7500 లో 7,700 ఎన్‌ఎంఐ (14,300 కిమీ) పరిధిలో ఉండగా, తక్కువ మూడు-జోన్ 8000 7,900 ఎన్‌ఎంఐ (14,600 కిమీ) చేరుకోవలసి ఉంది. అక్టోబర్ 2010 లో ప్రకటించిన, జెట్స్ మొదట్లో 8000 కోసం 7500 మరియు 2017 సంవత్సరానికి 2016 లో పరిచయం కోసం షెడ్యూల్ చేయబడ్డాయి. [5] 2015 లో, బొంబార్డియర్ విమానం యొక్క విభాగాన్ని పున es రూపకల్పన చేయాలని నిర్ణయించుకున్నాడు మరియు ఇతర అభివృద్ధి సవాళ్లతో పాటు, ఈ కార్యక్రమాన్ని రెండేళ్లుగా ఆలస్యం చేశాడు. [6] పున es రూపకల్పన యొక్క లక్ష్యం దాని ఏరోడైనమిక్ ప్రొఫైల్‌ను మార్చకుండా రెక్కల బరువును తగ్గించడం. విమానం ఫ్లై-బై-వైర్ సిస్టమ్ ఆర్కిటెక్చర్ సిసరీస్ మీద ఆధారపడి ఉంటుంది. [7] ఎయిర్‌ఫ్రేమ్ కొత్త విమానయాన సంస్థ వంటి అల్యూమినియం -లిథియం మిశ్రమాలను ఉపయోగిస్తుంది. [8] ప్రోగ్రామ్‌కు 1 బిలియన్ డాలర్ల కంటే ఎక్కువ ఖర్చు అవుతుంది. [9] గతంలో గ్లోబల్ 7000 అని పేరు పెట్టారు, దాని సేవలోకి ప్రవేశించడం మొదట్లో 2016 కోసం షెడ్యూల్ చేయబడింది. [5] మాజీ ఫార్ములా వన్ డ్రైవర్ మరియు చాలా కాలం బొంబార్డియర్ బ్రాండ్ అంబాసిడర్ నికి లాడా తన ఆర్డర్‌ను EBACE 2015 సమావేశానికి ముందు ప్రకటించారు. [10] మొదటి పరీక్ష విమానం అక్టోబర్ 2016 లో టాక్సీ పరీక్షకు గురైంది. [11] ప్రాథమిక వ్యవస్థ కార్యాచరణను పరీక్షించడానికి మరియు విమానం యొక్క నిర్వహణ మరియు ఎగిరే లక్షణాలను అంచనా వేయడానికి అంకితం చేయబడింది, దాని తొలి ఫ్లైట్ నవంబర్ 4, 2016 న జరిగింది, 20,000 అడుగుల (6,096 మీ) కు చేరుకుంది మరియు 2 గం 27 నిమిషాల విమానంలో 240 నాట్లకు చేరుకుంది. [1 ] ప్రొడక్షన్ వింగ్ ఫిబ్రవరి 2017 లో తుది రూపకల్పనలో ఉంది. [12] FTV2 మార్చి 6, 2017 న ప్రయాణించి, "ది పవర్‌హౌస్" ప్రొపల్షన్, ఎలక్ట్రికల్ మరియు యాంత్రిక వ్యవస్థలతో సహా విమాన వ్యవస్థలను పరీక్షించడానికి రూపొందించబడింది. [13] పనితీరు కవరును తెరవడానికి FTV1 ఉపయోగించబడుతుంది మరియు మార్చి 29, 2017 న MACH 0.995 కి చేరుకుంది. [14] FTV3 మే 10, 2017 న ప్రయాణించి, ఏవియానిక్స్ మరియు ఎలక్ట్రికల్ సిస్టమ్ పనితీరును పరీక్షించడానికి "నావిగేటర్" ఉపయోగించబడుతుంది. [15] మే 2017 చివరి నాటికి, మూడు ప్రోటోటైప్‌లు కలిపి 250 గంటలు ప్రయాణించాయి. [16] క్యాబిన్ ఇంటీరియర్ ధ్రువీకరణ కోసం ఉపయోగించే నాల్గవ ప్రోటోటైప్‌ను "ది ఆర్కిటెక్ట్" అని పిలుస్తారు మరియు ఐదవ మరియు ఫైనల్, ఎంట్రీ-ఇన్-సర్వీస్ కోసం, "ది మాస్టర్ పీస్" అని పిలుస్తారు. [17] ఐదవది రెక్కల బరువుపై వివాదం పరిష్కరించబడిన తరువాత, ట్రయంఫ్ గ్రూప్ సరఫరా చేసిన కొంచెం తేలికైన ఉత్పత్తి విభాగాన్ని కలిగి ఉంది. [18] జూలై 2017 మధ్య నాటికి, మూడు ఫ్లైట్-టెస్ట్ విమానాలు 500 గంటలు పేరుకుపోయాయి. [8] 15 ఆగస్టు 2017 న, "అధిక వైబ్రేషన్ మరియు అధిక ఇంటర్-టర్బైన్ ఉష్ణోగ్రత రీడింగులు" తరువాత, రెండవ ప్రోటోటైప్ యొక్క కుడి GE పాస్‌పోర్ట్ FL410 వద్ద విమానంలో మంటను కలిగి ఉంది మరియు విమానం తిరిగి విచిత విమానాశ్రయం 156 NMI (290 కిమీ) దూరంలో ఉంది. ఇంజిన్ ల్యాండింగ్. [19] అక్టోబర్ 2017 నాటికి, నాలుగు ఫ్లైట్-టెస్ట్ విమానాలు 900 గంటలు ఎగిరిపోయాయి. [20] ఏప్రిల్ 2018 లో, ఫ్లైట్ టెస్ట్ ప్రచారం 1,800 గంటలు అధిగమించింది మరియు 7,400 నుండి 7,700 ఎన్ఎమ్ఐ (13,700 నుండి 14,300 కిమీ) వరకు శ్రేణి పెరుగుదలను ధృవీకరించింది, ఇది పోటీ గల్ఫ్‌స్ట్రీమ్ జి 650 ఎర్ యొక్క 7,500 ఎన్‌ఎంఐ (13,900 కిమీ) కంటే ఎక్కువ, అయితే ఇప్పటికీ చిన్న గ్లోబల్ 8000 యొక్క రేంజ్ చేత అధికంగా ఉంది. గ్లోబల్ 7500 కన్నా 7,900 ఎన్ఎమ్ఐ (14,600 కిమీ), 200 ఎన్ఎమ్ఐ (370 కిమీ) ఎక్కువ. [21] అసలు గ్లోబల్ ఎక్స్‌ప్రెస్ గ్లోబల్ 5500 మరియు 6500 గా అభివృద్ధి చేయబడినందున, ఈ పరిధి పెరుగుదలను ప్రతిబింబించేలా గ్లోబల్ 7500 గా పేరు మార్చబడింది. [22] మే 2018 చివరి నాటికి, ఐదు ఫ్లైట్-టెస్ట్ విమానాలు సంవత్సరాంతంలో టైప్ యొక్క ప్రణాళికాబద్ధమైన ఎంట్రీ-సేవ కోసం సుమారు 2,000 గంటలు సేకరించాయి. [23] జూన్ 2018 నాటికి, టెస్ట్ ఫ్లీట్ ద్వారా ధృవీకరణ వైపు 2,300 విమాన పరీక్షా గంటలు పూర్తయ్యాయి. మొదటి ఉత్పత్తి విమానం మే 2018 లో పూర్తి కేంద్రంలోకి ప్రవేశించింది. [24] 2,400 గంటలకు పైగా ఆగస్టు 2018 నాటికి విమాన పరీక్ష పూర్తయింది; టైప్ సర్టిఫికేషన్ మరియు సేవలోకి పరిచయం సంవత్సరం చివరినాటికి, 2019 లో 15-20 కస్టమర్ డెలివరీలతో, 20 విమానాలు తుది అసెంబ్లీలో ఉన్నందున. [25] సెప్టెంబర్ 2018 నాటికి, పరీక్ష విమానం 2,700 గంటలకు పైగా ఎగిరింది, ఎందుకంటే ఎఫ్‌టివి 1 పరీక్ష నుండి రిటైర్ అయ్యింది మరియు ప్రదర్శనకారుడిగా ఉపయోగించటానికి పెయింట్ చేయబడింది. [26] బొంబార్డియర్ సెప్టెంబర్ 2018 లో ధృవీకరణ పత్రాన్ని ఆశిస్తున్నారు. [27] ట్రాన్స్పోర్ట్ కెనడా తన రకం ధృవీకరణను సెప్టెంబర్ 28, 2018 న ప్రదానం చేసింది. [28] FAA రకం ధృవీకరణ నవంబర్ 7, 2018 న జరిగింది. [29] మొదటిది డిసెంబరులో పంపిణీ చేయాలి, మరియు బొంబార్డియర్ 2019 లో 15 నుండి 20 వరకు, తరువాత 2020 లో 35-40, ఈ కార్యక్రమం 2021 వరకు అమ్ముడవుతుంది. [30] డిసెంబర్ ఆరంభంలో పంపిణీ చేయబడిన తరువాత, గ్లోబల్ 7500 డిసెంబర్ 20 న 100 సురక్షిత ఆర్డర్‌లతో సేవలోకి ప్రవేశించింది. [2] ఫిబ్రవరి 2019 లో, బొంబార్డియర్ గ్లోబల్ 7500 వింగ్ తయారీ కార్యక్రమం మరియు ట్రయంఫ్ గ్రూప్ నుండి సౌకర్యాలను కొనుగోలు చేశాడు. [31] 2021 లో, దాని అమర్చిన ధర m 75 మిలియన్లు. [32] సేవలోకి ప్రవేశించడం మొదట్లో 2017 కోసం షెడ్యూల్ చేయబడింది. [5] సెప్టెంబర్ 2016 నాటికి, ఇది 2019 ప్రారంభంలో ఆలస్యం అయింది. [6] 600 ఎన్ఎమ్ఐ (1,100 కిమీ) శ్రేణికి దాదాపు 8 అడుగుల (2.4 మీ) క్యాబిన్ స్థలాన్ని వర్తకం చేస్తూ, గ్లోబల్ 8000 డిసెంబర్ 2017 లో బ్యాక్‌లాగ్‌లో చాలా తక్కువ భాగాన్ని కలిగి ఉంది మరియు గ్లోబల్ 7500 సేవ చేసిన తర్వాత దాని షెడ్యూల్ నిర్ణయించబడుతుంది . భేదం లేకపోవడం, ఇది అధిక గరిష్ట టేకాఫ్ బరువు (MTOW) గ్లోబల్ 7500 వేరియంట్ ద్వారా ఎక్కువ శ్రేణితో భర్తీ చేయబడుతుంది. [3] 8000 యూనిట్ ఖర్చు 2014 లో million 71 మిలియన్లు. [33] రెండూ కొత్త ట్రాన్సోనిక్ వింగ్‌తో గ్లోబల్ 6000 యొక్క ఉత్పన్నాలు. [34] అవి కొత్త జనరల్ ఎలక్ట్రిక్ పాస్‌పోర్ట్ 20 16,500 ఎల్బిఎఫ్ (73 కెఎన్) థ్రస్ట్ ఇంజిన్ ద్వారా తగ్గిన NOX ఉద్గారాలు మరియు గ్లోబల్ ఎక్స్‌ప్రెస్ ఎక్స్‌ఆర్‌ల కంటే 8% మెరుగైన ఇంధన సామర్థ్యాన్ని కలిగి ఉంటాయి, ఇది మాక్ 0.90 హై-స్పీడ్ క్రూయిజ్‌ను అనుమతిస్తుంది. [5] ప్రయాణీకులకు సుదూర విమానాలను సౌకర్యవంతంగా చేసే ప్రయత్నంలో భాగంగా, బొంబార్డియర్ న్యూజ్ అని పిలువబడే కొత్త ఎర్గోనామిక్ ప్యాసింజర్ సీటును అభివృద్ధి చేశాడు. సీటు రూపకల్పన పూర్తి కావడానికి ఏడు సంవత్సరాలు పట్టింది. [35] ఎయిర్ బస్ యాజమాన్యంలోని స్టెలియా ప్రధాన ఫ్యూజ్‌లేజ్‌ను సరఫరా చేస్తుంది. [36] కొత్త, పెద్ద మరియు దిగువ-డ్రాగ్ వింగ్ మాక్ 0.85 కోసం 35.3 ° క్వార్టర్ తీగ వింగ్ స్వీప్, సన్నని మందం-నుండి-తీగ నిష్పత్తి, సన్నగా ఉండే ఫ్లాప్ ట్రాక్ ఫెయిరింగ్‌లు, మెరుగైన లిఫ్ట్-టు-డ్రాగ్ పనితీరు, మరింత సమర్థవంతమైన వింగ్‌లెట్స్ మరియు అప్ తో ఆప్టిమైజ్ చేయబడింది. డబుల్-స్లాట్డ్, ఇన్బోర్డ్ ఫౌలర్ ఫ్లాప్‌ల కారణంగా 30% మెరుగైన తక్కువ-స్పీడ్ లిఫ్ట్. కొత్త ఫ్లై-బై-వైర్ ఫ్లైట్ క్రియాశీల లోడ్ ఉపశమనం మరియు సౌకర్యవంతమైన, సాపేక్షంగా అధికంగా లోడ్ చేయబడిన రెక్కల అల్లకల్లోలం. [37] మెటల్ ఎయిర్ఫ్రేమ్ బరువు ఆదా చేయడానికి అల్యూమినియం -లిథియం మిశ్రమాలను ఉపయోగిస్తుంది. [37] ఇది అదే ఫ్యూజ్‌లేజ్ వ్యాసాన్ని పాత గ్లోబల్ మోడళ్లతో పంచుకుంటుంది, కానీ సన్నగా ఉండే ఫ్రేమ్‌లను కలిగి ఉంది, ఇవి క్యాబిన్ వెడల్పు మరియు ఎత్తును 1 లో (25 మిమీ) పెంచుతాయి. [37] అదనంగా, 300 చదరపు ఇన్ (19 DM2) క్యాబిన్ కిటికీలు 80% పెద్దవి, ముక్కు కౌల్ తిరిగి పొందబడింది, మరియు వెనుక ఫ్యూజ్‌లేజ్ మరియు ఎంపెనేజ్ రెండూ కొత్త నమూనాలు. [37] ప్రాథమిక తనిఖీ విరామాలు 850 గంటలు లేదా 36 నెలలు, సి తనిఖీలు ప్రతి 12 సంవత్సరాలకు లేదా 8,500 చక్రాలు మరియు ఇంటెన్సివ్ మెయింటెనెన్స్ ద్వారా జీవిత పొడిగింపుకు ముందు 17,000 చక్రాల పరిమితి అవసరం. [37] అధికారికంగా BD-700-2A12 గా నియమించబడిన ఈ డిజైన్ గ్లోబల్ 7500 గా విక్రయించబడింది. ఇది అసలు గ్లోబల్ నుండి 11 అడుగుల 3 (3.43 మీ) లో విస్తరించి ఉంది. [34] ఇది నాలుగు-జోన్ 2,637 క్యూ ఎఫ్‌టి (74.67 ఎం 3) క్యాబిన్ కలిగి ఉండాలని యోచిస్తోంది, ఇది మునుపటి కంటే 20% ఎక్కువ. ఇది మొదట 7,300 ఎన్ఎమ్ఐ (13,500 కిమీ) పరిధిని మాక్ 0.85 వద్ద 10 ప్రయాణీకులతో కవర్ చేయడానికి రూపొందించబడింది. [5] దీని క్యాబిన్ పోటీ మోడళ్ల కంటే మూడింట ఒక వంతు పొడవు, మూడు నుండి నాల్గవ సీటింగ్ విభాగాన్ని అందిస్తుంది, ఎనిమిది మంది ప్రయాణీకులను నిద్రపోవచ్చు మరియు ఐచ్ఛిక షవర్ మరియు స్లీపింగ్ సిబ్బంది విశ్రాంతి ప్రాంతాన్ని అందిస్తుంది. బాంబార్డియర్ మార్కెటింగ్ అల్ట్రా-హై-నెట్-విలువైన వ్యక్తులపై దృష్టి పెట్టింది మరియు గ్లోబల్ 7500 అతిపెద్ద, పొడవైన శ్రేణి, గది మరియు విలాసవంతమైన ప్రయోజన-నిర్మిత వ్యాపార విమానాలు. [37] వింగ్ ప్రాంతం గల్ఫ్‌స్ట్రీమ్ G650ER మరియు 11% అధిక MTOW కంటే చిన్నది అయినప్పటికీ, ఇదే విధమైన శక్తి లోడింగ్ కోసం ప్రముఖ-ఎడ్జ్ స్లాట్‌లు మరియు డబుల్-స్లాట్డ్ ఫ్లాప్‌లతో హై-లిఫ్ట్ సిస్టమ్ కారణంగా ఇది తక్కువ V వేగం మరియు మెరుగైన రన్‌వే పనితీరును కలిగి ఉంది. ఇంజిన్‌కు గంట ఇంధన ప్రవాహం నిష్క్రియంగా 500 ఎల్బి (230 కిలోలు), టేకాఫ్ వద్ద 6,240 ఎల్బి (2,830 కిలోలు), 1,280 నుండి 1,370 ఎల్బి (580 నుండి 620 కిలోలు) మాక్ 0.85/484 కెఎన్ (896 కిమీ/గం) టాస్ వద్ద క్రూయిజ్‌లో ఉంటుంది, మాక్ 0.9/515 కెఎన్ (954 కిమీ/గం) టాస్ వద్ద 1,730 ఎల్బి (780 కిలోలు) మరియు మాక్ 0.925/523 కెఎన్ (969 కిమీ/గం) టాస్ వద్ద 2,400 ఎల్బి (1,100 కిలోలు), 75,000 ఎల్బి (34,000 కిలోలు) మరియు ISA పరిస్థితులు . ఇంకా సుదీర్ఘ శ్రేణి వేరియంట్ మరో 8,000 ఎల్బి (3,600 కిలోల) ఇంధనంతో 1,000 ఎన్ఎమ్ఐ (1,900 కిమీ) ఎక్కువ చేరుకోవచ్చు. [37] గ్లోబల్ 8000 గా విక్రయించబడిన BD-700-2A13, గ్లోబల్ ఎక్స్‌ప్రెస్ నుండి 2 అడుగుల 3 (0.69 మీ) లో 2 అడుగుల 3 విస్తరించి ఉంది. [34] ఇది మూడు-జోన్ 2,236 Cu.ft. . . [[ మార్చి 2019 లో, గ్లోబల్ 7500 ఒక ఉద్దేశ్యంతో నిర్మించిన వ్యాపార జెట్ ద్వారా ఎగురుతున్న పొడవైన మిషన్ కోసం రికార్డు సృష్టించింది, 8,152 ఎన్ఎమ్ఐ (15,098 కిమీ), సింగపూర్ నుండి అరిజోనాలోని టక్సన్ వరకు 16 గంటల విమానంతో; విమానం దాదాపు 1.5 గంటల అదనపు విమానంలో ఇంధన నిల్వలతో దిగింది. [38] గల్ఫ్‌స్ట్రీమ్ ఏప్రిల్ 2019 లో G650ER ఈ రికార్డును 8,379 NMI (15,518 కిమీ) ఎగురుతున్నట్లు ప్రకటించింది, అనగా 225 nm (417 కి.మీ) టైమ్‌స్పాన్ 44 నిమిషాల చిన్నది. [39] 6 అక్టోబర్ 2019 న బొంబార్డియర్ సిడ్నీ మరియు డెట్రాయిట్ మధ్య 8,225 ఎన్ఎమ్ఐ (15,233 కిమీ) నాన్-స్టాప్ ఫ్లైట్ తో తమ పొడవైన మిషన్‌ను మెరుగుపరిచాడు, "ఉద్దేశ్యంతో నిర్మించిన వ్యాపార విమానం ద్వారా ఎగురుతున్న పొడవైన నగర-జత" రికార్డును పేర్కొంది. [40] గ్లోబల్ 7500 లాస్ ఏంజిల్స్‌కు సమీపంలో ఉన్న వాన్ న్యూస్ విమానాశ్రయం నుండి న్యూయార్క్ సమీపంలోని టెటర్‌బోరో విమానాశ్రయానికి నాలుగు గంటలలోపు విమానంలో వ్యాపార జెట్ స్పీడ్ రికార్డును బద్దలు కొట్టింది, మాక్ 0.925 వద్ద విమానాలలో ఎక్కువ భాగం. [41] బొంబార్డియర్ ఒక నిర్దిష్ట బ్యాక్‌లాగ్‌ను ప్రచురించకపోగా, పరిశ్రమ విశ్లేషకుడు రోలాండ్ విన్సెంట్ అంచనా వేశారు, నవంబర్ 2016 లో మొదటి విమానంలో 200 ఆర్డర్లు సేకరించబడ్డాయి, ఎక్కువగా 7500 వెర్షన్ కోసం. [42] గ్లోబల్ 5500/6500 తో సహా, బొంబార్డియర్ 2021 నాటికి సంవత్సరానికి 90-100 గ్లోబల్స్‌ను బట్వాడా చేయాలని భావిస్తున్నారు, 2018 లో 40 నుండి, నెలకు నాలుగు 7500, మరియు అవసరమైతే అంతకంటే ఎక్కువ. లగ్జరీ చార్టర్ విస్టాజెట్ 30 యూనిట్ల వరకు కొనుగోలు చేయడానికి ఒక ఒప్పందంపై సంతకం చేసింది; నెట్‌జెట్స్, అతిపెద్ద పాక్షిక జెట్ ప్రొవైడర్, 20 గ్లోబల్ 7500 లు మరియు హాంకాంగ్ మేనేజ్‌మెంట్ సంస్థ హెచ్‌కె బెల్లావింగ్స్ జెట్ 18 గ్లోబల్ 6500/7500 ల ఆర్డర్లు మరియు ఎంపికలను కలిగి ఉంటుంది. [43] గ్లోబల్ 7500 20 డిసెంబర్ 2018 న సేవలోకి ప్రవేశించినప్పుడు 100 సురక్షిత ఆర్డర్లు ఉన్నాయి. [2] అక్టోబర్ 2019 లో, విస్టాజెట్ జనవరి 2020 లో తన మొదటి గ్లోబల్ 7500 లో వాణిజ్య విమానాలను ప్రారంభించాలని యోచిస్తోంది. [44] బొంబార్డియర్ 2020 ను గ్లోబల్ 7500 కోసం విజయవంతమైన సంవత్సరాన్ని పరిగణనలోకి తీసుకున్నారు, ఎందుకంటే వారు 35 విమానాలను వివిధ వినియోగదారులకు అందించారు, మరియు 29 మార్చి 2021 న, కంపెనీ 50 వ గ్లోబల్ 7500 యొక్క మైలురాయి డెలివరీగా గుర్తించింది. [45] పోల్చదగిన పాత్ర, కాన్ఫిగరేషన్ మరియు ERA సంబంధిత జాబితాల సంబంధిత అభివృద్ధి విమానం</v>
      </c>
      <c r="E119" s="1" t="s">
        <v>2517</v>
      </c>
      <c r="F119" s="1" t="s">
        <v>496</v>
      </c>
      <c r="G119" s="1" t="str">
        <f>IFERROR(__xludf.DUMMYFUNCTION("GOOGLETRANSLATE(F:F, ""en"", ""te"")"),"బిజినెస్ జెట్")</f>
        <v>బిజినెస్ జెట్</v>
      </c>
      <c r="H119" s="1" t="s">
        <v>497</v>
      </c>
      <c r="I119" s="1" t="s">
        <v>1083</v>
      </c>
      <c r="J119" s="1" t="str">
        <f>IFERROR(__xludf.DUMMYFUNCTION("GOOGLETRANSLATE(I:I, ""en"", ""te"")"),"కెనడా")</f>
        <v>కెనడా</v>
      </c>
      <c r="K119" s="3" t="s">
        <v>1084</v>
      </c>
      <c r="L119" s="1" t="s">
        <v>2518</v>
      </c>
      <c r="M119" s="1" t="str">
        <f>IFERROR(__xludf.DUMMYFUNCTION("GOOGLETRANSLATE(L:L, ""en"", ""te"")"),"బొంబార్డియర్ ఏవియేషన్")</f>
        <v>బొంబార్డియర్ ఏవియేషన్</v>
      </c>
      <c r="N119" s="1" t="s">
        <v>2519</v>
      </c>
      <c r="R119" s="1" t="s">
        <v>2520</v>
      </c>
      <c r="S119" s="1" t="s">
        <v>2521</v>
      </c>
      <c r="AO119" s="1" t="s">
        <v>2522</v>
      </c>
      <c r="BG119" s="2"/>
      <c r="BI119" s="1" t="s">
        <v>2523</v>
      </c>
      <c r="BJ119" s="1" t="s">
        <v>2524</v>
      </c>
      <c r="BU119" s="1" t="s">
        <v>2525</v>
      </c>
      <c r="BV119" s="1" t="str">
        <f>IFERROR(__xludf.DUMMYFUNCTION("GOOGLETRANSLATE(BU:BU, ""en"", ""te"")"),"ఉత్పత్తిలో")</f>
        <v>ఉత్పత్తిలో</v>
      </c>
    </row>
    <row r="120">
      <c r="A120" s="1" t="s">
        <v>2526</v>
      </c>
      <c r="B120" s="1" t="str">
        <f>IFERROR(__xludf.DUMMYFUNCTION("GOOGLETRANSLATE(A:A, ""en"", ""te"")"),"డగ్లస్ XFD")</f>
        <v>డగ్లస్ XFD</v>
      </c>
      <c r="C120" s="1" t="s">
        <v>2527</v>
      </c>
      <c r="D120" s="1" t="str">
        <f>IFERROR(__xludf.DUMMYFUNCTION("GOOGLETRANSLATE(C:C, ""en"", ""te"")"),"డగ్లస్ ఎక్స్‌ఎఫ్‌డి అమెరికా నేవీ కోసం రూపొందించిన క్యారియర్ ఆధారిత బిప్‌లేన్ ఫైటర్ విమానం, మరియు డగ్లస్ ఎయిర్‌క్రాఫ్ట్ కంపెనీ నిర్మించిన మొదటి ఫైటర్. మారుతున్న అవసరాలకు బాధితుడు, ఉత్పత్తి చేపట్టలేదు. XFD ను యు.ఎస్. నేవీ యొక్క బ్యూరో ఆఫ్ ఏరోనాటిక్స్ (BUAER"&amp;") స్పెసిఫికేషన్ నెంబర్ 311 కు రూపొందించారు, క్యారియర్-ఆధారిత రెండు-సీట్ల బైప్‌లేన్ ఫైటర్‌ను అభ్యర్థిస్తూ. [1] జూన్ 30, 1932 న, నేవీ పరీక్ష కోసం XFD, వోట్ XF3U మరియు కర్టిస్ XF12C ని ఆదేశించింది. [2] డగ్లస్ విమానం రూపొందించిన మొట్టమొదటి నావికాదళ పోరాట యోధు"&amp;"డు, [3] XFD లోహంతో నిర్మించబడింది, ఫాబ్రిక్ బాహ్య కవరింగ్. సిబ్బంది ఒకే బేలో కలిసి కూర్చున్నారు, పొడవైన పందిరితో కప్పబడి ఉన్నారు. ఈ విమానం సాంప్రదాయిక ల్యాండింగ్ గేర్‌ను పరిష్కరించింది, మరియు రెండు .30 (7.6 మిమీ) మెషిన్ గన్లతో సాయుధంగా రూపొందించబడింది, ఒక"&amp;"టి కౌలింగ్‌లో స్థిరపడింది మరియు మరొకటి పరిశీలకునికి సౌకర్యవంతమైన మౌంట్‌లో ఉంది. 500-పౌండ్ల (230 కిలోల) బాంబు లోడ్ తీసుకెళ్లవచ్చు. [4] శక్తిని కలిగి ఉంది ప్రాట్ &amp; విట్నీ R-1535 ట్విన్ కందిరీగ జూనియర్ రేడియల్ ఇంజన్. [4] XFD-1 [N 1] ప్రోటోటైప్ మొదట జనవరి 193"&amp;"3 లో ప్రయాణించింది; 4] జూన్ 18, 1933 మరియు ఆగస్టు 14, 1934 మధ్య రకాలు మూల్యాంకనాలు జరిగాయి. [2] XFD-1 యొక్క పనితీరు ఆమోదయోగ్యమైనదిగా పరిగణించబడుతున్నప్పటికీ, యు.ఎస్. నేవీ యొక్క కార్యాచరణ అవసరాలు ఇప్పటికే రెండు-సీట్ల ఫైటర్ కాన్సెప్ట్ అనుకూలంగా ఉండకుండా చూడ"&amp;"టానికి మారుతున్నాయి, స్కౌట్ బాంబర్ నేవీ అవసరాలకు మరింత ఉపయోగకరంగా పరిగణించబడుతుంది మరియు తదనుగుణంగా ముగిసిన తరువాత XFD-1 యొక్క ఫ్లైట్ ట్రయల్స్‌లో ఈ రకం కోసం తదుపరి ఆర్డర్లు ఉంచబడలేదు. [4] ఏంజెలోకి 1987, [2] జాన్సన్ 2011 [4] సాధారణ లక్షణాలు పనితీరు ఆయుధాలు"&amp;", కాన్ఫిగరేషన్ మరియు ERA సంబంధిత జాబితాల పనితీరు ఆయుధాల విమానం")</f>
        <v>డగ్లస్ ఎక్స్‌ఎఫ్‌డి అమెరికా నేవీ కోసం రూపొందించిన క్యారియర్ ఆధారిత బిప్‌లేన్ ఫైటర్ విమానం, మరియు డగ్లస్ ఎయిర్‌క్రాఫ్ట్ కంపెనీ నిర్మించిన మొదటి ఫైటర్. మారుతున్న అవసరాలకు బాధితుడు, ఉత్పత్తి చేపట్టలేదు. XFD ను యు.ఎస్. నేవీ యొక్క బ్యూరో ఆఫ్ ఏరోనాటిక్స్ (BUAER) స్పెసిఫికేషన్ నెంబర్ 311 కు రూపొందించారు, క్యారియర్-ఆధారిత రెండు-సీట్ల బైప్‌లేన్ ఫైటర్‌ను అభ్యర్థిస్తూ. [1] జూన్ 30, 1932 న, నేవీ పరీక్ష కోసం XFD, వోట్ XF3U మరియు కర్టిస్ XF12C ని ఆదేశించింది. [2] డగ్లస్ విమానం రూపొందించిన మొట్టమొదటి నావికాదళ పోరాట యోధుడు, [3] XFD లోహంతో నిర్మించబడింది, ఫాబ్రిక్ బాహ్య కవరింగ్. సిబ్బంది ఒకే బేలో కలిసి కూర్చున్నారు, పొడవైన పందిరితో కప్పబడి ఉన్నారు. ఈ విమానం సాంప్రదాయిక ల్యాండింగ్ గేర్‌ను పరిష్కరించింది, మరియు రెండు .30 (7.6 మిమీ) మెషిన్ గన్లతో సాయుధంగా రూపొందించబడింది, ఒకటి కౌలింగ్‌లో స్థిరపడింది మరియు మరొకటి పరిశీలకునికి సౌకర్యవంతమైన మౌంట్‌లో ఉంది. 500-పౌండ్ల (230 కిలోల) బాంబు లోడ్ తీసుకెళ్లవచ్చు. [4] శక్తిని కలిగి ఉంది ప్రాట్ &amp; విట్నీ R-1535 ట్విన్ కందిరీగ జూనియర్ రేడియల్ ఇంజన్. [4] XFD-1 [N 1] ప్రోటోటైప్ మొదట జనవరి 1933 లో ప్రయాణించింది; 4] జూన్ 18, 1933 మరియు ఆగస్టు 14, 1934 మధ్య రకాలు మూల్యాంకనాలు జరిగాయి. [2] XFD-1 యొక్క పనితీరు ఆమోదయోగ్యమైనదిగా పరిగణించబడుతున్నప్పటికీ, యు.ఎస్. నేవీ యొక్క కార్యాచరణ అవసరాలు ఇప్పటికే రెండు-సీట్ల ఫైటర్ కాన్సెప్ట్ అనుకూలంగా ఉండకుండా చూడటానికి మారుతున్నాయి, స్కౌట్ బాంబర్ నేవీ అవసరాలకు మరింత ఉపయోగకరంగా పరిగణించబడుతుంది మరియు తదనుగుణంగా ముగిసిన తరువాత XFD-1 యొక్క ఫ్లైట్ ట్రయల్స్‌లో ఈ రకం కోసం తదుపరి ఆర్డర్లు ఉంచబడలేదు. [4] ఏంజెలోకి 1987, [2] జాన్సన్ 2011 [4] సాధారణ లక్షణాలు పనితీరు ఆయుధాలు, కాన్ఫిగరేషన్ మరియు ERA సంబంధిత జాబితాల పనితీరు ఆయుధాల విమానం</v>
      </c>
      <c r="E120" s="1" t="s">
        <v>2528</v>
      </c>
      <c r="F120" s="1" t="s">
        <v>421</v>
      </c>
      <c r="G120" s="1" t="str">
        <f>IFERROR(__xludf.DUMMYFUNCTION("GOOGLETRANSLATE(F:F, ""en"", ""te"")"),"యుద్ధ")</f>
        <v>యుద్ధ</v>
      </c>
      <c r="H120" s="3" t="s">
        <v>754</v>
      </c>
      <c r="I120" s="1" t="s">
        <v>447</v>
      </c>
      <c r="J120" s="1" t="str">
        <f>IFERROR(__xludf.DUMMYFUNCTION("GOOGLETRANSLATE(I:I, ""en"", ""te"")"),"అమెరికా")</f>
        <v>అమెరికా</v>
      </c>
      <c r="L120" s="1" t="s">
        <v>241</v>
      </c>
      <c r="M120" s="1" t="str">
        <f>IFERROR(__xludf.DUMMYFUNCTION("GOOGLETRANSLATE(L:L, ""en"", ""te"")"),"డగ్లస్ ఎయిర్క్రాఫ్ట్ కంపెనీ")</f>
        <v>డగ్లస్ ఎయిర్క్రాఫ్ట్ కంపెనీ</v>
      </c>
      <c r="N120" s="1" t="s">
        <v>242</v>
      </c>
      <c r="R120" s="5">
        <v>12055.0</v>
      </c>
      <c r="S120" s="1">
        <v>1.0</v>
      </c>
      <c r="V120" s="1" t="s">
        <v>2529</v>
      </c>
      <c r="W120" s="1" t="s">
        <v>2530</v>
      </c>
      <c r="X120" s="1" t="s">
        <v>1999</v>
      </c>
      <c r="Y120" s="1" t="s">
        <v>2530</v>
      </c>
      <c r="Z120" s="1" t="s">
        <v>2271</v>
      </c>
      <c r="AG120" s="1" t="s">
        <v>2531</v>
      </c>
      <c r="AH120" s="1" t="s">
        <v>2532</v>
      </c>
      <c r="AX120" s="1" t="s">
        <v>2533</v>
      </c>
      <c r="AY120" s="1" t="str">
        <f>IFERROR(__xludf.DUMMYFUNCTION("GOOGLETRANSLATE(AX:AX, ""en"", ""te"")"),"1 × ప్రాట్ &amp; విట్నీ R-1535-64 14-సిలిండర్ ఎయిర్-కూల్డ్ రేడియల్ ఇంజిన్, 700 HP (520 kW)")</f>
        <v>1 × ప్రాట్ &amp; విట్నీ R-1535-64 14-సిలిండర్ ఎయిర్-కూల్డ్ రేడియల్ ఇంజిన్, 700 HP (520 kW)</v>
      </c>
      <c r="AZ120" s="1" t="s">
        <v>2534</v>
      </c>
      <c r="BA120" s="1" t="str">
        <f>IFERROR(__xludf.DUMMYFUNCTION("GOOGLETRANSLATE(AZ:AZ, ""en"", ""te"")"),"2-బ్లేడెడ్ హామిల్టన్ స్టాండర్డ్")</f>
        <v>2-బ్లేడెడ్ హామిల్టన్ స్టాండర్డ్</v>
      </c>
      <c r="BB120" s="1" t="s">
        <v>2535</v>
      </c>
      <c r="BC120" s="1" t="s">
        <v>2536</v>
      </c>
      <c r="BD120" s="1" t="s">
        <v>2537</v>
      </c>
      <c r="BF120" s="1" t="s">
        <v>251</v>
      </c>
      <c r="BG120" s="2" t="str">
        <f>IFERROR(__xludf.DUMMYFUNCTION("GOOGLETRANSLATE(BF:BF, ""en"", ""te"")"),"అమెరికా నేవీ")</f>
        <v>అమెరికా నేవీ</v>
      </c>
      <c r="BH120" s="1" t="s">
        <v>252</v>
      </c>
      <c r="BS120" s="1" t="s">
        <v>2538</v>
      </c>
      <c r="CC120" s="1" t="s">
        <v>2539</v>
      </c>
      <c r="CD120" s="1" t="str">
        <f>IFERROR(__xludf.DUMMYFUNCTION("GOOGLETRANSLATE(CC:CC, ""en"", ""te"")"),"1 x .30-క్యాలిబర్ మెషిన్ గన్, స్థిర ఫార్వర్డ్-ఫైరింగ్ కౌల్ మౌంటు 1 x .30-క్యాలిబర్ మెషిన్ గన్, వెనుక కాక్‌పిట్‌లో సౌకర్యవంతమైన మౌంటు")</f>
        <v>1 x .30-క్యాలిబర్ మెషిన్ గన్, స్థిర ఫార్వర్డ్-ఫైరింగ్ కౌల్ మౌంటు 1 x .30-క్యాలిబర్ మెషిన్ గన్, వెనుక కాక్‌పిట్‌లో సౌకర్యవంతమైన మౌంటు</v>
      </c>
      <c r="CE120" s="1" t="s">
        <v>2540</v>
      </c>
      <c r="CF120" s="1" t="str">
        <f>IFERROR(__xludf.DUMMYFUNCTION("GOOGLETRANSLATE(CE:CE, ""en"", ""te"")"),"500 పౌండ్లు (230 కిలోలు) బాహ్య")</f>
        <v>500 పౌండ్లు (230 కిలోలు) బాహ్య</v>
      </c>
      <c r="DJ120" s="1" t="s">
        <v>2541</v>
      </c>
    </row>
    <row r="121">
      <c r="A121" s="1" t="s">
        <v>2542</v>
      </c>
      <c r="B121" s="1" t="str">
        <f>IFERROR(__xludf.DUMMYFUNCTION("GOOGLETRANSLATE(A:A, ""en"", ""te"")"),"నాసా పరేసెవ్")</f>
        <v>నాసా పరేసెవ్</v>
      </c>
      <c r="C121" s="1" t="s">
        <v>2543</v>
      </c>
      <c r="D121" s="1" t="str">
        <f>IFERROR(__xludf.DUMMYFUNCTION("GOOGLETRANSLATE(C:C, ""en"", ""te"")"),"పరేసెవ్ (పారాగ్లైడర్ రీసెర్చ్ వెహికల్) నాసా ఇంజనీర్ ఫ్రాన్సిస్ రోగల్లో యొక్క కైట్-పారాచ్యూట్ అధ్యయనాల ఆధారంగా ఒక ప్రయోగాత్మక నాసా గ్లైడర్ విమానం. 1961 మరియు 1965 మధ్య, రోగల్లో వింగ్ యొక్క సామర్థ్యం (""పారావింగ్"" అని కూడా పిలుస్తారు) జెమిని స్పేస్ క్యాప్స"&amp;"ూల్ వంటి పేలోడ్‌ను అధిక ఎత్తు నుండి భూమికి సురక్షితంగా దిగజారిపోతుంది. [1] [2] పరేసెవ్ అనేది ఒక సాధారణ ఎయిర్‌ఫీల్డ్‌లో సురక్షితమైన ల్యాండింగ్ కోసం ఈ పారాచూట్-వింగ్‌ను ఎలా నియంత్రించాలో తెలుసుకోవడానికి ఉపయోగించే పరీక్షా వాహనం. పరేసెవ్ మరియు ర్యాన్ XV-8 ""ఫ"&amp;"్లయింగ్ జీప్"" విమానంలో ప్రచారం రోగల్లో యొక్క సౌకర్యవంతమైన వింగ్ ఎయిర్‌ఫాయిల్‌ను ఎలిమెంటరీ హాంగ్ గ్లైడర్‌లపై స్వీకరించడానికి అభిరుచి గల అభిరుచిని ప్రేరేపించింది. చరిత్రలో అత్యంత విజయవంతమైన హాంగ్ గ్లైడర్ కాన్ఫిగరేషన్‌కు దారితీసింది. నాసా సౌకర్యవంతమైన రోగల్"&amp;"లో వింగ్‌తో ప్రయోగాలు చేసింది, వారు పారావింగ్ అని పేరు మార్చారు, దీనిని జెమిని స్పేస్ క్యాప్సూల్స్ కోసం రికవరీ సిస్టమ్‌గా అంచనా వేయడానికి మరియు ఉపయోగించిన సాటర్న్ రాకెట్ దశల పునరుద్ధరణ. [3] [4] పాల్ బైకిల్ ఆదేశాల ప్రకారం, 1961-1962లో నాసా ఇంజనీర్ చార్లెస్"&amp;" రిచర్డ్ పరేసెవ్‌లో ఉపయోగించే నాలుగు-ట్యూబ్ రోగల్లో వింగ్‌ను రూపొందించారు. పరేసెవ్ సిరీస్‌లో వింగ్ కాన్ఫిగరేషన్‌లు ఉన్నాయి, ఇవి ముక్కు ప్లేట్ నుండి సులభంగా రవాణా కోసం పటిష్టంగా ముడుచుకోవు, ప్రారంభంలో ఒక వస్త్రం ప్రయాణాన్ని మరియు తరువాత డాక్రాన్లో ఒకటి. 19"&amp;"50 ల చివరలో నాసా అభివృద్ధి చేసిన Qlllllll డేటా చార్లెస్ రిచర్డ్ టీం మరియు ఫ్లీప్‌ను ఉత్పత్తి చేసిన వేరే ర్యాన్ ఏరోనాటికల్ బృందాన్ని తినిపించింది. పరేసెవ్ ఒక కాంటిలివెర్డ్ క్రాస్-బీమ్‌ను ఉపయోగించాడు కాని కింగ్‌పోస్ట్‌ను ఉపయోగించలేదు. [5] 1960 ల ప్రారంభంలో "&amp;"పాల్గొన్న ""పారాగ్లైడర్"" ఈ రోజు పారాగ్లైడింగ్‌లో ఉపయోగించిన వేరే ఎయిర్‌ఫాయిల్ భావన అని గమనించండి. పరేసెవ్ 1 ఎ మరియు 1 బి శక్తివంతమైనవి; ""ఫ్యూజ్‌లేజ్"" అనేది వెల్డెడ్ SAE 4130 స్టీల్ ట్యూబింగ్‌తో కూడిన ఓపెన్ ఫ్రేమ్‌వర్క్, దీనిని ""స్పేస్ ఫ్రేమ్"" అని పిల"&amp;"ుస్తారు. వింగ్ యొక్క కీల్ మరియు ప్రముఖ అంచులు 2.5-అంగుళాల వ్యాసం (64 మిమీ) అల్యూమినియం గొట్టాలతో నిర్మించబడ్డాయి. ప్రముఖ ఎడ్జ్ స్వీప్‌బ్యాక్ కోణం 50 డిగ్రీల వద్ద కఠినమైన స్ప్రెడర్ బార్ ద్వారా జరిగింది. ఉక్కు గొట్టాల నుండి కల్పించబడిన అదనపు రెక్కల నిర్మాణం"&amp;" నిర్మాణ సమగ్రతను నిర్ధారిస్తుంది. ప్రాథమిక వాహనం పారాగ్లైడర్ యొక్క రెక్క పై నుండి భూమికి 11 అడుగుల (3.4 మీ) ఎత్తులో ఉంది, అయితే సెంటర్ కీల్ యొక్క పొడవు 15 అడుగులు (4.6 మీ). మొత్తం బరువు సుమారు 600 ఎల్బి (270 కిలోలు) [6] ఆగస్టు 24, 1962 న, ప్రాజెక్ట్ ప్రా"&amp;"రంభించిన ఏడు వారాల తరువాత, బృందం పరేసెవ్ 1 ను విడుదల చేసింది. [7] రెక్క యొక్క స్థానానికి సంబంధించి టెన్షిగా హంగ్ పైలట్ మరియు ఫ్యూజ్‌లేజ్ యొక్క ద్రవ్యరాశిని తరలించడం ద్వారా పరేసెవ్ నియంత్రించబడింది. ఈ మాస్-షిఫ్టింగ్ రెక్కను పక్క నుండి మరియు ముందు మరియు వెన"&amp;"ుకకు వంచి, పైలట్ ముందు కంట్రోల్ స్టిక్ ఉపయోగించి పై వింగ్ నుండి దిగింది. మరొక వెర్షన్ అదే వెయిట్-షిఫ్ట్ నియంత్రణను కేబుల్స్ ద్వారా అనువదించింది. [1] పరేసెవ్‌ను గాలిపటం మోడ్‌లో లాగడంతో, ఇది సాధారణంగా భూమి నుండి సుమారు 46 mph (74 km/h) వద్ద పెరిగింది మరియు "&amp;"గరిష్టంగా 65 mph (105 కిమీ/గం) గాలి వేగం కలిగి ఉంటుంది. . 1920 లలో జార్జ్ స్ప్రాట్ యొక్క ""కంట్రోల్ వింగ్"" ద్వారా. [11] పరేసెవ్ ఫ్లైట్ లాగ్ (గమనిక - ఈ లాగ్ అసంపూర్ణంగా ఉంది *): పరేసవ్ ఫ్లైట్ లాగ్ * పరేసవ్ వాహనం 341 సార్లు ఎగిరింది. థాంప్సన్ అనేక గ్రౌండ్-"&amp;"టౌ విమానాలను తయారు చేసి 60 ఎయిర్-టౌ విమానాలను పొందాడు. పీటర్సన్ 228 విమానాలు (గ్రౌండ్ మరియు ఎయిర్ టోస్) గా పేర్కొన్నాడు. గ్రిస్సోమ్ రెండు విమానాలు చేశాడు. ఛాంపిన్ నాలుగు విమానాలు చేసింది. క్లైవర్ కనీసం ఎనిమిది విమానాలు చేశాడు. ఆర్మ్‌స్ట్రాంగ్, హెట్జెల్ మర"&amp;"ియు స్లేటన్ ఎన్నిసార్లు ఎగిరిపోయారో తెలియదు. 1962 నుండి 1964 వరకు నడిచిన ఒక పరిశోధనా కార్యక్రమంలో పరేసెవ్ దాదాపు 350 విమానాలను పూర్తి చేసింది. [13] [14] పరేసెవ్ 1 ఎ, 1 బి, 1 సి యొక్క పూర్తిగా సౌకర్యవంతమైన పారావింగ్ లేదా ట్యూబ్-గట్టిపడిన పారాగ్లైడర్‌ను ఉపయ"&amp;"ోగించడం, అంతరిక్ష నౌక రికవరీకి ప్రత్యామ్నాయంగా 1 సి చాలా నమ్మదగనిదిగా భావించబడింది, కాబట్టి నీటి ల్యాండింగ్‌ల కోసం గుండ్రని పారాచూట్లు బదులుగా ఉపయోగించబడ్డాయి. పరేసెవ్ మరియు ర్యాన్ XV-8 వంటి ఇతర సౌకర్యవంతమైన-వింగ్ ప్రాజెక్టులు 1965 న నాసా నిధులు సమకూర్చడం"&amp;" మానేశాయి. రోగల్లో హాంగ్ గ్లైడింగ్‌తో సహా వినోద అనువర్తనాల గురించి వ్రాసిన, మోడల్ చేసిన మరియు మాట్లాడినప్పటికీ, నాసాతో సహా రోగల్లో యొక్క కుటుంబాన్ని వర్తించే వ్యాపారంలో లేదు గాలిపటం, హాంగ్ గ్లైడర్లు మరియు శక్తితో కూడిన తేలికపాటి విమానాలు వంటి వ్యక్తిగత వి"&amp;"మానాలకు ఎయిర్‌ఫాయిల్స్. పరేసెవ్ ప్రదర్శన కోసం వాషింగ్టన్, డి.సి.లో ఉన్న స్మిత్సోనియన్ నేషనల్ ఎయిర్ అండ్ స్పేస్ మ్యూజియంకు బదిలీ చేయబడింది. [సైటేషన్ అవసరం] నుండి డేటా సాధారణ లక్షణాల పనితీరు")</f>
        <v>పరేసెవ్ (పారాగ్లైడర్ రీసెర్చ్ వెహికల్) నాసా ఇంజనీర్ ఫ్రాన్సిస్ రోగల్లో యొక్క కైట్-పారాచ్యూట్ అధ్యయనాల ఆధారంగా ఒక ప్రయోగాత్మక నాసా గ్లైడర్ విమానం. 1961 మరియు 1965 మధ్య, రోగల్లో వింగ్ యొక్క సామర్థ్యం ("పారావింగ్" అని కూడా పిలుస్తారు) జెమిని స్పేస్ క్యాప్సూల్ వంటి పేలోడ్‌ను అధిక ఎత్తు నుండి భూమికి సురక్షితంగా దిగజారిపోతుంది. [1] [2] పరేసెవ్ అనేది ఒక సాధారణ ఎయిర్‌ఫీల్డ్‌లో సురక్షితమైన ల్యాండింగ్ కోసం ఈ పారాచూట్-వింగ్‌ను ఎలా నియంత్రించాలో తెలుసుకోవడానికి ఉపయోగించే పరీక్షా వాహనం. పరేసెవ్ మరియు ర్యాన్ XV-8 "ఫ్లయింగ్ జీప్" విమానంలో ప్రచారం రోగల్లో యొక్క సౌకర్యవంతమైన వింగ్ ఎయిర్‌ఫాయిల్‌ను ఎలిమెంటరీ హాంగ్ గ్లైడర్‌లపై స్వీకరించడానికి అభిరుచి గల అభిరుచిని ప్రేరేపించింది. చరిత్రలో అత్యంత విజయవంతమైన హాంగ్ గ్లైడర్ కాన్ఫిగరేషన్‌కు దారితీసింది. నాసా సౌకర్యవంతమైన రోగల్లో వింగ్‌తో ప్రయోగాలు చేసింది, వారు పారావింగ్ అని పేరు మార్చారు, దీనిని జెమిని స్పేస్ క్యాప్సూల్స్ కోసం రికవరీ సిస్టమ్‌గా అంచనా వేయడానికి మరియు ఉపయోగించిన సాటర్న్ రాకెట్ దశల పునరుద్ధరణ. [3] [4] పాల్ బైకిల్ ఆదేశాల ప్రకారం, 1961-1962లో నాసా ఇంజనీర్ చార్లెస్ రిచర్డ్ పరేసెవ్‌లో ఉపయోగించే నాలుగు-ట్యూబ్ రోగల్లో వింగ్‌ను రూపొందించారు. పరేసెవ్ సిరీస్‌లో వింగ్ కాన్ఫిగరేషన్‌లు ఉన్నాయి, ఇవి ముక్కు ప్లేట్ నుండి సులభంగా రవాణా కోసం పటిష్టంగా ముడుచుకోవు, ప్రారంభంలో ఒక వస్త్రం ప్రయాణాన్ని మరియు తరువాత డాక్రాన్లో ఒకటి. 1950 ల చివరలో నాసా అభివృద్ధి చేసిన Qlllllll డేటా చార్లెస్ రిచర్డ్ టీం మరియు ఫ్లీప్‌ను ఉత్పత్తి చేసిన వేరే ర్యాన్ ఏరోనాటికల్ బృందాన్ని తినిపించింది. పరేసెవ్ ఒక కాంటిలివెర్డ్ క్రాస్-బీమ్‌ను ఉపయోగించాడు కాని కింగ్‌పోస్ట్‌ను ఉపయోగించలేదు. [5] 1960 ల ప్రారంభంలో పాల్గొన్న "పారాగ్లైడర్" ఈ రోజు పారాగ్లైడింగ్‌లో ఉపయోగించిన వేరే ఎయిర్‌ఫాయిల్ భావన అని గమనించండి. పరేసెవ్ 1 ఎ మరియు 1 బి శక్తివంతమైనవి; "ఫ్యూజ్‌లేజ్" అనేది వెల్డెడ్ SAE 4130 స్టీల్ ట్యూబింగ్‌తో కూడిన ఓపెన్ ఫ్రేమ్‌వర్క్, దీనిని "స్పేస్ ఫ్రేమ్" అని పిలుస్తారు. వింగ్ యొక్క కీల్ మరియు ప్రముఖ అంచులు 2.5-అంగుళాల వ్యాసం (64 మిమీ) అల్యూమినియం గొట్టాలతో నిర్మించబడ్డాయి. ప్రముఖ ఎడ్జ్ స్వీప్‌బ్యాక్ కోణం 50 డిగ్రీల వద్ద కఠినమైన స్ప్రెడర్ బార్ ద్వారా జరిగింది. ఉక్కు గొట్టాల నుండి కల్పించబడిన అదనపు రెక్కల నిర్మాణం నిర్మాణ సమగ్రతను నిర్ధారిస్తుంది. ప్రాథమిక వాహనం పారాగ్లైడర్ యొక్క రెక్క పై నుండి భూమికి 11 అడుగుల (3.4 మీ) ఎత్తులో ఉంది, అయితే సెంటర్ కీల్ యొక్క పొడవు 15 అడుగులు (4.6 మీ). మొత్తం బరువు సుమారు 600 ఎల్బి (270 కిలోలు) [6] ఆగస్టు 24, 1962 న, ప్రాజెక్ట్ ప్రారంభించిన ఏడు వారాల తరువాత, బృందం పరేసెవ్ 1 ను విడుదల చేసింది. [7] రెక్క యొక్క స్థానానికి సంబంధించి టెన్షిగా హంగ్ పైలట్ మరియు ఫ్యూజ్‌లేజ్ యొక్క ద్రవ్యరాశిని తరలించడం ద్వారా పరేసెవ్ నియంత్రించబడింది. ఈ మాస్-షిఫ్టింగ్ రెక్కను పక్క నుండి మరియు ముందు మరియు వెనుకకు వంచి, పైలట్ ముందు కంట్రోల్ స్టిక్ ఉపయోగించి పై వింగ్ నుండి దిగింది. మరొక వెర్షన్ అదే వెయిట్-షిఫ్ట్ నియంత్రణను కేబుల్స్ ద్వారా అనువదించింది. [1] పరేసెవ్‌ను గాలిపటం మోడ్‌లో లాగడంతో, ఇది సాధారణంగా భూమి నుండి సుమారు 46 mph (74 km/h) వద్ద పెరిగింది మరియు గరిష్టంగా 65 mph (105 కిమీ/గం) గాలి వేగం కలిగి ఉంటుంది. . 1920 లలో జార్జ్ స్ప్రాట్ యొక్క "కంట్రోల్ వింగ్" ద్వారా. [11] పరేసెవ్ ఫ్లైట్ లాగ్ (గమనిక - ఈ లాగ్ అసంపూర్ణంగా ఉంది *): పరేసవ్ ఫ్లైట్ లాగ్ * పరేసవ్ వాహనం 341 సార్లు ఎగిరింది. థాంప్సన్ అనేక గ్రౌండ్-టౌ విమానాలను తయారు చేసి 60 ఎయిర్-టౌ విమానాలను పొందాడు. పీటర్సన్ 228 విమానాలు (గ్రౌండ్ మరియు ఎయిర్ టోస్) గా పేర్కొన్నాడు. గ్రిస్సోమ్ రెండు విమానాలు చేశాడు. ఛాంపిన్ నాలుగు విమానాలు చేసింది. క్లైవర్ కనీసం ఎనిమిది విమానాలు చేశాడు. ఆర్మ్‌స్ట్రాంగ్, హెట్జెల్ మరియు స్లేటన్ ఎన్నిసార్లు ఎగిరిపోయారో తెలియదు. 1962 నుండి 1964 వరకు నడిచిన ఒక పరిశోధనా కార్యక్రమంలో పరేసెవ్ దాదాపు 350 విమానాలను పూర్తి చేసింది. [13] [14] పరేసెవ్ 1 ఎ, 1 బి, 1 సి యొక్క పూర్తిగా సౌకర్యవంతమైన పారావింగ్ లేదా ట్యూబ్-గట్టిపడిన పారాగ్లైడర్‌ను ఉపయోగించడం, అంతరిక్ష నౌక రికవరీకి ప్రత్యామ్నాయంగా 1 సి చాలా నమ్మదగనిదిగా భావించబడింది, కాబట్టి నీటి ల్యాండింగ్‌ల కోసం గుండ్రని పారాచూట్లు బదులుగా ఉపయోగించబడ్డాయి. పరేసెవ్ మరియు ర్యాన్ XV-8 వంటి ఇతర సౌకర్యవంతమైన-వింగ్ ప్రాజెక్టులు 1965 న నాసా నిధులు సమకూర్చడం మానేశాయి. రోగల్లో హాంగ్ గ్లైడింగ్‌తో సహా వినోద అనువర్తనాల గురించి వ్రాసిన, మోడల్ చేసిన మరియు మాట్లాడినప్పటికీ, నాసాతో సహా రోగల్లో యొక్క కుటుంబాన్ని వర్తించే వ్యాపారంలో లేదు గాలిపటం, హాంగ్ గ్లైడర్లు మరియు శక్తితో కూడిన తేలికపాటి విమానాలు వంటి వ్యక్తిగత విమానాలకు ఎయిర్‌ఫాయిల్స్. పరేసెవ్ ప్రదర్శన కోసం వాషింగ్టన్, డి.సి.లో ఉన్న స్మిత్సోనియన్ నేషనల్ ఎయిర్ అండ్ స్పేస్ మ్యూజియంకు బదిలీ చేయబడింది. [సైటేషన్ అవసరం] నుండి డేటా సాధారణ లక్షణాల పనితీరు</v>
      </c>
      <c r="E121" s="1" t="s">
        <v>2544</v>
      </c>
      <c r="F121" s="1" t="s">
        <v>2545</v>
      </c>
      <c r="G121" s="1" t="str">
        <f>IFERROR(__xludf.DUMMYFUNCTION("GOOGLETRANSLATE(F:F, ""en"", ""te"")"),"ఫ్లెక్సిబుల్-వింగ్ రీసెర్చ్ గ్లైడర్")</f>
        <v>ఫ్లెక్సిబుల్-వింగ్ రీసెర్చ్ గ్లైడర్</v>
      </c>
      <c r="J121" s="1" t="str">
        <f>IFERROR(__xludf.DUMMYFUNCTION("GOOGLETRANSLATE(I:I, ""en"", ""te"")"),"#VALUE!")</f>
        <v>#VALUE!</v>
      </c>
      <c r="L121" s="1" t="s">
        <v>2546</v>
      </c>
      <c r="M121" s="1" t="str">
        <f>IFERROR(__xludf.DUMMYFUNCTION("GOOGLETRANSLATE(L:L, ""en"", ""te"")"),"నాసా")</f>
        <v>నాసా</v>
      </c>
      <c r="N121" s="3" t="s">
        <v>2547</v>
      </c>
      <c r="R121" s="1">
        <v>1962.0</v>
      </c>
      <c r="T121" s="1" t="s">
        <v>2548</v>
      </c>
      <c r="V121" s="1" t="s">
        <v>2549</v>
      </c>
      <c r="W121" s="1" t="s">
        <v>2550</v>
      </c>
      <c r="Y121" s="1" t="s">
        <v>969</v>
      </c>
      <c r="Z121" s="1" t="s">
        <v>2551</v>
      </c>
      <c r="AH121" s="1" t="s">
        <v>2552</v>
      </c>
      <c r="BB121" s="1" t="s">
        <v>2553</v>
      </c>
      <c r="BG121" s="2"/>
    </row>
    <row r="122">
      <c r="A122" s="1" t="s">
        <v>2554</v>
      </c>
      <c r="B122" s="1" t="str">
        <f>IFERROR(__xludf.DUMMYFUNCTION("GOOGLETRANSLATE(A:A, ""en"", ""te"")"),"AVIA BH-11")</f>
        <v>AVIA BH-11</v>
      </c>
      <c r="C122" s="1" t="s">
        <v>2555</v>
      </c>
      <c r="D122" s="1" t="str">
        <f>IFERROR(__xludf.DUMMYFUNCTION("GOOGLETRANSLATE(C:C, ""en"", ""te"")"),"AVIA BH-11 అనేది 1923 లో చెకోస్లోవేకియాలో నిర్మించిన రెండు-సీట్ల క్రీడా విమానం, ఇది ఏవియా BH-9 యొక్క మరింత అభివృద్ధి. ఈ సంస్కరణలోని ప్రధాన మార్పులలో ఫార్వర్డ్ ఫ్యూజ్‌లేజ్ యొక్క పున es రూపకల్పన ఉంది. 15 ఉదాహరణలను చెకోస్లోవేకియన్ సైన్యం శిక్షకులు మరియు సాధా"&amp;"రణ అనుసంధాన విమానం అని ఆదేశించింది మరియు సైనిక హోదా B.11 కింద పనిచేసింది. బిహెచ్ -11 మొదటిసారి ఎగిరిన ఆరు సంవత్సరాల తరువాత, సివిల్ మార్కెట్ కోసం బిహెచ్ -11 బి యాంటెలోప్ గా కొత్త వెర్షన్ నిర్మించబడింది. ఇది అసలు వాల్టర్ NZ 60 45 kW (60 హెచ్‌పి) ఇంజిన్‌ను 6"&amp;"3 కిలోవాట్ల (85 హెచ్‌పి) వాల్టర్ వెగాతో భర్తీ చేసింది మరియు ఇది తక్కువ సంఖ్యలో నిర్మించబడింది. మరింత అభివృద్ధిగా, BH-11 సి అసలు ఇంజిన్‌ను నిలుపుకుంది, కాని వింగ్స్పాన్ 1.4 మీ (4 అడుగుల 6 అంగుళాలు) పెరిగింది. Kbely లోని ప్రేగ్ ఏవియేషన్ మ్యూజియంలో BH-11A మర"&amp;"ియు BH-11C సంరక్షించబడతాయి. జేన్ యొక్క అన్ని ప్రపంచ విమానాల నుండి డేటా 1928 [1] సాధారణ లక్షణాలు పనితీరు సంబంధిత అభివృద్ధి")</f>
        <v>AVIA BH-11 అనేది 1923 లో చెకోస్లోవేకియాలో నిర్మించిన రెండు-సీట్ల క్రీడా విమానం, ఇది ఏవియా BH-9 యొక్క మరింత అభివృద్ధి. ఈ సంస్కరణలోని ప్రధాన మార్పులలో ఫార్వర్డ్ ఫ్యూజ్‌లేజ్ యొక్క పున es రూపకల్పన ఉంది. 15 ఉదాహరణలను చెకోస్లోవేకియన్ సైన్యం శిక్షకులు మరియు సాధారణ అనుసంధాన విమానం అని ఆదేశించింది మరియు సైనిక హోదా B.11 కింద పనిచేసింది. బిహెచ్ -11 మొదటిసారి ఎగిరిన ఆరు సంవత్సరాల తరువాత, సివిల్ మార్కెట్ కోసం బిహెచ్ -11 బి యాంటెలోప్ గా కొత్త వెర్షన్ నిర్మించబడింది. ఇది అసలు వాల్టర్ NZ 60 45 kW (60 హెచ్‌పి) ఇంజిన్‌ను 63 కిలోవాట్ల (85 హెచ్‌పి) వాల్టర్ వెగాతో భర్తీ చేసింది మరియు ఇది తక్కువ సంఖ్యలో నిర్మించబడింది. మరింత అభివృద్ధిగా, BH-11 సి అసలు ఇంజిన్‌ను నిలుపుకుంది, కాని వింగ్స్పాన్ 1.4 మీ (4 అడుగుల 6 అంగుళాలు) పెరిగింది. Kbely లోని ప్రేగ్ ఏవియేషన్ మ్యూజియంలో BH-11A మరియు BH-11C సంరక్షించబడతాయి. జేన్ యొక్క అన్ని ప్రపంచ విమానాల నుండి డేటా 1928 [1] సాధారణ లక్షణాలు పనితీరు సంబంధిత అభివృద్ధి</v>
      </c>
      <c r="E122" s="1" t="s">
        <v>2556</v>
      </c>
      <c r="F122" s="1" t="s">
        <v>2557</v>
      </c>
      <c r="G122" s="1" t="str">
        <f>IFERROR(__xludf.DUMMYFUNCTION("GOOGLETRANSLATE(F:F, ""en"", ""te"")"),"స్పోర్ట్స్ ప్లేన్")</f>
        <v>స్పోర్ట్స్ ప్లేన్</v>
      </c>
      <c r="J122" s="1" t="str">
        <f>IFERROR(__xludf.DUMMYFUNCTION("GOOGLETRANSLATE(I:I, ""en"", ""te"")"),"#VALUE!")</f>
        <v>#VALUE!</v>
      </c>
      <c r="L122" s="1" t="s">
        <v>1314</v>
      </c>
      <c r="M122" s="1" t="str">
        <f>IFERROR(__xludf.DUMMYFUNCTION("GOOGLETRANSLATE(L:L, ""en"", ""te"")"),"ఏవియా")</f>
        <v>ఏవియా</v>
      </c>
      <c r="N122" s="3" t="s">
        <v>1315</v>
      </c>
      <c r="O122" s="1" t="s">
        <v>1316</v>
      </c>
      <c r="P122" s="1" t="str">
        <f>IFERROR(__xludf.DUMMYFUNCTION("GOOGLETRANSLATE(O:O, ""en"", ""te"")"),"పావెల్ బెనెస్ మరియు మిరోస్లావ్ హజ్న్")</f>
        <v>పావెల్ బెనెస్ మరియు మిరోస్లావ్ హజ్న్</v>
      </c>
      <c r="Q122" s="1" t="s">
        <v>1317</v>
      </c>
      <c r="R122" s="1">
        <v>1923.0</v>
      </c>
      <c r="S122" s="1" t="s">
        <v>2558</v>
      </c>
      <c r="V122" s="1">
        <v>2.0</v>
      </c>
      <c r="W122" s="1" t="s">
        <v>2559</v>
      </c>
      <c r="X122" s="1" t="s">
        <v>2560</v>
      </c>
      <c r="Y122" s="1" t="s">
        <v>2561</v>
      </c>
      <c r="Z122" s="1" t="s">
        <v>2562</v>
      </c>
      <c r="AG122" s="1" t="s">
        <v>2563</v>
      </c>
      <c r="AH122" s="1" t="s">
        <v>2564</v>
      </c>
      <c r="AM122" s="1" t="s">
        <v>2565</v>
      </c>
      <c r="AW122" s="1" t="s">
        <v>2566</v>
      </c>
      <c r="AX122" s="1" t="s">
        <v>2567</v>
      </c>
      <c r="AY122" s="1" t="str">
        <f>IFERROR(__xludf.DUMMYFUNCTION("GOOGLETRANSLATE(AX:AX, ""en"", ""te"")"),"1 × వాల్టర్ NZ 60 5-సిలిండర్ ఎయిర్-కూల్డ్ రేడియల్ పిస్టన్ ఇంజిన్, 45 kW (60 HP)")</f>
        <v>1 × వాల్టర్ NZ 60 5-సిలిండర్ ఎయిర్-కూల్డ్ రేడియల్ పిస్టన్ ఇంజిన్, 45 kW (60 HP)</v>
      </c>
      <c r="AZ122" s="1" t="s">
        <v>297</v>
      </c>
      <c r="BA122" s="1" t="str">
        <f>IFERROR(__xludf.DUMMYFUNCTION("GOOGLETRANSLATE(AZ:AZ, ""en"", ""te"")"),"2-బ్లేడెడ్ ఫిక్స్‌డ్-పిచ్ ప్రొపెల్లర్")</f>
        <v>2-బ్లేడెడ్ ఫిక్స్‌డ్-పిచ్ ప్రొపెల్లర్</v>
      </c>
      <c r="BB122" s="1" t="s">
        <v>2568</v>
      </c>
      <c r="BD122" s="1" t="s">
        <v>2569</v>
      </c>
      <c r="BE122" s="1" t="s">
        <v>2570</v>
      </c>
      <c r="BG122" s="2"/>
      <c r="BI122" s="1" t="s">
        <v>2571</v>
      </c>
      <c r="BJ122" s="1" t="s">
        <v>2572</v>
      </c>
      <c r="BR122" s="1" t="s">
        <v>2573</v>
      </c>
      <c r="BS122" s="1" t="s">
        <v>2574</v>
      </c>
      <c r="BT122" s="1" t="s">
        <v>2575</v>
      </c>
      <c r="CB122" s="1" t="s">
        <v>2576</v>
      </c>
    </row>
    <row r="123">
      <c r="A123" s="1" t="s">
        <v>2577</v>
      </c>
      <c r="B123" s="1" t="str">
        <f>IFERROR(__xludf.DUMMYFUNCTION("GOOGLETRANSLATE(A:A, ""en"", ""te"")"),"సాగేమ్ క్రీసెరెల్")</f>
        <v>సాగేమ్ క్రీసెరెల్</v>
      </c>
      <c r="C123" s="1" t="s">
        <v>2578</v>
      </c>
      <c r="D123" s="1" t="str">
        <f>IFERROR(__xludf.DUMMYFUNCTION("GOOGLETRANSLATE(C:C, ""en"", ""te"")"),"సాగేమ్ క్రెసెరెల్ (""కెస్ట్రెల్"") అనేది మెగ్గిట్ బాన్షీ టార్గెట్ డ్రోన్ ఆధారంగా 1990 లలో ఫ్రాన్స్‌లో అభివృద్ధి చేసిన నిఘా యుఎవి. దీని కాన్ఫిగరేషన్ బాన్షీ మాదిరిగానే ఉంటుంది, పషర్ ప్రాప్, క్లిప్డ్ డెల్టా వింగ్ మరియు ఒకే టెయిల్‌ఫిన్‌తో, దాని ఫ్యూజ్‌లేజ్ మర"&amp;"ింత స్థూపాకారంగా ఉంటుంది. ఇది 20 కిలోవాట్ల (26 హెచ్‌పి) రోటరీ ఇంజిన్‌తో పనిచేస్తుంది మరియు పారాచూట్ మరియు ఎయిర్‌బ్యాగ్‌లచే తిరిగి పొందబడిన ల్యాండింగ్ గేర్ లేదు. 1999 లో కొసావో ప్రచారంలో క్రెసెరెల్ ఫ్రెంచ్ దళాలతో చర్యను చూసింది. మెగ్గిట్ స్పెక్టర్ మాదిరిగా"&amp;"నే చాలా యంత్రాన్ని విక్రయిస్తాడు. సాధారణ లక్షణాల పనితీరు ఈ వ్యాసంలో పబ్లిక్ డొమైన్‌లో ఉన్న గ్రెగ్ గోబెల్ రాసిన వెబ్ వ్యాసం నుండి మానవరహిత వైమానిక వాహనాల నుండి మొదట వచ్చిన పదార్థం ఉంది. 1990 ల విమానంలో ఈ వ్యాసం ఒక స్టబ్. వికీపీడియా విస్తరించడం ద్వారా మీరు "&amp;"సహాయపడవచ్చు.")</f>
        <v>సాగేమ్ క్రెసెరెల్ ("కెస్ట్రెల్") అనేది మెగ్గిట్ బాన్షీ టార్గెట్ డ్రోన్ ఆధారంగా 1990 లలో ఫ్రాన్స్‌లో అభివృద్ధి చేసిన నిఘా యుఎవి. దీని కాన్ఫిగరేషన్ బాన్షీ మాదిరిగానే ఉంటుంది, పషర్ ప్రాప్, క్లిప్డ్ డెల్టా వింగ్ మరియు ఒకే టెయిల్‌ఫిన్‌తో, దాని ఫ్యూజ్‌లేజ్ మరింత స్థూపాకారంగా ఉంటుంది. ఇది 20 కిలోవాట్ల (26 హెచ్‌పి) రోటరీ ఇంజిన్‌తో పనిచేస్తుంది మరియు పారాచూట్ మరియు ఎయిర్‌బ్యాగ్‌లచే తిరిగి పొందబడిన ల్యాండింగ్ గేర్ లేదు. 1999 లో కొసావో ప్రచారంలో క్రెసెరెల్ ఫ్రెంచ్ దళాలతో చర్యను చూసింది. మెగ్గిట్ స్పెక్టర్ మాదిరిగానే చాలా యంత్రాన్ని విక్రయిస్తాడు. సాధారణ లక్షణాల పనితీరు ఈ వ్యాసంలో పబ్లిక్ డొమైన్‌లో ఉన్న గ్రెగ్ గోబెల్ రాసిన వెబ్ వ్యాసం నుండి మానవరహిత వైమానిక వాహనాల నుండి మొదట వచ్చిన పదార్థం ఉంది. 1990 ల విమానంలో ఈ వ్యాసం ఒక స్టబ్. వికీపీడియా విస్తరించడం ద్వారా మీరు సహాయపడవచ్చు.</v>
      </c>
      <c r="E123" s="1" t="s">
        <v>2579</v>
      </c>
      <c r="F123" s="1" t="s">
        <v>2580</v>
      </c>
      <c r="G123" s="1" t="str">
        <f>IFERROR(__xludf.DUMMYFUNCTION("GOOGLETRANSLATE(F:F, ""en"", ""te"")"),"పున onna పరిశీలన UAV")</f>
        <v>పున onna పరిశీలన UAV</v>
      </c>
      <c r="H123" s="1" t="s">
        <v>2581</v>
      </c>
      <c r="I123" s="1" t="s">
        <v>422</v>
      </c>
      <c r="J123" s="1" t="str">
        <f>IFERROR(__xludf.DUMMYFUNCTION("GOOGLETRANSLATE(I:I, ""en"", ""te"")"),"ఫ్రాన్స్")</f>
        <v>ఫ్రాన్స్</v>
      </c>
      <c r="K123" s="3" t="s">
        <v>423</v>
      </c>
      <c r="L123" s="1" t="s">
        <v>2582</v>
      </c>
      <c r="M123" s="1" t="str">
        <f>IFERROR(__xludf.DUMMYFUNCTION("GOOGLETRANSLATE(L:L, ""en"", ""te"")"),"సాగేమ్")</f>
        <v>సాగేమ్</v>
      </c>
      <c r="N123" s="3" t="s">
        <v>2583</v>
      </c>
      <c r="V123" s="1" t="s">
        <v>315</v>
      </c>
      <c r="W123" s="1" t="s">
        <v>2584</v>
      </c>
      <c r="X123" s="1" t="s">
        <v>2585</v>
      </c>
      <c r="Y123" s="1" t="s">
        <v>2586</v>
      </c>
      <c r="AH123" s="1" t="s">
        <v>2587</v>
      </c>
      <c r="AX123" s="1" t="s">
        <v>2588</v>
      </c>
      <c r="AY123" s="1" t="str">
        <f>IFERROR(__xludf.DUMMYFUNCTION("GOOGLETRANSLATE(AX:AX, ""en"", ""te"")"),"1 × WAE 342, 19 kW (25 HP)")</f>
        <v>1 × WAE 342, 19 kW (25 HP)</v>
      </c>
      <c r="BB123" s="1" t="s">
        <v>1976</v>
      </c>
      <c r="BD123" s="1" t="s">
        <v>2589</v>
      </c>
      <c r="BG123" s="2"/>
      <c r="BI123" s="1" t="s">
        <v>2590</v>
      </c>
      <c r="BJ123" s="1" t="s">
        <v>2591</v>
      </c>
      <c r="BZ123" s="1" t="s">
        <v>749</v>
      </c>
    </row>
    <row r="124">
      <c r="A124" s="1" t="s">
        <v>2592</v>
      </c>
      <c r="B124" s="1" t="str">
        <f>IFERROR(__xludf.DUMMYFUNCTION("GOOGLETRANSLATE(A:A, ""en"", ""te"")"),"కవాసాకి కి -3")</f>
        <v>కవాసాకి కి -3</v>
      </c>
      <c r="C124" s="1" t="s">
        <v>2593</v>
      </c>
      <c r="D124" s="1" t="str">
        <f>IFERROR(__xludf.DUMMYFUNCTION("GOOGLETRANSLATE(C:C, ""en"", ""te"")"),"కవాసకి కి -3 (九三式 単軽 単軽 爆撃機 爆撃機 爆撃機 爆撃機 爆撃機 爆撃機 爆撃機 爆撃機 爆撃機 爆撃機 爆撃機 爆撃機 爆撃機 爆撃機 爆撃機 爆撃機 爆撃機 爆撃機 爆撃機 爆撃機, కైసాన్-షికి టాంకీ బకుగెకికి) కవాసాకి కోకాకి కోగీ కె.కె. 1930 లలో ఇంపీరియల్ జపనీస్ సైన్యం కోసం. ఇది ఇంపీరియల్ జపనీస్ ఆర్మీ వైమానిక దళం కోసం నిర్మించిన "&amp;"చివరి బిప్‌లేన్ బాంబర్ డిజైన్, మరియు రెండవ చైనా-జపనీస్ యుద్ధం యొక్క ప్రారంభ దశలలో మంచూకువో మరియు ఉత్తర చైనాలో పోరాట సేవలను చూసింది. KI-3 అనేది ఆల్-మెటల్ నిర్మాణం యొక్క బైప్‌లాన్ డిజైన్, తేలికపాటి మిశ్రమం మరియు ఫాబ్రిక్ కవరింగ్‌తో, అస్థిరమైన రెక్కలు మరియు "&amp;"స్థిరమైన, విభజించబడిన ల్యాండింగ్ గేర్‌తో. ఇది ఒక సూపర్ఛార్జ్డ్ 592 కిలోవాట్ గరిష్ట వేగం గంటకు 259 కిమీ (161 mph) మరియు గరిష్ట టేకాఫ్ బరువు 3,097 కిలోలు (6,828 పౌండ్లు). ఒక 7.7 మిమీ (.303 అంగుళాలు) మెషిన్ గన్ ముందుకు కాల్పులు జరపడానికి, ప్రొపెల్లర్‌తో సమకా"&amp;"లీకరించబడింది, మరియు మరొకటి సౌకర్యవంతమైన మౌంట్‌పై డోర్సలీగా అమర్చబడింది. గరిష్ట బాంబు లోడ్ 500 కిలోలు (1,100 పౌండ్లు). ఇద్దరు వ్యక్తి సిబ్బంది ఓపెన్ కాక్‌పిట్స్‌లో కూర్చున్నారు. KI-3 ఒక ప్రైవేట్ వెంచర్‌గా ఉద్భవించింది, ఇది అంకితమైన నిఘా విమానాన్ని అభివృద్"&amp;"ధి చేయడానికి కవాసాకి ప్రారంభించింది. తరువాతి ప్రోటోటైప్, KDA-6 ను నియమించారు, ఆ సమయంలో జపాన్‌లో పనిచేస్తున్న జర్మన్ ఇంజనీర్ డాక్టర్ రిచర్డ్ వోగ్ట్ రూపొందించారు. కవాసాకి యొక్క భవిష్యత్ చీఫ్ డిజైనర్ టేకో డోయి, ఈ ప్రాజెక్టుపై వోగ్ట్ సహాయకుడిగా పనిచేశారు; వోగ"&amp;"్ట్ తరువాత బ్లోమ్ &amp; వోస్ కోసం చీఫ్ డిజైనర్ అయ్యాడు. అద్భుతమైన పనితీరు మరియు నిర్వహణ లక్షణాలను కలిగి ఉన్నప్పటికీ, సేకరణ ప్రక్రియలో మార్పుల కారణంగా KDA-6 ను IJA తిరస్కరించింది. ఆర్మీ టైప్ 93 సింగిల్-ఇంజిన్ లైట్ బాంబర్‌ను నిర్మించడానికి కాంట్రాక్టును ప్రదానం"&amp;" చేసిన కవాసాకి ఈ కొత్త విమానం కోసం వారి రూపకల్పనలో KDA-6 యొక్క అనుభవాన్ని ఉపయోగించారు, దీనికి కిటాయ్ నంబర్ KI-3 ఇవ్వబడింది. [1] KDA-6 యొక్క పౌర సంస్కరణ, తరువాత నియమించబడిన కవాసాకి A-6 ను కమ్యూనికేషన్ విమానంగా ఉత్పత్తి చేసింది మరియు ప్లేట్ మరియు సిబ్బంది ర"&amp;"వాణా విధులను ముద్రించడానికి అసహి షింబున్ వార్తాపత్రిక విజయవంతంగా ఉపయోగించబడింది. [1] కవాసాకి కి -3 ను ఇతర జపనీస్ సైనిక విమాన నామకరణం వ్యవస్థ క్రింద ""ఆర్మీ టైప్ 93-1 సింగిల్-ఇంజిన్ లైట్ బాంబర్"" గా నియమించారు. ఇది ఏప్రిల్ 1933 లో ప్రయాణించింది [1] మరియు ప"&amp;"్రారంభంలో 6 వ మిశ్రమ ఎయిర్ రెజిమెంట్‌లో ఎంపిక చేసిన (కొరియా) లో కార్యాచరణ సేవలోకి ప్రవేశించింది. ఇది తరువాత మంచూకువో (మంచూరియా) మరియు ఉత్తర చైనాలో రెండవ చైనా-జపనీస్ యుద్ధం యొక్క ప్రారంభ దశలలో పోరాటంలో ఉపయోగించబడింది, ఇక్కడ భూ దళాలకు మద్దతు ఇవ్వడానికి దాని"&amp;" మంచి యుక్తిని ఉపయోగించుకోవచ్చు. ఇది కఠినమైన గ్రౌండ్-అటాక్ విమానం గా పరిగణించబడింది, కాని దాని ద్రవ-చల్లబడిన ఇంజిన్ యొక్క సూపర్ఛార్జర్ స్థిరమైన సమస్యల మూలం. [1] జపనీస్ విమానం నుండి డేటా, 1910-1941 [1] సాధారణ లక్షణాలు పనితీరు ఆయుధ సంబంధిత జాబితాలు")</f>
        <v>కవాసకి కి -3 (九三式 単軽 単軽 爆撃機 爆撃機 爆撃機 爆撃機 爆撃機 爆撃機 爆撃機 爆撃機 爆撃機 爆撃機 爆撃機 爆撃機 爆撃機 爆撃機 爆撃機 爆撃機 爆撃機 爆撃機 爆撃機 爆撃機, కైసాన్-షికి టాంకీ బకుగెకికి) కవాసాకి కోకాకి కోగీ కె.కె. 1930 లలో ఇంపీరియల్ జపనీస్ సైన్యం కోసం. ఇది ఇంపీరియల్ జపనీస్ ఆర్మీ వైమానిక దళం కోసం నిర్మించిన చివరి బిప్‌లేన్ బాంబర్ డిజైన్, మరియు రెండవ చైనా-జపనీస్ యుద్ధం యొక్క ప్రారంభ దశలలో మంచూకువో మరియు ఉత్తర చైనాలో పోరాట సేవలను చూసింది. KI-3 అనేది ఆల్-మెటల్ నిర్మాణం యొక్క బైప్‌లాన్ డిజైన్, తేలికపాటి మిశ్రమం మరియు ఫాబ్రిక్ కవరింగ్‌తో, అస్థిరమైన రెక్కలు మరియు స్థిరమైన, విభజించబడిన ల్యాండింగ్ గేర్‌తో. ఇది ఒక సూపర్ఛార్జ్డ్ 592 కిలోవాట్ గరిష్ట వేగం గంటకు 259 కిమీ (161 mph) మరియు గరిష్ట టేకాఫ్ బరువు 3,097 కిలోలు (6,828 పౌండ్లు). ఒక 7.7 మిమీ (.303 అంగుళాలు) మెషిన్ గన్ ముందుకు కాల్పులు జరపడానికి, ప్రొపెల్లర్‌తో సమకాలీకరించబడింది, మరియు మరొకటి సౌకర్యవంతమైన మౌంట్‌పై డోర్సలీగా అమర్చబడింది. గరిష్ట బాంబు లోడ్ 500 కిలోలు (1,100 పౌండ్లు). ఇద్దరు వ్యక్తి సిబ్బంది ఓపెన్ కాక్‌పిట్స్‌లో కూర్చున్నారు. KI-3 ఒక ప్రైవేట్ వెంచర్‌గా ఉద్భవించింది, ఇది అంకితమైన నిఘా విమానాన్ని అభివృద్ధి చేయడానికి కవాసాకి ప్రారంభించింది. తరువాతి ప్రోటోటైప్, KDA-6 ను నియమించారు, ఆ సమయంలో జపాన్‌లో పనిచేస్తున్న జర్మన్ ఇంజనీర్ డాక్టర్ రిచర్డ్ వోగ్ట్ రూపొందించారు. కవాసాకి యొక్క భవిష్యత్ చీఫ్ డిజైనర్ టేకో డోయి, ఈ ప్రాజెక్టుపై వోగ్ట్ సహాయకుడిగా పనిచేశారు; వోగ్ట్ తరువాత బ్లోమ్ &amp; వోస్ కోసం చీఫ్ డిజైనర్ అయ్యాడు. అద్భుతమైన పనితీరు మరియు నిర్వహణ లక్షణాలను కలిగి ఉన్నప్పటికీ, సేకరణ ప్రక్రియలో మార్పుల కారణంగా KDA-6 ను IJA తిరస్కరించింది. ఆర్మీ టైప్ 93 సింగిల్-ఇంజిన్ లైట్ బాంబర్‌ను నిర్మించడానికి కాంట్రాక్టును ప్రదానం చేసిన కవాసాకి ఈ కొత్త విమానం కోసం వారి రూపకల్పనలో KDA-6 యొక్క అనుభవాన్ని ఉపయోగించారు, దీనికి కిటాయ్ నంబర్ KI-3 ఇవ్వబడింది. [1] KDA-6 యొక్క పౌర సంస్కరణ, తరువాత నియమించబడిన కవాసాకి A-6 ను కమ్యూనికేషన్ విమానంగా ఉత్పత్తి చేసింది మరియు ప్లేట్ మరియు సిబ్బంది రవాణా విధులను ముద్రించడానికి అసహి షింబున్ వార్తాపత్రిక విజయవంతంగా ఉపయోగించబడింది. [1] కవాసాకి కి -3 ను ఇతర జపనీస్ సైనిక విమాన నామకరణం వ్యవస్థ క్రింద "ఆర్మీ టైప్ 93-1 సింగిల్-ఇంజిన్ లైట్ బాంబర్" గా నియమించారు. ఇది ఏప్రిల్ 1933 లో ప్రయాణించింది [1] మరియు ప్రారంభంలో 6 వ మిశ్రమ ఎయిర్ రెజిమెంట్‌లో ఎంపిక చేసిన (కొరియా) లో కార్యాచరణ సేవలోకి ప్రవేశించింది. ఇది తరువాత మంచూకువో (మంచూరియా) మరియు ఉత్తర చైనాలో రెండవ చైనా-జపనీస్ యుద్ధం యొక్క ప్రారంభ దశలలో పోరాటంలో ఉపయోగించబడింది, ఇక్కడ భూ దళాలకు మద్దతు ఇవ్వడానికి దాని మంచి యుక్తిని ఉపయోగించుకోవచ్చు. ఇది కఠినమైన గ్రౌండ్-అటాక్ విమానం గా పరిగణించబడింది, కాని దాని ద్రవ-చల్లబడిన ఇంజిన్ యొక్క సూపర్ఛార్జర్ స్థిరమైన సమస్యల మూలం. [1] జపనీస్ విమానం నుండి డేటా, 1910-1941 [1] సాధారణ లక్షణాలు పనితీరు ఆయుధ సంబంధిత జాబితాలు</v>
      </c>
      <c r="E124" s="1" t="s">
        <v>2594</v>
      </c>
      <c r="F124" s="1" t="s">
        <v>2595</v>
      </c>
      <c r="G124" s="1" t="str">
        <f>IFERROR(__xludf.DUMMYFUNCTION("GOOGLETRANSLATE(F:F, ""en"", ""te"")"),"లైట్ బాంబర్")</f>
        <v>లైట్ బాంబర్</v>
      </c>
      <c r="H124" s="1" t="s">
        <v>2596</v>
      </c>
      <c r="L124" s="1" t="s">
        <v>2597</v>
      </c>
      <c r="M124" s="1" t="str">
        <f>IFERROR(__xludf.DUMMYFUNCTION("GOOGLETRANSLATE(L:L, ""en"", ""te"")"),"కవాసకి కోకాకి కోగీ K.K.")</f>
        <v>కవాసకి కోకాకి కోగీ K.K.</v>
      </c>
      <c r="N124" s="1" t="s">
        <v>2598</v>
      </c>
      <c r="O124" s="1" t="s">
        <v>2599</v>
      </c>
      <c r="P124" s="1" t="str">
        <f>IFERROR(__xludf.DUMMYFUNCTION("GOOGLETRANSLATE(O:O, ""en"", ""te"")"),"టేకో డోయి")</f>
        <v>టేకో డోయి</v>
      </c>
      <c r="Q124" s="1" t="s">
        <v>2600</v>
      </c>
      <c r="R124" s="1">
        <v>1933.0</v>
      </c>
      <c r="S124" s="1">
        <v>243.0</v>
      </c>
      <c r="T124" s="1" t="s">
        <v>2601</v>
      </c>
      <c r="V124" s="1">
        <v>2.0</v>
      </c>
      <c r="W124" s="1" t="s">
        <v>2602</v>
      </c>
      <c r="X124" s="1" t="s">
        <v>2603</v>
      </c>
      <c r="Y124" s="1" t="s">
        <v>842</v>
      </c>
      <c r="Z124" s="1" t="s">
        <v>2604</v>
      </c>
      <c r="AG124" s="1" t="s">
        <v>2605</v>
      </c>
      <c r="AH124" s="1" t="s">
        <v>2606</v>
      </c>
      <c r="AO124" s="1">
        <v>1934.0</v>
      </c>
      <c r="AX124" s="1" t="s">
        <v>2607</v>
      </c>
      <c r="AY124" s="1" t="str">
        <f>IFERROR(__xludf.DUMMYFUNCTION("GOOGLETRANSLATE(AX:AX, ""en"", ""te"")"),"1 × సూపర్ఛార్జ్డ్ BMW IX లిక్విడ్-కూల్డ్ V12 ఇంజిన్, 592 kW (790 HP)")</f>
        <v>1 × సూపర్ఛార్జ్డ్ BMW IX లిక్విడ్-కూల్డ్ V12 ఇంజిన్, 592 kW (790 HP)</v>
      </c>
      <c r="BB124" s="1" t="s">
        <v>2608</v>
      </c>
      <c r="BD124" s="1" t="s">
        <v>413</v>
      </c>
      <c r="BF124" s="1" t="s">
        <v>376</v>
      </c>
      <c r="BG124" s="2" t="str">
        <f>IFERROR(__xludf.DUMMYFUNCTION("GOOGLETRANSLATE(BF:BF, ""en"", ""te"")"),"ఇజా వైమానిక దళం")</f>
        <v>ఇజా వైమానిక దళం</v>
      </c>
      <c r="BH124" s="1" t="s">
        <v>377</v>
      </c>
      <c r="BW124" s="1" t="s">
        <v>2609</v>
      </c>
    </row>
    <row r="125">
      <c r="A125" s="1" t="s">
        <v>2610</v>
      </c>
      <c r="B125" s="1" t="str">
        <f>IFERROR(__xludf.DUMMYFUNCTION("GOOGLETRANSLATE(A:A, ""en"", ""te"")"),"సూపర్ మేరిన్ నైట్హాక్")</f>
        <v>సూపర్ మేరిన్ నైట్హాక్</v>
      </c>
      <c r="C125" s="1" t="s">
        <v>2611</v>
      </c>
      <c r="D125" s="1" t="str">
        <f>IFERROR(__xludf.DUMMYFUNCTION("GOOGLETRANSLATE(C:C, ""en"", ""te"")"),"సూపర్మారైన్ P.B.31E నైట్‌హాక్ మొదటి ప్రపంచ యుద్ధం యొక్క బ్రిటిష్ విమానం మరియు ఇది సూపర్మారైన్ ఏవియేషన్ వర్క్స్ లిమిటెడ్ అయిన తరువాత పెంబర్టన్-బిల్లింగ్ ఆపరేషన్ యొక్క మొదటి ప్రాజెక్ట్. 9–18 గంటల ప్రణాళికాబద్ధమైన విమాన ఓర్పు. ప్రోటోటైప్ ఫిబ్రవరి 1917 లో క్ల"&amp;"ిఫోర్డ్ ప్రొడర్‌తో నియంత్రణల వద్ద ప్రయాణించింది. [1] ఇది వాగ్దానం చేసిన స్పెసిఫికేషన్‌ను తీర్చలేదని నిరూపించబడింది మరియు ఇకపై నిర్మించబడలేదు. నైట్‌హాక్‌లో ఆరు-బే స్వీప్ క్వాడ్రాప్లేన్ రెక్కలు మరియు జంట రెక్కలు మరియు రడ్డర్‌లతో బైప్‌లేన్ టెయిల్‌ప్లేన్ ఉన్న"&amp;"ాయి. ఫ్యూజ్‌లేజ్ రెండవ మరియు మూడవ రెక్కల మధ్య అంతరాన్ని నింపింది; టాప్ వింగ్ ""టరెట్"" వరకు తీసుకువెళ్ళిన కాక్‌పిట్, జతచేయబడి వేడి చేయబడింది. ఉద్దేశించిన దీర్ఘ ఓర్పుతో పాటు, ఇది తక్కువ వేగంతో పెట్రోలింగ్ చేయగలదని మరియు జెప్పెలిన్ కోసం ఎదురుచూస్తుందని సూచి"&amp;"ంచబడింది. [2] ఆయుధాల కోసం, ఇది శిక్షణ పొందగల ముక్కు-మౌంటెడ్ సెర్చ్‌లైట్, 1½-పౌండర్ (37 మిమీ) డేవిస్ తుపాకీని టాప్ వింగ్ పైన 20 షెల్స్‌తో అమర్చారు, మరియు రెండు .303 లో (7.7 మిమీ) లూయిస్ తుపాకులు ఉన్నాయి. సెర్చ్‌లైట్ కోసం శక్తిని ABC మోటార్స్ తయారు చేసిన స్"&amp;"వతంత్ర పెట్రోల్ ఇంజిన్-నడిచే జనరేటర్ సెట్ అందించింది, బహుశా గుర్తించదగిన వాయుమార్గాన సహాయక శక్తి యూనిట్ యొక్క మొదటి ఉదాహరణ. [3] గంటకు 75 మైళ్ళు (గంటకు 121 కి.మీ) చేరుకోగలిగినట్లు పేరు పెట్టినప్పటికీ, పి.బి.31 ఇ ప్రోటోటైప్ గంటకు 60 మైళ్ళు (గంటకు 97 కిమీ) 6"&amp;",500 అడుగుల (2,000 మీ) వద్ద మాత్రమే నిర్వహించగలిగింది మరియు 10,000 అడుగులకు ఎక్కడానికి ఒక గంట సమయం పట్టింది. (3,000 మీ), ఇది జెప్పెలిన్‌లను అడ్డగించడానికి పూర్తిగా సరిపోదు. [4] పి, లేదా ఆర్ క్లాస్ మిలిటరీ జెప్పెలిన్స్ వంటి జర్మన్ ఎయిర్‌షిప్‌లు గంటకు 60 మై"&amp;"ళ్ళు (97 కిమీ/గం) అగ్ర వేగంతో ఉంటాయి. [5] ఇంకా, విశ్వసనీయత మరియు వేడెక్కడం కోసం అంజాని ఇంజిన్ యొక్క ఖ్యాతిని చూస్తే, విమానం ప్రచారం చేయబడిన ఓర్పును అందించే అవకాశం లేదు. నైట్‌హాక్ యొక్క రెండు ప్రొపెల్లర్లలో ఒకరు ఇంగ్లాండ్‌లోని సౌతాంప్టన్‌లోని ఏవియేషన్ మ్యూ"&amp;"జియం అయిన సోలెంట్ స్కైలో భద్రపరచబడింది. 1912 నుండి బ్రిటిష్ ఫైటర్ నుండి వచ్చిన డేటా [1] సాధారణ లక్షణాలు పనితీరు ఆయుధాలు")</f>
        <v>సూపర్మారైన్ P.B.31E నైట్‌హాక్ మొదటి ప్రపంచ యుద్ధం యొక్క బ్రిటిష్ విమానం మరియు ఇది సూపర్మారైన్ ఏవియేషన్ వర్క్స్ లిమిటెడ్ అయిన తరువాత పెంబర్టన్-బిల్లింగ్ ఆపరేషన్ యొక్క మొదటి ప్రాజెక్ట్. 9–18 గంటల ప్రణాళికాబద్ధమైన విమాన ఓర్పు. ప్రోటోటైప్ ఫిబ్రవరి 1917 లో క్లిఫోర్డ్ ప్రొడర్‌తో నియంత్రణల వద్ద ప్రయాణించింది. [1] ఇది వాగ్దానం చేసిన స్పెసిఫికేషన్‌ను తీర్చలేదని నిరూపించబడింది మరియు ఇకపై నిర్మించబడలేదు. నైట్‌హాక్‌లో ఆరు-బే స్వీప్ క్వాడ్రాప్లేన్ రెక్కలు మరియు జంట రెక్కలు మరియు రడ్డర్‌లతో బైప్‌లేన్ టెయిల్‌ప్లేన్ ఉన్నాయి. ఫ్యూజ్‌లేజ్ రెండవ మరియు మూడవ రెక్కల మధ్య అంతరాన్ని నింపింది; టాప్ వింగ్ "టరెట్" వరకు తీసుకువెళ్ళిన కాక్‌పిట్, జతచేయబడి వేడి చేయబడింది. ఉద్దేశించిన దీర్ఘ ఓర్పుతో పాటు, ఇది తక్కువ వేగంతో పెట్రోలింగ్ చేయగలదని మరియు జెప్పెలిన్ కోసం ఎదురుచూస్తుందని సూచించబడింది. [2] ఆయుధాల కోసం, ఇది శిక్షణ పొందగల ముక్కు-మౌంటెడ్ సెర్చ్‌లైట్, 1½-పౌండర్ (37 మిమీ) డేవిస్ తుపాకీని టాప్ వింగ్ పైన 20 షెల్స్‌తో అమర్చారు, మరియు రెండు .303 లో (7.7 మిమీ) లూయిస్ తుపాకులు ఉన్నాయి. సెర్చ్‌లైట్ కోసం శక్తిని ABC మోటార్స్ తయారు చేసిన స్వతంత్ర పెట్రోల్ ఇంజిన్-నడిచే జనరేటర్ సెట్ అందించింది, బహుశా గుర్తించదగిన వాయుమార్గాన సహాయక శక్తి యూనిట్ యొక్క మొదటి ఉదాహరణ. [3] గంటకు 75 మైళ్ళు (గంటకు 121 కి.మీ) చేరుకోగలిగినట్లు పేరు పెట్టినప్పటికీ, పి.బి.31 ఇ ప్రోటోటైప్ గంటకు 60 మైళ్ళు (గంటకు 97 కిమీ) 6,500 అడుగుల (2,000 మీ) వద్ద మాత్రమే నిర్వహించగలిగింది మరియు 10,000 అడుగులకు ఎక్కడానికి ఒక గంట సమయం పట్టింది. (3,000 మీ), ఇది జెప్పెలిన్‌లను అడ్డగించడానికి పూర్తిగా సరిపోదు. [4] పి, లేదా ఆర్ క్లాస్ మిలిటరీ జెప్పెలిన్స్ వంటి జర్మన్ ఎయిర్‌షిప్‌లు గంటకు 60 మైళ్ళు (97 కిమీ/గం) అగ్ర వేగంతో ఉంటాయి. [5] ఇంకా, విశ్వసనీయత మరియు వేడెక్కడం కోసం అంజాని ఇంజిన్ యొక్క ఖ్యాతిని చూస్తే, విమానం ప్రచారం చేయబడిన ఓర్పును అందించే అవకాశం లేదు. నైట్‌హాక్ యొక్క రెండు ప్రొపెల్లర్లలో ఒకరు ఇంగ్లాండ్‌లోని సౌతాంప్టన్‌లోని ఏవియేషన్ మ్యూజియం అయిన సోలెంట్ స్కైలో భద్రపరచబడింది. 1912 నుండి బ్రిటిష్ ఫైటర్ నుండి వచ్చిన డేటా [1] సాధారణ లక్షణాలు పనితీరు ఆయుధాలు</v>
      </c>
      <c r="E125" s="1" t="s">
        <v>2612</v>
      </c>
      <c r="F125" s="1" t="s">
        <v>2613</v>
      </c>
      <c r="G125" s="1" t="str">
        <f>IFERROR(__xludf.DUMMYFUNCTION("GOOGLETRANSLATE(F:F, ""en"", ""te"")"),"యాంటీ-జెప్పెలిన్ ఫైటర్ నైట్ ఫైటర్")</f>
        <v>యాంటీ-జెప్పెలిన్ ఫైటర్ నైట్ ఫైటర్</v>
      </c>
      <c r="H125" s="1" t="s">
        <v>2614</v>
      </c>
      <c r="I125" s="1" t="s">
        <v>964</v>
      </c>
      <c r="J125" s="1" t="str">
        <f>IFERROR(__xludf.DUMMYFUNCTION("GOOGLETRANSLATE(I:I, ""en"", ""te"")"),"యునైటెడ్ కింగ్‌డమ్")</f>
        <v>యునైటెడ్ కింగ్‌డమ్</v>
      </c>
      <c r="K125" s="1" t="s">
        <v>1144</v>
      </c>
      <c r="L125" s="1" t="s">
        <v>539</v>
      </c>
      <c r="M125" s="1" t="str">
        <f>IFERROR(__xludf.DUMMYFUNCTION("GOOGLETRANSLATE(L:L, ""en"", ""te"")"),"సూపర్ మెరైన్")</f>
        <v>సూపర్ మెరైన్</v>
      </c>
      <c r="N125" s="3" t="s">
        <v>540</v>
      </c>
      <c r="R125" s="1">
        <v>1917.0</v>
      </c>
      <c r="S125" s="1">
        <v>1.0</v>
      </c>
      <c r="V125" s="1" t="s">
        <v>2615</v>
      </c>
      <c r="W125" s="1" t="s">
        <v>2616</v>
      </c>
      <c r="X125" s="1" t="s">
        <v>2331</v>
      </c>
      <c r="Y125" s="1" t="s">
        <v>2617</v>
      </c>
      <c r="Z125" s="1" t="s">
        <v>2618</v>
      </c>
      <c r="AG125" s="1" t="s">
        <v>2619</v>
      </c>
      <c r="AH125" s="1" t="s">
        <v>2620</v>
      </c>
      <c r="AX125" s="1" t="s">
        <v>2621</v>
      </c>
      <c r="AY125" s="1" t="str">
        <f>IFERROR(__xludf.DUMMYFUNCTION("GOOGLETRANSLATE(AX:AX, ""en"", ""te"")"),"2 × అంజాని 10-సిలిండర్ ఎయిర్-కూల్డ్ రేడియల్ పిస్టన్ ఇంజన్లు, 100 హెచ్‌పి (75 కిలోవాట్)")</f>
        <v>2 × అంజాని 10-సిలిండర్ ఎయిర్-కూల్డ్ రేడియల్ పిస్టన్ ఇంజన్లు, 100 హెచ్‌పి (75 కిలోవాట్)</v>
      </c>
      <c r="AZ125" s="1" t="s">
        <v>2622</v>
      </c>
      <c r="BA125" s="1" t="str">
        <f>IFERROR(__xludf.DUMMYFUNCTION("GOOGLETRANSLATE(AZ:AZ, ""en"", ""te"")"),"4-బ్లేడెడ్ స్థిర-పిచ్ ప్రొపెల్లర్లు")</f>
        <v>4-బ్లేడెడ్ స్థిర-పిచ్ ప్రొపెల్లర్లు</v>
      </c>
      <c r="BB125" s="1" t="s">
        <v>2623</v>
      </c>
      <c r="BG125" s="2"/>
      <c r="BI125" s="1" t="s">
        <v>2624</v>
      </c>
      <c r="BJ125" s="1" t="s">
        <v>2625</v>
      </c>
      <c r="BU125" s="1" t="s">
        <v>2626</v>
      </c>
      <c r="BV125" s="1" t="str">
        <f>IFERROR(__xludf.DUMMYFUNCTION("GOOGLETRANSLATE(BU:BU, ""en"", ""te"")"),"ప్రోటోటైప్ మాత్రమే")</f>
        <v>ప్రోటోటైప్ మాత్రమే</v>
      </c>
      <c r="BZ125" s="1" t="s">
        <v>2627</v>
      </c>
      <c r="CB125" s="1" t="s">
        <v>2628</v>
      </c>
      <c r="CC125" s="1" t="s">
        <v>2629</v>
      </c>
      <c r="CD125" s="1" t="str">
        <f>IFERROR(__xludf.DUMMYFUNCTION("GOOGLETRANSLATE(CC:CC, ""en"", ""te"")"),"ఒక 1½-పిడిఆర్ డేవిస్ గన్ మరియు ఒక లూయిస్ గన్ అప్పర్ వింగ్ పైన, మరియు ముక్కులో ఒక లూయిస్ గన్")</f>
        <v>ఒక 1½-పిడిఆర్ డేవిస్ గన్ మరియు ఒక లూయిస్ గన్ అప్పర్ వింగ్ పైన, మరియు ముక్కులో ఒక లూయిస్ గన్</v>
      </c>
    </row>
    <row r="126">
      <c r="A126" s="1" t="s">
        <v>2630</v>
      </c>
      <c r="B126" s="1" t="str">
        <f>IFERROR(__xludf.DUMMYFUNCTION("GOOGLETRANSLATE(A:A, ""en"", ""te"")"),"ఒబెర్లెర్చ్నర్ జాబ్ 15")</f>
        <v>ఒబెర్లెర్చ్నర్ జాబ్ 15</v>
      </c>
      <c r="C126" s="1" t="s">
        <v>2631</v>
      </c>
      <c r="D126" s="1" t="str">
        <f>IFERROR(__xludf.DUMMYFUNCTION("GOOGLETRANSLATE(C:C, ""en"", ""te"")"),"ఒబెర్లెర్చ్నర్ జాబ్ 15 అనేది జోసెఫ్ ఒబెర్లెర్చ్నర్ హోల్జిండస్ట్రీ నిర్మించిన ఆస్ట్రియన్ రెండు-సీట్ల లైట్ విమానం, ఇది గతంలో గ్లైడర్‌లను రూపొందించింది మరియు నిర్మించింది. సెయిల్‌ప్లేన్ డిజైనర్లు మరియు బిల్డర్లుగా అనుభవాన్ని ఉపయోగించి, జోసెఫ్ ఒబెర్లెర్చ్నర్ "&amp;"హోల్జిండస్ట్రీ శక్తితో కూడిన విమానాన్ని సృష్టించాలని నిర్ణయించుకున్నాడు. ఫలితం 5, [1] చెక్క నిర్మాణం యొక్క రెండు-సీట్ల పక్కపక్కనే తేలికపాటి విమానం. [2] ఇది మొట్టమొదట 1958 లో ప్రయాణించింది. కొంచెం పెద్ద మూడు-సీట్ల ఉత్పత్తి సంస్కరణను నిర్మించాలని కంపెనీ నిర"&amp;"్ణయించింది. గాజు-రీన్ఫోర్స్డ్ ప్లాస్టిక్ మరియు ఫాబ్రిక్‌లో కప్పబడి ఉంటుంది. ప్రోటోటైప్ మొదట 1960 లో 135 హెచ్‌పి (101 కిలోవాట్) అవ్కో లైమింగ్ ఓ -290-డి 2 బి ఇంజిన్‌తో ప్రయాణించింది. మరింత శక్తివంతమైన సంస్కరణకు ముందు మూడు విమానాలు నిర్మించబడ్డాయి, జాబ్ 15-1"&amp;"50, 150 హెచ్‌పి (112 కిలోవాట్) అవ్కో లైమింగ్ ఓ -320-ఎ 2 బి ఇంజిన్‌తో నిర్మించబడింది. 11 15-150 లు మెరుగైన సంస్కరణను నిర్మించిన తరువాత, 15-150/2 ఉద్యోగం ప్రవేశపెట్టబడింది మరియు 1960 ల చివరలో ఉత్పత్తి ముగిసేలోపు పది నిర్మించబడింది. జేన్స్ యొక్క అన్ని ప్రపంచ"&amp;" విమానాల నుండి డేటా 1969-70 [4] వికీమీడియా కామన్స్ వద్ద ఒబెర్లెర్చ్నర్ జాబ్ 15 కు సంబంధించిన సాధారణ లక్షణాల పనితీరు మీడియా")</f>
        <v>ఒబెర్లెర్చ్నర్ జాబ్ 15 అనేది జోసెఫ్ ఒబెర్లెర్చ్నర్ హోల్జిండస్ట్రీ నిర్మించిన ఆస్ట్రియన్ రెండు-సీట్ల లైట్ విమానం, ఇది గతంలో గ్లైడర్‌లను రూపొందించింది మరియు నిర్మించింది. సెయిల్‌ప్లేన్ డిజైనర్లు మరియు బిల్డర్లుగా అనుభవాన్ని ఉపయోగించి, జోసెఫ్ ఒబెర్లెర్చ్నర్ హోల్జిండస్ట్రీ శక్తితో కూడిన విమానాన్ని సృష్టించాలని నిర్ణయించుకున్నాడు. ఫలితం 5, [1] చెక్క నిర్మాణం యొక్క రెండు-సీట్ల పక్కపక్కనే తేలికపాటి విమానం. [2] ఇది మొట్టమొదట 1958 లో ప్రయాణించింది. కొంచెం పెద్ద మూడు-సీట్ల ఉత్పత్తి సంస్కరణను నిర్మించాలని కంపెనీ నిర్ణయించింది. గాజు-రీన్ఫోర్స్డ్ ప్లాస్టిక్ మరియు ఫాబ్రిక్‌లో కప్పబడి ఉంటుంది. ప్రోటోటైప్ మొదట 1960 లో 135 హెచ్‌పి (101 కిలోవాట్) అవ్కో లైమింగ్ ఓ -290-డి 2 బి ఇంజిన్‌తో ప్రయాణించింది. మరింత శక్తివంతమైన సంస్కరణకు ముందు మూడు విమానాలు నిర్మించబడ్డాయి, జాబ్ 15-150, 150 హెచ్‌పి (112 కిలోవాట్) అవ్కో లైమింగ్ ఓ -320-ఎ 2 బి ఇంజిన్‌తో నిర్మించబడింది. 11 15-150 లు మెరుగైన సంస్కరణను నిర్మించిన తరువాత, 15-150/2 ఉద్యోగం ప్రవేశపెట్టబడింది మరియు 1960 ల చివరలో ఉత్పత్తి ముగిసేలోపు పది నిర్మించబడింది. జేన్స్ యొక్క అన్ని ప్రపంచ విమానాల నుండి డేటా 1969-70 [4] వికీమీడియా కామన్స్ వద్ద ఒబెర్లెర్చ్నర్ జాబ్ 15 కు సంబంధించిన సాధారణ లక్షణాల పనితీరు మీడియా</v>
      </c>
      <c r="E126" s="1" t="s">
        <v>2632</v>
      </c>
      <c r="F126" s="1" t="s">
        <v>2633</v>
      </c>
      <c r="G126" s="1" t="str">
        <f>IFERROR(__xludf.DUMMYFUNCTION("GOOGLETRANSLATE(F:F, ""en"", ""te"")"),"రెండు-సీట్ల లైట్ ప్లేన్")</f>
        <v>రెండు-సీట్ల లైట్ ప్లేన్</v>
      </c>
      <c r="L126" s="1" t="s">
        <v>2634</v>
      </c>
      <c r="M126" s="1" t="str">
        <f>IFERROR(__xludf.DUMMYFUNCTION("GOOGLETRANSLATE(L:L, ""en"", ""te"")"),"జోసెఫ్ ఒబెర్లెర్చ్నర్ హోల్జిండస్ట్రీ")</f>
        <v>జోసెఫ్ ఒబెర్లెర్చ్నర్ హోల్జిండస్ట్రీ</v>
      </c>
      <c r="R126" s="1">
        <v>1960.0</v>
      </c>
      <c r="S126" s="1">
        <v>24.0</v>
      </c>
      <c r="T126" s="1" t="s">
        <v>216</v>
      </c>
      <c r="V126" s="1">
        <v>1.0</v>
      </c>
      <c r="W126" s="1" t="s">
        <v>2635</v>
      </c>
      <c r="X126" s="1" t="s">
        <v>2636</v>
      </c>
      <c r="Y126" s="1" t="s">
        <v>2637</v>
      </c>
      <c r="Z126" s="1" t="s">
        <v>2638</v>
      </c>
      <c r="AE126" s="1">
        <v>6.94</v>
      </c>
      <c r="AF126" s="1" t="s">
        <v>2639</v>
      </c>
      <c r="AG126" s="1" t="s">
        <v>2640</v>
      </c>
      <c r="AI126" s="1" t="s">
        <v>2641</v>
      </c>
      <c r="AN126" s="3" t="s">
        <v>2642</v>
      </c>
      <c r="AO126" s="1">
        <v>1962.0</v>
      </c>
      <c r="AP126" s="3" t="s">
        <v>2643</v>
      </c>
      <c r="AV126" s="1" t="s">
        <v>2228</v>
      </c>
      <c r="AW126" s="1" t="s">
        <v>2644</v>
      </c>
      <c r="AX126" s="1" t="s">
        <v>2645</v>
      </c>
      <c r="AY126" s="1" t="str">
        <f>IFERROR(__xludf.DUMMYFUNCTION("GOOGLETRANSLATE(AX:AX, ""en"", ""te"")"),"1 × AVCO LYCONING O-320-A2B నాలుగు-సిలిండర్ ఎయిర్-కూల్డ్ క్షితిజ సమాంతరంగా-ప్రతిఘటన, 110 kW (150 HP)")</f>
        <v>1 × AVCO LYCONING O-320-A2B నాలుగు-సిలిండర్ ఎయిర్-కూల్డ్ క్షితిజ సమాంతరంగా-ప్రతిఘటన, 110 kW (150 HP)</v>
      </c>
      <c r="BB126" s="1" t="s">
        <v>2646</v>
      </c>
      <c r="BC126" s="1" t="s">
        <v>2647</v>
      </c>
      <c r="BD126" s="1" t="s">
        <v>2213</v>
      </c>
      <c r="BG126" s="2"/>
      <c r="BI126" s="1" t="s">
        <v>2648</v>
      </c>
      <c r="BR126" s="1" t="s">
        <v>2649</v>
      </c>
      <c r="BS126" s="1" t="s">
        <v>2650</v>
      </c>
      <c r="BT126" s="1" t="s">
        <v>2651</v>
      </c>
      <c r="BW126" s="1" t="s">
        <v>2652</v>
      </c>
      <c r="BX126" s="1"/>
      <c r="BY126" s="1" t="s">
        <v>2653</v>
      </c>
      <c r="EL126" s="1" t="s">
        <v>2654</v>
      </c>
      <c r="EM126" s="1" t="s">
        <v>2655</v>
      </c>
    </row>
    <row r="127">
      <c r="A127" s="1" t="s">
        <v>2656</v>
      </c>
      <c r="B127" s="1" t="str">
        <f>IFERROR(__xludf.DUMMYFUNCTION("GOOGLETRANSLATE(A:A, ""en"", ""te"")"),"MRáz బోంజో")</f>
        <v>MRáz బోంజో</v>
      </c>
      <c r="C127" s="1" t="s">
        <v>2657</v>
      </c>
      <c r="D127" s="1" t="str">
        <f>IFERROR(__xludf.DUMMYFUNCTION("GOOGLETRANSLATE(C:C, ""en"", ""te"")"),"MRáz M-3 బోంజో అనేది 1948 లో చెకోస్లోవేకియాలో నిర్మించిన తేలికపాటి విమానం, ఇది M-1 సోకోల్‌తో ప్రారంభమైన తేలికపాటి విమానాల కుటుంబంలో మరింత అభివృద్ధిగా ఉంది. బోన్జో సోకోల్ ఎయిర్ఫ్రేమ్ మీద ఆధారపడింది, కానీ పున es రూపకల్పన చేసిన రెక్క మరియు ఫ్యూజ్‌లేజ్‌లో గణన"&amp;"ీయమైన మార్పులతో. నాల్గవ సీటును చేర్చడానికి వీటిని పొడిగించడం, వెనుక ఫ్యూజ్‌లేజ్ యొక్క ఎత్తును తగ్గించడం, ఆల్-రౌండ్ దృశ్యమానతతో కొత్త క్యాబిన్‌ను అనుమతించడం మరియు టెయిల్‌వీల్ స్థానంలో సెమీ-రిట్రాక్టబుల్ నోస్‌వీల్‌ను చేర్చడం. రెండు ప్రోటోటైప్‌ల నిర్మాణానికి"&amp;" నిధులు రవాణా శాఖ ఆమోదించలేదు, కాని డిజైనర్ రబ్లిక్ ఏప్రిల్ 1948 లో ప్రయాణించిన ఒక నమూనాను నిర్మించడానికి మరెక్కడా డబ్బును సేకరించగలిగాడు. 1950 లో ఉత్పత్తి ప్రారంభమవుతుందని భావించారు, మరియు బోంజో 1949 పారిస్ ఎయిర్ షోలో ప్రదర్శించబడింది. ఏదేమైనా, ఏ అమ్మకాల"&amp;"ు సంభవించలేదు, మరియు 1952 లో ఏరోక్లబ్ వాడకం కోసం అప్పగించడానికి ముందు బ్రాటిస్లావాలోని ఇన్స్టిట్యూట్ ఆఫ్ కార్టోగ్రఫీ చేత నమూనా కొంతకాలం ఎగురవేయబడింది. 1961 లో, బోన్జో అనేక జాతీయ వేగ రికార్డులను నెలకొల్పడానికి ఎగిరింది, కానీ ఉపసంహరించబడింది వెంటనే ఉపయోగం న"&amp;"ుండి. జేన్ యొక్క అన్ని ప్రపంచ విమానాల నుండి డేటా 1951–52 [1] సాధారణ లక్షణాల పనితీరు సంబంధిత అభివృద్ధి")</f>
        <v>MRáz M-3 బోంజో అనేది 1948 లో చెకోస్లోవేకియాలో నిర్మించిన తేలికపాటి విమానం, ఇది M-1 సోకోల్‌తో ప్రారంభమైన తేలికపాటి విమానాల కుటుంబంలో మరింత అభివృద్ధిగా ఉంది. బోన్జో సోకోల్ ఎయిర్ఫ్రేమ్ మీద ఆధారపడింది, కానీ పున es రూపకల్పన చేసిన రెక్క మరియు ఫ్యూజ్‌లేజ్‌లో గణనీయమైన మార్పులతో. నాల్గవ సీటును చేర్చడానికి వీటిని పొడిగించడం, వెనుక ఫ్యూజ్‌లేజ్ యొక్క ఎత్తును తగ్గించడం, ఆల్-రౌండ్ దృశ్యమానతతో కొత్త క్యాబిన్‌ను అనుమతించడం మరియు టెయిల్‌వీల్ స్థానంలో సెమీ-రిట్రాక్టబుల్ నోస్‌వీల్‌ను చేర్చడం. రెండు ప్రోటోటైప్‌ల నిర్మాణానికి నిధులు రవాణా శాఖ ఆమోదించలేదు, కాని డిజైనర్ రబ్లిక్ ఏప్రిల్ 1948 లో ప్రయాణించిన ఒక నమూనాను నిర్మించడానికి మరెక్కడా డబ్బును సేకరించగలిగాడు. 1950 లో ఉత్పత్తి ప్రారంభమవుతుందని భావించారు, మరియు బోంజో 1949 పారిస్ ఎయిర్ షోలో ప్రదర్శించబడింది. ఏదేమైనా, ఏ అమ్మకాలు సంభవించలేదు, మరియు 1952 లో ఏరోక్లబ్ వాడకం కోసం అప్పగించడానికి ముందు బ్రాటిస్లావాలోని ఇన్స్టిట్యూట్ ఆఫ్ కార్టోగ్రఫీ చేత నమూనా కొంతకాలం ఎగురవేయబడింది. 1961 లో, బోన్జో అనేక జాతీయ వేగ రికార్డులను నెలకొల్పడానికి ఎగిరింది, కానీ ఉపసంహరించబడింది వెంటనే ఉపయోగం నుండి. జేన్ యొక్క అన్ని ప్రపంచ విమానాల నుండి డేటా 1951–52 [1] సాధారణ లక్షణాల పనితీరు సంబంధిత అభివృద్ధి</v>
      </c>
      <c r="E127" s="1" t="s">
        <v>2658</v>
      </c>
      <c r="F127" s="1" t="s">
        <v>2659</v>
      </c>
      <c r="G127" s="1" t="str">
        <f>IFERROR(__xludf.DUMMYFUNCTION("GOOGLETRANSLATE(F:F, ""en"", ""te"")"),"యుటిలిటీ విమానం")</f>
        <v>యుటిలిటీ విమానం</v>
      </c>
      <c r="I127" s="1" t="s">
        <v>814</v>
      </c>
      <c r="J127" s="1" t="str">
        <f>IFERROR(__xludf.DUMMYFUNCTION("GOOGLETRANSLATE(I:I, ""en"", ""te"")"),"చెకోస్లోవేకియా")</f>
        <v>చెకోస్లోవేకియా</v>
      </c>
      <c r="L127" s="1" t="s">
        <v>2660</v>
      </c>
      <c r="M127" s="1" t="str">
        <f>IFERROR(__xludf.DUMMYFUNCTION("GOOGLETRANSLATE(L:L, ""en"", ""te"")"),"Mráz")</f>
        <v>Mráz</v>
      </c>
      <c r="N127" s="1" t="s">
        <v>2661</v>
      </c>
      <c r="O127" s="1" t="s">
        <v>2662</v>
      </c>
      <c r="P127" s="1" t="str">
        <f>IFERROR(__xludf.DUMMYFUNCTION("GOOGLETRANSLATE(O:O, ""en"", ""te"")"),"Zdeněk rublič")</f>
        <v>Zdeněk rublič</v>
      </c>
      <c r="Q127" s="1" t="s">
        <v>2663</v>
      </c>
      <c r="R127" s="5">
        <v>17624.0</v>
      </c>
      <c r="S127" s="1">
        <v>1.0</v>
      </c>
      <c r="V127" s="1">
        <v>1.0</v>
      </c>
      <c r="W127" s="1" t="s">
        <v>2664</v>
      </c>
      <c r="X127" s="1" t="s">
        <v>2665</v>
      </c>
      <c r="Y127" s="1" t="s">
        <v>2666</v>
      </c>
      <c r="Z127" s="1" t="s">
        <v>2667</v>
      </c>
      <c r="AG127" s="1" t="s">
        <v>2668</v>
      </c>
      <c r="AH127" s="1" t="s">
        <v>307</v>
      </c>
      <c r="AV127" s="1" t="s">
        <v>2228</v>
      </c>
      <c r="AW127" s="1" t="s">
        <v>2669</v>
      </c>
      <c r="AX127" s="1" t="s">
        <v>2670</v>
      </c>
      <c r="AY127" s="1" t="str">
        <f>IFERROR(__xludf.DUMMYFUNCTION("GOOGLETRANSLATE(AX:AX, ""en"", ""te"")"),"1 × వాల్టర్ మైనర్ 6-III ఎయిర్-కూల్డ్ సిక్స్ సిలిండర్ విలోమ ఇన్లైన్ ఇంజిన్, 120 కిలోవాట్ (160 హెచ్‌పి)")</f>
        <v>1 × వాల్టర్ మైనర్ 6-III ఎయిర్-కూల్డ్ సిక్స్ సిలిండర్ విలోమ ఇన్లైన్ ఇంజిన్, 120 కిలోవాట్ (160 హెచ్‌పి)</v>
      </c>
      <c r="BB127" s="1" t="s">
        <v>2671</v>
      </c>
      <c r="BC127" s="1" t="s">
        <v>1976</v>
      </c>
      <c r="BD127" s="1" t="s">
        <v>2672</v>
      </c>
      <c r="BG127" s="2"/>
      <c r="BS127" s="1" t="s">
        <v>2673</v>
      </c>
      <c r="BT127" s="1" t="s">
        <v>879</v>
      </c>
    </row>
    <row r="128">
      <c r="A128" s="1" t="s">
        <v>2674</v>
      </c>
      <c r="B128" s="1" t="str">
        <f>IFERROR(__xludf.DUMMYFUNCTION("GOOGLETRANSLATE(A:A, ""en"", ""te"")"),"AVIA B-135")</f>
        <v>AVIA B-135</v>
      </c>
      <c r="C128" s="1" t="s">
        <v>2675</v>
      </c>
      <c r="D128" s="1" t="str">
        <f>IFERROR(__xludf.DUMMYFUNCTION("GOOGLETRANSLATE(C:C, ""en"", ""te"")"),"AVIA B.135 (RLM హోదా AV-135) చెకోస్లోవాక్ కాంటిలివర్ మోనోప్లేన్ ఫైటర్ విమానం. ఇది AVIA B.35 యొక్క ఉత్పత్తి వెర్షన్, యుద్ధానికి కొంతకాలం ముందు అభివృద్ధి చేయబడింది, ఇది B.35/3 ప్రోటోటైప్ ఆధారంగా కానీ కొత్త ఆల్-మెటల్ వింగ్ కలిగి ఉంది. AVIA ప్లాంట్‌ను సందర్శి"&amp;"ంచే బల్గేరియన్ వైమానిక దళ అధికారుల దృష్టిని B.135/1 ప్రోటోటైప్ ఆకర్షించింది, మరియు 12 విమానాలు మరియు 62 ఇంజన్లకు ఉత్పత్తి ఒప్పందం కుదిరింది, అలాగే DAR చేత అదనంగా 50 ఎయిర్‌ఫ్రేమ్‌లను నిర్మించడానికి అనుమతించే లైసెన్స్ కూడా ఉంది దార్ 11 లియాస్టోవిట్సా (బల్గే"&amp;"రియన్: ""ляphart""; ""స్వాలో""). ఏదేమైనా, DAR సౌకర్యాలు విమానాన్ని ఉత్పత్తి చేయలేకపోతున్నాయని నిరూపించబడ్డాయి మరియు చెక్-నిర్మించిన 12 ఉదాహరణలు మాత్రమే ఎప్పుడూ చేయబడ్డాయి. 35 యూనిట్ల తర్వాత ఇంజిన్ డెలివరీలకు అంతరాయం కలిగించిన RLM చేత మరింత ఉత్పత్తి ప్రణాళ"&amp;"ికలు ఆర్‌ఎల్‌ఎం చేత ఆపివేయబడ్డాయి మరియు బదులుగా బల్గేరియన్ వైమానిక దళం మెసెర్స్‌మిట్ బిఎఫ్ 109 ను కొనుగోలు చేయమని ప్రోత్సహించారు. సేవలో, B.135 లలో నిరంతర ఇంజిన్ సమస్యలు ఉన్నాయి మరియు త్వరలోనే శిక్షణా పాత్రలకు పంపబడ్డాయి. ఏదేమైనా, నాలుగు విమానాలు 30 మార్చి"&amp;" 1944 న పోరాటాన్ని చూశాయి, వారు యుఎస్ఎఎఫ్ బాంబర్ నిర్మాణాలను ప్లోయిస్టిపై దాడి చేసిన తరువాత బల్గేరియన్ గగనతలంలో ఆక్రమించడాన్ని అడ్డుకున్నారు. కొంతమంది (బల్గేరియన్) సోర్సెస్ క్రెడిట్ లెఫ్టినెంట్ యోర్డాన్ ఫెర్డినాండోవ్ ఆ రోజు ఉదయం బి -24 లిబరేటర్ చంపడంతో. బ"&amp;"ెలే ప్రకారం, కెప్టెన్ అటానసోవ్ నేతృత్వంలోని నలుగురు ఏవియాస్, ఆ రోజు నాలుగు ఇంజిన్ చేసిన బాంబర్‌ను కాల్చడంలో పాల్గొన్నారు. [1] లెఫ్టినెంట్ యోర్డాన్ ఫెర్డినాండోవ్ యొక్క లాగ్ ప్రకారం, దిగిపోయిన విమానం ట్రాన్ మరియు బ్రెజ్నిక్ ప్రాంతంలో కూలిపోయింది. సాధారణ లక్"&amp;"షణాలు పనితీరు ఆయుధాలు పోల్చదగిన పాత్ర, కాన్ఫిగరేషన్ మరియు ERA సంబంధిత జాబితాల విమానం")</f>
        <v>AVIA B.135 (RLM హోదా AV-135) చెకోస్లోవాక్ కాంటిలివర్ మోనోప్లేన్ ఫైటర్ విమానం. ఇది AVIA B.35 యొక్క ఉత్పత్తి వెర్షన్, యుద్ధానికి కొంతకాలం ముందు అభివృద్ధి చేయబడింది, ఇది B.35/3 ప్రోటోటైప్ ఆధారంగా కానీ కొత్త ఆల్-మెటల్ వింగ్ కలిగి ఉంది. AVIA ప్లాంట్‌ను సందర్శించే బల్గేరియన్ వైమానిక దళ అధికారుల దృష్టిని B.135/1 ప్రోటోటైప్ ఆకర్షించింది, మరియు 12 విమానాలు మరియు 62 ఇంజన్లకు ఉత్పత్తి ఒప్పందం కుదిరింది, అలాగే DAR చేత అదనంగా 50 ఎయిర్‌ఫ్రేమ్‌లను నిర్మించడానికి అనుమతించే లైసెన్స్ కూడా ఉంది దార్ 11 లియాస్టోవిట్సా (బల్గేరియన్: "ляphart"; "స్వాలో"). ఏదేమైనా, DAR సౌకర్యాలు విమానాన్ని ఉత్పత్తి చేయలేకపోతున్నాయని నిరూపించబడ్డాయి మరియు చెక్-నిర్మించిన 12 ఉదాహరణలు మాత్రమే ఎప్పుడూ చేయబడ్డాయి. 35 యూనిట్ల తర్వాత ఇంజిన్ డెలివరీలకు అంతరాయం కలిగించిన RLM చేత మరింత ఉత్పత్తి ప్రణాళికలు ఆర్‌ఎల్‌ఎం చేత ఆపివేయబడ్డాయి మరియు బదులుగా బల్గేరియన్ వైమానిక దళం మెసెర్స్‌మిట్ బిఎఫ్ 109 ను కొనుగోలు చేయమని ప్రోత్సహించారు. సేవలో, B.135 లలో నిరంతర ఇంజిన్ సమస్యలు ఉన్నాయి మరియు త్వరలోనే శిక్షణా పాత్రలకు పంపబడ్డాయి. ఏదేమైనా, నాలుగు విమానాలు 30 మార్చి 1944 న పోరాటాన్ని చూశాయి, వారు యుఎస్ఎఎఫ్ బాంబర్ నిర్మాణాలను ప్లోయిస్టిపై దాడి చేసిన తరువాత బల్గేరియన్ గగనతలంలో ఆక్రమించడాన్ని అడ్డుకున్నారు. కొంతమంది (బల్గేరియన్) సోర్సెస్ క్రెడిట్ లెఫ్టినెంట్ యోర్డాన్ ఫెర్డినాండోవ్ ఆ రోజు ఉదయం బి -24 లిబరేటర్ చంపడంతో. బెలే ప్రకారం, కెప్టెన్ అటానసోవ్ నేతృత్వంలోని నలుగురు ఏవియాస్, ఆ రోజు నాలుగు ఇంజిన్ చేసిన బాంబర్‌ను కాల్చడంలో పాల్గొన్నారు. [1] లెఫ్టినెంట్ యోర్డాన్ ఫెర్డినాండోవ్ యొక్క లాగ్ ప్రకారం, దిగిపోయిన విమానం ట్రాన్ మరియు బ్రెజ్నిక్ ప్రాంతంలో కూలిపోయింది. సాధారణ లక్షణాలు పనితీరు ఆయుధాలు పోల్చదగిన పాత్ర, కాన్ఫిగరేషన్ మరియు ERA సంబంధిత జాబితాల విమానం</v>
      </c>
      <c r="E128" s="1" t="s">
        <v>2676</v>
      </c>
      <c r="F128" s="1" t="s">
        <v>421</v>
      </c>
      <c r="G128" s="1" t="str">
        <f>IFERROR(__xludf.DUMMYFUNCTION("GOOGLETRANSLATE(F:F, ""en"", ""te"")"),"యుద్ధ")</f>
        <v>యుద్ధ</v>
      </c>
      <c r="L128" s="1" t="s">
        <v>1314</v>
      </c>
      <c r="M128" s="1" t="str">
        <f>IFERROR(__xludf.DUMMYFUNCTION("GOOGLETRANSLATE(L:L, ""en"", ""te"")"),"ఏవియా")</f>
        <v>ఏవియా</v>
      </c>
      <c r="N128" s="3" t="s">
        <v>1315</v>
      </c>
      <c r="O128" s="1" t="s">
        <v>2677</v>
      </c>
      <c r="P128" s="1" t="str">
        <f>IFERROR(__xludf.DUMMYFUNCTION("GOOGLETRANSLATE(O:O, ""en"", ""te"")"),"ఫ్రాంటిసెక్ నోవోట్నే")</f>
        <v>ఫ్రాంటిసెక్ నోవోట్నే</v>
      </c>
      <c r="Q128" s="1" t="s">
        <v>2678</v>
      </c>
      <c r="R128" s="4">
        <v>14151.0</v>
      </c>
      <c r="S128" s="1">
        <v>12.0</v>
      </c>
      <c r="V128" s="1" t="s">
        <v>518</v>
      </c>
      <c r="W128" s="1" t="s">
        <v>2679</v>
      </c>
      <c r="X128" s="1" t="s">
        <v>2680</v>
      </c>
      <c r="Y128" s="1" t="s">
        <v>2681</v>
      </c>
      <c r="Z128" s="1" t="s">
        <v>197</v>
      </c>
      <c r="AG128" s="1" t="s">
        <v>2682</v>
      </c>
      <c r="AN128" s="1" t="s">
        <v>2683</v>
      </c>
      <c r="AX128" s="1" t="s">
        <v>2684</v>
      </c>
      <c r="AY128" s="1" t="str">
        <f>IFERROR(__xludf.DUMMYFUNCTION("GOOGLETRANSLATE(AX:AX, ""en"", ""te"")"),"1 × ఏవియా (హిస్పానో-సుయిజా) 12YCRS V-12 లిక్విడ్-కూల్డ్ పిస్టన్ ఇంజిన్, 641 kW (860 HP)")</f>
        <v>1 × ఏవియా (హిస్పానో-సుయిజా) 12YCRS V-12 లిక్విడ్-కూల్డ్ పిస్టన్ ఇంజిన్, 641 kW (860 HP)</v>
      </c>
      <c r="AZ128" s="1" t="s">
        <v>2685</v>
      </c>
      <c r="BA128" s="1" t="str">
        <f>IFERROR(__xludf.DUMMYFUNCTION("GOOGLETRANSLATE(AZ:AZ, ""en"", ""te"")"),"2-బ్లేడెడ్ చెక్క స్థిర పిచ్ ప్రొపెల్లర్")</f>
        <v>2-బ్లేడెడ్ చెక్క స్థిర పిచ్ ప్రొపెల్లర్</v>
      </c>
      <c r="BB128" s="1" t="s">
        <v>2686</v>
      </c>
      <c r="BC128" s="1" t="s">
        <v>2687</v>
      </c>
      <c r="BD128" s="1" t="s">
        <v>572</v>
      </c>
      <c r="BF128" s="1" t="s">
        <v>2688</v>
      </c>
      <c r="BG128" s="2" t="str">
        <f>IFERROR(__xludf.DUMMYFUNCTION("GOOGLETRANSLATE(BF:BF, ""en"", ""te"")"),"బల్గేరియన్ వైమానిక దళం")</f>
        <v>బల్గేరియన్ వైమానిక దళం</v>
      </c>
      <c r="BH128" s="1" t="s">
        <v>2689</v>
      </c>
      <c r="BS128" s="1" t="s">
        <v>2690</v>
      </c>
      <c r="BT128" s="1" t="s">
        <v>2691</v>
      </c>
      <c r="BX128" s="1"/>
      <c r="BY128" s="1" t="s">
        <v>2692</v>
      </c>
    </row>
    <row r="129">
      <c r="A129" s="1" t="s">
        <v>2693</v>
      </c>
      <c r="B129" s="1" t="str">
        <f>IFERROR(__xludf.DUMMYFUNCTION("GOOGLETRANSLATE(A:A, ""en"", ""te"")"),"ఫీసెలర్ ఫై 98")</f>
        <v>ఫీసెలర్ ఫై 98</v>
      </c>
      <c r="C129" s="1" t="s">
        <v>2694</v>
      </c>
      <c r="D129" s="1" t="str">
        <f>IFERROR(__xludf.DUMMYFUNCTION("GOOGLETRANSLATE(C:C, ""en"", ""te"")"),"ఫైసెలర్ ఫై 98 అనేది హెన్షెల్ హెచ్ఎస్ 123 కు ప్రత్యర్థిగా జర్మన్ విమాన తయారీదారు ఫీజిలర్ చేత ఉత్పత్తి చేయబడిన ఒక ప్రోటోటైప్ గ్రౌండ్-అటాక్ విమానం. స్థాయి దాడి మరియు డైవ్ బాంబు దాడి. మూడు ప్రోటోటైప్‌లు ఆదేశించబడ్డాయి, వీటిలో ఒక నమూనా పూర్తయింది, మరియు డిజైన్"&amp;" HS 123 కు అనుకూలంగా తిరస్కరించబడింది. మోడల్ యొక్క రూపకల్పన, బ్రేస్డ్-వింగ్ బిప్‌లేన్ తప్పనిసరిగా వాడుకలో లేదు. థర్డ్ రీచ్ యొక్క యుద్ధ విమానాల నుండి డేటా, [1] లుఫ్ట్‌వాఫ్ సీక్రెట్ ప్రాజెక్ట్స్: గ్రౌండ్ అటాక్ &amp; స్పెషల్ పర్పస్ ఎయిర్‌క్రాఫ్ట్ [2] సాధారణ లక్ష"&amp;"ణాలు పనితీరు ఆయుధాలు పోల్చదగిన పాత్ర, కాన్ఫిగరేషన్ మరియు యుగం సంబంధిత జాబితాలు")</f>
        <v>ఫైసెలర్ ఫై 98 అనేది హెన్షెల్ హెచ్ఎస్ 123 కు ప్రత్యర్థిగా జర్మన్ విమాన తయారీదారు ఫీజిలర్ చేత ఉత్పత్తి చేయబడిన ఒక ప్రోటోటైప్ గ్రౌండ్-అటాక్ విమానం. స్థాయి దాడి మరియు డైవ్ బాంబు దాడి. మూడు ప్రోటోటైప్‌లు ఆదేశించబడ్డాయి, వీటిలో ఒక నమూనా పూర్తయింది, మరియు డిజైన్ HS 123 కు అనుకూలంగా తిరస్కరించబడింది. మోడల్ యొక్క రూపకల్పన, బ్రేస్డ్-వింగ్ బిప్‌లేన్ తప్పనిసరిగా వాడుకలో లేదు. థర్డ్ రీచ్ యొక్క యుద్ధ విమానాల నుండి డేటా, [1] లుఫ్ట్‌వాఫ్ సీక్రెట్ ప్రాజెక్ట్స్: గ్రౌండ్ అటాక్ &amp; స్పెషల్ పర్పస్ ఎయిర్‌క్రాఫ్ట్ [2] సాధారణ లక్షణాలు పనితీరు ఆయుధాలు పోల్చదగిన పాత్ర, కాన్ఫిగరేషన్ మరియు యుగం సంబంధిత జాబితాలు</v>
      </c>
      <c r="E129" s="1" t="s">
        <v>2695</v>
      </c>
      <c r="F129" s="1" t="s">
        <v>2696</v>
      </c>
      <c r="G129" s="1" t="str">
        <f>IFERROR(__xludf.DUMMYFUNCTION("GOOGLETRANSLATE(F:F, ""en"", ""te"")"),"డైవ్ బాంబర్‌గ్రౌండ్-అటాక్ విమానం")</f>
        <v>డైవ్ బాంబర్‌గ్రౌండ్-అటాక్ విమానం</v>
      </c>
      <c r="I129" s="1" t="s">
        <v>185</v>
      </c>
      <c r="J129" s="1" t="str">
        <f>IFERROR(__xludf.DUMMYFUNCTION("GOOGLETRANSLATE(I:I, ""en"", ""te"")"),"జర్మనీ")</f>
        <v>జర్మనీ</v>
      </c>
      <c r="K129" s="3" t="s">
        <v>186</v>
      </c>
      <c r="L129" s="1" t="s">
        <v>2697</v>
      </c>
      <c r="M129" s="1" t="str">
        <f>IFERROR(__xludf.DUMMYFUNCTION("GOOGLETRANSLATE(L:L, ""en"", ""te"")"),"ఫీజిలర్")</f>
        <v>ఫీజిలర్</v>
      </c>
      <c r="N129" s="3" t="s">
        <v>2698</v>
      </c>
      <c r="R129" s="1">
        <v>1935.0</v>
      </c>
      <c r="S129" s="1">
        <v>1.0</v>
      </c>
      <c r="V129" s="1">
        <v>1.0</v>
      </c>
      <c r="W129" s="1" t="s">
        <v>2699</v>
      </c>
      <c r="X129" s="1" t="s">
        <v>987</v>
      </c>
      <c r="Y129" s="1" t="s">
        <v>2352</v>
      </c>
      <c r="Z129" s="1" t="s">
        <v>2700</v>
      </c>
      <c r="AG129" s="1" t="s">
        <v>2701</v>
      </c>
      <c r="AH129" s="1" t="s">
        <v>2702</v>
      </c>
      <c r="AX129" s="1" t="s">
        <v>2703</v>
      </c>
      <c r="AY129" s="1" t="str">
        <f>IFERROR(__xludf.DUMMYFUNCTION("GOOGLETRANSLATE(AX:AX, ""en"", ""te"")"),"1 × BMW 132A-2 9-సిలిండర్ ఎయిర్-కూల్డ్ రేడియల్ ఇంజిన్, 485 kW (650 HP)")</f>
        <v>1 × BMW 132A-2 9-సిలిండర్ ఎయిర్-కూల్డ్ రేడియల్ ఇంజిన్, 485 kW (650 HP)</v>
      </c>
      <c r="AZ129" s="1" t="s">
        <v>1857</v>
      </c>
      <c r="BA129" s="1" t="str">
        <f>IFERROR(__xludf.DUMMYFUNCTION("GOOGLETRANSLATE(AZ:AZ, ""en"", ""te"")"),"3-బ్లేడెడ్ వేరియబుల్-పిచ్ ప్రొపెల్లర్")</f>
        <v>3-బ్లేడెడ్ వేరియబుల్-పిచ్ ప్రొపెల్లర్</v>
      </c>
      <c r="BB129" s="1" t="s">
        <v>2704</v>
      </c>
      <c r="BC129" s="1" t="s">
        <v>855</v>
      </c>
      <c r="BD129" s="1" t="s">
        <v>658</v>
      </c>
      <c r="BG129" s="2"/>
      <c r="BT129" s="1" t="s">
        <v>2705</v>
      </c>
      <c r="BU129" s="1" t="s">
        <v>2626</v>
      </c>
      <c r="BV129" s="1" t="str">
        <f>IFERROR(__xludf.DUMMYFUNCTION("GOOGLETRANSLATE(BU:BU, ""en"", ""te"")"),"ప్రోటోటైప్ మాత్రమే")</f>
        <v>ప్రోటోటైప్ మాత్రమే</v>
      </c>
      <c r="CB129" s="1" t="s">
        <v>2706</v>
      </c>
      <c r="CC129" s="1" t="s">
        <v>2707</v>
      </c>
      <c r="CD129" s="1" t="str">
        <f>IFERROR(__xludf.DUMMYFUNCTION("GOOGLETRANSLATE(CC:CC, ""en"", ""te"")"),"2 x ఫిక్స్‌డ్ ఫార్వర్డ్-ఫైరింగ్ 7.92 మిమీ (0 అంగుళాలు) ఎంజి 17 మెషిన్ గన్స్")</f>
        <v>2 x ఫిక్స్‌డ్ ఫార్వర్డ్-ఫైరింగ్ 7.92 మిమీ (0 అంగుళాలు) ఎంజి 17 మెషిన్ గన్స్</v>
      </c>
      <c r="CE129" s="1" t="s">
        <v>2708</v>
      </c>
      <c r="CF129" s="1" t="str">
        <f>IFERROR(__xludf.DUMMYFUNCTION("GOOGLETRANSLATE(CE:CE, ""en"", ""te"")"),"4 x 50 కిలోలు (110 ఎల్బి) బాంబులు")</f>
        <v>4 x 50 కిలోలు (110 ఎల్బి) బాంబులు</v>
      </c>
    </row>
    <row r="130">
      <c r="A130" s="1" t="s">
        <v>2709</v>
      </c>
      <c r="B130" s="1" t="str">
        <f>IFERROR(__xludf.DUMMYFUNCTION("GOOGLETRANSLATE(A:A, ""en"", ""te"")"),"SZD-45 OGAR")</f>
        <v>SZD-45 OGAR</v>
      </c>
      <c r="C130" s="1" t="s">
        <v>2710</v>
      </c>
      <c r="D130" s="1" t="str">
        <f>IFERROR(__xludf.DUMMYFUNCTION("GOOGLETRANSLATE(C:C, ""en"", ""te"")"),"SZD-45 OGAR (హౌండ్) అనేది చెక్క, అల్యూమినియం మరియు ఫైబర్‌గ్లాస్ నిర్మాణం యొక్క టి-టెయిల్డ్ కాంటిలివర్ హై-వింగ్ మోనోప్లేన్, ఇది పోలాండ్‌లో రూపొందించబడింది మరియు తయారు చేయబడింది. రూపకల్పన BU DIBS-Ing. తడియస్జ్ లాబక్, 2-సీట్ల ఓగర్ గ్లైడర్ పైలట్లకు AB-ఇన్సిటి"&amp;"యో నుండి అధునాతన దశలతో పాటు క్రాస్ కంట్రీ ఫ్లయింగ్‌కు శిక్షణ ఇవ్వడానికి ఉద్దేశించబడింది. మొదటి నమూనా, (రెగ్. నం. SP -0001), మొదట 29 మే 1973 న 34 కిలోవాట్ల (45 హెచ్‌పి) స్టార్క్-స్టామో ఇంజిన్‌తో నడిచింది. స్టామో ఇంజిన్ అందుబాటులో లేనందున, ఉత్పత్తి SZD-45A "&amp;"OGARS ను 51 kW (68 HP) లింబాచ్ SL1700EC ఇంజిన్లతో మరియు తరువాత ఫ్రాంక్లిన్ 2A-120 ఇంజన్లతో SZD-45-2 OGAR F గా నిర్మించారు. [1] పాడ్ మరియు బూమ్ లేఅవుట్ యొక్క ఓగార్ ఒక గొట్టపు అల్యూమినియం మిశ్రమం గొట్టపు గొట్టపు బూమ్ మీద టి-తోకను కలిగి ఉంది, ఇది ఫ్యూజ్‌లేజ్"&amp;" పాడ్ యొక్క కీల్ నుండి విస్తరించి ఉంది, ఇది కాక్‌పిట్ మరియు ఇంజిన్‌ను కలిగి ఉంటుంది. నిర్మాణంలో వివిధ రకాల పదార్థాలు ఉపయోగించబడతాయి, రెండు లోడ్-బేరింగ్ చెక్క ఫ్రేమ్‌లపై గ్లాస్-ఫైబర్ కాక్‌పిట్ షెల్ ఉంటుంది. రెక్కలు చెక్క సింగిల్-స్పేర్ నిర్మాణం ప్లైవుడ్‌తో"&amp;" చర్మం గలవి మరియు గ్లాస్-ఫైబర్‌తో కప్పబడి ఉంటాయి. ఇంజిన్ ఫ్యూజ్‌లేజ్ పాడ్ వెనుక భాగంలో అమర్చబడి ఉంటుంది, అదే స్థాయిలో రెక్కల వెనుకంజలో ఉన్న అంచు మరియు పషర్ ప్రొపెల్లర్‌ను నడుపుతుంది. అండర్ క్యారేజీలో డిస్క్ బ్రేక్, స్టీరబుల్ టెయిల్‌వీల్ మరియు ఐచ్ఛిక అవుట్"&amp;"రిగ్గర్ వీల్స్ వింగ్-టిప్స్ వద్ద సౌకర్యవంతమైన స్ట్రట్‌లతో అమర్చిన సెమీ-రిట్రాక్టేబుల్ మెయిన్‌వీల్‌ను కలిగి ఉంటుంది. ఇద్దరు పైలట్లకు వసతి వెనుక వైపున ఉన్న పైకి ఓపెనింగ్ పందిరి కింద పక్కపక్కనే అందించబడుతుంది. సాధారణ ఏరోబాటిక్స్ కోసం OGAR ధృవీకరించబడింది. [1"&amp;"] 66 ఉత్పత్తి విమానాలలో, 41 ఎగుమతి చేయబడ్డాయి; అమెరికాకు ఉద్దేశించినవి ద్వంద్వ-జ్వలన, టర్బోచార్జ్డ్, రెవ్‌మాస్టర్/వోక్స్వ్యాగన్ VW 2962 ఇంజిన్లతో పనిచేశాయి. [1] జేన్ యొక్క వరల్డ్ సెయిల్ ప్లాన్స్ మరియు మోటార్ గ్లైడర్స్, [1] గ్లైడర్స్ &amp; సెయిల్ ప్లానెస్ ఆఫ్ "&amp;"ది వరల్డ్ నుండి డేటా [2] సాధారణ లక్షణాల పనితీరు")</f>
        <v>SZD-45 OGAR (హౌండ్) అనేది చెక్క, అల్యూమినియం మరియు ఫైబర్‌గ్లాస్ నిర్మాణం యొక్క టి-టెయిల్డ్ కాంటిలివర్ హై-వింగ్ మోనోప్లేన్, ఇది పోలాండ్‌లో రూపొందించబడింది మరియు తయారు చేయబడింది. రూపకల్పన BU DIBS-Ing. తడియస్జ్ లాబక్, 2-సీట్ల ఓగర్ గ్లైడర్ పైలట్లకు AB-ఇన్సిటియో నుండి అధునాతన దశలతో పాటు క్రాస్ కంట్రీ ఫ్లయింగ్‌కు శిక్షణ ఇవ్వడానికి ఉద్దేశించబడింది. మొదటి నమూనా, (రెగ్. నం. SP -0001), మొదట 29 మే 1973 న 34 కిలోవాట్ల (45 హెచ్‌పి) స్టార్క్-స్టామో ఇంజిన్‌తో నడిచింది. స్టామో ఇంజిన్ అందుబాటులో లేనందున, ఉత్పత్తి SZD-45A OGARS ను 51 kW (68 HP) లింబాచ్ SL1700EC ఇంజిన్లతో మరియు తరువాత ఫ్రాంక్లిన్ 2A-120 ఇంజన్లతో SZD-45-2 OGAR F గా నిర్మించారు. [1] పాడ్ మరియు బూమ్ లేఅవుట్ యొక్క ఓగార్ ఒక గొట్టపు అల్యూమినియం మిశ్రమం గొట్టపు గొట్టపు బూమ్ మీద టి-తోకను కలిగి ఉంది, ఇది ఫ్యూజ్‌లేజ్ పాడ్ యొక్క కీల్ నుండి విస్తరించి ఉంది, ఇది కాక్‌పిట్ మరియు ఇంజిన్‌ను కలిగి ఉంటుంది. నిర్మాణంలో వివిధ రకాల పదార్థాలు ఉపయోగించబడతాయి, రెండు లోడ్-బేరింగ్ చెక్క ఫ్రేమ్‌లపై గ్లాస్-ఫైబర్ కాక్‌పిట్ షెల్ ఉంటుంది. రెక్కలు చెక్క సింగిల్-స్పేర్ నిర్మాణం ప్లైవుడ్‌తో చర్మం గలవి మరియు గ్లాస్-ఫైబర్‌తో కప్పబడి ఉంటాయి. ఇంజిన్ ఫ్యూజ్‌లేజ్ పాడ్ వెనుక భాగంలో అమర్చబడి ఉంటుంది, అదే స్థాయిలో రెక్కల వెనుకంజలో ఉన్న అంచు మరియు పషర్ ప్రొపెల్లర్‌ను నడుపుతుంది. అండర్ క్యారేజీలో డిస్క్ బ్రేక్, స్టీరబుల్ టెయిల్‌వీల్ మరియు ఐచ్ఛిక అవుట్రిగ్గర్ వీల్స్ వింగ్-టిప్స్ వద్ద సౌకర్యవంతమైన స్ట్రట్‌లతో అమర్చిన సెమీ-రిట్రాక్టేబుల్ మెయిన్‌వీల్‌ను కలిగి ఉంటుంది. ఇద్దరు పైలట్లకు వసతి వెనుక వైపున ఉన్న పైకి ఓపెనింగ్ పందిరి కింద పక్కపక్కనే అందించబడుతుంది. సాధారణ ఏరోబాటిక్స్ కోసం OGAR ధృవీకరించబడింది. [1] 66 ఉత్పత్తి విమానాలలో, 41 ఎగుమతి చేయబడ్డాయి; అమెరికాకు ఉద్దేశించినవి ద్వంద్వ-జ్వలన, టర్బోచార్జ్డ్, రెవ్‌మాస్టర్/వోక్స్వ్యాగన్ VW 2962 ఇంజిన్లతో పనిచేశాయి. [1] జేన్ యొక్క వరల్డ్ సెయిల్ ప్లాన్స్ మరియు మోటార్ గ్లైడర్స్, [1] గ్లైడర్స్ &amp; సెయిల్ ప్లానెస్ ఆఫ్ ది వరల్డ్ నుండి డేటా [2] సాధారణ లక్షణాల పనితీరు</v>
      </c>
      <c r="E130" s="1" t="s">
        <v>2711</v>
      </c>
      <c r="F130" s="1" t="s">
        <v>2712</v>
      </c>
      <c r="G130" s="1" t="str">
        <f>IFERROR(__xludf.DUMMYFUNCTION("GOOGLETRANSLATE(F:F, ""en"", ""te"")"),"2-సీట్ల మోటారుగ్లైడర్")</f>
        <v>2-సీట్ల మోటారుగ్లైడర్</v>
      </c>
      <c r="I130" s="1" t="s">
        <v>1938</v>
      </c>
      <c r="J130" s="1" t="str">
        <f>IFERROR(__xludf.DUMMYFUNCTION("GOOGLETRANSLATE(I:I, ""en"", ""te"")"),"పోలాండ్")</f>
        <v>పోలాండ్</v>
      </c>
      <c r="K130" s="3" t="s">
        <v>1939</v>
      </c>
      <c r="L130" s="1" t="s">
        <v>2713</v>
      </c>
      <c r="M130" s="1" t="str">
        <f>IFERROR(__xludf.DUMMYFUNCTION("GOOGLETRANSLATE(L:L, ""en"", ""te"")"),"Szd (szybowowy jakład doświadczalny)")</f>
        <v>Szd (szybowowy jakład doświadczalny)</v>
      </c>
      <c r="O130" s="1" t="s">
        <v>2714</v>
      </c>
      <c r="P130" s="1" t="str">
        <f>IFERROR(__xludf.DUMMYFUNCTION("GOOGLETRANSLATE(O:O, ""en"", ""te"")"),"తడస్జ్ లాబుక్ [1]")</f>
        <v>తడస్జ్ లాబుక్ [1]</v>
      </c>
      <c r="Q130" s="1" t="s">
        <v>2715</v>
      </c>
      <c r="R130" s="1" t="s">
        <v>2716</v>
      </c>
      <c r="S130" s="1" t="s">
        <v>2717</v>
      </c>
      <c r="T130" s="1" t="s">
        <v>216</v>
      </c>
      <c r="V130" s="1">
        <v>2.0</v>
      </c>
      <c r="W130" s="1" t="s">
        <v>2718</v>
      </c>
      <c r="X130" s="1" t="s">
        <v>2719</v>
      </c>
      <c r="Y130" s="1" t="s">
        <v>2720</v>
      </c>
      <c r="Z130" s="1" t="s">
        <v>2721</v>
      </c>
      <c r="AE130" s="1">
        <v>16.2</v>
      </c>
      <c r="AF130" s="1" t="s">
        <v>2722</v>
      </c>
      <c r="AG130" s="1" t="s">
        <v>2723</v>
      </c>
      <c r="AI130" s="1" t="s">
        <v>298</v>
      </c>
      <c r="AK130" s="1" t="s">
        <v>2724</v>
      </c>
      <c r="AL130" s="1" t="s">
        <v>2725</v>
      </c>
      <c r="AM130" s="1" t="s">
        <v>2726</v>
      </c>
      <c r="AW130" s="1" t="s">
        <v>2727</v>
      </c>
      <c r="AX130" s="1" t="s">
        <v>2728</v>
      </c>
      <c r="AY130" s="1" t="str">
        <f>IFERROR(__xludf.DUMMYFUNCTION("GOOGLETRANSLATE(AX:AX, ""en"", ""te"")"),"1 × లింబాచ్ SL 1700EC 4-CYL. ఎయిర్-కూల్డ్ అడ్డంగా వ్యతిరేకించిన పిస్టన్ ఇంజిన్, 50.7 kW (68.0 HP)")</f>
        <v>1 × లింబాచ్ SL 1700EC 4-CYL. ఎయిర్-కూల్డ్ అడ్డంగా వ్యతిరేకించిన పిస్టన్ ఇంజిన్, 50.7 kW (68.0 HP)</v>
      </c>
      <c r="AZ130" s="1" t="s">
        <v>2729</v>
      </c>
      <c r="BA130" s="1" t="str">
        <f>IFERROR(__xludf.DUMMYFUNCTION("GOOGLETRANSLATE(AZ:AZ, ""en"", ""te"")"),"2-బ్లేడెడ్ హాఫ్మన్ పషర్ ప్రొపెల్లర్")</f>
        <v>2-బ్లేడెడ్ హాఫ్మన్ పషర్ ప్రొపెల్లర్</v>
      </c>
      <c r="BB130" s="1" t="s">
        <v>2730</v>
      </c>
      <c r="BG130" s="2"/>
      <c r="BR130" s="1" t="s">
        <v>2731</v>
      </c>
      <c r="BT130" s="1" t="s">
        <v>2732</v>
      </c>
      <c r="BX130" s="1"/>
      <c r="BY130" s="1" t="s">
        <v>2733</v>
      </c>
      <c r="EN130" s="1" t="s">
        <v>2734</v>
      </c>
    </row>
    <row r="131">
      <c r="A131" s="1" t="s">
        <v>2735</v>
      </c>
      <c r="B131" s="1" t="str">
        <f>IFERROR(__xludf.DUMMYFUNCTION("GOOGLETRANSLATE(A:A, ""en"", ""te"")"),"LVG C.Vi")</f>
        <v>LVG C.Vi</v>
      </c>
      <c r="C131" s="1" t="s">
        <v>2736</v>
      </c>
      <c r="D131" s="1" t="str">
        <f>IFERROR(__xludf.DUMMYFUNCTION("GOOGLETRANSLATE(C:C, ""en"", ""te"")"),"LVG C.VI అనేది ప్రపంచ యుద్ధంలో ఉపయోగించిన జర్మన్ రెండు-సీట్ల నిఘా మరియు ఫిరంగిదళాల మచ్చలు. ఈ విమానం విల్లీ సాబెర్స్కీ-ముస్సిగ్‌బ్రోడ్ట్ చేత రూపొందించబడింది మరియు 1917 లో లఫ్ట్-వెర్కెహర్స్-గెసెల్స్‌చాఫ్ట్ (LVG) చేత అభివృద్ధి చేయబడింది. C.VI. తన మాజీ యజమాని"&amp;" డిఎఫ్‌డబ్ల్యు కోసం సాబెర్స్కీ-ముస్సిగ్‌బ్రోడ్ట్ చేసిన సి.వి యొక్క మరింత అభివృద్ధి. ఇది తేలికైనది, చిన్నది మరియు ఏరోడైనమిక్‌గా శుద్ధి చేయబడింది, అయినప్పటికీ దాని ఫ్యూజ్‌లేజ్ మరింత స్థూలంగా అనిపించింది. ఇది మిశ్రమ, ఎక్కువగా చెక్క నిర్మాణం యొక్క బిప్‌లేన్. "&amp;"ఇందులో సెమీ-మోనోకోక్ ఫ్యూజ్‌లేజ్ ఉంది, ప్లైవుడ్ కవర్ చేయబడింది. చెక్క మరియు లోహ నిర్మాణం యొక్క దీర్ఘచతురస్రాకార రెక్కలు, కాన్వాస్ కప్పబడి ఉంటాయి. కొంచెం ఎక్కువ వ్యవధి యొక్క ఎగువ వింగ్, 25 సెం.మీ (10 అంగుళాలు) ముందు వైపుకు మారింది. కప్పబడిన మెటల్ ఫ్రేమ్ కా"&amp;"న్వాస్ యొక్క నిలువు ఫిన్ ప్లైవుడ్, చుక్కాని మరియు ఎలివేటర్లు, చెక్క ఫ్రేమ్ కాన్వాస్ యొక్క స్టెబిలైజర్లు (టెయిల్‌ప్లాన్లు) కప్పబడి ఉంటాయి. చిమ్నీ లాంటి ఎగ్జాస్ట్ పైపుతో ఫ్యూజ్‌లేజ్ ముక్కులో స్ట్రెయిట్ వెలికితీసిన ఇంజిన్. రెండు-బ్లేడ్ బెంజ్ చెక్క ప్రొపెల్లర"&amp;"్, 2.88 మీ (9.45 అడుగులు) వ్యాసం. అప్పర్ వింగ్ యొక్క సెంట్రల్ విభాగంలో ఫ్లాట్ వాటర్ రేడియేటర్. స్థిరమైన సాంప్రదాయిక ల్యాండింగ్ గేర్, సూటిగా సాధారణ ఇరుసు మరియు వెనుక స్కిడ్‌తో. విమానం రేడియోను కలిగి ఉంది (మోర్స్; పంపండి మాత్రమే); ప్రసారాలు యాంటెన్నా ద్వారా"&amp;", అవసరమైనప్పుడు విమానం క్రింద తగ్గించబడతాయి. సిబ్బందిలో పారాచూట్లు మరియు వేడిచేసిన ఫ్లయింగ్ సూట్లు ఉన్నాయి. రకం యొక్క మొత్తం 1,100 విమానాలు తయారు చేయబడ్డాయి. [1] యుద్ధానంతర పోస్ట్-ఓపెన్ కాక్‌పిట్ యొక్క ప్రయాణీకుల క్యాబిన్లతో ఉన్న అనేక సి.విస్‌ను రాబ్-కాట్"&amp;"జెన్‌స్టెయిన్ ఎల్‌విజి పి.ఐ. చాలా LVG C.VIS ను జర్మన్ మిలిటరీ ఏవియేషన్ మొదటి ప్రపంచ యుద్ధం యొక్క చివరి కార్యకలాపాలలో, ఎక్కువగా వెస్ట్రన్ ఫ్రంట్‌లో, దగ్గరి నిఘా మరియు పరిశీలన కోసం ఉపయోగించారు. యుద్ధం తరువాత, డ్యూయిష్ లుఫ్ట్-రిడెరెయి (డిఎల్ఆర్) మెయిల్ మరియు"&amp;" ప్రయాణీకుల రవాణా సేవలను అందించడానికి అనేక సి.విస్‌ను ఉపయోగించారు. పోలిష్ వైమానిక దళం పోలిష్-సోవియట్ యుద్ధంలో అనేక విమానాలను ఉపయోగించింది, ఒకటి జర్మన్లు ​​వదిలివేసింది, మరొకటి 1920 లో భాగాల నుండి పూర్తయింది మరియు మరెన్నో విదేశాలకు కొనుగోలు చేయబడింది. సుమె"&amp;"న్ ఇల్మైలులికెన్నే ఓయ్ 1923 లో రెండు సి.విస్‌ను కొనుగోలు చేసింది, స్వీడన్ విమానయాన సంస్థ నుండి 1922 లో దివాళా తీసింది, ఏరో ఓ/వై మరియు ఫిన్నేర్ లకు ముందున్నది. ఫిన్నిష్ వైమానిక దళం రెండు విమానాలను కొనుగోలు చేసింది; ఒకటి 1923 లో సంతహామినాలో ఒక స్పిన్ లో నాశ"&amp;"నం చేయబడింది, మరొకటి 1924 చివరి వరకు ఉపయోగించబడింది. 20 కంటే ఎక్కువ మంది లిథువేనియా చేత ఉపయోగించబడింది, వీటిలో రెండు 1940 వరకు బయటపడ్డాయి. మూడు చెకోస్లోవేకియాలో ఉపయోగించబడ్డాయి, రెండు, రెండు ఇన్ స్విట్జర్లాండ్ (1920-1929) మరియు యుఎస్ఎస్ఆర్లో చాలా ఉన్నాయి."&amp;" ఈ రోజు, మూడు బతికి ఉన్న సి.విస్ ఉన్నాయి. ప్రస్తుతం కాస్ఫోర్డ్‌లోని RAF మ్యూజియంలో ఒకటి పునరుద్ధరించబడుతోంది, ఒకటి బెల్జియంలోని రాయల్ మ్యూజియం ఆఫ్ ది ఆర్మ్డ్ ఫోర్సెస్ అండ్ మిలిటరీ హిస్టరీలో ప్రదర్శించబడింది మరియు మూడవది పారిస్‌లోని మ్యూసీ డి ఎల్ ఎయిర్ ఎట్"&amp;" డి ఎస్పేస్ వద్ద ఉంది. తులినిస్టా హార్నెట్టిన్ నుండి డేటా [3] సాధారణ లక్షణాలు పనితీరు ఆయుధ సంబంధిత అభివృద్ధికి సంబంధించిన అభివృద్ధి విమానం, కాన్ఫిగరేషన్ మరియు ERA సంబంధిత జాబితాలు")</f>
        <v>LVG C.VI అనేది ప్రపంచ యుద్ధంలో ఉపయోగించిన జర్మన్ రెండు-సీట్ల నిఘా మరియు ఫిరంగిదళాల మచ్చలు. ఈ విమానం విల్లీ సాబెర్స్కీ-ముస్సిగ్‌బ్రోడ్ట్ చేత రూపొందించబడింది మరియు 1917 లో లఫ్ట్-వెర్కెహర్స్-గెసెల్స్‌చాఫ్ట్ (LVG) చేత అభివృద్ధి చేయబడింది. C.VI. తన మాజీ యజమాని డిఎఫ్‌డబ్ల్యు కోసం సాబెర్స్కీ-ముస్సిగ్‌బ్రోడ్ట్ చేసిన సి.వి యొక్క మరింత అభివృద్ధి. ఇది తేలికైనది, చిన్నది మరియు ఏరోడైనమిక్‌గా శుద్ధి చేయబడింది, అయినప్పటికీ దాని ఫ్యూజ్‌లేజ్ మరింత స్థూలంగా అనిపించింది. ఇది మిశ్రమ, ఎక్కువగా చెక్క నిర్మాణం యొక్క బిప్‌లేన్. ఇందులో సెమీ-మోనోకోక్ ఫ్యూజ్‌లేజ్ ఉంది, ప్లైవుడ్ కవర్ చేయబడింది. చెక్క మరియు లోహ నిర్మాణం యొక్క దీర్ఘచతురస్రాకార రెక్కలు, కాన్వాస్ కప్పబడి ఉంటాయి. కొంచెం ఎక్కువ వ్యవధి యొక్క ఎగువ వింగ్, 25 సెం.మీ (10 అంగుళాలు) ముందు వైపుకు మారింది. కప్పబడిన మెటల్ ఫ్రేమ్ కాన్వాస్ యొక్క నిలువు ఫిన్ ప్లైవుడ్, చుక్కాని మరియు ఎలివేటర్లు, చెక్క ఫ్రేమ్ కాన్వాస్ యొక్క స్టెబిలైజర్లు (టెయిల్‌ప్లాన్లు) కప్పబడి ఉంటాయి. చిమ్నీ లాంటి ఎగ్జాస్ట్ పైపుతో ఫ్యూజ్‌లేజ్ ముక్కులో స్ట్రెయిట్ వెలికితీసిన ఇంజిన్. రెండు-బ్లేడ్ బెంజ్ చెక్క ప్రొపెల్లర్, 2.88 మీ (9.45 అడుగులు) వ్యాసం. అప్పర్ వింగ్ యొక్క సెంట్రల్ విభాగంలో ఫ్లాట్ వాటర్ రేడియేటర్. స్థిరమైన సాంప్రదాయిక ల్యాండింగ్ గేర్, సూటిగా సాధారణ ఇరుసు మరియు వెనుక స్కిడ్‌తో. విమానం రేడియోను కలిగి ఉంది (మోర్స్; పంపండి మాత్రమే); ప్రసారాలు యాంటెన్నా ద్వారా, అవసరమైనప్పుడు విమానం క్రింద తగ్గించబడతాయి. సిబ్బందిలో పారాచూట్లు మరియు వేడిచేసిన ఫ్లయింగ్ సూట్లు ఉన్నాయి. రకం యొక్క మొత్తం 1,100 విమానాలు తయారు చేయబడ్డాయి. [1] యుద్ధానంతర పోస్ట్-ఓపెన్ కాక్‌పిట్ యొక్క ప్రయాణీకుల క్యాబిన్లతో ఉన్న అనేక సి.విస్‌ను రాబ్-కాట్జెన్‌స్టెయిన్ ఎల్‌విజి పి.ఐ. చాలా LVG C.VIS ను జర్మన్ మిలిటరీ ఏవియేషన్ మొదటి ప్రపంచ యుద్ధం యొక్క చివరి కార్యకలాపాలలో, ఎక్కువగా వెస్ట్రన్ ఫ్రంట్‌లో, దగ్గరి నిఘా మరియు పరిశీలన కోసం ఉపయోగించారు. యుద్ధం తరువాత, డ్యూయిష్ లుఫ్ట్-రిడెరెయి (డిఎల్ఆర్) మెయిల్ మరియు ప్రయాణీకుల రవాణా సేవలను అందించడానికి అనేక సి.విస్‌ను ఉపయోగించారు. పోలిష్ వైమానిక దళం పోలిష్-సోవియట్ యుద్ధంలో అనేక విమానాలను ఉపయోగించింది, ఒకటి జర్మన్లు ​​వదిలివేసింది, మరొకటి 1920 లో భాగాల నుండి పూర్తయింది మరియు మరెన్నో విదేశాలకు కొనుగోలు చేయబడింది. సుమెన్ ఇల్మైలులికెన్నే ఓయ్ 1923 లో రెండు సి.విస్‌ను కొనుగోలు చేసింది, స్వీడన్ విమానయాన సంస్థ నుండి 1922 లో దివాళా తీసింది, ఏరో ఓ/వై మరియు ఫిన్నేర్ లకు ముందున్నది. ఫిన్నిష్ వైమానిక దళం రెండు విమానాలను కొనుగోలు చేసింది; ఒకటి 1923 లో సంతహామినాలో ఒక స్పిన్ లో నాశనం చేయబడింది, మరొకటి 1924 చివరి వరకు ఉపయోగించబడింది. 20 కంటే ఎక్కువ మంది లిథువేనియా చేత ఉపయోగించబడింది, వీటిలో రెండు 1940 వరకు బయటపడ్డాయి. మూడు చెకోస్లోవేకియాలో ఉపయోగించబడ్డాయి, రెండు, రెండు ఇన్ స్విట్జర్లాండ్ (1920-1929) మరియు యుఎస్ఎస్ఆర్లో చాలా ఉన్నాయి. ఈ రోజు, మూడు బతికి ఉన్న సి.విస్ ఉన్నాయి. ప్రస్తుతం కాస్ఫోర్డ్‌లోని RAF మ్యూజియంలో ఒకటి పునరుద్ధరించబడుతోంది, ఒకటి బెల్జియంలోని రాయల్ మ్యూజియం ఆఫ్ ది ఆర్మ్డ్ ఫోర్సెస్ అండ్ మిలిటరీ హిస్టరీలో ప్రదర్శించబడింది మరియు మూడవది పారిస్‌లోని మ్యూసీ డి ఎల్ ఎయిర్ ఎట్ డి ఎస్పేస్ వద్ద ఉంది. తులినిస్టా హార్నెట్టిన్ నుండి డేటా [3] సాధారణ లక్షణాలు పనితీరు ఆయుధ సంబంధిత అభివృద్ధికి సంబంధించిన అభివృద్ధి విమానం, కాన్ఫిగరేషన్ మరియు ERA సంబంధిత జాబితాలు</v>
      </c>
      <c r="E131" s="1" t="s">
        <v>2737</v>
      </c>
      <c r="F131" s="1" t="s">
        <v>1292</v>
      </c>
      <c r="G131" s="1" t="str">
        <f>IFERROR(__xludf.DUMMYFUNCTION("GOOGLETRANSLATE(F:F, ""en"", ""te"")"),"నిఘా విమానం")</f>
        <v>నిఘా విమానం</v>
      </c>
      <c r="L131" s="1" t="s">
        <v>2738</v>
      </c>
      <c r="M131" s="1" t="str">
        <f>IFERROR(__xludf.DUMMYFUNCTION("GOOGLETRANSLATE(L:L, ""en"", ""te"")"),"Luft-verkehrs-gesellschaft G.M.B.H.")</f>
        <v>Luft-verkehrs-gesellschaft G.M.B.H.</v>
      </c>
      <c r="N131" s="1" t="s">
        <v>2739</v>
      </c>
      <c r="R131" s="1">
        <v>1917.0</v>
      </c>
      <c r="S131" s="1" t="s">
        <v>2740</v>
      </c>
      <c r="V131" s="1">
        <v>2.0</v>
      </c>
      <c r="W131" s="1" t="s">
        <v>2741</v>
      </c>
      <c r="X131" s="1" t="s">
        <v>293</v>
      </c>
      <c r="Y131" s="1" t="s">
        <v>2742</v>
      </c>
      <c r="Z131" s="1" t="s">
        <v>2743</v>
      </c>
      <c r="AG131" s="1" t="s">
        <v>2744</v>
      </c>
      <c r="AN131" s="3" t="s">
        <v>2745</v>
      </c>
      <c r="AO131" s="1">
        <v>1918.0</v>
      </c>
      <c r="AX131" s="1" t="s">
        <v>2746</v>
      </c>
      <c r="AY131" s="1" t="str">
        <f>IFERROR(__xludf.DUMMYFUNCTION("GOOGLETRANSLATE(AX:AX, ""en"", ""te"")"),"1 × బెంజ్ BZ.IV 6-సిలిండర్ వాటర్-కూల్డ్ ఇన్-లైన్ పిస్టన్ ఇంజిన్, 147 kW (197 HP)")</f>
        <v>1 × బెంజ్ BZ.IV 6-సిలిండర్ వాటర్-కూల్డ్ ఇన్-లైన్ పిస్టన్ ఇంజిన్, 147 kW (197 HP)</v>
      </c>
      <c r="AZ131" s="1" t="s">
        <v>297</v>
      </c>
      <c r="BA131" s="1" t="str">
        <f>IFERROR(__xludf.DUMMYFUNCTION("GOOGLETRANSLATE(AZ:AZ, ""en"", ""te"")"),"2-బ్లేడెడ్ ఫిక్స్‌డ్-పిచ్ ప్రొపెల్లర్")</f>
        <v>2-బ్లేడెడ్ ఫిక్స్‌డ్-పిచ్ ప్రొపెల్లర్</v>
      </c>
      <c r="BB131" s="1" t="s">
        <v>2747</v>
      </c>
      <c r="BD131" s="1" t="s">
        <v>1785</v>
      </c>
      <c r="BF131" s="1" t="s">
        <v>2748</v>
      </c>
      <c r="BG131" s="2" t="str">
        <f>IFERROR(__xludf.DUMMYFUNCTION("GOOGLETRANSLATE(BF:BF, ""en"", ""te"")"),"Luftstreitkräfte")</f>
        <v>Luftstreitkräfte</v>
      </c>
      <c r="BH131" s="1" t="s">
        <v>2749</v>
      </c>
      <c r="BI131" s="1" t="s">
        <v>2750</v>
      </c>
      <c r="BJ131" s="1" t="s">
        <v>2751</v>
      </c>
      <c r="BS131" s="1" t="s">
        <v>2752</v>
      </c>
      <c r="BT131" s="1" t="s">
        <v>2234</v>
      </c>
      <c r="BW131" s="1">
        <v>1918.0</v>
      </c>
      <c r="BX131" s="1"/>
      <c r="BY131" s="1" t="s">
        <v>2753</v>
      </c>
    </row>
    <row r="132">
      <c r="A132" s="1" t="s">
        <v>2754</v>
      </c>
      <c r="B132" s="1" t="str">
        <f>IFERROR(__xludf.DUMMYFUNCTION("GOOGLETRANSLATE(A:A, ""en"", ""te"")"),"బార్టెల్ BM 5")</f>
        <v>బార్టెల్ BM 5</v>
      </c>
      <c r="C132" s="1" t="s">
        <v>2755</v>
      </c>
      <c r="D132" s="1" t="str">
        <f>IFERROR(__xludf.DUMMYFUNCTION("GOOGLETRANSLATE(C:C, ""en"", ""te"")"),"ప్రారంభంలో M.5 అని పిలువబడే బార్టెల్ BM 5, పోజ్నాస్లోని సమోలోట్ ఫ్యాక్టరీలో తయారు చేయబడిన పోలిష్ వైమానిక దళం 1930 నుండి 1939 వరకు ఉపయోగించిన పోలిష్ బికేన్ అడ్వాన్స్‌డ్ ట్రైనర్. ఈ విమానం పోజ్నాస్‌లోని సమోలోట్ ఫ్యాక్టరీలో రైస్‌జార్డ్ బార్టెల్ చేత రూపొందించబ"&amp;"డింది, ఒక అధునాతన శిక్షకుడిగా, ప్రాధమిక శిక్షకులు మరియు బాంబర్ లేదా నిఘా విమానాల మధ్య తాత్కాలికంగా ఉంది. బార్టెల్ 1926 నుండి తన BM-3 అడ్వాన్స్‌డ్ ట్రైనర్ డిజైన్‌లో పనిచేశాడు, ఇది ప్రాథమిక రూపకల్పనలో సైనిక పోటీని గెలుచుకుంది, కాని ఈ సమయంలో అతను చాలా విజయవం"&amp;"తమైన ప్రాధమిక శిక్షకుడు బార్టెల్ BM-4 ను అభివృద్ధి చేశాడు మరియు ఆ విమానంలో అధునాతన శిక్షకుడిని మోడల్ చేయాలని నిర్ణయించుకున్నాడు , మంచి మన్నికను పొందటానికి. ఫలితం BM 5 డిజైన్. BM 5 ప్రోటోటైప్ 1928 లో నిర్మించబడింది మరియు ఆ సంవత్సరం జూలై 27 న పోజ్నాస్లో ప్ర"&amp;"యాణించారు. ఇది మంచి నిర్వహణ, అధిక స్థిరత్వం మరియు స్పిన్ నిరోధకతను కలిగి ఉంది, ఇది పెద్ద విమానాలకు తగిన శిక్షకుడిగా మారింది. అన్ని బార్టెల్స్ యొక్క ప్రత్యేక లక్షణం తక్కువ వ్యవధి యొక్క ఎగువ వింగ్, ఎందుకంటే తక్కువ మరియు ఎగువ రెక్క భాగాలు పరస్పరం మార్చుకోగలవ"&amp;"ు (అనగా దిగువ వింగ్స్పాన్ ఫ్యూజ్‌లేజ్ యొక్క వెడల్పును కలిగి ఉంది). మొదటి నమూనా BM 5A గా నియమించబడింది మరియు 220 HP (160 kW) ఆస్ట్రో-డైమ్లర్ ఇన్లైన్ ఇంజిన్‌తో అమర్చబడింది. రెండవ నమూనా, 15 ఏప్రిల్ 1929 న ఎగిరింది, BM 5B గా నియమించబడింది మరియు 230 HP (170 kW"&amp;") SPA-6A ఇన్లైన్ ఇంజిన్‌తో అమర్చబడింది, తరువాత ఆగస్టులో 320 HP (240 kW) హిస్పానో-సుజా 8FB V- తో రీఫిట్ చేయబడింది ఇంజిన్ మరియు పున es రూపకల్పన చేసిన BM 5C (ఇది బ్రిస్టల్ F.2 ఫైటర్ నుండి ఇంజిన్ దుకాణాలను ఉపయోగించుకోవటానికి ఉద్దేశించబడింది). ప్రతి రకం యొక్క "&amp;"తదుపరి 20 విమానం నిర్మించబడింది: BM 5A, BM 5B మరియు BM 5C. చాలా BM 5 ల యొక్క ప్రతికూలత పాత మరియు తప్పు ఇంజన్లు. అన్ని వేరియంట్ల నుండి BM 5A వేరియంట్ భారీగా ఉంది మరియు చెత్త పనితీరును కలిగి ఉంది. ఆ కారణంగా, 1935 లో ఒక BM 5 ను PZL వర్క్స్‌లో 240 HP (180 kW)"&amp;" రైట్ వర్ల్‌విండ్ J-5 రేడియల్ ఇంజిన్‌తో అమర్చారు, పోలాండ్‌లో ఉత్పత్తి చేయబడింది (పోలిష్ స్కోడా వర్క్స్, తరువాత ఏవియా). ఈ వేరియంట్ BM 5D మరియు BM 5A మరియు BM-5B యొక్క BM 5D మరియు 20 ను BM 5D గా మార్చారు. బిఎమ్ 5 లు పోలిష్ వైమానిక దళంలో 1930 నుండి, డిబ్లిన్"&amp;"‌లోని సెంట్రల్ పైలట్ల పాఠశాలలో శిక్షణ కోసం ఉపయోగించబడ్డాయి. ఐదు BM 5C లు పుక్‌లోని నావల్ ఎయిర్ యూనిట్ (MDLOT) లో ఉపయోగించబడ్డాయి, కాని చాలావరకు 1930 ల రెండవ భాగంలో వ్రాయబడ్డాయి మరియు PWS-26 తో భర్తీ చేయబడ్డాయి. సెప్టెంబర్ 1939 లో జర్మన్ పోలాండ్పై జర్మన్ ద"&amp;"ండయాత్ర వరకు కొందరు బయటపడ్డారు, కాని ఎవరూ యుద్ధంలో బయటపడలేదు. చెక్క నిర్మాణ బిప్‌లేన్. క్రాస్ -సెక్షన్‌లో ఫ్యూజ్‌లేజ్ దీర్ఘచతురస్రాకార, ప్లైవుడ్ కవర్ (ఇంజిన్ విభాగం - అల్యూమినియం కవర్). దీర్ఘచతురస్రాకార రెండు-స్పేర్ రెక్కలు, ప్లైవుడ్ మరియు కాన్వాస్ కప్పబడ"&amp;"ి ఉన్నాయి. ఇద్దరు సిబ్బంది, ఓపెన్ కాక్‌పిట్స్‌లో కలిసి కూర్చుని, వ్యక్తిగత విండ్‌షీల్డ్‌లు మరియు జంట నియంత్రణలతో, వెనుక కాక్‌పిట్‌లో బోధకుడు. స్థిర ల్యాండింగ్ గేర్, వెనుక స్కిడ్‌తో. ముందు ఇంజిన్, ఫ్యూజ్‌లేజ్ ముక్కు (BM-4A, B, C) క్రింద నీటి రేడియేటర్‌తో. "&amp;"రెండు-బ్లేడ్ చెక్క ప్రొపెల్లర్. ఎగువ రెక్కలు మరియు ఫ్యూజ్‌లేజ్‌లోని ఇంధన ట్యాంకులు, సామర్థ్యం: 235-270 ఎల్. పోలిష్ విమానాల నుండి డేటా 1893-1939 [1] సాధారణ లక్షణాల పనితీరు")</f>
        <v>ప్రారంభంలో M.5 అని పిలువబడే బార్టెల్ BM 5, పోజ్నాస్లోని సమోలోట్ ఫ్యాక్టరీలో తయారు చేయబడిన పోలిష్ వైమానిక దళం 1930 నుండి 1939 వరకు ఉపయోగించిన పోలిష్ బికేన్ అడ్వాన్స్‌డ్ ట్రైనర్. ఈ విమానం పోజ్నాస్‌లోని సమోలోట్ ఫ్యాక్టరీలో రైస్‌జార్డ్ బార్టెల్ చేత రూపొందించబడింది, ఒక అధునాతన శిక్షకుడిగా, ప్రాధమిక శిక్షకులు మరియు బాంబర్ లేదా నిఘా విమానాల మధ్య తాత్కాలికంగా ఉంది. బార్టెల్ 1926 నుండి తన BM-3 అడ్వాన్స్‌డ్ ట్రైనర్ డిజైన్‌లో పనిచేశాడు, ఇది ప్రాథమిక రూపకల్పనలో సైనిక పోటీని గెలుచుకుంది, కాని ఈ సమయంలో అతను చాలా విజయవంతమైన ప్రాధమిక శిక్షకుడు బార్టెల్ BM-4 ను అభివృద్ధి చేశాడు మరియు ఆ విమానంలో అధునాతన శిక్షకుడిని మోడల్ చేయాలని నిర్ణయించుకున్నాడు , మంచి మన్నికను పొందటానికి. ఫలితం BM 5 డిజైన్. BM 5 ప్రోటోటైప్ 1928 లో నిర్మించబడింది మరియు ఆ సంవత్సరం జూలై 27 న పోజ్నాస్లో ప్రయాణించారు. ఇది మంచి నిర్వహణ, అధిక స్థిరత్వం మరియు స్పిన్ నిరోధకతను కలిగి ఉంది, ఇది పెద్ద విమానాలకు తగిన శిక్షకుడిగా మారింది. అన్ని బార్టెల్స్ యొక్క ప్రత్యేక లక్షణం తక్కువ వ్యవధి యొక్క ఎగువ వింగ్, ఎందుకంటే తక్కువ మరియు ఎగువ రెక్క భాగాలు పరస్పరం మార్చుకోగలవు (అనగా దిగువ వింగ్స్పాన్ ఫ్యూజ్‌లేజ్ యొక్క వెడల్పును కలిగి ఉంది). మొదటి నమూనా BM 5A గా నియమించబడింది మరియు 220 HP (160 kW) ఆస్ట్రో-డైమ్లర్ ఇన్లైన్ ఇంజిన్‌తో అమర్చబడింది. రెండవ నమూనా, 15 ఏప్రిల్ 1929 న ఎగిరింది, BM 5B గా నియమించబడింది మరియు 230 HP (170 kW) SPA-6A ఇన్లైన్ ఇంజిన్‌తో అమర్చబడింది, తరువాత ఆగస్టులో 320 HP (240 kW) హిస్పానో-సుజా 8FB V- తో రీఫిట్ చేయబడింది ఇంజిన్ మరియు పున es రూపకల్పన చేసిన BM 5C (ఇది బ్రిస్టల్ F.2 ఫైటర్ నుండి ఇంజిన్ దుకాణాలను ఉపయోగించుకోవటానికి ఉద్దేశించబడింది). ప్రతి రకం యొక్క తదుపరి 20 విమానం నిర్మించబడింది: BM 5A, BM 5B మరియు BM 5C. చాలా BM 5 ల యొక్క ప్రతికూలత పాత మరియు తప్పు ఇంజన్లు. అన్ని వేరియంట్ల నుండి BM 5A వేరియంట్ భారీగా ఉంది మరియు చెత్త పనితీరును కలిగి ఉంది. ఆ కారణంగా, 1935 లో ఒక BM 5 ను PZL వర్క్స్‌లో 240 HP (180 kW) రైట్ వర్ల్‌విండ్ J-5 రేడియల్ ఇంజిన్‌తో అమర్చారు, పోలాండ్‌లో ఉత్పత్తి చేయబడింది (పోలిష్ స్కోడా వర్క్స్, తరువాత ఏవియా). ఈ వేరియంట్ BM 5D మరియు BM 5A మరియు BM-5B యొక్క BM 5D మరియు 20 ను BM 5D గా మార్చారు. బిఎమ్ 5 లు పోలిష్ వైమానిక దళంలో 1930 నుండి, డిబ్లిన్‌లోని సెంట్రల్ పైలట్ల పాఠశాలలో శిక్షణ కోసం ఉపయోగించబడ్డాయి. ఐదు BM 5C లు పుక్‌లోని నావల్ ఎయిర్ యూనిట్ (MDLOT) లో ఉపయోగించబడ్డాయి, కాని చాలావరకు 1930 ల రెండవ భాగంలో వ్రాయబడ్డాయి మరియు PWS-26 తో భర్తీ చేయబడ్డాయి. సెప్టెంబర్ 1939 లో జర్మన్ పోలాండ్పై జర్మన్ దండయాత్ర వరకు కొందరు బయటపడ్డారు, కాని ఎవరూ యుద్ధంలో బయటపడలేదు. చెక్క నిర్మాణ బిప్‌లేన్. క్రాస్ -సెక్షన్‌లో ఫ్యూజ్‌లేజ్ దీర్ఘచతురస్రాకార, ప్లైవుడ్ కవర్ (ఇంజిన్ విభాగం - అల్యూమినియం కవర్). దీర్ఘచతురస్రాకార రెండు-స్పేర్ రెక్కలు, ప్లైవుడ్ మరియు కాన్వాస్ కప్పబడి ఉన్నాయి. ఇద్దరు సిబ్బంది, ఓపెన్ కాక్‌పిట్స్‌లో కలిసి కూర్చుని, వ్యక్తిగత విండ్‌షీల్డ్‌లు మరియు జంట నియంత్రణలతో, వెనుక కాక్‌పిట్‌లో బోధకుడు. స్థిర ల్యాండింగ్ గేర్, వెనుక స్కిడ్‌తో. ముందు ఇంజిన్, ఫ్యూజ్‌లేజ్ ముక్కు (BM-4A, B, C) క్రింద నీటి రేడియేటర్‌తో. రెండు-బ్లేడ్ చెక్క ప్రొపెల్లర్. ఎగువ రెక్కలు మరియు ఫ్యూజ్‌లేజ్‌లోని ఇంధన ట్యాంకులు, సామర్థ్యం: 235-270 ఎల్. పోలిష్ విమానాల నుండి డేటా 1893-1939 [1] సాధారణ లక్షణాల పనితీరు</v>
      </c>
      <c r="E132" s="1" t="s">
        <v>2756</v>
      </c>
      <c r="F132" s="1" t="s">
        <v>834</v>
      </c>
      <c r="G132" s="1" t="str">
        <f>IFERROR(__xludf.DUMMYFUNCTION("GOOGLETRANSLATE(F:F, ""en"", ""te"")"),"ట్రైనర్ విమానం")</f>
        <v>ట్రైనర్ విమానం</v>
      </c>
      <c r="H132" s="1" t="s">
        <v>835</v>
      </c>
      <c r="L132" s="1" t="s">
        <v>2757</v>
      </c>
      <c r="M132" s="1" t="str">
        <f>IFERROR(__xludf.DUMMYFUNCTION("GOOGLETRANSLATE(L:L, ""en"", ""te"")"),"సమోలోట్")</f>
        <v>సమోలోట్</v>
      </c>
      <c r="N132" s="3" t="s">
        <v>2758</v>
      </c>
      <c r="R132" s="4">
        <v>10436.0</v>
      </c>
      <c r="S132" s="1">
        <v>62.0</v>
      </c>
      <c r="T132" s="1" t="s">
        <v>216</v>
      </c>
      <c r="V132" s="1">
        <v>2.0</v>
      </c>
      <c r="W132" s="1" t="s">
        <v>2759</v>
      </c>
      <c r="X132" s="1" t="s">
        <v>2760</v>
      </c>
      <c r="Y132" s="1" t="s">
        <v>2761</v>
      </c>
      <c r="Z132" s="1" t="s">
        <v>2762</v>
      </c>
      <c r="AE132" s="1">
        <v>7.0</v>
      </c>
      <c r="AG132" s="1" t="s">
        <v>2763</v>
      </c>
      <c r="AH132" s="1" t="s">
        <v>2764</v>
      </c>
      <c r="AM132" s="1" t="s">
        <v>2765</v>
      </c>
      <c r="AO132" s="1">
        <v>1930.0</v>
      </c>
      <c r="AQ132" s="1">
        <v>1939.0</v>
      </c>
      <c r="AW132" s="1" t="s">
        <v>2766</v>
      </c>
      <c r="AX132" s="1" t="s">
        <v>2767</v>
      </c>
      <c r="AY132" s="1" t="str">
        <f>IFERROR(__xludf.DUMMYFUNCTION("GOOGLETRANSLATE(AX:AX, ""en"", ""te"")"),"1 × స్పా 6 ఎ 6-సిల్. వాటర్-కూల్డ్ ఇన్-లైన్ పిస్టన్ ఇంజిన్, 160 కిలోవాట్ (220 హెచ్‌పి)")</f>
        <v>1 × స్పా 6 ఎ 6-సిల్. వాటర్-కూల్డ్ ఇన్-లైన్ పిస్టన్ ఇంజిన్, 160 కిలోవాట్ (220 హెచ్‌పి)</v>
      </c>
      <c r="AZ132" s="1" t="s">
        <v>2768</v>
      </c>
      <c r="BA132" s="1" t="str">
        <f>IFERROR(__xludf.DUMMYFUNCTION("GOOGLETRANSLATE(AZ:AZ, ""en"", ""te"")"),"2-బ్లేడెడ్ స్జోమాస్కి స్థిర పిచ్ చెక్క ప్రొపెల్లర్")</f>
        <v>2-బ్లేడెడ్ స్జోమాస్కి స్థిర పిచ్ చెక్క ప్రొపెల్లర్</v>
      </c>
      <c r="BB132" s="1" t="s">
        <v>2769</v>
      </c>
      <c r="BC132" s="1" t="s">
        <v>1911</v>
      </c>
      <c r="BD132" s="1" t="s">
        <v>2770</v>
      </c>
      <c r="BE132" s="1" t="s">
        <v>2771</v>
      </c>
      <c r="BF132" s="1" t="s">
        <v>2158</v>
      </c>
      <c r="BG132" s="2" t="str">
        <f>IFERROR(__xludf.DUMMYFUNCTION("GOOGLETRANSLATE(BF:BF, ""en"", ""te"")"),"పోలిష్ వైమానిక దళం")</f>
        <v>పోలిష్ వైమానిక దళం</v>
      </c>
      <c r="BH132" s="1" t="s">
        <v>2159</v>
      </c>
      <c r="BR132" s="1" t="s">
        <v>2772</v>
      </c>
      <c r="BS132" s="1" t="s">
        <v>2773</v>
      </c>
      <c r="BT132" s="1" t="s">
        <v>2774</v>
      </c>
      <c r="BW132" s="1" t="s">
        <v>2775</v>
      </c>
      <c r="CB132" s="1" t="s">
        <v>2776</v>
      </c>
    </row>
    <row r="133">
      <c r="A133" s="1" t="s">
        <v>2777</v>
      </c>
      <c r="B133" s="1" t="str">
        <f>IFERROR(__xludf.DUMMYFUNCTION("GOOGLETRANSLATE(A:A, ""en"", ""te"")"),"గ్రోబ్ G180 SPN")</f>
        <v>గ్రోబ్ G180 SPN</v>
      </c>
      <c r="C133" s="1" t="s">
        <v>2778</v>
      </c>
      <c r="D133" s="1" t="str">
        <f>IFERROR(__xludf.DUMMYFUNCTION("GOOGLETRANSLATE(C:C, ""en"", ""te"")"),"GROB G180 SPN అనేది తక్కువ-వింగ్ ట్విన్-ఇంజిన్డ్ కాంపోజిట్ కార్పొరేట్ జెట్, ఇది జర్మన్ విమాన తయారీదారు గ్రోబ్ ఏరోస్పేస్ చేత రూపొందించబడింది మరియు నిర్మించబడింది. గ్రోబ్ యొక్క దివాలాకు ప్రతిస్పందనగా 2008 లో అభివృద్ధి నిలిపివేయబడింది; అప్పటి నుండి, ప్రోగ్రా"&amp;"మ్‌ను తిరిగి ప్రారంభించడానికి బహుళ ప్రయత్నాలు జరిగాయి. శతాబ్దం ప్రారంభంలో, జర్మన్ విమాన తయారీదారు గ్రోబ్ ఏరోస్పేస్ మోటారు గ్లైడర్స్ మరియు ట్రైనర్ విమానాల ఉత్పత్తిదారుగా స్థిరపడింది. [1] ఏదేమైనా, 2000 ల మధ్యలో, జెట్-శక్తితో కూడిన తేలికపాటి విమానాలను రూపకల్"&amp;"పన చేయాలని కంపెనీ నిర్ణయించింది; గ్రోబ్ యొక్క టుస్సేన్హాసెన్-మ్యాట్సీస్ సదుపాయంలో సాపేక్ష రహస్యంగా అభివృద్ధి పనులు జరిగాయి. గ్రహించిన మార్కెట్ డిమాండ్‌కు ప్రతిస్పందనగా, ఈ విమానం సాంప్రదాయకంగా టర్బోప్రాప్-శక్తితో పనిచేసే విమానాలతో సంబంధం కలిగి ఉన్న స్వల్ప-"&amp;"క్షేత్ర మరియు కార్గో-మోసే పనితీరును కలిగి ఉంటుంది, అలాగే మిశ్రమ పదార్థాల విస్తృతమైన ఉపయోగం. [1] విమానం యొక్క అవసరాలు స్విస్ ఆధారిత కంపెనీ ఎగ్జిక్యూట్ ఏవియేషన్ గ్రూపుతో సన్నిహిత సహకారంతో నిర్వచించబడ్డాయి. గ్రోబ్ ఏరోస్పేస్ ప్రెసిడెంట్ డాక్టర్ ఆండ్రియాస్ ప్ల"&amp;"ెస్కే డిజైన్ గురించి ఇలా అన్నారు: ""మేము జెట్ విమానాల యొక్క కొత్త వర్గాన్ని సృష్టించాము"". [1] దీనిని మొదట 'SPN యుటిలిటీ జెట్' అని పిలుస్తారు. [1] ప్రామాణిక లేఅవుట్లో, క్యాబిన్ గరిష్టంగా ఎనిమిది మంది ప్రయాణికులను కూర్చుంది; ఒక సాధారణ క్యాబిన్ కాన్ఫిగరేషన్"&amp;"‌లో ఫార్వర్డ్ టాయిలెట్ మరియు బేసిక్ గాలీ ఉండేవి. 11.5m3 (405ft3) మరియు 1.64 మీ హెడ్‌రూమ్ వాల్యూమ్ ఉన్న క్యాబిన్, ఒక ప్రయాణీకుడి నుండి కార్గో కాన్ఫిగరేషన్ లేదా దీనికి విరుద్ధంగా ఒక గంటలో మార్చవచ్చు, అలాగే ప్రయాణీకులు మరియు సరుకుల మధ్య స్థలాన్ని పంచుకునే కా"&amp;"ంబి కాన్ఫిగరేషన్‌ను వసతి కల్పిస్తుంది . [[ రెక్కలు మరియు ఫ్యూజ్‌లేజ్ రెండూ కఠినమైన కార్బన్ ఫైబర్ రీన్ఫోర్స్డ్ ప్లాస్టిక్ (సిఎఫ్‌ఆర్‌పి) మిశ్రమంతో కూడి ఉన్నాయి, వీటిని అధిక-రీన్ఫోర్స్డ్ అండర్ క్యారేజీతో కలిపి చేశారు. ఈ అండర్ క్యారేజీలో యాంటీ-లాక్ బ్రేక్‌లు"&amp;", పెద్ద చక్రాలు మరియు తక్కువ-పీడన టైర్లు ఉన్నాయి, ఈ విమానం కఠినమైన మరియు ఆకట్టుకోని ల్యాండింగ్ స్ట్రిప్స్ నుండి ఇబ్బంది లేని సాధారణ కార్యకలాపాలను చేయగల సామర్థ్యం కలిగి ఉంది. [2] ఈ విమానం ఒక జత విలియమ్స్ FJ44-3A టర్బోఫాన్ ఇంజిన్లచే శక్తిని పొందింది, ఇది 2,"&amp;"800LB (12KN) థ్రస్ట్ వరకు ఉత్పత్తి చేయగలదు; కాక్‌పిట్‌ను హనీవెల్ యొక్క అపెక్స్ ఇంటిగ్రేటెడ్ ఏవియానిక్స్ సూట్‌తో అమర్చారు, ఇందులో ఒక జత 15in (0.4 మీ) ప్రాధమిక విమాన ప్రదర్శనలు మరియు రెండు 10in మల్టీ-ఫంక్షన్ డిస్ప్లేలు ఉన్నాయి. [1] మెరుగైన విజన్ సిస్టమ్, ఆట"&amp;"ో-థొరెటల్, ఎమర్జెన్సీ డీసెంట్ మోడ్ మరియు ఎలక్ట్రానిక్ ఫ్లైట్ బ్యాగ్‌తో సహా వివిధ ఐచ్ఛిక అంశాలను అంగీకరించడానికి ఏవియానిక్స్ రూపొందించబడ్డాయి. [2] [3] మే 2005 లో, మొదటి నమూనా పూర్తయింది; మొదటి కొన్ని అమ్మకాలు తరువాతి వారాల్లో భద్రపరచబడ్డాయి. [1] జూన్ 2005 "&amp;"లో, కార్యక్రమం యొక్క ఉనికి బహిరంగంగా వెల్లడైంది. 20 జూలై 2005 న, మొదటి నమూనా తన తొలి విమానంలో ప్రదర్శించబడింది, చీఫ్ టెస్ట్ పైలట్ గెరార్డ్ గుయిలామడ్ చేత ఎగిరింది, తరువాత అతను ఇలా వ్యాఖ్యానించాడు: ""ఫ్లైట్ సమయంలో, అన్ని వ్యవస్థలు మరియు నియంత్రణలు expected "&amp;"హించిన విధంగా ప్రదర్శించబడ్డాయి ... విమానం నిర్వహించడం సులభం మరియు ఇది ఎగరడానికి ఆనందం "". [4] [5] ఈ సమయానికి, ఎగ్జిక్యూటిజెట్ ఏవియేషన్ గ్రూప్‌ను విమానానికి ప్రత్యేకమైన ప్రపంచవ్యాప్త అమ్మకాల పంపిణీదారు మరియు నిర్వహణ మద్దతు భాగస్వామిగా నియమించారు; యుటిలిటీ"&amp;" బిజినెస్ జెట్ మార్కెట్లో రాబోయే 10 సంవత్సరాలలో సుమారు 400 విమానాల అమ్మకాలను అంచనా వేసినట్లు ఎగ్జిక్యూజెట్ పేర్కొంది, దీని కోసం SPN ను ఏకైక ఎంపికగా చూసింది. [1] [6] మే 2006 లో, ఆరు-సీట్ల విఐపి క్యాబిన్ కాన్ఫిగరేషన్ రకం కోసం వెల్లడైంది. [2] [7] నవంబర్ 2006"&amp;" లో, GROB ఉత్పత్తి చేయబడుతున్న విమానం యొక్క విస్తరించిన వేరియంట్ అభివృద్ధిపై గణనీయమైన ఆసక్తిని పొందిందని, నార్త్రోప్ గ్రుమ్మన్ RQ-4 గ్లోబల్ హాక్ మానవరహిత వైమానిక వాహనానికి ఖరీదైన మార్పుగా నిఘా ప్రయోజనాల కోసం సహా, నిఘా ప్రయోజనాలతో సహా. [8 ] రకం ఆధారంగా విమ"&amp;"ానాల కుటుంబం కోసం ప్రణాళికలు రూపొందించబడ్డాయి. [9] 29 నవంబర్ 2006 న, రెండవ నమూనా క్రాష్ ద్వారా నాశనం చేయబడింది ఇది ప్రమాద సమయంలో ప్రదర్శన విమానంలో ఉంది. [10] తరువాతి దర్యాప్తు ప్రమాదం యొక్క ప్రాధమిక కారణం ఎలివేటర్లు మరియు టెయిల్‌ప్లేన్‌లో అల్లాడుతుండటం అన"&amp;"ి నిర్ణయించింది. [11] ప్రమాదం ఉన్నప్పటికీ, మూడవ నమూనా ఉత్పత్తిపై పనులు కొనసాగాయి. [10] ఈ క్రాష్ సంస్థ యొక్క ధృవీకరణ టైమ్‌టేబుల్‌ను ప్రభావితం చేసింది, ఇది 2007 మొదటి త్రైమాసికంలో యూరోపియన్ ఏవియేషన్ సేఫ్టీ ఏజెన్సీ (EASA) రకం ధృవీకరణ కోసం పిలుపునిచ్చింది. [5"&amp;"] ఫిబ్రవరి 2007 లో, మూడు నెలల విరామం తరువాత, విమాన పరీక్ష మూడవ నమూనాను ఉపయోగించి తిరిగి ప్రారంభమైంది; ఈ సమయానికి, ధృవీకరణ 2008 ప్రారంభంలో లక్ష్యంగా ఉంది. [12] నవంబర్ 2008 లో, G180 యొక్క అభివృద్ధి గ్రోబ్ ఏరోస్పేస్ యొక్క దివాలాతో నిలిపివేయబడింది. [13] ఈ కార"&amp;"్యక్రమానికి ఒక ప్రధాన పెట్టుబడిదారుడిని ఉపసంహరించుకోవడం వల్ల కంపెనీ ఆర్థిక పరిస్థితులు తీవ్రంగా ప్రభావితమయ్యాయి, ఈ కార్యక్రమానికి ఆలస్యం వల్ల తీవ్రతరం అయ్యింది. గొప్ప మాంద్యం మధ్య పెట్టుబడి పెంచడానికి తరువాతి ప్రయత్నాలు చేసినప్పటికీ, ఇవి విజయవంతం కాలేదు. "&amp;"[14] గ్రోబ్ యొక్క ప్రస్తుత ఉత్పత్తి శ్రేణి కొత్తగా ఏర్పడిన గ్రోబ్ విమానాల ఆస్తిగా మారినప్పటికీ, G180 ప్రోగ్రామ్ సంస్థ యొక్క అతిపెద్ద రుణదాత యొక్క యాజమాన్యంలో పడింది. సంస్థ పతనానికి ముందు, G180 కోసం సుమారు 100 ఆర్డర్లు పొందబడ్డాయి, ఇది జాబితా ధర 9 5.9 మిలి"&amp;"యన్ ($ 8.7 మిలియన్లు). [13] [15] గ్రోబ్ యొక్క దివాలా ఫలితంగా విమానానికి హక్కులు మిత్రరాజ్యాల విమానయాన సాంకేతిక పరిజ్ఞానం ద్వారా పొందబడ్డాయి. [13] మార్చి 2009 లో, ఈ కార్యక్రమాన్ని తిరిగి సక్రియం చేయడానికి ఉద్దేశించినట్లు ప్రకటించారు. [16] సెప్టెంబర్ 2010 ల"&amp;"ో, డాహెర్ అనుబంధ సంస్థ సోకాటా రాబోయే కొద్ది నెలల్లో G180 SPN ని అంచనా వేస్తున్నట్లు ప్రకటించింది మరియు మిత్రరాజ్యాల విమానయాన సాంకేతిక పరిజ్ఞానం నుండి ప్రోగ్రామ్ సంపాదించడాన్ని పరిశీలిస్తోంది. [13] ఏదేమైనా, 2012 లో, డాహెర్-సోకాటా, విమానం యొక్క ఏడాది పొడవున"&amp;"ా మూల్యాంకనం తరువాత, ఇది అనేక లోపాలను గుర్తించింది మరియు దాని అభివృద్ధిలో పాల్గొనదని పేర్కొంది; బదులుగా దాని స్వంత క్లీన్-షీట్ ట్విన్-ఇంజిన్ డిజైన్‌ను కొనసాగించడానికి ఇష్టపడతారని కంపెనీ పేర్కొంది. [17] చాలా సంవత్సరాల నిశ్శబ్దం తరువాత, నివేదికలు 2015 లో సం"&amp;"భావ్య పునరుజ్జీవనం గురించి బయటపడ్డాయి, కొందరు పిలాటస్ పిసి -24 యొక్క ఇటీవలి విజయం అటువంటి ఆసక్తిని ప్రేరేపించిందని పేర్కొన్నారు. [18] 2020 చివరలో, టాటా అడ్వాన్స్‌డ్ సిస్టమ్స్ ఆఫ్ ఇండియా విమానం యొక్క మేధో సంపత్తి హక్కులను [19] ఒక సైనిక వేరియంట్‌ను అభివృద్ధ"&amp;"ి చేయడానికి భారత సైన్యానికి సిగ్నల్స్ ఇంటెలిజెన్స్ సేకరణ మరియు నిఘా వేదికగా అందించబడుతుందని తెలిసింది. ఫ్లూగ్-రివ్యూ [20] నుండి డేటా పోల్చదగిన పాత్ర, కాన్ఫిగరేషన్ మరియు ERA యొక్క సాధారణ లక్షణాల పనితీరు విమానం")</f>
        <v>GROB G180 SPN అనేది తక్కువ-వింగ్ ట్విన్-ఇంజిన్డ్ కాంపోజిట్ కార్పొరేట్ జెట్, ఇది జర్మన్ విమాన తయారీదారు గ్రోబ్ ఏరోస్పేస్ చేత రూపొందించబడింది మరియు నిర్మించబడింది. గ్రోబ్ యొక్క దివాలాకు ప్రతిస్పందనగా 2008 లో అభివృద్ధి నిలిపివేయబడింది; అప్పటి నుండి, ప్రోగ్రామ్‌ను తిరిగి ప్రారంభించడానికి బహుళ ప్రయత్నాలు జరిగాయి. శతాబ్దం ప్రారంభంలో, జర్మన్ విమాన తయారీదారు గ్రోబ్ ఏరోస్పేస్ మోటారు గ్లైడర్స్ మరియు ట్రైనర్ విమానాల ఉత్పత్తిదారుగా స్థిరపడింది. [1] ఏదేమైనా, 2000 ల మధ్యలో, జెట్-శక్తితో కూడిన తేలికపాటి విమానాలను రూపకల్పన చేయాలని కంపెనీ నిర్ణయించింది; గ్రోబ్ యొక్క టుస్సేన్హాసెన్-మ్యాట్సీస్ సదుపాయంలో సాపేక్ష రహస్యంగా అభివృద్ధి పనులు జరిగాయి. గ్రహించిన మార్కెట్ డిమాండ్‌కు ప్రతిస్పందనగా, ఈ విమానం సాంప్రదాయకంగా టర్బోప్రాప్-శక్తితో పనిచేసే విమానాలతో సంబంధం కలిగి ఉన్న స్వల్ప-క్షేత్ర మరియు కార్గో-మోసే పనితీరును కలిగి ఉంటుంది, అలాగే మిశ్రమ పదార్థాల విస్తృతమైన ఉపయోగం. [1] విమానం యొక్క అవసరాలు స్విస్ ఆధారిత కంపెనీ ఎగ్జిక్యూట్ ఏవియేషన్ గ్రూపుతో సన్నిహిత సహకారంతో నిర్వచించబడ్డాయి. గ్రోబ్ ఏరోస్పేస్ ప్రెసిడెంట్ డాక్టర్ ఆండ్రియాస్ ప్లెస్కే డిజైన్ గురించి ఇలా అన్నారు: "మేము జెట్ విమానాల యొక్క కొత్త వర్గాన్ని సృష్టించాము". [1] దీనిని మొదట 'SPN యుటిలిటీ జెట్' అని పిలుస్తారు. [1] ప్రామాణిక లేఅవుట్లో, క్యాబిన్ గరిష్టంగా ఎనిమిది మంది ప్రయాణికులను కూర్చుంది; ఒక సాధారణ క్యాబిన్ కాన్ఫిగరేషన్‌లో ఫార్వర్డ్ టాయిలెట్ మరియు బేసిక్ గాలీ ఉండేవి. 11.5m3 (405ft3) మరియు 1.64 మీ హెడ్‌రూమ్ వాల్యూమ్ ఉన్న క్యాబిన్, ఒక ప్రయాణీకుడి నుండి కార్గో కాన్ఫిగరేషన్ లేదా దీనికి విరుద్ధంగా ఒక గంటలో మార్చవచ్చు, అలాగే ప్రయాణీకులు మరియు సరుకుల మధ్య స్థలాన్ని పంచుకునే కాంబి కాన్ఫిగరేషన్‌ను వసతి కల్పిస్తుంది . [[ రెక్కలు మరియు ఫ్యూజ్‌లేజ్ రెండూ కఠినమైన కార్బన్ ఫైబర్ రీన్ఫోర్స్డ్ ప్లాస్టిక్ (సిఎఫ్‌ఆర్‌పి) మిశ్రమంతో కూడి ఉన్నాయి, వీటిని అధిక-రీన్ఫోర్స్డ్ అండర్ క్యారేజీతో కలిపి చేశారు. ఈ అండర్ క్యారేజీలో యాంటీ-లాక్ బ్రేక్‌లు, పెద్ద చక్రాలు మరియు తక్కువ-పీడన టైర్లు ఉన్నాయి, ఈ విమానం కఠినమైన మరియు ఆకట్టుకోని ల్యాండింగ్ స్ట్రిప్స్ నుండి ఇబ్బంది లేని సాధారణ కార్యకలాపాలను చేయగల సామర్థ్యం కలిగి ఉంది. [2] ఈ విమానం ఒక జత విలియమ్స్ FJ44-3A టర్బోఫాన్ ఇంజిన్లచే శక్తిని పొందింది, ఇది 2,800LB (12KN) థ్రస్ట్ వరకు ఉత్పత్తి చేయగలదు; కాక్‌పిట్‌ను హనీవెల్ యొక్క అపెక్స్ ఇంటిగ్రేటెడ్ ఏవియానిక్స్ సూట్‌తో అమర్చారు, ఇందులో ఒక జత 15in (0.4 మీ) ప్రాధమిక విమాన ప్రదర్శనలు మరియు రెండు 10in మల్టీ-ఫంక్షన్ డిస్ప్లేలు ఉన్నాయి. [1] మెరుగైన విజన్ సిస్టమ్, ఆటో-థొరెటల్, ఎమర్జెన్సీ డీసెంట్ మోడ్ మరియు ఎలక్ట్రానిక్ ఫ్లైట్ బ్యాగ్‌తో సహా వివిధ ఐచ్ఛిక అంశాలను అంగీకరించడానికి ఏవియానిక్స్ రూపొందించబడ్డాయి. [2] [3] మే 2005 లో, మొదటి నమూనా పూర్తయింది; మొదటి కొన్ని అమ్మకాలు తరువాతి వారాల్లో భద్రపరచబడ్డాయి. [1] జూన్ 2005 లో, కార్యక్రమం యొక్క ఉనికి బహిరంగంగా వెల్లడైంది. 20 జూలై 2005 న, మొదటి నమూనా తన తొలి విమానంలో ప్రదర్శించబడింది, చీఫ్ టెస్ట్ పైలట్ గెరార్డ్ గుయిలామడ్ చేత ఎగిరింది, తరువాత అతను ఇలా వ్యాఖ్యానించాడు: "ఫ్లైట్ సమయంలో, అన్ని వ్యవస్థలు మరియు నియంత్రణలు expected హించిన విధంగా ప్రదర్శించబడ్డాయి ... విమానం నిర్వహించడం సులభం మరియు ఇది ఎగరడానికి ఆనందం ". [4] [5] ఈ సమయానికి, ఎగ్జిక్యూటిజెట్ ఏవియేషన్ గ్రూప్‌ను విమానానికి ప్రత్యేకమైన ప్రపంచవ్యాప్త అమ్మకాల పంపిణీదారు మరియు నిర్వహణ మద్దతు భాగస్వామిగా నియమించారు; యుటిలిటీ బిజినెస్ జెట్ మార్కెట్లో రాబోయే 10 సంవత్సరాలలో సుమారు 400 విమానాల అమ్మకాలను అంచనా వేసినట్లు ఎగ్జిక్యూజెట్ పేర్కొంది, దీని కోసం SPN ను ఏకైక ఎంపికగా చూసింది. [1] [6] మే 2006 లో, ఆరు-సీట్ల విఐపి క్యాబిన్ కాన్ఫిగరేషన్ రకం కోసం వెల్లడైంది. [2] [7] నవంబర్ 2006 లో, GROB ఉత్పత్తి చేయబడుతున్న విమానం యొక్క విస్తరించిన వేరియంట్ అభివృద్ధిపై గణనీయమైన ఆసక్తిని పొందిందని, నార్త్రోప్ గ్రుమ్మన్ RQ-4 గ్లోబల్ హాక్ మానవరహిత వైమానిక వాహనానికి ఖరీదైన మార్పుగా నిఘా ప్రయోజనాల కోసం సహా, నిఘా ప్రయోజనాలతో సహా. [8 ] రకం ఆధారంగా విమానాల కుటుంబం కోసం ప్రణాళికలు రూపొందించబడ్డాయి. [9] 29 నవంబర్ 2006 న, రెండవ నమూనా క్రాష్ ద్వారా నాశనం చేయబడింది ఇది ప్రమాద సమయంలో ప్రదర్శన విమానంలో ఉంది. [10] తరువాతి దర్యాప్తు ప్రమాదం యొక్క ప్రాధమిక కారణం ఎలివేటర్లు మరియు టెయిల్‌ప్లేన్‌లో అల్లాడుతుండటం అని నిర్ణయించింది. [11] ప్రమాదం ఉన్నప్పటికీ, మూడవ నమూనా ఉత్పత్తిపై పనులు కొనసాగాయి. [10] ఈ క్రాష్ సంస్థ యొక్క ధృవీకరణ టైమ్‌టేబుల్‌ను ప్రభావితం చేసింది, ఇది 2007 మొదటి త్రైమాసికంలో యూరోపియన్ ఏవియేషన్ సేఫ్టీ ఏజెన్సీ (EASA) రకం ధృవీకరణ కోసం పిలుపునిచ్చింది. [5] ఫిబ్రవరి 2007 లో, మూడు నెలల విరామం తరువాత, విమాన పరీక్ష మూడవ నమూనాను ఉపయోగించి తిరిగి ప్రారంభమైంది; ఈ సమయానికి, ధృవీకరణ 2008 ప్రారంభంలో లక్ష్యంగా ఉంది. [12] నవంబర్ 2008 లో, G180 యొక్క అభివృద్ధి గ్రోబ్ ఏరోస్పేస్ యొక్క దివాలాతో నిలిపివేయబడింది. [13] ఈ కార్యక్రమానికి ఒక ప్రధాన పెట్టుబడిదారుడిని ఉపసంహరించుకోవడం వల్ల కంపెనీ ఆర్థిక పరిస్థితులు తీవ్రంగా ప్రభావితమయ్యాయి, ఈ కార్యక్రమానికి ఆలస్యం వల్ల తీవ్రతరం అయ్యింది. గొప్ప మాంద్యం మధ్య పెట్టుబడి పెంచడానికి తరువాతి ప్రయత్నాలు చేసినప్పటికీ, ఇవి విజయవంతం కాలేదు. [14] గ్రోబ్ యొక్క ప్రస్తుత ఉత్పత్తి శ్రేణి కొత్తగా ఏర్పడిన గ్రోబ్ విమానాల ఆస్తిగా మారినప్పటికీ, G180 ప్రోగ్రామ్ సంస్థ యొక్క అతిపెద్ద రుణదాత యొక్క యాజమాన్యంలో పడింది. సంస్థ పతనానికి ముందు, G180 కోసం సుమారు 100 ఆర్డర్లు పొందబడ్డాయి, ఇది జాబితా ధర 9 5.9 మిలియన్ ($ 8.7 మిలియన్లు). [13] [15] గ్రోబ్ యొక్క దివాలా ఫలితంగా విమానానికి హక్కులు మిత్రరాజ్యాల విమానయాన సాంకేతిక పరిజ్ఞానం ద్వారా పొందబడ్డాయి. [13] మార్చి 2009 లో, ఈ కార్యక్రమాన్ని తిరిగి సక్రియం చేయడానికి ఉద్దేశించినట్లు ప్రకటించారు. [16] సెప్టెంబర్ 2010 లో, డాహెర్ అనుబంధ సంస్థ సోకాటా రాబోయే కొద్ది నెలల్లో G180 SPN ని అంచనా వేస్తున్నట్లు ప్రకటించింది మరియు మిత్రరాజ్యాల విమానయాన సాంకేతిక పరిజ్ఞానం నుండి ప్రోగ్రామ్ సంపాదించడాన్ని పరిశీలిస్తోంది. [13] ఏదేమైనా, 2012 లో, డాహెర్-సోకాటా, విమానం యొక్క ఏడాది పొడవునా మూల్యాంకనం తరువాత, ఇది అనేక లోపాలను గుర్తించింది మరియు దాని అభివృద్ధిలో పాల్గొనదని పేర్కొంది; బదులుగా దాని స్వంత క్లీన్-షీట్ ట్విన్-ఇంజిన్ డిజైన్‌ను కొనసాగించడానికి ఇష్టపడతారని కంపెనీ పేర్కొంది. [17] చాలా సంవత్సరాల నిశ్శబ్దం తరువాత, నివేదికలు 2015 లో సంభావ్య పునరుజ్జీవనం గురించి బయటపడ్డాయి, కొందరు పిలాటస్ పిసి -24 యొక్క ఇటీవలి విజయం అటువంటి ఆసక్తిని ప్రేరేపించిందని పేర్కొన్నారు. [18] 2020 చివరలో, టాటా అడ్వాన్స్‌డ్ సిస్టమ్స్ ఆఫ్ ఇండియా విమానం యొక్క మేధో సంపత్తి హక్కులను [19] ఒక సైనిక వేరియంట్‌ను అభివృద్ధి చేయడానికి భారత సైన్యానికి సిగ్నల్స్ ఇంటెలిజెన్స్ సేకరణ మరియు నిఘా వేదికగా అందించబడుతుందని తెలిసింది. ఫ్లూగ్-రివ్యూ [20] నుండి డేటా పోల్చదగిన పాత్ర, కాన్ఫిగరేషన్ మరియు ERA యొక్క సాధారణ లక్షణాల పనితీరు విమానం</v>
      </c>
      <c r="E133" s="1" t="s">
        <v>2779</v>
      </c>
      <c r="F133" s="1" t="s">
        <v>2780</v>
      </c>
      <c r="G133" s="1" t="str">
        <f>IFERROR(__xludf.DUMMYFUNCTION("GOOGLETRANSLATE(F:F, ""en"", ""te"")"),"కార్పొరేట్ జెట్")</f>
        <v>కార్పొరేట్ జెట్</v>
      </c>
      <c r="I133" s="1" t="s">
        <v>185</v>
      </c>
      <c r="J133" s="1" t="str">
        <f>IFERROR(__xludf.DUMMYFUNCTION("GOOGLETRANSLATE(I:I, ""en"", ""te"")"),"జర్మనీ")</f>
        <v>జర్మనీ</v>
      </c>
      <c r="K133" s="3" t="s">
        <v>186</v>
      </c>
      <c r="L133" s="1" t="s">
        <v>2781</v>
      </c>
      <c r="M133" s="1" t="str">
        <f>IFERROR(__xludf.DUMMYFUNCTION("GOOGLETRANSLATE(L:L, ""en"", ""te"")"),"గ్రోబ్ విమానం")</f>
        <v>గ్రోబ్ విమానం</v>
      </c>
      <c r="N133" s="1" t="s">
        <v>2782</v>
      </c>
      <c r="R133" s="4">
        <v>38553.0</v>
      </c>
      <c r="S133" s="1">
        <v>4.0</v>
      </c>
      <c r="V133" s="1" t="s">
        <v>2783</v>
      </c>
      <c r="W133" s="1" t="s">
        <v>2784</v>
      </c>
      <c r="X133" s="1" t="s">
        <v>2785</v>
      </c>
      <c r="Y133" s="1" t="s">
        <v>2786</v>
      </c>
      <c r="AH133" s="1" t="s">
        <v>2787</v>
      </c>
      <c r="AO133" s="1">
        <v>2006.0</v>
      </c>
      <c r="AV133" s="1" t="s">
        <v>2788</v>
      </c>
      <c r="AX133" s="1" t="s">
        <v>2789</v>
      </c>
      <c r="AY133" s="1" t="str">
        <f>IFERROR(__xludf.DUMMYFUNCTION("GOOGLETRANSLATE(AX:AX, ""en"", ""te"")"),"2 × విలియమ్స్ FJ44-3A టర్బోఫాన్స్, 12.44 kN (2,800 lbf) ఒక్కొక్కటి థ్రస్ట్")</f>
        <v>2 × విలియమ్స్ FJ44-3A టర్బోఫాన్స్, 12.44 kN (2,800 lbf) ఒక్కొక్కటి థ్రస్ట్</v>
      </c>
      <c r="BB133" s="1" t="s">
        <v>2790</v>
      </c>
      <c r="BD133" s="1" t="s">
        <v>790</v>
      </c>
      <c r="BG133" s="2"/>
      <c r="BR133" s="1" t="s">
        <v>2791</v>
      </c>
      <c r="BS133" s="1" t="s">
        <v>2792</v>
      </c>
      <c r="BT133" s="1" t="s">
        <v>2793</v>
      </c>
      <c r="BU133" s="1" t="s">
        <v>2794</v>
      </c>
      <c r="BV133" s="1" t="str">
        <f>IFERROR(__xludf.DUMMYFUNCTION("GOOGLETRANSLATE(BU:BU, ""en"", ""te"")"),"ఆపరేటివ్")</f>
        <v>ఆపరేటివ్</v>
      </c>
    </row>
    <row r="134">
      <c r="A134" s="1" t="s">
        <v>2795</v>
      </c>
      <c r="B134" s="1" t="str">
        <f>IFERROR(__xludf.DUMMYFUNCTION("GOOGLETRANSLATE(A:A, ""en"", ""te"")"),"బెల్ XP-52")</f>
        <v>బెల్ XP-52</v>
      </c>
      <c r="C134" s="1" t="s">
        <v>2796</v>
      </c>
      <c r="D134" s="1" t="str">
        <f>IFERROR(__xludf.DUMMYFUNCTION("GOOGLETRANSLATE(C:C, ""en"", ""te"")"),"బెల్ XP-52 మరియు తరువాతి XP-59 అమెరికన్ బెల్ ఎయిర్క్రాఫ్ట్ కార్పొరేషన్ చేత రెండవ ప్రపంచ యుద్ధం ఫైటర్ ఎయిర్క్రాఫ్ట్ డిజైన్ ప్రాజెక్టులు. రెండు ప్రాజెక్టులలో వెనుక-మౌంటెడ్ ఇంజిన్ డ్రైవింగ్ పషర్ కాంట్రా-రొటేటింగ్ ప్రొపెల్లర్లతో ట్విన్-బూమ్ లేఅవుట్ ఉంది. XP-5"&amp;"9 ప్రాజెక్ట్ రద్దు చేయబడినప్పుడు, XP-59A హోదాను రహస్య జెట్ ఫైటర్ ప్రోటోటైప్ కోసం కవర్‌గా ఉపయోగించారు, ఇది P-59 ఎయిరాకోమెట్‌గా ఉత్పత్తిలోకి ప్రవేశిస్తుంది. ఎయిర్ మెటీరియల్ కమాండ్ డిజైనర్ MX-3 క్రింద, XP-52 డిజైన్‌ను 1940 లో బెల్ కంపెనీ ప్రారంభమైంది, R-40C "&amp;"పోటీ నుండి వేరు. చిన్న ఫ్యూజ్‌లేజ్ వెనుక భాగంలో పిస్టన్ ఇంజిన్‌ను తీసుకువెళ్ళింది, పషర్ కాన్ఫిగరేషన్‌లో ఒక జత కాంట్రా-రొటేటింగ్ ప్రొపెల్లర్లను నడుపుతుంది. రెక్కలు 20 డిగ్రీల కోణంలో తిరిగి కొట్టుకుపోయాయి, రెక్కల నుండి వెనుకకు నడుస్తున్న జంట బూమ్‌లపై ప్రొపె"&amp;"ల్లర్ వెనుక క్షితిజ సమాంతర స్టెబిలైజర్ అమర్చారు. ఫ్యూజ్‌లేజ్ అసాధారణంగా క్రమబద్ధీకరించబడింది, గుండ్రంగా మరియు బారెల్ ఆకారంలో ఉంది, ఫార్వర్డ్-లాకేటెడ్ పైలట్ యొక్క కాక్‌పిట్ దాని పంక్తులకు పూర్తిగా ఫెయిర్ చేయబడింది మరియు ముక్కు ఒక గుండ్రని గాలి తీసుకోవడంలో "&amp;"ముగుస్తుంది, ఇది ఇంజిన్‌కు అంతర్గతంగా వెనక్కి తగ్గింది. [1] అండర్ క్యారేజ్ ఒక ట్రైసైకిల్ అమరిక, ప్రధాన చక్రాలు టెయిల్‌బూమ్‌లలోకి ఉపసంహరించుకుంటాయి. ప్రయోగాత్మక ఖండాంతర XIV-1430-3 విలోమ V-12 ఇంజిన్ ద్వారా ప్రొపల్షన్ అందించాలి. [2] XIV-1430 ఇంజిన్ సాంకేతిక "&amp;"ఇబ్బందుల్లో పడినందున XP-52 అక్టోబర్ 1940 లో రద్దు చేయబడింది. బెల్ ఇదే విధమైన డిజైన్‌ను యుఎస్ నేవీకి మోడల్ 19 గా సమర్పించాడు, కానీ ఇది కూడా ఎప్పుడూ నిర్మించబడలేదు. [3] సాధారణంగా XP-52 కు లేఅవుట్‌లో సారూప్యంగా ఉన్నప్పటికీ, XP-59 కొంచెం పెద్దది మరియు భారీగా "&amp;"ఉంటుంది, మరియు ఇది 2,000 హార్స్‌పవర్ (1,500 కిలోవాట్) యొక్క ప్రాట్ మరియు విట్నీ R-2800-23 ఇంజిన్ ద్వారా శక్తినిస్తుంది. [1] ఫిబ్రవరి 1941 లో రెండు ప్రోటోటైప్‌లను ఆదేశించారు. [3] 3 అక్టోబర్ 1941 న బెల్ యొక్క మొదటి జెట్ ఫైటర్ కోసం ఒప్పందం కుదుర్చుకుంది. ప్ర"&amp;"ోటోటైప్ XP-59A గా నియమించబడింది మరియు ఇది ఉత్పత్తిని P-59 ఎయిరాకోమెట్ గా ప్రవేశిస్తుంది. అసలు XP-59 నవంబర్ 25, 1941 న రద్దు చేయబడింది, ఎందుకంటే బెల్ పి -63 కింగ్‌కోబ్రా అభివృద్ధికి బెల్ ముందే ఆక్రమించబడింది. [1] [3] పోల్చదగిన పాత్ర, కాన్ఫిగరేషన్ మరియు ERA"&amp;" సంబంధిత జాబితాల విమానం")</f>
        <v>బెల్ XP-52 మరియు తరువాతి XP-59 అమెరికన్ బెల్ ఎయిర్క్రాఫ్ట్ కార్పొరేషన్ చేత రెండవ ప్రపంచ యుద్ధం ఫైటర్ ఎయిర్క్రాఫ్ట్ డిజైన్ ప్రాజెక్టులు. రెండు ప్రాజెక్టులలో వెనుక-మౌంటెడ్ ఇంజిన్ డ్రైవింగ్ పషర్ కాంట్రా-రొటేటింగ్ ప్రొపెల్లర్లతో ట్విన్-బూమ్ లేఅవుట్ ఉంది. XP-59 ప్రాజెక్ట్ రద్దు చేయబడినప్పుడు, XP-59A హోదాను రహస్య జెట్ ఫైటర్ ప్రోటోటైప్ కోసం కవర్‌గా ఉపయోగించారు, ఇది P-59 ఎయిరాకోమెట్‌గా ఉత్పత్తిలోకి ప్రవేశిస్తుంది. ఎయిర్ మెటీరియల్ కమాండ్ డిజైనర్ MX-3 క్రింద, XP-52 డిజైన్‌ను 1940 లో బెల్ కంపెనీ ప్రారంభమైంది, R-40C పోటీ నుండి వేరు. చిన్న ఫ్యూజ్‌లేజ్ వెనుక భాగంలో పిస్టన్ ఇంజిన్‌ను తీసుకువెళ్ళింది, పషర్ కాన్ఫిగరేషన్‌లో ఒక జత కాంట్రా-రొటేటింగ్ ప్రొపెల్లర్లను నడుపుతుంది. రెక్కలు 20 డిగ్రీల కోణంలో తిరిగి కొట్టుకుపోయాయి, రెక్కల నుండి వెనుకకు నడుస్తున్న జంట బూమ్‌లపై ప్రొపెల్లర్ వెనుక క్షితిజ సమాంతర స్టెబిలైజర్ అమర్చారు. ఫ్యూజ్‌లేజ్ అసాధారణంగా క్రమబద్ధీకరించబడింది, గుండ్రంగా మరియు బారెల్ ఆకారంలో ఉంది, ఫార్వర్డ్-లాకేటెడ్ పైలట్ యొక్క కాక్‌పిట్ దాని పంక్తులకు పూర్తిగా ఫెయిర్ చేయబడింది మరియు ముక్కు ఒక గుండ్రని గాలి తీసుకోవడంలో ముగుస్తుంది, ఇది ఇంజిన్‌కు అంతర్గతంగా వెనక్కి తగ్గింది. [1] అండర్ క్యారేజ్ ఒక ట్రైసైకిల్ అమరిక, ప్రధాన చక్రాలు టెయిల్‌బూమ్‌లలోకి ఉపసంహరించుకుంటాయి. ప్రయోగాత్మక ఖండాంతర XIV-1430-3 విలోమ V-12 ఇంజిన్ ద్వారా ప్రొపల్షన్ అందించాలి. [2] XIV-1430 ఇంజిన్ సాంకేతిక ఇబ్బందుల్లో పడినందున XP-52 అక్టోబర్ 1940 లో రద్దు చేయబడింది. బెల్ ఇదే విధమైన డిజైన్‌ను యుఎస్ నేవీకి మోడల్ 19 గా సమర్పించాడు, కానీ ఇది కూడా ఎప్పుడూ నిర్మించబడలేదు. [3] సాధారణంగా XP-52 కు లేఅవుట్‌లో సారూప్యంగా ఉన్నప్పటికీ, XP-59 కొంచెం పెద్దది మరియు భారీగా ఉంటుంది, మరియు ఇది 2,000 హార్స్‌పవర్ (1,500 కిలోవాట్) యొక్క ప్రాట్ మరియు విట్నీ R-2800-23 ఇంజిన్ ద్వారా శక్తినిస్తుంది. [1] ఫిబ్రవరి 1941 లో రెండు ప్రోటోటైప్‌లను ఆదేశించారు. [3] 3 అక్టోబర్ 1941 న బెల్ యొక్క మొదటి జెట్ ఫైటర్ కోసం ఒప్పందం కుదుర్చుకుంది. ప్రోటోటైప్ XP-59A గా నియమించబడింది మరియు ఇది ఉత్పత్తిని P-59 ఎయిరాకోమెట్ గా ప్రవేశిస్తుంది. అసలు XP-59 నవంబర్ 25, 1941 న రద్దు చేయబడింది, ఎందుకంటే బెల్ పి -63 కింగ్‌కోబ్రా అభివృద్ధికి బెల్ ముందే ఆక్రమించబడింది. [1] [3] పోల్చదగిన పాత్ర, కాన్ఫిగరేషన్ మరియు ERA సంబంధిత జాబితాల విమానం</v>
      </c>
      <c r="E134" s="1" t="s">
        <v>2797</v>
      </c>
      <c r="F134" s="1" t="s">
        <v>421</v>
      </c>
      <c r="G134" s="1" t="str">
        <f>IFERROR(__xludf.DUMMYFUNCTION("GOOGLETRANSLATE(F:F, ""en"", ""te"")"),"యుద్ధ")</f>
        <v>యుద్ధ</v>
      </c>
      <c r="L134" s="1" t="s">
        <v>2798</v>
      </c>
      <c r="M134" s="1" t="str">
        <f>IFERROR(__xludf.DUMMYFUNCTION("GOOGLETRANSLATE(L:L, ""en"", ""te"")"),"బెల్ ఎయిర్క్రాఫ్ట్ కార్పొరేషన్")</f>
        <v>బెల్ ఎయిర్క్రాఫ్ట్ కార్పొరేషన్</v>
      </c>
      <c r="N134" s="1" t="s">
        <v>2799</v>
      </c>
      <c r="S134" s="1" t="s">
        <v>315</v>
      </c>
      <c r="BG134" s="2"/>
      <c r="BU134" s="1" t="s">
        <v>2800</v>
      </c>
      <c r="BV134" s="1" t="str">
        <f>IFERROR(__xludf.DUMMYFUNCTION("GOOGLETRANSLATE(BU:BU, ""en"", ""te"")"),"రద్దు చేయబడింది అక్టోబర్ 1940 (XP-52) 25 నవంబర్ 1941 (XP-59) రద్దు చేయబడింది")</f>
        <v>రద్దు చేయబడింది అక్టోబర్ 1940 (XP-52) 25 నవంబర్ 1941 (XP-59) రద్దు చేయబడింది</v>
      </c>
    </row>
    <row r="135">
      <c r="A135" s="1" t="s">
        <v>2801</v>
      </c>
      <c r="B135" s="1" t="str">
        <f>IFERROR(__xludf.DUMMYFUNCTION("GOOGLETRANSLATE(A:A, ""en"", ""te"")"),"LWD żuraw")</f>
        <v>LWD żuraw</v>
      </c>
      <c r="C135" s="1" t="s">
        <v>2802</v>
      </c>
      <c r="D135" s="1" t="str">
        <f>IFERROR(__xludf.DUMMYFUNCTION("GOOGLETRANSLATE(C:C, ""en"", ""te"")"),"LWD żuraw అనేది 1951 నాటి పోలిష్ యుటిలిటీ మరియు లైజన్ ఎయిర్క్రాఫ్ట్ ప్రోటోటైప్, సింగిల్ ఇంజిన్‌తో హై-వింగ్ మోనోప్లేన్, ఉత్పత్తిలోకి ప్రవేశించలేదు. పేరు అంటే క్రేన్. ఈ విమానం 1949 లో ఎల్‌డబ్ల్యుడి (లోట్నిక్జీ వార్‌జ్‌టాటి డోవియాడిక్జల్నే - ఎయిర్‌క్రాఫ్ట్ ప"&amp;"్రయోగాత్మక వర్క్‌షాప్‌లు) పోలిష్ వైమానిక దళం కోసం యుటిలిటీ మరియు లైజన్ విమానం రూపొందించింది. చీఫ్ డిజైనర్ తాడియస్జ్ సోసిటెక్. ఇది చివరి ఎల్‌డబ్ల్యుడి డిజైన్. ఒక నమూనా మొదట 16 మే 1951 న ప్రయాణించింది (పైలట్ ఆంటోని స్జిమాస్కి). మరింత శక్తివంతమైన ఇంజిన్ల కొర"&amp;"త ఉన్నందున, ఇది అందుబాటులో ఉన్న ఏకైక లైసెన్స్-నిర్మించిన సోవియట్ రేడియల్ SHVETESOV M-11FR (118 kW, 160 HP) తో అమర్చబడింది. పెరిగిన ఎయిర్‌ఫ్రేమ్ బరువుతో పాటు (ఇది expected హించిన దానికంటే 160 కిలోల బరువుగా ఉంది), ఇంజిన్ చాలా బలహీనంగా కనిపించింది. STOL సామర"&amp;"్థ్యాలను పొందటానికి, రెక్కలు స్లాట్లు మరియు ఫ్లాప్‌లను కలిగి ఉన్నాయి. మంచి వీక్షణను పొందడానికి రెక్కలు పందిరి దగ్గర సన్నగా ఉన్నాయి, మరియు అవి కొంచెం ముందుకు తిప్పబడ్డాయి. చిన్న టేకాఫ్ మరియు ల్యాండింగ్ మరియు తక్కువ స్టాల్ వేగం వంటి ప్రయోజనాలు ఉన్నప్పటికీ, "&amp;"పనితీరు పేలవంగా ఉంది మరియు విమానం ఉత్పత్తికి ఆదేశించబడలేదు. ఇది మరింత శక్తివంతమైన WN-3 లేదా IVCHENKO AI-14 ఇంజన్లను ఉపయోగించాలని భావించారు, కాని డిజైన్ వదిలివేయబడింది, ఎందుకంటే పోలాండ్ యాకోవ్లెవ్ యాక్ -12 మీ ఉత్పత్తి చేయడానికి లైసెన్స్ కొనుగోలు చేసింది. అ"&amp;"సాధారణ లక్షణం ట్రిపుల్ తోక, రెండు చిన్న నిలువు స్టెబిలైజర్లు ఒక ప్రధాన కేంద్రంతో పాటు. ఇది దాడి యొక్క అధిక కోణాల వద్ద విమాన స్థిరత్వాన్ని మెరుగుపరచడానికి ఉద్దేశించబడింది. ఈ నమూనాను పోలిష్ వైమానిక దళ రంగులు మరియు గుర్తులలో పెయింట్ చేశారు, కాని దీనిని పోలిష"&amp;"్ వైమానిక దళం ఉపయోగించలేదు. 1951 లో ఇది ఆమోదం యొక్క ధృవీకరణ పొందటానికి ఏవియేషన్ ఇన్స్టిట్యూట్ (ఇన్స్టిట్యూట్ లోట్నిక్ట్వా) కు పంపబడింది, తరువాత దీనిని కొన్ని సంవత్సరాలు అక్కడ ఉపయోగించారు. 1952 లో దీనికి పౌర నమోదు SP-GLB ఇవ్వబడింది. ఈ నమూనా 1960 లో మరియు 1"&amp;"963 లో క్రాకోవ్‌లోని పోలిష్ ఏవియేషన్ మ్యూజియానికి ఇవ్వబడింది, ఇక్కడ ఇది దెబ్బతిన్న స్థితిలో ఉంది. జేన్ యొక్క అన్ని ప్రపంచ విమానాల నుండి డేటా 1956–57 [1] పోల్చదగిన పాత్ర, కాన్ఫిగరేషన్ మరియు ERA యొక్క సాధారణ లక్షణాల పనితీరు విమానం")</f>
        <v>LWD żuraw అనేది 1951 నాటి పోలిష్ యుటిలిటీ మరియు లైజన్ ఎయిర్క్రాఫ్ట్ ప్రోటోటైప్, సింగిల్ ఇంజిన్‌తో హై-వింగ్ మోనోప్లేన్, ఉత్పత్తిలోకి ప్రవేశించలేదు. పేరు అంటే క్రేన్. ఈ విమానం 1949 లో ఎల్‌డబ్ల్యుడి (లోట్నిక్జీ వార్‌జ్‌టాటి డోవియాడిక్జల్నే - ఎయిర్‌క్రాఫ్ట్ ప్రయోగాత్మక వర్క్‌షాప్‌లు) పోలిష్ వైమానిక దళం కోసం యుటిలిటీ మరియు లైజన్ విమానం రూపొందించింది. చీఫ్ డిజైనర్ తాడియస్జ్ సోసిటెక్. ఇది చివరి ఎల్‌డబ్ల్యుడి డిజైన్. ఒక నమూనా మొదట 16 మే 1951 న ప్రయాణించింది (పైలట్ ఆంటోని స్జిమాస్కి). మరింత శక్తివంతమైన ఇంజిన్ల కొరత ఉన్నందున, ఇది అందుబాటులో ఉన్న ఏకైక లైసెన్స్-నిర్మించిన సోవియట్ రేడియల్ SHVETESOV M-11FR (118 kW, 160 HP) తో అమర్చబడింది. పెరిగిన ఎయిర్‌ఫ్రేమ్ బరువుతో పాటు (ఇది expected హించిన దానికంటే 160 కిలోల బరువుగా ఉంది), ఇంజిన్ చాలా బలహీనంగా కనిపించింది. STOL సామర్థ్యాలను పొందటానికి, రెక్కలు స్లాట్లు మరియు ఫ్లాప్‌లను కలిగి ఉన్నాయి. మంచి వీక్షణను పొందడానికి రెక్కలు పందిరి దగ్గర సన్నగా ఉన్నాయి, మరియు అవి కొంచెం ముందుకు తిప్పబడ్డాయి. చిన్న టేకాఫ్ మరియు ల్యాండింగ్ మరియు తక్కువ స్టాల్ వేగం వంటి ప్రయోజనాలు ఉన్నప్పటికీ, పనితీరు పేలవంగా ఉంది మరియు విమానం ఉత్పత్తికి ఆదేశించబడలేదు. ఇది మరింత శక్తివంతమైన WN-3 లేదా IVCHENKO AI-14 ఇంజన్లను ఉపయోగించాలని భావించారు, కాని డిజైన్ వదిలివేయబడింది, ఎందుకంటే పోలాండ్ యాకోవ్లెవ్ యాక్ -12 మీ ఉత్పత్తి చేయడానికి లైసెన్స్ కొనుగోలు చేసింది. అసాధారణ లక్షణం ట్రిపుల్ తోక, రెండు చిన్న నిలువు స్టెబిలైజర్లు ఒక ప్రధాన కేంద్రంతో పాటు. ఇది దాడి యొక్క అధిక కోణాల వద్ద విమాన స్థిరత్వాన్ని మెరుగుపరచడానికి ఉద్దేశించబడింది. ఈ నమూనాను పోలిష్ వైమానిక దళ రంగులు మరియు గుర్తులలో పెయింట్ చేశారు, కాని దీనిని పోలిష్ వైమానిక దళం ఉపయోగించలేదు. 1951 లో ఇది ఆమోదం యొక్క ధృవీకరణ పొందటానికి ఏవియేషన్ ఇన్స్టిట్యూట్ (ఇన్స్టిట్యూట్ లోట్నిక్ట్వా) కు పంపబడింది, తరువాత దీనిని కొన్ని సంవత్సరాలు అక్కడ ఉపయోగించారు. 1952 లో దీనికి పౌర నమోదు SP-GLB ఇవ్వబడింది. ఈ నమూనా 1960 లో మరియు 1963 లో క్రాకోవ్‌లోని పోలిష్ ఏవియేషన్ మ్యూజియానికి ఇవ్వబడింది, ఇక్కడ ఇది దెబ్బతిన్న స్థితిలో ఉంది. జేన్ యొక్క అన్ని ప్రపంచ విమానాల నుండి డేటా 1956–57 [1] పోల్చదగిన పాత్ర, కాన్ఫిగరేషన్ మరియు ERA యొక్క సాధారణ లక్షణాల పనితీరు విమానం</v>
      </c>
      <c r="E135" s="1" t="s">
        <v>2803</v>
      </c>
      <c r="F135" s="1" t="s">
        <v>2804</v>
      </c>
      <c r="G135" s="1" t="str">
        <f>IFERROR(__xludf.DUMMYFUNCTION("GOOGLETRANSLATE(F:F, ""en"", ""te"")"),"అనుసంధాన విమానం")</f>
        <v>అనుసంధాన విమానం</v>
      </c>
      <c r="H135" s="1" t="s">
        <v>2805</v>
      </c>
      <c r="L135" s="1" t="s">
        <v>2806</v>
      </c>
      <c r="M135" s="1" t="str">
        <f>IFERROR(__xludf.DUMMYFUNCTION("GOOGLETRANSLATE(L:L, ""en"", ""te"")"),"LWD")</f>
        <v>LWD</v>
      </c>
      <c r="N135" s="3" t="s">
        <v>2807</v>
      </c>
      <c r="R135" s="4">
        <v>18764.0</v>
      </c>
      <c r="S135" s="1">
        <v>1.0</v>
      </c>
      <c r="V135" s="1">
        <v>1.0</v>
      </c>
      <c r="W135" s="1" t="s">
        <v>2808</v>
      </c>
      <c r="X135" s="1" t="s">
        <v>2809</v>
      </c>
      <c r="Y135" s="1" t="s">
        <v>2810</v>
      </c>
      <c r="Z135" s="1" t="s">
        <v>2811</v>
      </c>
      <c r="AE135" s="1">
        <v>6.52</v>
      </c>
      <c r="AF135" s="1" t="s">
        <v>2812</v>
      </c>
      <c r="AG135" s="1" t="s">
        <v>2813</v>
      </c>
      <c r="AH135" s="1" t="s">
        <v>2814</v>
      </c>
      <c r="AV135" s="1">
        <v>2.0</v>
      </c>
      <c r="AX135" s="1" t="s">
        <v>2815</v>
      </c>
      <c r="AY135" s="1" t="str">
        <f>IFERROR(__xludf.DUMMYFUNCTION("GOOGLETRANSLATE(AX:AX, ""en"", ""te"")"),"1 × shvetesov m-11fr ఎయిర్-కూల్డ్ 5-సిలిండర్ రేడియల్ ఇంజిన్, 120 kW (160 HP)")</f>
        <v>1 × shvetesov m-11fr ఎయిర్-కూల్డ్ 5-సిలిండర్ రేడియల్ ఇంజిన్, 120 kW (160 HP)</v>
      </c>
      <c r="AZ135" s="1" t="s">
        <v>2816</v>
      </c>
      <c r="BA135" s="1" t="str">
        <f>IFERROR(__xludf.DUMMYFUNCTION("GOOGLETRANSLATE(AZ:AZ, ""en"", ""te"")"),"2-బ్లేడెడ్ చెక్క, 2.4 మీ (7 అడుగుల 10 అంగుళాలు) వ్యాసం")</f>
        <v>2-బ్లేడెడ్ చెక్క, 2.4 మీ (7 అడుగుల 10 అంగుళాలు) వ్యాసం</v>
      </c>
      <c r="BB135" s="1" t="s">
        <v>2817</v>
      </c>
      <c r="BC135" s="1" t="s">
        <v>1783</v>
      </c>
      <c r="BD135" s="1" t="s">
        <v>2818</v>
      </c>
      <c r="BF135" s="1" t="s">
        <v>2819</v>
      </c>
      <c r="BG135" s="2" t="str">
        <f>IFERROR(__xludf.DUMMYFUNCTION("GOOGLETRANSLATE(BF:BF, ""en"", ""te"")"),"పోలిష్ మిలిటరీ ఏవియేషన్")</f>
        <v>పోలిష్ మిలిటరీ ఏవియేషన్</v>
      </c>
      <c r="BS135" s="1" t="s">
        <v>2820</v>
      </c>
      <c r="BT135" s="1" t="s">
        <v>2821</v>
      </c>
      <c r="DZ135" s="1" t="s">
        <v>2822</v>
      </c>
    </row>
    <row r="136">
      <c r="A136" s="1" t="s">
        <v>2823</v>
      </c>
      <c r="B136" s="1" t="str">
        <f>IFERROR(__xludf.DUMMYFUNCTION("GOOGLETRANSLATE(A:A, ""en"", ""te"")"),"పైపర్ PA-36 పానీ ధైర్యవంతుడు")</f>
        <v>పైపర్ PA-36 పానీ ధైర్యవంతుడు</v>
      </c>
      <c r="C136" s="1" t="s">
        <v>2824</v>
      </c>
      <c r="D136" s="1" t="str">
        <f>IFERROR(__xludf.DUMMYFUNCTION("GOOGLETRANSLATE(C:C, ""en"", ""te"")"),"పైపర్ PA-36 పానీ బ్రేవ్ 1970 ల అమెరికన్ సింగిల్-ఇంజిన్, తక్కువ-వింగ్, ప్రొపెల్లర్-నడిచే వ్యవసాయ విమానం, ఇది పైపర్ విమానాలచే నిర్మించబడింది. PA-36 ను మొట్టమొదట 1972 లో PA-25 పానీ యొక్క కొత్త వెర్షన్‌గా మరింత శక్తివంతమైన 285 HP కాంటినెంటల్ టియారా 6-285 ఫ్లా"&amp;"ట్-సిక్స్ ఇంజిన్‌తో ప్రకటించారు. ఈ విమానం తొలగించగల ప్రముఖ అంచులతో కొత్త రెక్కను కలిగి ఉంది; మెరుగైన వెంటిలేషన్ మరియు తాపన వ్యవస్థ; ఇంధన ట్యాంకులలో ""సఫోమ్"" యాంటీ-స్లోషింగ్ సమ్మేళనం; మరియు 30 ft³ (0.85m³) యొక్క పెద్ద ప్రామాణిక హాప్పర్. [1] ఐచ్ఛిక 38 ft³ "&amp;"(1.08 m³) హాప్పర్ కూడా అందుబాటులో ఉంది. ఈ రకం 1973 లో సేవలోకి ప్రవేశించింది. 1977 లో కొత్త వెర్షన్ 300 హెచ్‌పి (224 కిలోవాట్ల) లైమింగ్ IO-540-K1G5 ఇంజిన్‌తో అందుబాటులోకి వచ్చింది. కొత్త మోడల్‌ను PA-36 పానీ బ్రేవ్ 300 అని పిలిచారు, అసలు విమానం PA-36 పన్నీ "&amp;"బ్రేవ్ 285 ను పున es రూపకల్పన చేసింది. 1978 లో బ్రేవ్ 300 ప్రామాణిక మోడల్‌గా మారింది మరియు మరో శక్తివంతమైన మోడల్ ప్రవేశపెట్టబడింది, PA-36 బ్రేవ్ 375 తో 375 HP (280 kW) లైమింగ్ IO-720-D1CD ఫ్లాట్-ఎనిమిది ఇంజన్. 1981 లో పైపర్ డిజైన్‌లోని హక్కులను డబ్ల్యుటిఎ"&amp;" ఇన్కార్పొరేటెడ్ కు విక్రయించింది, ఇది 1982 నుండి రెండు వెర్షన్లను 375 హెచ్‌పి మరియు 400 హెచ్‌పి (298 కిలోవాట్) ఇంజిన్‌లను వరుసగా కొత్త బ్రేవ్ 375 మరియు న్యూ బ్రేవ్ 400 గా విక్రయించింది. ఇది 1987 నాటికి మొత్తం 150 కొత్త బ్రేవ్స్‌ను నిర్మించింది. [2] అక్టో"&amp;"బర్ 1997 లో, ఈ హక్కులను న్యూ పైపర్ ఎయిర్క్రాఫ్ట్, ఇంక్. జేన్ యొక్క అన్ని ప్రపంచ విమానాల నుండి డేటాను కేటాయించారు 1988-89 [3] సాధారణ లక్షణాల పనితీరు సంబంధిత అభివృద్ధి")</f>
        <v>పైపర్ PA-36 పానీ బ్రేవ్ 1970 ల అమెరికన్ సింగిల్-ఇంజిన్, తక్కువ-వింగ్, ప్రొపెల్లర్-నడిచే వ్యవసాయ విమానం, ఇది పైపర్ విమానాలచే నిర్మించబడింది. PA-36 ను మొట్టమొదట 1972 లో PA-25 పానీ యొక్క కొత్త వెర్షన్‌గా మరింత శక్తివంతమైన 285 HP కాంటినెంటల్ టియారా 6-285 ఫ్లాట్-సిక్స్ ఇంజిన్‌తో ప్రకటించారు. ఈ విమానం తొలగించగల ప్రముఖ అంచులతో కొత్త రెక్కను కలిగి ఉంది; మెరుగైన వెంటిలేషన్ మరియు తాపన వ్యవస్థ; ఇంధన ట్యాంకులలో "సఫోమ్" యాంటీ-స్లోషింగ్ సమ్మేళనం; మరియు 30 ft³ (0.85m³) యొక్క పెద్ద ప్రామాణిక హాప్పర్. [1] ఐచ్ఛిక 38 ft³ (1.08 m³) హాప్పర్ కూడా అందుబాటులో ఉంది. ఈ రకం 1973 లో సేవలోకి ప్రవేశించింది. 1977 లో కొత్త వెర్షన్ 300 హెచ్‌పి (224 కిలోవాట్ల) లైమింగ్ IO-540-K1G5 ఇంజిన్‌తో అందుబాటులోకి వచ్చింది. కొత్త మోడల్‌ను PA-36 పానీ బ్రేవ్ 300 అని పిలిచారు, అసలు విమానం PA-36 పన్నీ బ్రేవ్ 285 ను పున es రూపకల్పన చేసింది. 1978 లో బ్రేవ్ 300 ప్రామాణిక మోడల్‌గా మారింది మరియు మరో శక్తివంతమైన మోడల్ ప్రవేశపెట్టబడింది, PA-36 బ్రేవ్ 375 తో 375 HP (280 kW) లైమింగ్ IO-720-D1CD ఫ్లాట్-ఎనిమిది ఇంజన్. 1981 లో పైపర్ డిజైన్‌లోని హక్కులను డబ్ల్యుటిఎ ఇన్కార్పొరేటెడ్ కు విక్రయించింది, ఇది 1982 నుండి రెండు వెర్షన్లను 375 హెచ్‌పి మరియు 400 హెచ్‌పి (298 కిలోవాట్) ఇంజిన్‌లను వరుసగా కొత్త బ్రేవ్ 375 మరియు న్యూ బ్రేవ్ 400 గా విక్రయించింది. ఇది 1987 నాటికి మొత్తం 150 కొత్త బ్రేవ్స్‌ను నిర్మించింది. [2] అక్టోబర్ 1997 లో, ఈ హక్కులను న్యూ పైపర్ ఎయిర్క్రాఫ్ట్, ఇంక్. జేన్ యొక్క అన్ని ప్రపంచ విమానాల నుండి డేటాను కేటాయించారు 1988-89 [3] సాధారణ లక్షణాల పనితీరు సంబంధిత అభివృద్ధి</v>
      </c>
      <c r="E136" s="1" t="s">
        <v>2825</v>
      </c>
      <c r="F136" s="1" t="s">
        <v>2826</v>
      </c>
      <c r="G136" s="1" t="str">
        <f>IFERROR(__xludf.DUMMYFUNCTION("GOOGLETRANSLATE(F:F, ""en"", ""te"")"),"వ్యవసాయ విమానం")</f>
        <v>వ్యవసాయ విమానం</v>
      </c>
      <c r="H136" s="1" t="s">
        <v>2827</v>
      </c>
      <c r="L136" s="1" t="s">
        <v>2828</v>
      </c>
      <c r="M136" s="1" t="str">
        <f>IFERROR(__xludf.DUMMYFUNCTION("GOOGLETRANSLATE(L:L, ""en"", ""te"")"),"పైపర్ విమానం")</f>
        <v>పైపర్ విమానం</v>
      </c>
      <c r="N136" s="1" t="s">
        <v>2829</v>
      </c>
      <c r="R136" s="4">
        <v>25542.0</v>
      </c>
      <c r="S136" s="1" t="s">
        <v>2830</v>
      </c>
      <c r="T136" s="1" t="s">
        <v>2831</v>
      </c>
      <c r="V136" s="1">
        <v>1.0</v>
      </c>
      <c r="W136" s="1" t="s">
        <v>2832</v>
      </c>
      <c r="X136" s="1" t="s">
        <v>2833</v>
      </c>
      <c r="Y136" s="1" t="s">
        <v>899</v>
      </c>
      <c r="Z136" s="1" t="s">
        <v>2834</v>
      </c>
      <c r="AE136" s="1">
        <v>6.7</v>
      </c>
      <c r="AF136" s="1" t="s">
        <v>2835</v>
      </c>
      <c r="AG136" s="1" t="s">
        <v>2836</v>
      </c>
      <c r="AO136" s="1">
        <v>1973.0</v>
      </c>
      <c r="AV136" s="1" t="s">
        <v>2837</v>
      </c>
      <c r="AW136" s="1" t="s">
        <v>2838</v>
      </c>
      <c r="AX136" s="1" t="s">
        <v>2839</v>
      </c>
      <c r="AY136" s="1" t="str">
        <f>IFERROR(__xludf.DUMMYFUNCTION("GOOGLETRANSLATE(AX:AX, ""en"", ""te"")"),"1 × AVCO లైమింగ్ IO-720-D1C ఫ్లాట్-ఎనిమిది ఎయిర్-కూల్డ్ పిస్టన్ ఇంజిన్, 375 HP (280 kW)")</f>
        <v>1 × AVCO లైమింగ్ IO-720-D1C ఫ్లాట్-ఎనిమిది ఎయిర్-కూల్డ్ పిస్టన్ ఇంజిన్, 375 HP (280 kW)</v>
      </c>
      <c r="AZ136" s="1" t="s">
        <v>2840</v>
      </c>
      <c r="BA136" s="1" t="str">
        <f>IFERROR(__xludf.DUMMYFUNCTION("GOOGLETRANSLATE(AZ:AZ, ""en"", ""te"")"),"3-బ్లేడెడ్ హార్ట్జెల్ స్థిరమైన-స్పీడ్ ప్రొపెల్లర్, 7 అడుగుల 2 (2.18 మీ) వ్యాసం")</f>
        <v>3-బ్లేడెడ్ హార్ట్జెల్ స్థిరమైన-స్పీడ్ ప్రొపెల్లర్, 7 అడుగుల 2 (2.18 మీ) వ్యాసం</v>
      </c>
      <c r="BB136" s="1" t="s">
        <v>2841</v>
      </c>
      <c r="BC136" s="1" t="s">
        <v>460</v>
      </c>
      <c r="BG136" s="2"/>
      <c r="BI136" s="1" t="s">
        <v>2842</v>
      </c>
      <c r="BJ136" s="1" t="s">
        <v>2843</v>
      </c>
      <c r="BS136" s="1" t="s">
        <v>2844</v>
      </c>
      <c r="BT136" s="1" t="s">
        <v>2845</v>
      </c>
      <c r="BW136" s="1" t="s">
        <v>2846</v>
      </c>
      <c r="BX136" s="1"/>
      <c r="BY136" s="1" t="s">
        <v>2847</v>
      </c>
      <c r="EO136" s="1" t="s">
        <v>2848</v>
      </c>
      <c r="EP136" s="1" t="s">
        <v>2849</v>
      </c>
    </row>
    <row r="137">
      <c r="A137" s="1" t="s">
        <v>2850</v>
      </c>
      <c r="B137" s="1" t="str">
        <f>IFERROR(__xludf.DUMMYFUNCTION("GOOGLETRANSLATE(A:A, ""en"", ""te"")"),"ఆర్గస్ 292")</f>
        <v>ఆర్గస్ 292</v>
      </c>
      <c r="C137" s="1" t="s">
        <v>2851</v>
      </c>
      <c r="D137" s="1" t="str">
        <f>IFERROR(__xludf.DUMMYFUNCTION("GOOGLETRANSLATE(C:C, ""en"", ""te"")"),"ఆర్గస్ AS 292 మొదట 1939 లో ఒక చిన్న, రిమోట్-నియంత్రిత మానవరహిత విమాన నిరోధక లక్ష్యం డ్రోన్‌గా అభివృద్ధి చేయబడింది. స్వల్ప-శ్రేణి నిఘా వెర్షన్ కూడా అభివృద్ధి చేయబడింది. ఈ ప్రాజెక్ట్ యొక్క విజయం ఆర్గస్ ఫెర్న్‌ఫ్యూయర్ యుఎవి ప్రతిపాదనకు దారితీసింది. AS 292 ను"&amp;" డాక్టర్ ఇంగ్ రూపొందించారు. ఆర్గస్ మోటరెన్ Gmbh వద్ద ఫ్రిట్జ్ గోస్లావ్. 1937 లో బెర్లిన్-రీనికెండోర్ఫ్‌లోని ఆర్గస్-ఫ్లగ్మోటోరెన్‌వెర్కే (ఆర్గస్ ఏరో-ఇంజిన్ ఫ్యాక్టరీ) వద్ద డ్రోన్‌పై పనులు ప్రారంభమయ్యాయి. ఆర్గస్ కాకుండా, మరో రెండు కంపెనీలు AS 292 ఉత్పత్తిలో"&amp;" పాల్గొన్నాయి: డ్యూయిష్ ఫోర్స్‌చంగ్‌సాన్స్టాల్ట్ ఫర్ సెగెల్ఫ్‌లగ్ (జర్మన్ రీసెర్చ్ ఇన్స్టిట్యూట్ ఫర్ గ్లైడింగ్) ఎయిర్‌ఫ్రేమ్ నిర్మాణంతో సాంకేతిక సహాయం అందించారు; సి. లోరెంజ్ కంపెనీ రేడియో-నియంత్రణ వ్యవస్థతో. DFS వద్ద డ్రోన్‌ను మోడల్ 12 గా సూచిస్తారు. యాంట"&amp;"ీ-ఎయిర్‌క్రాఫ్ట్ గన్నర్లకు లక్ష్యంగా, AS 292 కి ఫ్లాక్జిల్గెర్ 43 (ఫ్లాక్-టార్గెట్ ఉపకరణం 43) యొక్క హోదా ఇవ్వబడింది. 1937 లో విమాన-పరిమాణ టార్గెట్ డ్రోన్‌ను అభివృద్ధి చేయడంలో 1937 లో జరిగిన ప్రయత్నం, ఫీజిలర్ FI 157, వైఫల్యంతో ముగిసింది. మొదటిది 292 జూన్ 9"&amp;", 1937 న ఈ రకం యొక్క మొట్టమొదటి మార్గదర్శక విమానంగా చేసింది. మొదటి రిమోట్‌గా నియంత్రిత విమాన ప్రయాణం మే 14, 1939 న జరిగింది. విమాన పరీక్ష సమయంలో, కెమెరాలు 292 గా ప్రోటోటైప్‌కు అమర్చబడ్డాయి. 1939 ప్రారంభంలో ప్రారంభమైంది మరియు మొదటి వైమానిక ఫోటోగ్రఫీ 2 అక్ట"&amp;"ోబర్ 1939 న జరిగింది. విజయవంతమైన ప్రదర్శనల తరువాత ఆర్గస్ 1939 చివరలో 292 విమానాలుగా 100 కోసం ప్రారంభ ఉత్పత్తి ఉత్తర్వులను అందుకుంది. ఆర్డర్‌డ్ విమానాలు 1942–43లో పంపిణీ చేయబడ్డాయి. ఎయిర్ఫ్రేమ్ సాధారణ గొట్టపు నిర్మాణాన్ని కలిగి ఉంది; AS 292 రవాణా చేయబడినప్"&amp;"పుడు అధిక డైహెడ్రల్ రెక్కలు తొలగించబడ్డాయి. తెల్లటి కుట్లు మొత్తం ఎరుపు రంగులో కనీసం ఒకటి 292 పెయింట్ చేయబడింది. సాధారణ లక్షణాలు")</f>
        <v>ఆర్గస్ AS 292 మొదట 1939 లో ఒక చిన్న, రిమోట్-నియంత్రిత మానవరహిత విమాన నిరోధక లక్ష్యం డ్రోన్‌గా అభివృద్ధి చేయబడింది. స్వల్ప-శ్రేణి నిఘా వెర్షన్ కూడా అభివృద్ధి చేయబడింది. ఈ ప్రాజెక్ట్ యొక్క విజయం ఆర్గస్ ఫెర్న్‌ఫ్యూయర్ యుఎవి ప్రతిపాదనకు దారితీసింది. AS 292 ను డాక్టర్ ఇంగ్ రూపొందించారు. ఆర్గస్ మోటరెన్ Gmbh వద్ద ఫ్రిట్జ్ గోస్లావ్. 1937 లో బెర్లిన్-రీనికెండోర్ఫ్‌లోని ఆర్గస్-ఫ్లగ్మోటోరెన్‌వెర్కే (ఆర్గస్ ఏరో-ఇంజిన్ ఫ్యాక్టరీ) వద్ద డ్రోన్‌పై పనులు ప్రారంభమయ్యాయి. ఆర్గస్ కాకుండా, మరో రెండు కంపెనీలు AS 292 ఉత్పత్తిలో పాల్గొన్నాయి: డ్యూయిష్ ఫోర్స్‌చంగ్‌సాన్స్టాల్ట్ ఫర్ సెగెల్ఫ్‌లగ్ (జర్మన్ రీసెర్చ్ ఇన్స్టిట్యూట్ ఫర్ గ్లైడింగ్) ఎయిర్‌ఫ్రేమ్ నిర్మాణంతో సాంకేతిక సహాయం అందించారు; సి. లోరెంజ్ కంపెనీ రేడియో-నియంత్రణ వ్యవస్థతో. DFS వద్ద డ్రోన్‌ను మోడల్ 12 గా సూచిస్తారు. యాంటీ-ఎయిర్‌క్రాఫ్ట్ గన్నర్లకు లక్ష్యంగా, AS 292 కి ఫ్లాక్జిల్గెర్ 43 (ఫ్లాక్-టార్గెట్ ఉపకరణం 43) యొక్క హోదా ఇవ్వబడింది. 1937 లో విమాన-పరిమాణ టార్గెట్ డ్రోన్‌ను అభివృద్ధి చేయడంలో 1937 లో జరిగిన ప్రయత్నం, ఫీజిలర్ FI 157, వైఫల్యంతో ముగిసింది. మొదటిది 292 జూన్ 9, 1937 న ఈ రకం యొక్క మొట్టమొదటి మార్గదర్శక విమానంగా చేసింది. మొదటి రిమోట్‌గా నియంత్రిత విమాన ప్రయాణం మే 14, 1939 న జరిగింది. విమాన పరీక్ష సమయంలో, కెమెరాలు 292 గా ప్రోటోటైప్‌కు అమర్చబడ్డాయి. 1939 ప్రారంభంలో ప్రారంభమైంది మరియు మొదటి వైమానిక ఫోటోగ్రఫీ 2 అక్టోబర్ 1939 న జరిగింది. విజయవంతమైన ప్రదర్శనల తరువాత ఆర్గస్ 1939 చివరలో 292 విమానాలుగా 100 కోసం ప్రారంభ ఉత్పత్తి ఉత్తర్వులను అందుకుంది. ఆర్డర్‌డ్ విమానాలు 1942–43లో పంపిణీ చేయబడ్డాయి. ఎయిర్ఫ్రేమ్ సాధారణ గొట్టపు నిర్మాణాన్ని కలిగి ఉంది; AS 292 రవాణా చేయబడినప్పుడు అధిక డైహెడ్రల్ రెక్కలు తొలగించబడ్డాయి. తెల్లటి కుట్లు మొత్తం ఎరుపు రంగులో కనీసం ఒకటి 292 పెయింట్ చేయబడింది. సాధారణ లక్షణాలు</v>
      </c>
      <c r="F137" s="1" t="s">
        <v>2852</v>
      </c>
      <c r="G137" s="1" t="str">
        <f>IFERROR(__xludf.DUMMYFUNCTION("GOOGLETRANSLATE(F:F, ""en"", ""te"")"),"మానవరహిత యాంటీ-ఎయిర్‌క్రాఫ్ట్ టార్గెట్ డ్రోన్; స్వల్ప-శ్రేణి నిఘా UAV")</f>
        <v>మానవరహిత యాంటీ-ఎయిర్‌క్రాఫ్ట్ టార్గెట్ డ్రోన్; స్వల్ప-శ్రేణి నిఘా UAV</v>
      </c>
      <c r="H137" s="1" t="s">
        <v>2853</v>
      </c>
      <c r="L137" s="1" t="s">
        <v>2854</v>
      </c>
      <c r="M137" s="1" t="str">
        <f>IFERROR(__xludf.DUMMYFUNCTION("GOOGLETRANSLATE(L:L, ""en"", ""te"")"),"ఆర్గస్ మోటరెన్ జిఎంబిహెచ్")</f>
        <v>ఆర్గస్ మోటరెన్ జిఎంబిహెచ్</v>
      </c>
      <c r="N137" s="1" t="s">
        <v>2855</v>
      </c>
      <c r="R137" s="1" t="s">
        <v>2856</v>
      </c>
      <c r="S137" s="1" t="s">
        <v>2857</v>
      </c>
      <c r="T137" s="1" t="s">
        <v>2858</v>
      </c>
      <c r="U137" s="1" t="s">
        <v>2859</v>
      </c>
      <c r="W137" s="1" t="s">
        <v>2860</v>
      </c>
      <c r="X137" s="1" t="s">
        <v>2860</v>
      </c>
      <c r="AG137" s="1" t="s">
        <v>2861</v>
      </c>
      <c r="AN137" s="1" t="s">
        <v>2862</v>
      </c>
      <c r="AQ137" s="1">
        <v>1945.0</v>
      </c>
      <c r="AR137" s="3" t="s">
        <v>2290</v>
      </c>
      <c r="AX137" s="1" t="s">
        <v>2863</v>
      </c>
      <c r="AY137" s="1" t="str">
        <f>IFERROR(__xludf.DUMMYFUNCTION("GOOGLETRANSLATE(AX:AX, ""en"", ""te"")"),"1 × ఆర్గస్ మోటరెన్ GMBH, 2.2 kW (3 HP) 6–7 HP (4.5–5.2 kW)")</f>
        <v>1 × ఆర్గస్ మోటరెన్ GMBH, 2.2 kW (3 HP) 6–7 HP (4.5–5.2 kW)</v>
      </c>
      <c r="BB137" s="1" t="s">
        <v>726</v>
      </c>
      <c r="BF137" s="1" t="s">
        <v>573</v>
      </c>
      <c r="BG137" s="2" t="str">
        <f>IFERROR(__xludf.DUMMYFUNCTION("GOOGLETRANSLATE(BF:BF, ""en"", ""te"")"),"లుఫ్ట్‌వాఫ్")</f>
        <v>లుఫ్ట్‌వాఫ్</v>
      </c>
      <c r="BH137" s="3" t="s">
        <v>574</v>
      </c>
      <c r="BW137" s="1" t="s">
        <v>1714</v>
      </c>
      <c r="BZ137" s="1" t="s">
        <v>2864</v>
      </c>
      <c r="DH137" s="3" t="s">
        <v>2865</v>
      </c>
    </row>
    <row r="138">
      <c r="A138" s="1" t="s">
        <v>2866</v>
      </c>
      <c r="B138" s="1" t="str">
        <f>IFERROR(__xludf.DUMMYFUNCTION("GOOGLETRANSLATE(A:A, ""en"", ""te"")"),"డుఫాక్స్ 4")</f>
        <v>డుఫాక్స్ 4</v>
      </c>
      <c r="C138" s="1" t="s">
        <v>2867</v>
      </c>
      <c r="D138" s="1" t="str">
        <f>IFERROR(__xludf.DUMMYFUNCTION("GOOGLETRANSLATE(C:C, ""en"", ""te"")"),"డుఫాక్స్ 4 1909 లో స్విట్జర్లాండ్‌లో నిర్మించిన ఒక ప్రయోగాత్మక విమానం మరియు దీనిని మొదట పేరులేని బిప్‌లేన్‌గా నిర్మించారు, ఇది సోదరులు అర్మాండ్ మరియు హెన్రీ డుఫాక్స్ నిర్మించిన మూడవ విమానం. ఈ విమానం ఈ యుగానికి పూర్తిగా సాంప్రదాయంగా ఉంది-రెండు-బే బైప్‌లేన్"&amp;" సమాన వ్యవధి మరియు త్రిభుజాకార-సెక్షన్ ఫ్యూజ్‌లేజ్ యొక్క అన్‌స్టాగర్ రెక్కలతో. 1909 సెప్టెంబరు మధ్యలో నిర్మాణం ప్రారంభమైంది మరియు 1 కిలోమీటర్ల క్లోజ్డ్-సర్క్యూట్ను ఎగరడానికి మొదటి స్విస్ నిర్మించిన విమానం కోసం ఆటోమొబైల్ క్లబ్ డి సూయిస్ చేసిన సిహెచ్‌ఎఫ్ 1,"&amp;"000 బహుమతిని పొందాలని సోదరులు భావించినందున, పని వేగంగా కొనసాగింది. డిసెంబర్ ఆరంభంలో, కోర్సియర్‌లోని ఒక మైదానంలో విమాన పరీక్షలు ప్రారంభమయ్యాయి. యంత్రం కొన్ని హాప్‌లను చేసినప్పటికీ, అది ఎగరదు. టేకాఫ్ కోసం వేగాన్ని పెంచుకోవడానికి విమానానికి తగినంత స్థలాన్ని "&amp;"ఇవ్వడానికి ఎంచుకున్న ఫీల్డ్ చాలా చిన్నదని డుఫాక్స్ బ్రదర్స్ తేల్చిచెప్పారు, కాబట్టి వారు పొరుగున ఉన్న ఫ్రాన్స్‌లో వారి పరీక్షల కోసం వారి పరీక్షల కోసం కొత్త ప్రదేశాన్ని ఎంచుకున్నారు. ఈ విమానం డిసెంబర్ 16 న అక్కడ సమావేశమైంది మరియు అదే మధ్యాహ్నం అనేక విజయవంత"&amp;"మైన విమానాలు జరిగాయి. మరుసటి రోజు, విమానం అనేక ప్రయత్నాలను తీసుకోవడానికి నిరాకరించింది, కాని చివరికి మధ్యాహ్నం ఆలస్యంగా గాలిలో మారింది. ఈ విమానంలో, 15 మీటర్ల (50 అడుగులు) ఎత్తులో, హెన్రీ విమానాన్ని బ్యాంక్ చేయడానికి ప్రయత్నించాడు, కానీ బదులుగా, అది నేలమీద"&amp;"కు వచ్చింది. ఈ ప్రమాదంలో రెక్కలు మరియు ప్రొపెల్లర్ రెండూ ధ్వంసమయ్యాయి, కాని హెన్రీ పూర్తిగా గాయపడలేదు మరియు ఇంజిన్ పాడైపోలేదు. కొలంబియర్‌లో జరిగిన విమానయాన సమావేశంలో బ్రదర్స్ యంత్రాన్ని త్వరగా పునర్నిర్మించారు, కాని ప్రతికూల వాతావరణం కారణంగా, దానిని ఎగరడా"&amp;"నికి ప్రయత్నించలేదు. ఈ సమయానికి సోదరులు ఈ డిజైన్‌ను నిర్మించడం ప్రారంభించారు, ఇప్పుడు సిరీస్‌లో డుఫాక్స్ 4 గా పిలువబడ్డారు మరియు విమానాల కోసం ఆర్డర్‌లను అంగీకరిస్తున్నారు. మేలో, ఈ విమానం స్విస్ మిలిటరీ కోసం ప్రదర్శించబడింది, కాని ఈ విమానం సైనిక ప్రయోజనాలక"&amp;"ు తగినది కాదని సోదరులకు సమాచారం ఇవ్వబడింది. ఆగస్టు 28 న అర్మాండే ప్రదర్శించిన జెనీవా సరస్సు యొక్క విజయవంతమైన వైమానిక క్రాసింగ్ కోసం డుఫాక్స్ 4 ఉత్తమంగా గుర్తుంచుకోబడింది. అతను సెయింట్ జిన్‌గోల్ఫ్ నుండి జెనీవాకు 66 కి.మీ (41 మైళ్ళు) 150 మీ (500 అడుగులు) ఎత"&amp;"్తులో ప్రయాణించాడు, క్రాసింగ్ కోసం 56 నిమిషాలు 5 సెకన్లు తీసుకున్నాడు మరియు CHF 5,000 బహుమతిని సేకరించాడు ఈ ఫీట్ కోసం పెరోట్-డువాల్ కంపెనీ. స్విస్ ట్రాన్స్‌పోర్ట్ మ్యూజియంలో ఒక ఉదాహరణ భద్రపరచబడింది. [సైటేషన్ అవసరం] నుండి డేటా సాధారణ లక్షణాల పనితీరు")</f>
        <v>డుఫాక్స్ 4 1909 లో స్విట్జర్లాండ్‌లో నిర్మించిన ఒక ప్రయోగాత్మక విమానం మరియు దీనిని మొదట పేరులేని బిప్‌లేన్‌గా నిర్మించారు, ఇది సోదరులు అర్మాండ్ మరియు హెన్రీ డుఫాక్స్ నిర్మించిన మూడవ విమానం. ఈ విమానం ఈ యుగానికి పూర్తిగా సాంప్రదాయంగా ఉంది-రెండు-బే బైప్‌లేన్ సమాన వ్యవధి మరియు త్రిభుజాకార-సెక్షన్ ఫ్యూజ్‌లేజ్ యొక్క అన్‌స్టాగర్ రెక్కలతో. 1909 సెప్టెంబరు మధ్యలో నిర్మాణం ప్రారంభమైంది మరియు 1 కిలోమీటర్ల క్లోజ్డ్-సర్క్యూట్ను ఎగరడానికి మొదటి స్విస్ నిర్మించిన విమానం కోసం ఆటోమొబైల్ క్లబ్ డి సూయిస్ చేసిన సిహెచ్‌ఎఫ్ 1,000 బహుమతిని పొందాలని సోదరులు భావించినందున, పని వేగంగా కొనసాగింది. డిసెంబర్ ఆరంభంలో, కోర్సియర్‌లోని ఒక మైదానంలో విమాన పరీక్షలు ప్రారంభమయ్యాయి. యంత్రం కొన్ని హాప్‌లను చేసినప్పటికీ, అది ఎగరదు. టేకాఫ్ కోసం వేగాన్ని పెంచుకోవడానికి విమానానికి తగినంత స్థలాన్ని ఇవ్వడానికి ఎంచుకున్న ఫీల్డ్ చాలా చిన్నదని డుఫాక్స్ బ్రదర్స్ తేల్చిచెప్పారు, కాబట్టి వారు పొరుగున ఉన్న ఫ్రాన్స్‌లో వారి పరీక్షల కోసం వారి పరీక్షల కోసం కొత్త ప్రదేశాన్ని ఎంచుకున్నారు. ఈ విమానం డిసెంబర్ 16 న అక్కడ సమావేశమైంది మరియు అదే మధ్యాహ్నం అనేక విజయవంతమైన విమానాలు జరిగాయి. మరుసటి రోజు, విమానం అనేక ప్రయత్నాలను తీసుకోవడానికి నిరాకరించింది, కాని చివరికి మధ్యాహ్నం ఆలస్యంగా గాలిలో మారింది. ఈ విమానంలో, 15 మీటర్ల (50 అడుగులు) ఎత్తులో, హెన్రీ విమానాన్ని బ్యాంక్ చేయడానికి ప్రయత్నించాడు, కానీ బదులుగా, అది నేలమీదకు వచ్చింది. ఈ ప్రమాదంలో రెక్కలు మరియు ప్రొపెల్లర్ రెండూ ధ్వంసమయ్యాయి, కాని హెన్రీ పూర్తిగా గాయపడలేదు మరియు ఇంజిన్ పాడైపోలేదు. కొలంబియర్‌లో జరిగిన విమానయాన సమావేశంలో బ్రదర్స్ యంత్రాన్ని త్వరగా పునర్నిర్మించారు, కాని ప్రతికూల వాతావరణం కారణంగా, దానిని ఎగరడానికి ప్రయత్నించలేదు. ఈ సమయానికి సోదరులు ఈ డిజైన్‌ను నిర్మించడం ప్రారంభించారు, ఇప్పుడు సిరీస్‌లో డుఫాక్స్ 4 గా పిలువబడ్డారు మరియు విమానాల కోసం ఆర్డర్‌లను అంగీకరిస్తున్నారు. మేలో, ఈ విమానం స్విస్ మిలిటరీ కోసం ప్రదర్శించబడింది, కాని ఈ విమానం సైనిక ప్రయోజనాలకు తగినది కాదని సోదరులకు సమాచారం ఇవ్వబడింది. ఆగస్టు 28 న అర్మాండే ప్రదర్శించిన జెనీవా సరస్సు యొక్క విజయవంతమైన వైమానిక క్రాసింగ్ కోసం డుఫాక్స్ 4 ఉత్తమంగా గుర్తుంచుకోబడింది. అతను సెయింట్ జిన్‌గోల్ఫ్ నుండి జెనీవాకు 66 కి.మీ (41 మైళ్ళు) 150 మీ (500 అడుగులు) ఎత్తులో ప్రయాణించాడు, క్రాసింగ్ కోసం 56 నిమిషాలు 5 సెకన్లు తీసుకున్నాడు మరియు CHF 5,000 బహుమతిని సేకరించాడు ఈ ఫీట్ కోసం పెరోట్-డువాల్ కంపెనీ. స్విస్ ట్రాన్స్‌పోర్ట్ మ్యూజియంలో ఒక ఉదాహరణ భద్రపరచబడింది. [సైటేషన్ అవసరం] నుండి డేటా సాధారణ లక్షణాల పనితీరు</v>
      </c>
      <c r="E138" s="1" t="s">
        <v>2868</v>
      </c>
      <c r="F138" s="1" t="s">
        <v>1120</v>
      </c>
      <c r="G138" s="1" t="str">
        <f>IFERROR(__xludf.DUMMYFUNCTION("GOOGLETRANSLATE(F:F, ""en"", ""te"")"),"ప్రయోగాత్మక విమానం")</f>
        <v>ప్రయోగాత్మక విమానం</v>
      </c>
      <c r="L138" s="1" t="s">
        <v>2869</v>
      </c>
      <c r="M138" s="1" t="str">
        <f>IFERROR(__xludf.DUMMYFUNCTION("GOOGLETRANSLATE(L:L, ""en"", ""te"")"),"అర్మాండ్ మరియు హెన్రీ డుఫాక్స్")</f>
        <v>అర్మాండ్ మరియు హెన్రీ డుఫాక్స్</v>
      </c>
      <c r="N138" s="1" t="s">
        <v>2870</v>
      </c>
      <c r="O138" s="1" t="s">
        <v>2869</v>
      </c>
      <c r="P138" s="1" t="str">
        <f>IFERROR(__xludf.DUMMYFUNCTION("GOOGLETRANSLATE(O:O, ""en"", ""te"")"),"అర్మాండ్ మరియు హెన్రీ డుఫాక్స్")</f>
        <v>అర్మాండ్ మరియు హెన్రీ డుఫాక్స్</v>
      </c>
      <c r="R138" s="4">
        <v>3639.0</v>
      </c>
      <c r="V138" s="1" t="s">
        <v>2783</v>
      </c>
      <c r="W138" s="1" t="s">
        <v>2871</v>
      </c>
      <c r="X138" s="1" t="s">
        <v>840</v>
      </c>
      <c r="Y138" s="1" t="s">
        <v>2872</v>
      </c>
      <c r="Z138" s="1" t="s">
        <v>2873</v>
      </c>
      <c r="AG138" s="1" t="s">
        <v>2874</v>
      </c>
      <c r="AH138" s="1" t="s">
        <v>2875</v>
      </c>
      <c r="AN138" s="1" t="s">
        <v>2876</v>
      </c>
      <c r="AX138" s="1" t="s">
        <v>2877</v>
      </c>
      <c r="AY138" s="1" t="str">
        <f>IFERROR(__xludf.DUMMYFUNCTION("GOOGLETRANSLATE(AX:AX, ""en"", ""te"")"),"1 × అంజాని 3-సిలిండర్ ఫ్యాన్ ఇంజిన్, 19 కిలోవాట్ (25 హెచ్‌పి)")</f>
        <v>1 × అంజాని 3-సిలిండర్ ఫ్యాన్ ఇంజిన్, 19 కిలోవాట్ (25 హెచ్‌పి)</v>
      </c>
      <c r="BB138" s="1" t="s">
        <v>1798</v>
      </c>
      <c r="BD138" s="1" t="s">
        <v>2878</v>
      </c>
      <c r="BG138" s="2"/>
    </row>
    <row r="139">
      <c r="A139" s="1" t="s">
        <v>2879</v>
      </c>
      <c r="B139" s="1" t="str">
        <f>IFERROR(__xludf.DUMMYFUNCTION("GOOGLETRANSLATE(A:A, ""en"", ""te"")"),"హాకర్ హార్న్‌బిల్")</f>
        <v>హాకర్ హార్న్‌బిల్</v>
      </c>
      <c r="C139" s="1" t="s">
        <v>2880</v>
      </c>
      <c r="D139" s="1" t="str">
        <f>IFERROR(__xludf.DUMMYFUNCTION("GOOGLETRANSLATE(C:C, ""en"", ""te"")"),"హాకర్ హార్న్‌బిల్ W. G. కార్టర్ దర్శకత్వంలో రూపొందించిన చివరి హాకర్ సైనిక విమానం. ఈ డిజైన్ 1925 లో ప్రారంభమైంది మరియు మొదటి ఫ్లైట్ జూలై 1925 లో జరిగింది. [1] హార్న్‌బిల్ తన విద్యుత్ ప్లాంట్ మరియు రేడియేటర్‌లో సమస్యల కారణంగా రాయల్ వైమానిక దళంలో సేవలను సాధి"&amp;"ంచలేదు. ఒక విమానం మాత్రమే నిర్మించబడింది. హార్న్‌బిల్ మిశ్రమ పదార్థ నిర్మాణాన్ని కలిగి ఉంది, స్టీల్ ఇంజిన్ మౌంట్ మరియు ఫ్రంట్ ఫ్యూజ్‌లేజ్ డ్యూరాలిమిన్ షీట్‌తో కప్పబడి ఉంటుంది. వెనుక ఫ్యూజ్‌లేజ్ కాన్వాస్‌తో కప్పబడిన కలప నిర్మాణంతో తయారు చేయబడింది. రెక్కలు "&amp;"కూడా కలప మరియు కాన్వాస్. ఇంజిన్ 698 హెచ్‌పి (520 కిలోవాట్) రోల్స్ రాయిస్ కాండోర్ IV చక్కటి పిచ్ చెక్క ప్రొపెల్లర్‌ను నడుపుతుంది. విమానం చాలా వేగంగా ఉంది, కానీ స్థిరత్వం మరియు నియంత్రణ లేకపోవడం. 150 mph (241 km/h) వద్ద, పూర్తి చుక్కాని వర్తించకుండా నిటారుగ"&amp;"ా మలుపులు చేయలేము. విమాన పరీక్షల సమయంలో ఇంజిన్ వేడెక్కడం జరిగింది. సింగిల్ సెంట్రల్ మౌంటెడ్ రేడియేటర్ స్థానంలో రెండు రేడియేటర్లు దిగువ లోపలి రెక్కలలో అమర్చబడి ఉన్నాయి, కాని సమస్య పూర్తిగా నయం కాలేదు. కాక్‌పిట్ యొక్క చిన్న పరిమాణం పైలట్ యొక్క కదలికను పరిమి"&amp;"తం చేసింది. 1912 నుండి బ్రిటిష్ ఫైటర్ నుండి వచ్చిన డేటా [1] సాధారణ లక్షణాలు పనితీరు ఆయుధాలు")</f>
        <v>హాకర్ హార్న్‌బిల్ W. G. కార్టర్ దర్శకత్వంలో రూపొందించిన చివరి హాకర్ సైనిక విమానం. ఈ డిజైన్ 1925 లో ప్రారంభమైంది మరియు మొదటి ఫ్లైట్ జూలై 1925 లో జరిగింది. [1] హార్న్‌బిల్ తన విద్యుత్ ప్లాంట్ మరియు రేడియేటర్‌లో సమస్యల కారణంగా రాయల్ వైమానిక దళంలో సేవలను సాధించలేదు. ఒక విమానం మాత్రమే నిర్మించబడింది. హార్న్‌బిల్ మిశ్రమ పదార్థ నిర్మాణాన్ని కలిగి ఉంది, స్టీల్ ఇంజిన్ మౌంట్ మరియు ఫ్రంట్ ఫ్యూజ్‌లేజ్ డ్యూరాలిమిన్ షీట్‌తో కప్పబడి ఉంటుంది. వెనుక ఫ్యూజ్‌లేజ్ కాన్వాస్‌తో కప్పబడిన కలప నిర్మాణంతో తయారు చేయబడింది. రెక్కలు కూడా కలప మరియు కాన్వాస్. ఇంజిన్ 698 హెచ్‌పి (520 కిలోవాట్) రోల్స్ రాయిస్ కాండోర్ IV చక్కటి పిచ్ చెక్క ప్రొపెల్లర్‌ను నడుపుతుంది. విమానం చాలా వేగంగా ఉంది, కానీ స్థిరత్వం మరియు నియంత్రణ లేకపోవడం. 150 mph (241 km/h) వద్ద, పూర్తి చుక్కాని వర్తించకుండా నిటారుగా మలుపులు చేయలేము. విమాన పరీక్షల సమయంలో ఇంజిన్ వేడెక్కడం జరిగింది. సింగిల్ సెంట్రల్ మౌంటెడ్ రేడియేటర్ స్థానంలో రెండు రేడియేటర్లు దిగువ లోపలి రెక్కలలో అమర్చబడి ఉన్నాయి, కాని సమస్య పూర్తిగా నయం కాలేదు. కాక్‌పిట్ యొక్క చిన్న పరిమాణం పైలట్ యొక్క కదలికను పరిమితం చేసింది. 1912 నుండి బ్రిటిష్ ఫైటర్ నుండి వచ్చిన డేటా [1] సాధారణ లక్షణాలు పనితీరు ఆయుధాలు</v>
      </c>
      <c r="E139" s="1" t="s">
        <v>2881</v>
      </c>
      <c r="F139" s="1" t="s">
        <v>421</v>
      </c>
      <c r="G139" s="1" t="str">
        <f>IFERROR(__xludf.DUMMYFUNCTION("GOOGLETRANSLATE(F:F, ""en"", ""te"")"),"యుద్ధ")</f>
        <v>యుద్ధ</v>
      </c>
      <c r="L139" s="1" t="s">
        <v>2882</v>
      </c>
      <c r="M139" s="1" t="str">
        <f>IFERROR(__xludf.DUMMYFUNCTION("GOOGLETRANSLATE(L:L, ""en"", ""te"")"),"హాకర్ విమానం")</f>
        <v>హాకర్ విమానం</v>
      </c>
      <c r="N139" s="1" t="s">
        <v>2883</v>
      </c>
      <c r="O139" s="1" t="s">
        <v>2884</v>
      </c>
      <c r="P139" s="1" t="str">
        <f>IFERROR(__xludf.DUMMYFUNCTION("GOOGLETRANSLATE(O:O, ""en"", ""te"")"),"W. G. కార్టర్")</f>
        <v>W. G. కార్టర్</v>
      </c>
      <c r="Q139" s="1" t="s">
        <v>2885</v>
      </c>
      <c r="R139" s="5">
        <v>9314.0</v>
      </c>
      <c r="S139" s="1" t="s">
        <v>819</v>
      </c>
      <c r="V139" s="1">
        <v>1.0</v>
      </c>
      <c r="W139" s="1" t="s">
        <v>2886</v>
      </c>
      <c r="X139" s="1" t="s">
        <v>2887</v>
      </c>
      <c r="Y139" s="1" t="s">
        <v>2888</v>
      </c>
      <c r="Z139" s="1" t="s">
        <v>2889</v>
      </c>
      <c r="AG139" s="1" t="s">
        <v>2890</v>
      </c>
      <c r="AH139" s="1" t="s">
        <v>2891</v>
      </c>
      <c r="AX139" s="1" t="s">
        <v>2892</v>
      </c>
      <c r="AY139" s="1" t="str">
        <f>IFERROR(__xludf.DUMMYFUNCTION("GOOGLETRANSLATE(AX:AX, ""en"", ""te"")"),"1 × రోల్స్ రాయిస్ కాండోర్ IV వాటర్ కూల్డ్ V12 ఇంజిన్, 698 HP (520 kW)")</f>
        <v>1 × రోల్స్ రాయిస్ కాండోర్ IV వాటర్ కూల్డ్ V12 ఇంజిన్, 698 HP (520 kW)</v>
      </c>
      <c r="BB139" s="1" t="s">
        <v>2893</v>
      </c>
      <c r="BD139" s="1" t="s">
        <v>2894</v>
      </c>
      <c r="BG139" s="2"/>
      <c r="BT139" s="1" t="s">
        <v>2895</v>
      </c>
      <c r="BU139" s="1" t="s">
        <v>2626</v>
      </c>
      <c r="BV139" s="1" t="str">
        <f>IFERROR(__xludf.DUMMYFUNCTION("GOOGLETRANSLATE(BU:BU, ""en"", ""te"")"),"ప్రోటోటైప్ మాత్రమే")</f>
        <v>ప్రోటోటైప్ మాత్రమే</v>
      </c>
      <c r="BX139" s="1"/>
      <c r="BY139" s="1" t="s">
        <v>2896</v>
      </c>
      <c r="CB139" s="1" t="s">
        <v>2897</v>
      </c>
      <c r="CC139" s="1" t="s">
        <v>2898</v>
      </c>
      <c r="CD139" s="1" t="str">
        <f>IFERROR(__xludf.DUMMYFUNCTION("GOOGLETRANSLATE(CC:CC, ""en"", ""te"")"),"1 × .303 ఇన్ (7.7 మిమీ) విక్కర్స్ మెషిన్ గన్")</f>
        <v>1 × .303 ఇన్ (7.7 మిమీ) విక్కర్స్ మెషిన్ గన్</v>
      </c>
    </row>
    <row r="140">
      <c r="A140" s="1" t="s">
        <v>2899</v>
      </c>
      <c r="B140" s="1" t="str">
        <f>IFERROR(__xludf.DUMMYFUNCTION("GOOGLETRANSLATE(A:A, ""en"", ""te"")"),"LTV XC-142")</f>
        <v>LTV XC-142</v>
      </c>
      <c r="C140" s="1" t="s">
        <v>2900</v>
      </c>
      <c r="D140" s="1" t="str">
        <f>IFERROR(__xludf.DUMMYFUNCTION("GOOGLETRANSLATE(C:C, ""en"", ""te"")"),"లింగ్-టెంకో-వాట్ (ఎల్‌టివి) ఎక్స్‌సి -142 అనేది ట్రై-సర్వీస్ టిల్ట్‌వింగ్ ప్రయోగాత్మక విమానం, ఇది నిలువు/చిన్న టేకాఫ్ మరియు ల్యాండింగ్ (వి/స్టోల్) రవాణా యొక్క కార్యాచరణ అనుకూలతను పరిశోధించడానికి రూపొందించబడింది. ఒక XC-142A మొదట 29 సెప్టెంబర్ 1964 న సాంప్ర"&amp;"దాయకంగా ప్రయాణించింది, మరియు 11 జనవరి 1965 న, ఇది నిలువుగా బయలుదేరడం ద్వారా మొదటి పరివర్తన విమానాన్ని పూర్తి చేసింది, ఫార్వర్డ్ ఫ్లైట్‌కు మార్చబడింది మరియు చివరకు నిలువుగా దిగింది. దాని సేవా స్పాన్సర్లు ప్రోగ్రామ్ నుండి ఒక్కొక్కటిగా వైదొలిగారు, చివరికి దా"&amp;"ని సామర్థ్యాలను విజయవంతంగా ప్రదర్శించిన తరువాత ఆసక్తి లేకపోవడం వల్ల ఇది ముగిసింది. 1959 లో అమెరికా ఆర్మీ, నేవీ మరియు వైమానిక దళం రవాణా-రకం మిషన్లలో హెలికాప్టర్లను పెంచే ప్రోటోటైప్ వి/స్టోల్ విమానాల అభివృద్ధిపై పని ప్రారంభించింది. ప్రత్యేకంగా వారు ఇప్పటికే"&amp;" ఉన్న హెలికాప్టర్ల కంటే ఎక్కువ శ్రేణి మరియు అధిక వేగంతో డిజైన్లపై ఆసక్తి కలిగి ఉన్నారు, ఎక్కువ దూరాలకు లేదా అమెరికా మెరైన్ కార్ప్స్ విషయంలో, మరింత ఆఫ్‌షోర్ నుండి కార్యకలాపాలకు మద్దతు ఇవ్వడానికి. 27 జనవరి 1961 న, నేవీ యొక్క బ్యూరో ఆఫ్ నావల్ వెపన్స్ (బవెప్స"&amp;"్) నాయకత్వం క్రింద ట్రై-సర్వీస్ అస్సాల్ట్ ట్రాన్స్పోర్ట్ ప్రోగ్రాం మీద అన్ని సైనిక సేవలు పనిచేసే ఒక ఒప్పందం కుదుర్చుకుంది. అసలు రూపురేఖలు సికోర్స్కీ హెచ్‌ఆర్ 2 లకు బదులుగా, 10,000 ఎల్బి (4,500 కిలోల) ఆర్డర్‌లో పేలోడ్‌తో రూపొందించబడ్డాయి. బువెప్స్ అదే పేలో"&amp;"డ్‌ను పేర్కొన్న సవరించిన స్పెసిఫికేషన్‌ను విడుదల చేసింది, కాని కార్యాచరణ వ్యాసార్థాన్ని 250 మైళ్ల (400 కిమీ) కు విస్తరించింది మరియు క్రూజింగ్ ఎయిర్‌స్పీడ్‌ను 250–300 నాట్‌లకు (460–560 కిమీ/గం) మరియు గరిష్ట ఎయిర్‌స్పీడ్ 300–400 నాట్లకు పెంచింది (560–740 కి"&amp;"మీ/గం). ఏదేమైనా, మెరైన్ కార్ప్స్ మిషన్ కోసం, ఇంధన భారాన్ని తగ్గించవచ్చని పేర్కొంది, తద్వారా గరిష్ట స్థూల బరువు 35,000 పౌండ్ల (16,000 కిలోలు) మించకూడదు, 100-నాటికల్-మైలు (190 కిమీ) వ్యాసార్థం నిర్వహించబడినంత వరకు నిర్వహించబడుతుంది . వోట్ వారి స్వంత డిజైన్ "&amp;"ఆర్మ్ నుండి ఇంజనీరింగ్‌ను కలిపే ప్రతిపాదనతో, అలాగే మరింత విస్తృతమైన హెలికాప్టర్ అనుభవాన్ని కలిగి ఉన్న ర్యాన్ మరియు హిల్లర్‌తో స్పందించారు. వారి ప్రతిపాదన డిజైన్ పోటీని గెలుచుకుంది, మరియు ఐదు ప్రోటోటైప్‌ల కోసం ఒక ఒప్పందం 1962 ప్రారంభంలో జూలై 1964 న మొదటి వ"&amp;"ిమానంతో సంతకం చేయబడింది. ఈ డిజైన్‌ను మొదట వోట్-ర్యాన్-హిల్లర్ XC-142 అని పిలుస్తారు, కాని వోట్ ఎల్‌టివిలో పాల్గొన్నప్పుడు సమ్మేళనం ఈ నామకరణాన్ని తొలగించారు. ప్రోటోటైప్ అభివృద్ధి సమయంలో నేవీ ఈ కార్యక్రమం నుండి నిష్క్రమించాలని నిర్ణయించుకుంది. బలమైన ప్రొపెల"&amp;"్లర్ డౌన్‌వాష్ పనిచేయడం కష్టతరం చేస్తుందని వారు ఆందోళన చెందారు. వారి ప్రస్తుత HR2S విమానంలో సుమారు 7.5 psi (500 HPA) యొక్క ప్రెజర్ ఉంది, మరియు భూమిపై ప్రజలను చెదరగొట్టడానికి మరియు గణనీయమైన శిధిలాలను కదిలించాలని నిరూపించబడింది. సి -142 10 పిఎస్‌ఐ (700 హెచ్"&amp;"‌పిఎ) యొక్క ఇంకా ఎక్కువ లోడింగ్ కలిగి ఉంటుందని అంచనా వేయబడింది, ఇది తయారుచేసిన ల్యాండింగ్ ప్యాడ్‌లకు మరియు నుండి కార్యకలాపాలను పరిమితం చేస్తుందని వారు విశ్వసించారు మరియు అందువల్ల దాడి కార్యకలాపాలకు అనుచితమైనది. మొట్టమొదటి నమూనా 29 సెప్టెంబర్ 1964 న మొదటి "&amp;"సాంప్రదాయిక విమానాలను చేసింది, 29 డిసెంబర్ 1964 న మొదటి హోవర్, మరియు 11 జనవరి 1965 న మొదటి పరివర్తన. మొదటి XC-142A ను జూలై 1965 లో వైమానిక దళం పరీక్ష బృందానికి పంపిణీ చేశారు. XC-142A సమయంలో ప్రోగ్రామ్, 488 విమానాలలో మొత్తం 420 గంటలు ఎగురవేయబడింది. ఐదు XC-"&amp;"142AS ను 39 వేర్వేరు సైనిక మరియు పౌర పైలట్లు ఎగురవేశారు. పరీక్షలలో క్యారియర్ కార్యకలాపాలు, అనుకరణ రెస్క్యూలు, పారాట్రూప్ చుక్కలు మరియు తక్కువ-స్థాయి కార్గో వెలికితీత ఉన్నాయి. పరీక్షించేటప్పుడు విమానం యొక్క క్రాస్-లింక్డ్ డ్రైవ్‌షాఫ్ట్ దాని అకిలెస్ మడమ అని"&amp;" నిరూపించబడింది. షాఫ్ట్ ఫలితంగా అధిక కంపనం మరియు శబ్దం ఏర్పడింది, ఫలితంగా అధిక పైలట్ పనిభారం ఏర్పడింది. అదనంగా, ఇది వింగ్ ఫ్లెక్సింగ్ కారణంగా సమస్యలకు గురవుతుంది. షాఫ్ట్ సమస్యలు, ఆపరేటర్ లోపాలతో పాటు, అనేక హార్డ్ ల్యాండింగ్‌లు దెబ్బతిన్నాయి. టెయిల్ రోటర్‌"&amp;"కు డ్రైవ్‌షాఫ్ట్ వైఫల్యం ఫలితంగా ఒక క్రాష్ సంభవించింది, దీనివల్ల మూడు మరణాలు సంభవించాయి. విమానంలో కనిపించే పరిమితుల్లో ఒకటి 35 మరియు 80 డిగ్రీల రెక్కల కోణాల మధ్య అస్థిరత, చాలా తక్కువ ఎత్తులో ఎదురవుతుంది. YAW మరియు బలహీనమైన ప్రొపెల్లర్ బ్లేడ్ పిచ్ యాంగిల్ "&amp;"నియంత్రణల ఫలితంగా అధిక సైడ్ ఫోర్స్ కూడా ఉన్నాయి. కొత్త ""2 ఎఫ్"" ప్రొపెల్లర్లు కూడా than హించిన దానికంటే తక్కువ థ్రస్ట్‌ను ఉత్పత్తి చేస్తాయని నిరూపించబడింది. కార్గో విమానానికి ప్రాథమిక రూపకల్పన చాలా విలక్షణమైనది, ఇందులో పెద్ద బాక్సీ ఫ్యూజ్‌లేజ్‌ను కలిగి ఉ"&amp;"ంటుంది, వంపుతిరిగిన వెనుక ప్రాంతంతో లోడింగ్ ర్యాంప్‌ను కలిగి ఉంటుంది. ఇది 67 అడుగుల (20 మీ) వింగ్స్పాన్ కలిగి ఉంది మరియు మొత్తం 58 అడుగుల (18 మీ) పొడవు ఉంది. ఫ్యూజ్‌లేజ్ 30 అడుగుల (9.1 మీ) పొడవు, 7.5 అడుగుల (2.3 మీ) వెడల్పు 7 అడుగుల (2.1 మీ) ఎత్తైన కార్గో"&amp;" ప్రాంతాన్ని కలిగి ఉంది, ఇద్దరు పైలట్ల సిబ్బంది మరియు ఒక లోడ్ మాస్టర్ కోసం ముందు భాగంలో కొంతవరకు బాక్సీ కాక్‌పిట్ ఉంది. రెక్క అధిక-మౌంటెడ్ మరియు తోక ఉపరితలాలు లోడింగ్ సమయంలో వెనుక ప్రాంతాన్ని స్పష్టంగా ఉంచడానికి ""సెమీ-టి-టెయిల్"". ట్రైసైకిల్ ల్యాండింగ్ గ"&amp;"ేర్ ఉపయోగించబడింది, ప్రధాన కాళ్ళు ఫ్యూజ్‌లేజ్ వైపులా బొబ్బల్లోకి ప్రవేశించాయి. సాధారణ పార్క్ చేసిన కాన్ఫిగరేషన్‌లో ఇది సాంప్రదాయ కార్గో విమానం అనిపిస్తుంది. V/STOL కార్యకలాపాల కోసం, విమానం దాని రెక్కను నిలువుకు వంచి ""మార్చబడింది"". హోవర్ సమయంలో రోల్ కంట్"&amp;"రోల్ ప్రొపెల్లర్ల యొక్క అవకలన క్లచింగ్ ద్వారా అందించబడింది, అయితే యా వాయు ప్రవాహంలో ఉన్న ఐలెరాన్‌లను ఉపయోగించారు. పిచ్ నియంత్రణ కోసం, ఈ విమానం ఒక ప్రత్యేక తోక రోటర్‌ను కలిగి ఉంది, తోకను ఎత్తడానికి అడ్డంగా ఉంటుంది, నిలువుగా అమర్చబడిన హెలికాప్టర్లపై మరింత స"&amp;"ాంప్రదాయిక యాంటీ-టార్క్ రోటర్లకు విరుద్ధంగా. భూమిపై ఉన్నప్పుడు, లోడింగ్ సమయంలో దెబ్బతినకుండా ఉండటానికి తోక రోటర్ తోకకు వ్యతిరేకంగా ముడుచుకుంది. టెయిల్‌విండ్‌లో హోవర్ చేయడానికి రెక్కను 100 డిగ్రీలకు, గత నిలువుగా తిప్పవచ్చు. సి -142 ను ఒక సాధారణ డ్రైవ్‌షాఫ్"&amp;"ట్‌పై నాలుగు సాధారణ ఎలక్ట్రిక్ టి 64 టర్బోషాఫ్ట్ ఇంజన్లు క్రాస్-లింక్ చేయబడ్డాయి, ఇది V/STOL కార్యకలాపాల సమయంలో ఇంజిన్-అవుట్ అసమాన థ్రస్ట్ సమస్యలను తొలగించింది, నాలుగు 15.5-అడుగుల (4.7 మీ) హామిల్టన్ స్టాండర్డ్ ఫైబర్‌గ్లాస్ ప్రొపెల్లర్లను నడపడానికి. సాంప్ర"&amp;"దాయిక డిజైన్లతో పోలిస్తే ఇది అధిక శక్తిని కలిగి ఉంది: ఇది సమకాలీన లాక్‌హీడ్ సి -130 డి హెర్క్యులస్‌కు 0.12 హెచ్‌పి/ఎల్బితో పోలిస్తే, ఇది 0.27 హెచ్‌పి/ఎల్బిని కలిగి ఉంది. ఈ అదనపు శక్తి సురక్షితమైన VTOL కార్యకలాపాలకు అవసరమైంది, మరియు విమానానికి అద్భుతమైన ఆల"&amp;"్‌రౌండ్ పనితీరును ఇచ్చింది, ఇందులో గరిష్టంగా 400 mph (h) కంటే ఎక్కువ వేగం ఉంది, ఇది ERA యొక్క వేగవంతమైన VTOL రవాణా విమానాలలో ఒకటిగా నిలిచింది. విమానం ప్రోటోటైప్ దశకు మించి ఎప్పుడూ ముందుకు సాగలేదు. 1966 లో, పరీక్షలు ఇంకా జరుగుతున్నప్పుడు, వైమానిక దళం ఉత్పత"&amp;"్తి వెర్షన్, సి -142 బి కోసం ప్రతిపాదనను అభ్యర్థించింది. ఈ సమయానికి నావికాదళం వెనక్కి తగ్గినందున, నేవీ క్యారియర్ అనుకూలత అవసరాన్ని తొలగించవచ్చు, ఇది ఖాళీ బరువును నాటకీయంగా తగ్గించింది. ఈ సంస్కరణ కోసం ప్రతిపాదించిన ఇతర మార్పులలో క్రమబద్ధీకరించిన కాక్‌పిట్,"&amp;" పెద్ద ఫ్యూజ్‌లేజ్, అప్‌గ్రేడ్ ఇంజన్లు మరియు సరళీకృత ఇంజిన్ నిర్వహణ ఉన్నాయి. C-142B ప్రతిపాదనను సమీక్షించిన తరువాత, TRI- సర్వీస్ మేనేజ్‌మెంట్ బృందం V/STOL రవాణా కోసం అవసరాన్ని అభివృద్ధి చేయలేకపోయింది. XC-142A పరీక్ష ముగిసింది, మరియు మిగిలిన ఫ్లయింగ్ కాపీన"&amp;"ి మే 1966 నుండి మే 1970 వరకు పరిశోధన పరీక్ష కోసం నాసాకు మార్చారు. సేవలో ఇది 32 అమర్చిన దళాలు లేదా 8,000 పౌండ్ల (4,000 కిలోల) సరుకును కలిగి ఉంటుంది. ఇది గరిష్ట స్థూల బరువు నిలువు టేకాఫ్ కోసం 41,000 పౌండ్ల (19,000 కిలోలు) మరియు ఒక చిన్న టేకాఫ్ కోసం 45,000 ప"&amp;"ౌండ్లు (20,000 కిలోలు) కలిగి ఉంది. ఒక పౌర సంస్కరణ, డౌన్ టౌన్ కూడా ప్రతిపాదించబడింది. ఇది 40-50 మంది ప్రయాణికులను దాని రెండు ఇంజిన్లను మాత్రమే ఉపయోగించి 290 mph (470 కిమీ/గం) క్రూయిజ్ వేగంతో తీసుకువెళ్ళడానికి రూపొందించబడింది. [1] నిర్మించిన ఐదు విమానాలలో, "&amp;"ఇప్పటికీ ఒకటి మాత్రమే మనుగడలో ఉంది. జేన్ యొక్క ఆల్ ది వరల్డ్ విమానాల నుండి డేటా 1965-66 [3] సాధారణ లక్షణాల పనితీరు పనితీరు, కాన్ఫిగరేషన్ మరియు ERA సంబంధిత జాబితాల పనితీరు విమానం")</f>
        <v>లింగ్-టెంకో-వాట్ (ఎల్‌టివి) ఎక్స్‌సి -142 అనేది ట్రై-సర్వీస్ టిల్ట్‌వింగ్ ప్రయోగాత్మక విమానం, ఇది నిలువు/చిన్న టేకాఫ్ మరియు ల్యాండింగ్ (వి/స్టోల్) రవాణా యొక్క కార్యాచరణ అనుకూలతను పరిశోధించడానికి రూపొందించబడింది. ఒక XC-142A మొదట 29 సెప్టెంబర్ 1964 న సాంప్రదాయకంగా ప్రయాణించింది, మరియు 11 జనవరి 1965 న, ఇది నిలువుగా బయలుదేరడం ద్వారా మొదటి పరివర్తన విమానాన్ని పూర్తి చేసింది, ఫార్వర్డ్ ఫ్లైట్‌కు మార్చబడింది మరియు చివరకు నిలువుగా దిగింది. దాని సేవా స్పాన్సర్లు ప్రోగ్రామ్ నుండి ఒక్కొక్కటిగా వైదొలిగారు, చివరికి దాని సామర్థ్యాలను విజయవంతంగా ప్రదర్శించిన తరువాత ఆసక్తి లేకపోవడం వల్ల ఇది ముగిసింది. 1959 లో అమెరికా ఆర్మీ, నేవీ మరియు వైమానిక దళం రవాణా-రకం మిషన్లలో హెలికాప్టర్లను పెంచే ప్రోటోటైప్ వి/స్టోల్ విమానాల అభివృద్ధిపై పని ప్రారంభించింది. ప్రత్యేకంగా వారు ఇప్పటికే ఉన్న హెలికాప్టర్ల కంటే ఎక్కువ శ్రేణి మరియు అధిక వేగంతో డిజైన్లపై ఆసక్తి కలిగి ఉన్నారు, ఎక్కువ దూరాలకు లేదా అమెరికా మెరైన్ కార్ప్స్ విషయంలో, మరింత ఆఫ్‌షోర్ నుండి కార్యకలాపాలకు మద్దతు ఇవ్వడానికి. 27 జనవరి 1961 న, నేవీ యొక్క బ్యూరో ఆఫ్ నావల్ వెపన్స్ (బవెప్స్) నాయకత్వం క్రింద ట్రై-సర్వీస్ అస్సాల్ట్ ట్రాన్స్పోర్ట్ ప్రోగ్రాం మీద అన్ని సైనిక సేవలు పనిచేసే ఒక ఒప్పందం కుదుర్చుకుంది. అసలు రూపురేఖలు సికోర్స్కీ హెచ్‌ఆర్ 2 లకు బదులుగా, 10,000 ఎల్బి (4,500 కిలోల) ఆర్డర్‌లో పేలోడ్‌తో రూపొందించబడ్డాయి. బువెప్స్ అదే పేలోడ్‌ను పేర్కొన్న సవరించిన స్పెసిఫికేషన్‌ను విడుదల చేసింది, కాని కార్యాచరణ వ్యాసార్థాన్ని 250 మైళ్ల (400 కిమీ) కు విస్తరించింది మరియు క్రూజింగ్ ఎయిర్‌స్పీడ్‌ను 250–300 నాట్‌లకు (460–560 కిమీ/గం) మరియు గరిష్ట ఎయిర్‌స్పీడ్ 300–400 నాట్లకు పెంచింది (560–740 కిమీ/గం). ఏదేమైనా, మెరైన్ కార్ప్స్ మిషన్ కోసం, ఇంధన భారాన్ని తగ్గించవచ్చని పేర్కొంది, తద్వారా గరిష్ట స్థూల బరువు 35,000 పౌండ్ల (16,000 కిలోలు) మించకూడదు, 100-నాటికల్-మైలు (190 కిమీ) వ్యాసార్థం నిర్వహించబడినంత వరకు నిర్వహించబడుతుంది . వోట్ వారి స్వంత డిజైన్ ఆర్మ్ నుండి ఇంజనీరింగ్‌ను కలిపే ప్రతిపాదనతో, అలాగే మరింత విస్తృతమైన హెలికాప్టర్ అనుభవాన్ని కలిగి ఉన్న ర్యాన్ మరియు హిల్లర్‌తో స్పందించారు. వారి ప్రతిపాదన డిజైన్ పోటీని గెలుచుకుంది, మరియు ఐదు ప్రోటోటైప్‌ల కోసం ఒక ఒప్పందం 1962 ప్రారంభంలో జూలై 1964 న మొదటి విమానంతో సంతకం చేయబడింది. ఈ డిజైన్‌ను మొదట వోట్-ర్యాన్-హిల్లర్ XC-142 అని పిలుస్తారు, కాని వోట్ ఎల్‌టివిలో పాల్గొన్నప్పుడు సమ్మేళనం ఈ నామకరణాన్ని తొలగించారు. ప్రోటోటైప్ అభివృద్ధి సమయంలో నేవీ ఈ కార్యక్రమం నుండి నిష్క్రమించాలని నిర్ణయించుకుంది. బలమైన ప్రొపెల్లర్ డౌన్‌వాష్ పనిచేయడం కష్టతరం చేస్తుందని వారు ఆందోళన చెందారు. వారి ప్రస్తుత HR2S విమానంలో సుమారు 7.5 psi (500 HPA) యొక్క ప్రెజర్ ఉంది, మరియు భూమిపై ప్రజలను చెదరగొట్టడానికి మరియు గణనీయమైన శిధిలాలను కదిలించాలని నిరూపించబడింది. సి -142 10 పిఎస్‌ఐ (700 హెచ్‌పిఎ) యొక్క ఇంకా ఎక్కువ లోడింగ్ కలిగి ఉంటుందని అంచనా వేయబడింది, ఇది తయారుచేసిన ల్యాండింగ్ ప్యాడ్‌లకు మరియు నుండి కార్యకలాపాలను పరిమితం చేస్తుందని వారు విశ్వసించారు మరియు అందువల్ల దాడి కార్యకలాపాలకు అనుచితమైనది. మొట్టమొదటి నమూనా 29 సెప్టెంబర్ 1964 న మొదటి సాంప్రదాయిక విమానాలను చేసింది, 29 డిసెంబర్ 1964 న మొదటి హోవర్, మరియు 11 జనవరి 1965 న మొదటి పరివర్తన. మొదటి XC-142A ను జూలై 1965 లో వైమానిక దళం పరీక్ష బృందానికి పంపిణీ చేశారు. XC-142A సమయంలో ప్రోగ్రామ్, 488 విమానాలలో మొత్తం 420 గంటలు ఎగురవేయబడింది. ఐదు XC-142AS ను 39 వేర్వేరు సైనిక మరియు పౌర పైలట్లు ఎగురవేశారు. పరీక్షలలో క్యారియర్ కార్యకలాపాలు, అనుకరణ రెస్క్యూలు, పారాట్రూప్ చుక్కలు మరియు తక్కువ-స్థాయి కార్గో వెలికితీత ఉన్నాయి. పరీక్షించేటప్పుడు విమానం యొక్క క్రాస్-లింక్డ్ డ్రైవ్‌షాఫ్ట్ దాని అకిలెస్ మడమ అని నిరూపించబడింది. షాఫ్ట్ ఫలితంగా అధిక కంపనం మరియు శబ్దం ఏర్పడింది, ఫలితంగా అధిక పైలట్ పనిభారం ఏర్పడింది. అదనంగా, ఇది వింగ్ ఫ్లెక్సింగ్ కారణంగా సమస్యలకు గురవుతుంది. షాఫ్ట్ సమస్యలు, ఆపరేటర్ లోపాలతో పాటు, అనేక హార్డ్ ల్యాండింగ్‌లు దెబ్బతిన్నాయి. టెయిల్ రోటర్‌కు డ్రైవ్‌షాఫ్ట్ వైఫల్యం ఫలితంగా ఒక క్రాష్ సంభవించింది, దీనివల్ల మూడు మరణాలు సంభవించాయి. విమానంలో కనిపించే పరిమితుల్లో ఒకటి 35 మరియు 80 డిగ్రీల రెక్కల కోణాల మధ్య అస్థిరత, చాలా తక్కువ ఎత్తులో ఎదురవుతుంది. YAW మరియు బలహీనమైన ప్రొపెల్లర్ బ్లేడ్ పిచ్ యాంగిల్ నియంత్రణల ఫలితంగా అధిక సైడ్ ఫోర్స్ కూడా ఉన్నాయి. కొత్త "2 ఎఫ్" ప్రొపెల్లర్లు కూడా than హించిన దానికంటే తక్కువ థ్రస్ట్‌ను ఉత్పత్తి చేస్తాయని నిరూపించబడింది. కార్గో విమానానికి ప్రాథమిక రూపకల్పన చాలా విలక్షణమైనది, ఇందులో పెద్ద బాక్సీ ఫ్యూజ్‌లేజ్‌ను కలిగి ఉంటుంది, వంపుతిరిగిన వెనుక ప్రాంతంతో లోడింగ్ ర్యాంప్‌ను కలిగి ఉంటుంది. ఇది 67 అడుగుల (20 మీ) వింగ్స్పాన్ కలిగి ఉంది మరియు మొత్తం 58 అడుగుల (18 మీ) పొడవు ఉంది. ఫ్యూజ్‌లేజ్ 30 అడుగుల (9.1 మీ) పొడవు, 7.5 అడుగుల (2.3 మీ) వెడల్పు 7 అడుగుల (2.1 మీ) ఎత్తైన కార్గో ప్రాంతాన్ని కలిగి ఉంది, ఇద్దరు పైలట్ల సిబ్బంది మరియు ఒక లోడ్ మాస్టర్ కోసం ముందు భాగంలో కొంతవరకు బాక్సీ కాక్‌పిట్ ఉంది. రెక్క అధిక-మౌంటెడ్ మరియు తోక ఉపరితలాలు లోడింగ్ సమయంలో వెనుక ప్రాంతాన్ని స్పష్టంగా ఉంచడానికి "సెమీ-టి-టెయిల్". ట్రైసైకిల్ ల్యాండింగ్ గేర్ ఉపయోగించబడింది, ప్రధాన కాళ్ళు ఫ్యూజ్‌లేజ్ వైపులా బొబ్బల్లోకి ప్రవేశించాయి. సాధారణ పార్క్ చేసిన కాన్ఫిగరేషన్‌లో ఇది సాంప్రదాయ కార్గో విమానం అనిపిస్తుంది. V/STOL కార్యకలాపాల కోసం, విమానం దాని రెక్కను నిలువుకు వంచి "మార్చబడింది". హోవర్ సమయంలో రోల్ కంట్రోల్ ప్రొపెల్లర్ల యొక్క అవకలన క్లచింగ్ ద్వారా అందించబడింది, అయితే యా వాయు ప్రవాహంలో ఉన్న ఐలెరాన్‌లను ఉపయోగించారు. పిచ్ నియంత్రణ కోసం, ఈ విమానం ఒక ప్రత్యేక తోక రోటర్‌ను కలిగి ఉంది, తోకను ఎత్తడానికి అడ్డంగా ఉంటుంది, నిలువుగా అమర్చబడిన హెలికాప్టర్లపై మరింత సాంప్రదాయిక యాంటీ-టార్క్ రోటర్లకు విరుద్ధంగా. భూమిపై ఉన్నప్పుడు, లోడింగ్ సమయంలో దెబ్బతినకుండా ఉండటానికి తోక రోటర్ తోకకు వ్యతిరేకంగా ముడుచుకుంది. టెయిల్‌విండ్‌లో హోవర్ చేయడానికి రెక్కను 100 డిగ్రీలకు, గత నిలువుగా తిప్పవచ్చు. సి -142 ను ఒక సాధారణ డ్రైవ్‌షాఫ్ట్‌పై నాలుగు సాధారణ ఎలక్ట్రిక్ టి 64 టర్బోషాఫ్ట్ ఇంజన్లు క్రాస్-లింక్ చేయబడ్డాయి, ఇది V/STOL కార్యకలాపాల సమయంలో ఇంజిన్-అవుట్ అసమాన థ్రస్ట్ సమస్యలను తొలగించింది, నాలుగు 15.5-అడుగుల (4.7 మీ) హామిల్టన్ స్టాండర్డ్ ఫైబర్‌గ్లాస్ ప్రొపెల్లర్లను నడపడానికి. సాంప్రదాయిక డిజైన్లతో పోలిస్తే ఇది అధిక శక్తిని కలిగి ఉంది: ఇది సమకాలీన లాక్‌హీడ్ సి -130 డి హెర్క్యులస్‌కు 0.12 హెచ్‌పి/ఎల్బితో పోలిస్తే, ఇది 0.27 హెచ్‌పి/ఎల్బిని కలిగి ఉంది. ఈ అదనపు శక్తి సురక్షితమైన VTOL కార్యకలాపాలకు అవసరమైంది, మరియు విమానానికి అద్భుతమైన ఆల్‌రౌండ్ పనితీరును ఇచ్చింది, ఇందులో గరిష్టంగా 400 mph (h) కంటే ఎక్కువ వేగం ఉంది, ఇది ERA యొక్క వేగవంతమైన VTOL రవాణా విమానాలలో ఒకటిగా నిలిచింది. విమానం ప్రోటోటైప్ దశకు మించి ఎప్పుడూ ముందుకు సాగలేదు. 1966 లో, పరీక్షలు ఇంకా జరుగుతున్నప్పుడు, వైమానిక దళం ఉత్పత్తి వెర్షన్, సి -142 బి కోసం ప్రతిపాదనను అభ్యర్థించింది. ఈ సమయానికి నావికాదళం వెనక్కి తగ్గినందున, నేవీ క్యారియర్ అనుకూలత అవసరాన్ని తొలగించవచ్చు, ఇది ఖాళీ బరువును నాటకీయంగా తగ్గించింది. ఈ సంస్కరణ కోసం ప్రతిపాదించిన ఇతర మార్పులలో క్రమబద్ధీకరించిన కాక్‌పిట్, పెద్ద ఫ్యూజ్‌లేజ్, అప్‌గ్రేడ్ ఇంజన్లు మరియు సరళీకృత ఇంజిన్ నిర్వహణ ఉన్నాయి. C-142B ప్రతిపాదనను సమీక్షించిన తరువాత, TRI- సర్వీస్ మేనేజ్‌మెంట్ బృందం V/STOL రవాణా కోసం అవసరాన్ని అభివృద్ధి చేయలేకపోయింది. XC-142A పరీక్ష ముగిసింది, మరియు మిగిలిన ఫ్లయింగ్ కాపీని మే 1966 నుండి మే 1970 వరకు పరిశోధన పరీక్ష కోసం నాసాకు మార్చారు. సేవలో ఇది 32 అమర్చిన దళాలు లేదా 8,000 పౌండ్ల (4,000 కిలోల) సరుకును కలిగి ఉంటుంది. ఇది గరిష్ట స్థూల బరువు నిలువు టేకాఫ్ కోసం 41,000 పౌండ్ల (19,000 కిలోలు) మరియు ఒక చిన్న టేకాఫ్ కోసం 45,000 పౌండ్లు (20,000 కిలోలు) కలిగి ఉంది. ఒక పౌర సంస్కరణ, డౌన్ టౌన్ కూడా ప్రతిపాదించబడింది. ఇది 40-50 మంది ప్రయాణికులను దాని రెండు ఇంజిన్లను మాత్రమే ఉపయోగించి 290 mph (470 కిమీ/గం) క్రూయిజ్ వేగంతో తీసుకువెళ్ళడానికి రూపొందించబడింది. [1] నిర్మించిన ఐదు విమానాలలో, ఇప్పటికీ ఒకటి మాత్రమే మనుగడలో ఉంది. జేన్ యొక్క ఆల్ ది వరల్డ్ విమానాల నుండి డేటా 1965-66 [3] సాధారణ లక్షణాల పనితీరు పనితీరు, కాన్ఫిగరేషన్ మరియు ERA సంబంధిత జాబితాల పనితీరు విమానం</v>
      </c>
      <c r="E140" s="1" t="s">
        <v>2901</v>
      </c>
      <c r="F140" s="1" t="s">
        <v>2902</v>
      </c>
      <c r="G140" s="1" t="str">
        <f>IFERROR(__xludf.DUMMYFUNCTION("GOOGLETRANSLATE(F:F, ""en"", ""te"")"),"ప్రయోగాత్మక v/stol రవాణా")</f>
        <v>ప్రయోగాత్మక v/stol రవాణా</v>
      </c>
      <c r="H140" s="1" t="s">
        <v>2903</v>
      </c>
      <c r="L140" s="1" t="s">
        <v>2904</v>
      </c>
      <c r="M140" s="1" t="str">
        <f>IFERROR(__xludf.DUMMYFUNCTION("GOOGLETRANSLATE(L:L, ""en"", ""te"")"),"లింగ్-టెంకో-వాట్ (ఎల్‌టివి)")</f>
        <v>లింగ్-టెంకో-వాట్ (ఎల్‌టివి)</v>
      </c>
      <c r="N140" s="1" t="s">
        <v>2905</v>
      </c>
      <c r="R140" s="4">
        <v>23649.0</v>
      </c>
      <c r="S140" s="1">
        <v>5.0</v>
      </c>
      <c r="V140" s="1">
        <v>2.0</v>
      </c>
      <c r="W140" s="1" t="s">
        <v>2906</v>
      </c>
      <c r="X140" s="1" t="s">
        <v>2907</v>
      </c>
      <c r="Y140" s="1" t="s">
        <v>2908</v>
      </c>
      <c r="Z140" s="1" t="s">
        <v>2909</v>
      </c>
      <c r="AE140" s="1">
        <v>8.6</v>
      </c>
      <c r="AG140" s="1" t="s">
        <v>2910</v>
      </c>
      <c r="AH140" s="1" t="s">
        <v>2911</v>
      </c>
      <c r="AV140" s="1" t="s">
        <v>2912</v>
      </c>
      <c r="AW140" s="1" t="s">
        <v>2913</v>
      </c>
      <c r="AX140" s="1" t="s">
        <v>2914</v>
      </c>
      <c r="AY140" s="1" t="str">
        <f>IFERROR(__xludf.DUMMYFUNCTION("GOOGLETRANSLATE(AX:AX, ""en"", ""te"")"),"4 × జనరల్ ఎలక్ట్రిక్ T64-GE-1 టర్బోప్రోప్స్, 2,850 SHP (2,130 kW) ఒక్కొక్కటి")</f>
        <v>4 × జనరల్ ఎలక్ట్రిక్ T64-GE-1 టర్బోప్రోప్స్, 2,850 SHP (2,130 kW) ఒక్కొక్కటి</v>
      </c>
      <c r="AZ140" s="1" t="s">
        <v>2915</v>
      </c>
      <c r="BA140" s="1" t="str">
        <f>IFERROR(__xludf.DUMMYFUNCTION("GOOGLETRANSLATE(AZ:AZ, ""en"", ""te"")"),"4-బ్లేడెడ్ హామిల్టన్ స్టాండర్డ్ వేరియబుల్-పిచ్ ప్రొపెల్లర్స్, 15.5 అడుగుల 0 (4.72 మీ) వ్యాసం")</f>
        <v>4-బ్లేడెడ్ హామిల్టన్ స్టాండర్డ్ వేరియబుల్-పిచ్ ప్రొపెల్లర్స్, 15.5 అడుగుల 0 (4.72 మీ) వ్యాసం</v>
      </c>
      <c r="BB140" s="1" t="s">
        <v>2916</v>
      </c>
      <c r="BC140" s="1" t="s">
        <v>2917</v>
      </c>
      <c r="BD140" s="1" t="s">
        <v>1023</v>
      </c>
      <c r="BF140" s="1" t="s">
        <v>2546</v>
      </c>
      <c r="BG140" s="2" t="str">
        <f>IFERROR(__xludf.DUMMYFUNCTION("GOOGLETRANSLATE(BF:BF, ""en"", ""te"")"),"నాసా")</f>
        <v>నాసా</v>
      </c>
      <c r="BH140" s="3" t="s">
        <v>2547</v>
      </c>
      <c r="BS140" s="1" t="s">
        <v>2918</v>
      </c>
      <c r="BX140" s="1"/>
      <c r="BY140" s="1" t="s">
        <v>2919</v>
      </c>
      <c r="DJ140" s="1" t="s">
        <v>2920</v>
      </c>
      <c r="DW140" s="1" t="s">
        <v>2921</v>
      </c>
    </row>
    <row r="141">
      <c r="A141" s="1" t="s">
        <v>2922</v>
      </c>
      <c r="B141" s="1" t="str">
        <f>IFERROR(__xludf.DUMMYFUNCTION("GOOGLETRANSLATE(A:A, ""en"", ""te"")"),"హాకర్ 4000")</f>
        <v>హాకర్ 4000</v>
      </c>
      <c r="C141" s="1" t="s">
        <v>2923</v>
      </c>
      <c r="D141" s="1" t="str">
        <f>IFERROR(__xludf.DUMMYFUNCTION("GOOGLETRANSLATE(C:C, ""en"", ""te"")"),"హాకర్ 4000, మొదట హాకర్ హారిజోన్ అని పిలుస్తారు, ఇది హాకర్ బీచ్‌క్రాఫ్ట్ (గతంలో రేథియాన్ ఎయిర్‌క్రాఫ్ట్ కంపెనీ) చే అభివృద్ధి చేయబడిన సూపర్-మిడ్సైజ్ బిజినెస్ జెట్. రేథియాన్ నవంబర్ 1996 లో రేథియాన్ యొక్క జెట్ శ్రేణిలో అగ్రస్థానంలో ఉన్న హాకర్ 1000 కంటే పెద్ద "&amp;"విమానం అని కొత్త వ్యాపార జెట్ ప్రకటించింది. అప్పుడు హాకర్ హారిజోన్ అని పిలువబడే ఈ డిజైన్ 1999 లో ఎగరడానికి ఉద్దేశించబడింది, ధృవీకరణ మరియు ప్రారంభ కస్టమర్ డెలివరీలతో 2001 కోసం ప్రణాళిక చేయబడింది. [2] మొదటి నమూనా ఆగష్టు 11, 2001 న తన తొలి విమాన ప్రయాణం చేసి"&amp;"ంది, [3] రెండవ నమూనా మరియు మూడవ ప్రోటోటైప్‌లు మే 10 మరియు జూలై 31, 2002 న తమ తొలి విమానాలను తయారు చేశాయి. [4] నేషనల్ బిజినెస్ ఏవియేషన్ అసోసియేషన్ (NBAA) సదస్సులో అభివృద్ధి విమానం ప్రదర్శించబడినప్పుడు ఇది నవంబర్ 2002 లో బహిరంగంగా ప్రవేశించింది. [4] మార్చి "&amp;"2007 నాటికి, మొత్తం 130 కి పైగా విమానాలు, డెలివరీలు జూన్ 2008 లో ప్రారంభం కానున్నాయి. డిసెంబర్ 2, 2005 న నెట్‌జెట్స్ కొత్త విమానంలో 50 కోసం ఒక ఆర్డర్‌పై సంతకం చేసింది, ఇది రేథియాన్ విమాన చరిత్రలో అతిపెద్ద సింగిల్ వాణిజ్య క్రమం. [5 ] హాకర్ 4000 FAA ఫార్ పా"&amp;"ర్ట్ 25 ప్రమాణాలకు ధృవీకరించబడింది, ఇది కొత్త రవాణా వర్గం విమానాల ధృవీకరణపై ఐదేళ్ల కాలపరిమితిని ఇస్తుంది. మే 25, 2006 న 4000 పూర్తి చేసిన ఫంక్షన్ మరియు విశ్వసనీయత పరీక్షలు. [6] సెప్టెంబర్ 2005 లో, ఫ్లోరిడాలోని ఎగ్లిన్ ఎయిర్ ఫోర్స్ బేస్ వద్ద ఉన్న మెకిన్లీ "&amp;"క్లైమాటిక్ లాబొరేటరీలో ఒక నమూనా పరీక్షకు గురైంది. [7] ఏదేమైనా, పార్ట్ 25 ఐదేళ్ల విండో మే 31, 2006 గడువు ముగిసినప్పటి నుండి, ధృవీకరణ కార్యక్రమం మొదటి నుండి పున art ప్రారంభించాల్సిన అవకాశాన్ని అధిగమించడానికి కంపెనీ పొడిగింపు అభ్యర్థనను దాఖలు చేసింది. నవంబర్"&amp;" 21, 2006 న, కంపెనీ తన FAA రకం ధృవీకరణను అందుకున్నట్లు కంపెనీ ప్రకటించింది. [8] మే 2008 లో, హాకర్ బీచ్‌క్రాఫ్ట్ కార్పొరేషన్ నుండి పది హాకర్ 4000 బిజినెస్ జెట్‌ల కోసం BJETS ఒక ఆర్డర్‌ను పూర్తి చేసింది. వ్యాయామం చేసిన అన్ని ఎంపికలతో సహా కాంట్రాక్ట్ విలువ 33"&amp;"0 మిలియన్ డాలర్లకు మించి ఉంటుంది. ఈ ఒప్పందం మే 20, 2008 న EBACE లో ప్రకటించబడింది. [9] మరియు. కార్బన్ మిశ్రమ నిర్మాణాన్ని ఉపయోగించడానికి దాని తరగతిలో మొదటి విమానం. [11] హాకర్ 4000 డిసెంబర్ 2009 లో సివిల్ ఏవియేషన్ అడ్మినిస్ట్రేషన్ ఆఫ్ చైనా నుండి దాని ధృవీక"&amp;"రణను పొందింది. [12] ఫిబ్రవరి 2010 లో, హాకర్ బీచ్‌క్రాఫ్ట్ తన మొదటి హాకర్ 4000 ను ప్రధాన భూభాగంలోని ఒక కస్టమర్‌కు అందించింది. [13] మే 2013 నాటికి, హాకర్-బీచ్‌క్రాఫ్ట్ తన జెట్ డివిజన్‌ను, హాకర్ 4000 ప్రాజెక్టుతో సహా అమ్మకానికి అందిస్తోంది. ప్రొపెల్లర్ నడిచే"&amp;" విమానంపై దృష్టి పెట్టాలని కంపెనీ భావిస్తుంది; హాకర్ 4000 యొక్క భవిష్యత్తును చివరికి కొనుగోలుదారు వరకు వదిలివేసింది. [14] [15] 2018 నాటికి, 2008-2010 హాకర్ 4000 లు ఇంజిన్ల స్క్రాప్ విలువ వద్ద సుమారు million 4 మిలియన్లు. [16] హాకర్ 4000 ను పది మందికి కూర్చ"&amp;"ునేలా చేయవచ్చు. విమానం యొక్క కార్బన్ మిశ్రమ నిర్మాణం దాని తరగతిలోని అనేక జెట్‌ల కంటే ఎక్కువ అంతర్గత స్థలాన్ని ఇస్తుంది. [సైటేషన్ అవసరం] ఇంటీరియర్ స్టాండింగ్ రూమ్ సగటున ఆరు అడుగులు. [17] ఈ మిశ్రమ నిర్మాణం కూడా విమానాన్ని ప్రామాణిక అల్యూమినియం నిర్మాణం కంటే"&amp;" తేలికగా చేస్తుంది, ఇది గరిష్టంగా 3,445 నాటికల్ మైళ్ళు మరియు 45,000 అడుగుల (14,000 మీ) సేవా పైకప్పును అనుమతిస్తుంది. [18] ఫ్లైట్ డెక్‌లో హనీవెల్ ప్రిమస్ ఎపిక్ ఏవియానిక్స్ సూట్ ఐకాస్, ఫాడెక్ మరియు ఆటోథ్రోటిల్‌లతో ఉంది. ఫ్లైట్ ఇంటర్నేషనల్ నుండి డేటా. [19] ప"&amp;"ోల్చదగిన పాత్ర, కాన్ఫిగరేషన్ మరియు ERA సంబంధిత జాబితాల సాధారణ లక్షణాలు పనితీరు విమానం")</f>
        <v>హాకర్ 4000, మొదట హాకర్ హారిజోన్ అని పిలుస్తారు, ఇది హాకర్ బీచ్‌క్రాఫ్ట్ (గతంలో రేథియాన్ ఎయిర్‌క్రాఫ్ట్ కంపెనీ) చే అభివృద్ధి చేయబడిన సూపర్-మిడ్సైజ్ బిజినెస్ జెట్. రేథియాన్ నవంబర్ 1996 లో రేథియాన్ యొక్క జెట్ శ్రేణిలో అగ్రస్థానంలో ఉన్న హాకర్ 1000 కంటే పెద్ద విమానం అని కొత్త వ్యాపార జెట్ ప్రకటించింది. అప్పుడు హాకర్ హారిజోన్ అని పిలువబడే ఈ డిజైన్ 1999 లో ఎగరడానికి ఉద్దేశించబడింది, ధృవీకరణ మరియు ప్రారంభ కస్టమర్ డెలివరీలతో 2001 కోసం ప్రణాళిక చేయబడింది. [2] మొదటి నమూనా ఆగష్టు 11, 2001 న తన తొలి విమాన ప్రయాణం చేసింది, [3] రెండవ నమూనా మరియు మూడవ ప్రోటోటైప్‌లు మే 10 మరియు జూలై 31, 2002 న తమ తొలి విమానాలను తయారు చేశాయి. [4] నేషనల్ బిజినెస్ ఏవియేషన్ అసోసియేషన్ (NBAA) సదస్సులో అభివృద్ధి విమానం ప్రదర్శించబడినప్పుడు ఇది నవంబర్ 2002 లో బహిరంగంగా ప్రవేశించింది. [4] మార్చి 2007 నాటికి, మొత్తం 130 కి పైగా విమానాలు, డెలివరీలు జూన్ 2008 లో ప్రారంభం కానున్నాయి. డిసెంబర్ 2, 2005 న నెట్‌జెట్స్ కొత్త విమానంలో 50 కోసం ఒక ఆర్డర్‌పై సంతకం చేసింది, ఇది రేథియాన్ విమాన చరిత్రలో అతిపెద్ద సింగిల్ వాణిజ్య క్రమం. [5 ] హాకర్ 4000 FAA ఫార్ పార్ట్ 25 ప్రమాణాలకు ధృవీకరించబడింది, ఇది కొత్త రవాణా వర్గం విమానాల ధృవీకరణపై ఐదేళ్ల కాలపరిమితిని ఇస్తుంది. మే 25, 2006 న 4000 పూర్తి చేసిన ఫంక్షన్ మరియు విశ్వసనీయత పరీక్షలు. [6] సెప్టెంబర్ 2005 లో, ఫ్లోరిడాలోని ఎగ్లిన్ ఎయిర్ ఫోర్స్ బేస్ వద్ద ఉన్న మెకిన్లీ క్లైమాటిక్ లాబొరేటరీలో ఒక నమూనా పరీక్షకు గురైంది. [7] ఏదేమైనా, పార్ట్ 25 ఐదేళ్ల విండో మే 31, 2006 గడువు ముగిసినప్పటి నుండి, ధృవీకరణ కార్యక్రమం మొదటి నుండి పున art ప్రారంభించాల్సిన అవకాశాన్ని అధిగమించడానికి కంపెనీ పొడిగింపు అభ్యర్థనను దాఖలు చేసింది. నవంబర్ 21, 2006 న, కంపెనీ తన FAA రకం ధృవీకరణను అందుకున్నట్లు కంపెనీ ప్రకటించింది. [8] మే 2008 లో, హాకర్ బీచ్‌క్రాఫ్ట్ కార్పొరేషన్ నుండి పది హాకర్ 4000 బిజినెస్ జెట్‌ల కోసం BJETS ఒక ఆర్డర్‌ను పూర్తి చేసింది. వ్యాయామం చేసిన అన్ని ఎంపికలతో సహా కాంట్రాక్ట్ విలువ 330 మిలియన్ డాలర్లకు మించి ఉంటుంది. ఈ ఒప్పందం మే 20, 2008 న EBACE లో ప్రకటించబడింది. [9] మరియు. కార్బన్ మిశ్రమ నిర్మాణాన్ని ఉపయోగించడానికి దాని తరగతిలో మొదటి విమానం. [11] హాకర్ 4000 డిసెంబర్ 2009 లో సివిల్ ఏవియేషన్ అడ్మినిస్ట్రేషన్ ఆఫ్ చైనా నుండి దాని ధృవీకరణను పొందింది. [12] ఫిబ్రవరి 2010 లో, హాకర్ బీచ్‌క్రాఫ్ట్ తన మొదటి హాకర్ 4000 ను ప్రధాన భూభాగంలోని ఒక కస్టమర్‌కు అందించింది. [13] మే 2013 నాటికి, హాకర్-బీచ్‌క్రాఫ్ట్ తన జెట్ డివిజన్‌ను, హాకర్ 4000 ప్రాజెక్టుతో సహా అమ్మకానికి అందిస్తోంది. ప్రొపెల్లర్ నడిచే విమానంపై దృష్టి పెట్టాలని కంపెనీ భావిస్తుంది; హాకర్ 4000 యొక్క భవిష్యత్తును చివరికి కొనుగోలుదారు వరకు వదిలివేసింది. [14] [15] 2018 నాటికి, 2008-2010 హాకర్ 4000 లు ఇంజిన్ల స్క్రాప్ విలువ వద్ద సుమారు million 4 మిలియన్లు. [16] హాకర్ 4000 ను పది మందికి కూర్చునేలా చేయవచ్చు. విమానం యొక్క కార్బన్ మిశ్రమ నిర్మాణం దాని తరగతిలోని అనేక జెట్‌ల కంటే ఎక్కువ అంతర్గత స్థలాన్ని ఇస్తుంది. [సైటేషన్ అవసరం] ఇంటీరియర్ స్టాండింగ్ రూమ్ సగటున ఆరు అడుగులు. [17] ఈ మిశ్రమ నిర్మాణం కూడా విమానాన్ని ప్రామాణిక అల్యూమినియం నిర్మాణం కంటే తేలికగా చేస్తుంది, ఇది గరిష్టంగా 3,445 నాటికల్ మైళ్ళు మరియు 45,000 అడుగుల (14,000 మీ) సేవా పైకప్పును అనుమతిస్తుంది. [18] ఫ్లైట్ డెక్‌లో హనీవెల్ ప్రిమస్ ఎపిక్ ఏవియానిక్స్ సూట్ ఐకాస్, ఫాడెక్ మరియు ఆటోథ్రోటిల్‌లతో ఉంది. ఫ్లైట్ ఇంటర్నేషనల్ నుండి డేటా. [19] పోల్చదగిన పాత్ర, కాన్ఫిగరేషన్ మరియు ERA సంబంధిత జాబితాల సాధారణ లక్షణాలు పనితీరు విమానం</v>
      </c>
      <c r="E141" s="1" t="s">
        <v>2924</v>
      </c>
      <c r="F141" s="1" t="s">
        <v>496</v>
      </c>
      <c r="G141" s="1" t="str">
        <f>IFERROR(__xludf.DUMMYFUNCTION("GOOGLETRANSLATE(F:F, ""en"", ""te"")"),"బిజినెస్ జెట్")</f>
        <v>బిజినెస్ జెట్</v>
      </c>
      <c r="H141" s="1" t="s">
        <v>497</v>
      </c>
      <c r="L141" s="1" t="s">
        <v>2925</v>
      </c>
      <c r="M141" s="1" t="str">
        <f>IFERROR(__xludf.DUMMYFUNCTION("GOOGLETRANSLATE(L:L, ""en"", ""te"")"),"హాకర్ బీచ్‌క్రాఫ్ట్ రేథియాన్ ఎయిర్‌క్రాఫ్ట్ కంపెనీ")</f>
        <v>హాకర్ బీచ్‌క్రాఫ్ట్ రేథియాన్ ఎయిర్‌క్రాఫ్ట్ కంపెనీ</v>
      </c>
      <c r="N141" s="1" t="s">
        <v>2926</v>
      </c>
      <c r="R141" s="4">
        <v>37114.0</v>
      </c>
      <c r="S141" s="1" t="s">
        <v>2927</v>
      </c>
      <c r="V141" s="1" t="s">
        <v>2928</v>
      </c>
      <c r="W141" s="1" t="s">
        <v>2929</v>
      </c>
      <c r="X141" s="1" t="s">
        <v>2930</v>
      </c>
      <c r="Y141" s="1" t="s">
        <v>2931</v>
      </c>
      <c r="AG141" s="1" t="s">
        <v>2932</v>
      </c>
      <c r="AV141" s="1" t="s">
        <v>2933</v>
      </c>
      <c r="AW141" s="1" t="s">
        <v>2934</v>
      </c>
      <c r="AX141" s="1" t="s">
        <v>2935</v>
      </c>
      <c r="AY141" s="1" t="str">
        <f>IFERROR(__xludf.DUMMYFUNCTION("GOOGLETRANSLATE(AX:AX, ""en"", ""te"")"),"2 × ప్రాట్ &amp; విట్నీ కెనడా పిడబ్ల్యు 308 ఎ టర్బోఫాన్, 6,900 ఎల్బిఎఫ్ (31 కెఎన్) త్రష్")</f>
        <v>2 × ప్రాట్ &amp; విట్నీ కెనడా పిడబ్ల్యు 308 ఎ టర్బోఫాన్, 6,900 ఎల్బిఎఫ్ (31 కెఎన్) త్రష్</v>
      </c>
      <c r="BC141" s="1" t="s">
        <v>2936</v>
      </c>
      <c r="BD141" s="1" t="s">
        <v>2937</v>
      </c>
      <c r="BG141" s="2"/>
      <c r="BT141" s="1" t="s">
        <v>2938</v>
      </c>
      <c r="BU141" s="1" t="s">
        <v>2939</v>
      </c>
      <c r="BV141" s="1" t="str">
        <f>IFERROR(__xludf.DUMMYFUNCTION("GOOGLETRANSLATE(BU:BU, ""en"", ""te"")"),"క్రియాశీల సేవ")</f>
        <v>క్రియాశీల సేవ</v>
      </c>
      <c r="BW141" s="1" t="s">
        <v>2940</v>
      </c>
      <c r="BX141" s="1"/>
      <c r="BY141" s="1" t="s">
        <v>2941</v>
      </c>
      <c r="EQ141" s="1" t="s">
        <v>2942</v>
      </c>
      <c r="ER141" s="1" t="s">
        <v>2943</v>
      </c>
      <c r="ES141" s="1" t="s">
        <v>2944</v>
      </c>
      <c r="ET141" s="1" t="s">
        <v>2945</v>
      </c>
      <c r="EU141" s="1" t="s">
        <v>2946</v>
      </c>
      <c r="EV141" s="1" t="s">
        <v>2947</v>
      </c>
      <c r="EW141" s="1" t="s">
        <v>2948</v>
      </c>
    </row>
    <row r="142">
      <c r="A142" s="1" t="s">
        <v>2949</v>
      </c>
      <c r="B142" s="1" t="str">
        <f>IFERROR(__xludf.DUMMYFUNCTION("GOOGLETRANSLATE(A:A, ""en"", ""te"")"),"గ్రుమ్మన్ అమెరికన్ AA-5")</f>
        <v>గ్రుమ్మన్ అమెరికన్ AA-5</v>
      </c>
      <c r="C142" s="1" t="s">
        <v>2950</v>
      </c>
      <c r="D142" s="1" t="str">
        <f>IFERROR(__xludf.DUMMYFUNCTION("GOOGLETRANSLATE(C:C, ""en"", ""te"")"),"గ్రుమ్మన్ అమెరికన్ AA-5 సిరీస్ అనేది అమెరికన్ ఆల్-మెటల్, నాలుగు-సీట్ల, టూరింగ్ మరియు శిక్షణ కోసం ఉపయోగించే తేలికపాటి విమానాల కుటుంబం. ఈ పంక్తిలో అసలు అమెరికన్ ఏవియేషన్ AA-5 ట్రావెలర్, గ్రుమ్మన్ అమెరికన్ AA-5 ట్రావెలర్, AA-5A చిరుత, మరియు AA-5B టైగర్, గల్ఫ"&amp;"్‌స్ట్రీమ్ అమెరికన్ AA-5A చిరుత మరియు AA-5B టైగర్, అమెరికన్ జనరల్ AG-5B టైగర్, మరియు టైగర్ ఎయిర్క్రాఫ్ట్ AG-5B టైగర్. 1969 లో AA-1 యాంకీ క్లిప్పర్ రెండు-సీట్ల లైట్ విమానాలతో అమెరికన్ ఏవియేషన్ విజయం సాధించిన తరువాత, సంస్థ నాలుగు సీట్ల విమానాలను ఉత్పత్తి చే"&amp;"యాలని నిర్ణయించింది. వారు అమెరికన్ ఏవియేషన్ AA-2 పేట్రియాట్ గా నియమించబడిన కొత్త ""క్లీన్-షీట్"" డిజైన్‌తో ప్రారంభించారు. AA-2 డిజైన్ పరీక్ష-ఎగిరే సమయంలో దాని పనితీరు లక్ష్యాలను చేరుకోలేదు మరియు ఒకటి మాత్రమే నిర్మించబడింది. దాని ఉత్పత్తి శ్రేణిని పూరించడా"&amp;"నికి ఇప్పటికీ నాలుగు-సీట్ల విమానం అవసరం, సంస్థ కేవలం నాలుగు-సీటును సృష్టించడానికి AA-1 యాంకీ యొక్క బాహ్య మరియు క్యాబిన్ కొలతలను విస్తరించింది. ఈ నిర్ణయం యాంకీ మరియు దాని ఉత్పన్నమైన AA-1A ట్రైనర్ యొక్క మార్కెట్ ప్లేస్ గుర్తింపుపై పెట్టుబడి పెట్టింది మరియు "&amp;"డిజైన్ల మధ్య 2/3 భాగాల సామాన్యత, అభివృద్ధి సమయం మరియు ఉత్పత్తి ఖర్చులను ఆదా చేసింది. అమెరికన్ ఏవియేషన్ AA-5 ట్రావెలర్ అని పిలువబడే కొత్త నాలుగు-ప్రదేశాల విమానం, 150 HP (110 kW) యొక్క లైమింగ్ O-320-E2G ఇంజిన్ ద్వారా శక్తిని పొందింది. ఇది నలుగురు వ్యక్తులను"&amp;" 121 నాట్ల (224 కిమీ/గం) క్రూయిజ్ స్పీడ్ వద్ద తీసుకువెళుతుంది మరియు యుఎస్ కింద సర్టిఫికేట్ పొందింది. [1] ట్రావెలర్ యొక్క ఉత్పత్తి 1971 లో అమెరికన్ ఏవియేషన్‌ను గ్రుమ్మన్‌కు విక్రయించి గ్రుమ్మన్ అమెరికన్ డివిజన్ అయ్యింది. గ్రుమ్మన్ యాత్రికుడి ఉత్పత్తిని కొన"&amp;"సాగించాడు. ఈ మోడల్ ఉత్పత్తి 1975 లో ఆగిపోయినప్పుడు 834 ప్రయాణికులు ఉత్పత్తి చేయబడ్డారు. 1974 లో AA-5 యొక్క పున es రూపకల్పన జరిగింది, ఫలితంగా 1975 మోడల్ యాత్రికుడు ఇంజిన్ కౌలింగ్ మరియు మెయిన్ ల్యాండింగ్ గేర్ ఫెయిరింగ్స్ యొక్క ఏరోడైనమిక్ శుభ్రతను కలిగి ఉన్న"&amp;"ారు. తోక విభాగం మారలేదు. ఈ మార్పుల ఫలితంగా 1975 ప్రయాణికుడికి 127 నాట్లు (235 కిమీ/గం) క్రూయిజ్ వేగం ఉంది. మరుసటి సంవత్సరం ఈ ప్రయాణికుడు నిర్మాణంలో మరింత శుద్ధి చేసిన AA-5A చిరుత చేత అధిగమించాడు. గ్రుమ్మన్ యొక్క ఇంజనీర్లు AA-5 రూపకల్పన అసలు యాత్రికుడి కంట"&amp;"ే, 1975 మెరుగుదలలతో కూడా ఎక్కువ వేగ సామర్థ్యాన్ని కలిగి ఉందని భావించారు, కాబట్టి ఏరోడైనమిక్ క్లీనప్ మరియు పున es రూపకల్పనపై బయలుదేరారు. శీతలీకరణ డ్రాగ్‌ను తగ్గించడానికి ఇంజిన్ కౌలింగ్ మరియు అడ్డుపడేటప్పుడు మార్పులు చేయబడ్డాయి, ఎగ్జాస్ట్ సిస్టమ్ పున es రూప"&amp;"కల్పన చేయబడింది, ప్రధాన ల్యాండింగ్ గేర్ ఫెయిరింగ్‌లు మరింత మెరుగుపరచబడ్డాయి, వెంట్రల్ ఫిన్ తొలగించబడ్డాయి మరియు గురుత్వాకర్షణ పరిధి యొక్క పెద్ద కేంద్రాన్ని అనుమతించడానికి క్షితిజ సమాంతర తోక విస్తరించింది. ఇంధన సామర్థ్యాన్ని ట్రావెలర్ యొక్క 37 యుఎస్ గ్యాలన"&amp;"్ల నుండి 52 గ్యాలన్లకు పెంచారు, తద్వారా దాని పరిధిని పెంచుతుంది. కొత్త వేరియంట్‌కు AA-5A చిరుతగా పేరు పెట్టారు మరియు 1975 చివరలో 1976 మోడల్‌గా ప్రవేశపెట్టబడింది. దాని పేరుతో సమానంగా ఇది ఆరు నాట్లు (ఏడు mph) ప్రయాణికుడి కంటే వేగంగా ఉంది, అదే 150 HP (110 kW"&amp;") లైమింగ్ ఓ- 320-E2G పవర్‌ప్లాంట్. చిరుత బాహ్యంగా యాత్రికుడిలా కనిపించినందున, గ్రుమ్మన్ యొక్క మార్కెటింగ్ విభాగం మునుపటి AA-5 నుండి వేరు చేయడానికి ""దూకడం చిరుత"" చిహ్నాన్ని సృష్టించింది. గ్రుమ్మన్ తన లైట్ ఎయిర్క్రాఫ్ట్ డివిజన్‌ను 1978 లో గల్ఫ్‌స్ట్రీమ్ ఏ"&amp;"రోస్పేస్‌కు విక్రయించింది మరియు ఈ విభాగానికి గల్ఫ్‌స్ట్రీమ్ అమెరికన్ గా పేరు మార్చారు. గల్ఫ్‌స్ట్రీమ్ 1979 వరకు AA-5A యొక్క ఉత్పత్తిని కొనసాగించింది. మొత్తం 900 చిరుతలు ఉత్పత్తి చేయబడ్డాయి. AA-5 లైన్ యొక్క చివరి వేరియంట్ AA-5B టైగర్. పులిని గ్రుమ్మన్ ఇంజన"&amp;"ీర్లు రూపొందించారు మరియు దీనిని మొట్టమొదట 1974 చివరలో 1975 మోడల్‌గా నిర్మించారు. పులి అనేది AA-5 యాత్రికుడిపై అదే పున es రూపకల్పన పని యొక్క ఫలితం, దీని ఫలితంగా 150 HP (110 kW) చిరుత వచ్చింది మరియు ఇది మొదట అదే విమానం కంటే కొంచెం ఎక్కువ ) ఇంజిన్, ఫలితంగా 1"&amp;"39-నాట్ (గంటకు 257 కిమీ) క్రూయిజ్ వేగం. స్థూల బరువును AA-5/AA-5A యొక్క 2,200 పౌండ్లు (1,000 కిలోలు) నుండి పులిపై 2,400 పౌండ్లు (1,100 కిలోలు) పెంచారు. బాహ్యంగా టైగర్ AA-5 ట్రావెలర్ మరియు AA-5A చిరుత లాగా కనిపించింది, కాబట్టి మరోసారి గ్రుమ్మన్ యొక్క మార్కె"&amp;"టింగ్ విభాగం డిజైన్‌ను వేరు చేయడానికి విలక్షణమైన డెకాల్ ప్యాకేజీతో ముందుకు వచ్చింది-ఈసారి ""గాలపింగ్ టైగర్"". మునుపటి AA-1 లు మరియు AA-5 లు సంవత్సరానికి పెద్దగా మారలేదు, AA-5B పులి దాదాపు నిరంతర అభివృద్ధికి గురైంది. AA-5A మాదిరిగా, GULFStream వారు గ్రుమ్మ"&amp;"న్ అమెరికన్ డివిజన్‌ను కొనుగోలు చేసినప్పుడు AA-5B ను ఉత్పత్తిలో కొనసాగించారు. గల్ఫ్‌స్ట్రీమ్ 1979 లో అన్ని పిస్టన్-ఇంజిన్ విమానాల ఉత్పత్తిని నిలిపివేసింది మరియు 1323 విమానాలు పంపిణీ చేయబడిన తరువాత అత్యంత విజయవంతమైన టైగర్ డిజైన్ ఉత్పత్తి నుండి బయటపడింది. ప"&amp;"దకొండు సంవత్సరాలుగా డిజైన్ ఉత్పత్తి చేయబడలేదు మరియు తరువాత 1980 ల చివరలో పులిని ఉత్పత్తి చేయడానికి కొత్త సంస్థ ఏర్పడింది. అమెరికన్ జనరల్ ఏవియేషన్ కార్పొరేషన్ కొత్త స్ప్లిట్ నోస్ కౌలింగ్ (ఇంజిన్ కవర్) ను పరిచయం చేయడంతో సహా మరిన్ని డిజైన్ మెరుగుదలలను నిర్వహ"&amp;"ించింది, ఇది ప్రొపెల్లర్, కొత్త ఇన్స్ట్రుమెంట్ ప్యానెల్, మెరుగైన బాహ్య లైటింగ్, కొత్త ఇంధన పరిమాణ సూచిక వ్యవస్థ, 28 వోల్ట్ ఎలక్ట్రికల్ సిస్టమ్ పాత 14 వోల్ట్ వ్యవస్థను భర్తీ చేయడం, కొత్త-శైలి థొరెటల్ క్వాడ్రంట్ మరియు వేడి మరియు వెంటిలేషన్ వ్యవస్థలకు మెరుగు"&amp;"దలలు. ఏరోడైనమిక్ మెరుగుదలలు 139 నాట్ల (257 కిమీ/గం) నుండి సరైన ఎత్తులో క్రూయిజ్ వేగాన్ని 143 నాట్ల (గంటకు 265 కిమీ/గం) టాస్ వరకు పెంచాయి. పున es రూపకల్పన చేసిన విమానం అమెరికన్ జనరల్ AG-5B టైగర్‌గా సవరించిన రకం సర్టిఫికేట్ కింద ఉత్పత్తిలో ఉంచబడింది. కొత్త "&amp;"సంస్థ AA-1S మరియు AA-5A చిరుతలను ఉత్పత్తి చేయడాన్ని పరిగణించింది, కాని 1993 లో దాని తలుపులు మూసివేయడానికి ముందే ఆ ప్రణాళికలు ఎప్పుడూ నెరవేరలేదు. అమెరికన్ జనరల్ మోడల్ ఇయర్స్ 1990-93 కోసం టైగర్స్‌ను ఉత్పత్తి చేశాడు మరియు ఆ సమయంలో 181 విమానాలను అందించాడు. ఈ "&amp;"డిజైన్ పైలట్లు మరియు విమాన యజమానులలో బలమైన ఫాలోయింగ్ కలిగి ఉంది మరియు 1999 లో, పులిని తిరిగి ఉత్పత్తిలోకి తీసుకురావడానికి ఒక కొత్త సంస్థ ఏర్పడింది. టైగర్ విమానం 2001 లో వెస్ట్ వర్జీనియాలోని మార్టిన్స్బర్గ్‌లోని వారి ప్లాంట్‌లో AG-5B టైగర్ ఉత్పత్తిని ప్రార"&amp;"ంభించింది. టైగర్ విమానం AA-1 లేదా AA-5 కుటుంబంలోని ఇతర నమూనాలను ఉత్పత్తి చేయలేదు, అయినప్పటికీ వారు పూర్తి విమానాల కోసం టైప్ సర్టిఫికెట్లను కలిగి ఉన్నారు. 2001 మరియు 2006 మధ్య పులి విమానం 51 AG-5BS ను ఉత్పత్తి చేసింది. 2006 మధ్య నాటికి టైగర్ విమానం ఆర్థిక "&amp;"సమస్యలను ఎదుర్కొంటుంది మరియు AG-5B ల ఉత్పత్తి ఆగిపోయింది మరియు ఉత్పత్తి కార్మికులు తొలగించబడ్డారు. [2] [3] పులి విమానం జనవరి 2007 లో దివాలా కోసం దాఖలు చేసింది. [4] ఆగష్టు 2, 2007 న ఫెడరల్ దివాలా కోర్టు టైగర్ ఎయిర్క్రాఫ్ట్ ఆస్తుల అమ్మకాన్ని ట్రూ ఫ్లైట్ హోల"&amp;"్డింగ్స్ LLC కి ఆమోదించింది. ట్రూ ఫ్లైట్ భాగాలను ఉత్పత్తి చేయాలనే ఉద్దేశ్యాన్ని సూచించింది మరియు వాల్డోస్టా వద్ద 13 ఎకరాల (53,000 మీ 2) స్థలంలో 60,000 చదరపు అడుగుల (5,600 మీ 2) సదుపాయంలో AG-5B పులిని వీలైనంత త్వరగా ఉత్పత్తికి తిరిగి ఇస్తుంది, జార్జియా విమ"&amp;"ానాశ్రయం, కానీ 2021 నాటికి పూర్తి విమానాలను ఉత్పత్తి చేయలేదు. [5] [6] [7] [8] 3,289 AA-5S మరియు AG-5 లను 1971 మరియు 2005 మధ్య ఐదుగురు తయారీదారులు ఉత్పత్తి చేశారు. AA-5 యొక్క అన్ని నమూనాలు స్లైడింగ్ పందిరి కింద నాలుగు సీట్లను కలిగి ఉన్నాయి, వీటిని వెంటిలేష"&amp;"న్ కోసం విమానంలో కొంతవరకు తెరవవచ్చు. నలుగురు యజమానులకు ప్రవేశం పందిరి గుమ్మము మీదుగా వింగ్ రూట్ నుండి. అదే యుగం యొక్క పోటీ విమానాలతో పోలిస్తే AA-5 లు వాటి కాంతి మరియు ఆహ్లాదకరమైన నిర్వహణ లక్షణాలతో పాటు వ్యవస్థాపించిన శక్తి కోసం అధిక క్రూజింగ్ వేగం కోసం గు"&amp;"ర్తించబడ్డాయి. అసలు AA-1 యాంకీ యొక్క ఉత్పన్నాల వలె, AA-5 సిరీస్ అదే ప్రత్యేకమైన బాండెడ్ అల్యూమినియం వింగ్ మరియు తేనెగూడు ఫ్యూజ్‌లేజ్‌ను పంచుకుంటుంది, ఇది బలాన్ని త్యాగం చేయకుండా రివెట్స్ యొక్క అవసరాన్ని తొలగిస్తుంది. ప్రధాన ల్యాండింగ్ గేర్ స్ప్రింగ్-స్టీల"&amp;"్ ముక్కు గేర్ ట్యూబ్‌తో ఫైబర్గ్లాస్. నోస్‌వీల్ 180 డిగ్రీల ద్వారా ఫ్రీ-కాస్టరింగ్ చేస్తున్నందున నోస్‌వీల్ స్టీరింగ్ లేదు. చుక్కాని పెడల్స్ యొక్క పైభాగాలను నెట్టడానికి ఒకరి కాలి వేళ్ళను ఉపయోగించడం ద్వారా మెయిన్ వీల్ డిఫరెన్షియల్ బ్రేకింగ్ ద్వారా స్టీరింగ్ "&amp;"అనేది పనిచేస్తుంది. పార్శ్వ స్థిరత్వాన్ని మెరుగుపరచడానికి రెక్కలు డైహెడ్రల్ కలిగి ఉంటాయి. 2019 లో గార్మిన్ విమానం కోసం పూర్తి G3X టచ్ గ్లాస్ కాక్‌పిట్ ఇన్‌స్టాలేషన్ కోసం అనుబంధ రకం సర్టిఫికెట్‌ను అందుకుంది. [9] టైగర్ విమానాల నుండి డేటా [10] సాధారణ లక్షణాల"&amp;"ు పనితీరు సంబంధిత అభివృద్ధి అభివృద్ధి విమానం పోల్చదగిన పాత్ర, కాన్ఫిగరేషన్ మరియు ERA")</f>
        <v>గ్రుమ్మన్ అమెరికన్ AA-5 సిరీస్ అనేది అమెరికన్ ఆల్-మెటల్, నాలుగు-సీట్ల, టూరింగ్ మరియు శిక్షణ కోసం ఉపయోగించే తేలికపాటి విమానాల కుటుంబం. ఈ పంక్తిలో అసలు అమెరికన్ ఏవియేషన్ AA-5 ట్రావెలర్, గ్రుమ్మన్ అమెరికన్ AA-5 ట్రావెలర్, AA-5A చిరుత, మరియు AA-5B టైగర్, గల్ఫ్‌స్ట్రీమ్ అమెరికన్ AA-5A చిరుత మరియు AA-5B టైగర్, అమెరికన్ జనరల్ AG-5B టైగర్, మరియు టైగర్ ఎయిర్క్రాఫ్ట్ AG-5B టైగర్. 1969 లో AA-1 యాంకీ క్లిప్పర్ రెండు-సీట్ల లైట్ విమానాలతో అమెరికన్ ఏవియేషన్ విజయం సాధించిన తరువాత, సంస్థ నాలుగు సీట్ల విమానాలను ఉత్పత్తి చేయాలని నిర్ణయించింది. వారు అమెరికన్ ఏవియేషన్ AA-2 పేట్రియాట్ గా నియమించబడిన కొత్త "క్లీన్-షీట్" డిజైన్‌తో ప్రారంభించారు. AA-2 డిజైన్ పరీక్ష-ఎగిరే సమయంలో దాని పనితీరు లక్ష్యాలను చేరుకోలేదు మరియు ఒకటి మాత్రమే నిర్మించబడింది. దాని ఉత్పత్తి శ్రేణిని పూరించడానికి ఇప్పటికీ నాలుగు-సీట్ల విమానం అవసరం, సంస్థ కేవలం నాలుగు-సీటును సృష్టించడానికి AA-1 యాంకీ యొక్క బాహ్య మరియు క్యాబిన్ కొలతలను విస్తరించింది. ఈ నిర్ణయం యాంకీ మరియు దాని ఉత్పన్నమైన AA-1A ట్రైనర్ యొక్క మార్కెట్ ప్లేస్ గుర్తింపుపై పెట్టుబడి పెట్టింది మరియు డిజైన్ల మధ్య 2/3 భాగాల సామాన్యత, అభివృద్ధి సమయం మరియు ఉత్పత్తి ఖర్చులను ఆదా చేసింది. అమెరికన్ ఏవియేషన్ AA-5 ట్రావెలర్ అని పిలువబడే కొత్త నాలుగు-ప్రదేశాల విమానం, 150 HP (110 kW) యొక్క లైమింగ్ O-320-E2G ఇంజిన్ ద్వారా శక్తిని పొందింది. ఇది నలుగురు వ్యక్తులను 121 నాట్ల (224 కిమీ/గం) క్రూయిజ్ స్పీడ్ వద్ద తీసుకువెళుతుంది మరియు యుఎస్ కింద సర్టిఫికేట్ పొందింది. [1] ట్రావెలర్ యొక్క ఉత్పత్తి 1971 లో అమెరికన్ ఏవియేషన్‌ను గ్రుమ్మన్‌కు విక్రయించి గ్రుమ్మన్ అమెరికన్ డివిజన్ అయ్యింది. గ్రుమ్మన్ యాత్రికుడి ఉత్పత్తిని కొనసాగించాడు. ఈ మోడల్ ఉత్పత్తి 1975 లో ఆగిపోయినప్పుడు 834 ప్రయాణికులు ఉత్పత్తి చేయబడ్డారు. 1974 లో AA-5 యొక్క పున es రూపకల్పన జరిగింది, ఫలితంగా 1975 మోడల్ యాత్రికుడు ఇంజిన్ కౌలింగ్ మరియు మెయిన్ ల్యాండింగ్ గేర్ ఫెయిరింగ్స్ యొక్క ఏరోడైనమిక్ శుభ్రతను కలిగి ఉన్నారు. తోక విభాగం మారలేదు. ఈ మార్పుల ఫలితంగా 1975 ప్రయాణికుడికి 127 నాట్లు (235 కిమీ/గం) క్రూయిజ్ వేగం ఉంది. మరుసటి సంవత్సరం ఈ ప్రయాణికుడు నిర్మాణంలో మరింత శుద్ధి చేసిన AA-5A చిరుత చేత అధిగమించాడు. గ్రుమ్మన్ యొక్క ఇంజనీర్లు AA-5 రూపకల్పన అసలు యాత్రికుడి కంటే, 1975 మెరుగుదలలతో కూడా ఎక్కువ వేగ సామర్థ్యాన్ని కలిగి ఉందని భావించారు, కాబట్టి ఏరోడైనమిక్ క్లీనప్ మరియు పున es రూపకల్పనపై బయలుదేరారు. శీతలీకరణ డ్రాగ్‌ను తగ్గించడానికి ఇంజిన్ కౌలింగ్ మరియు అడ్డుపడేటప్పుడు మార్పులు చేయబడ్డాయి, ఎగ్జాస్ట్ సిస్టమ్ పున es రూపకల్పన చేయబడింది, ప్రధాన ల్యాండింగ్ గేర్ ఫెయిరింగ్‌లు మరింత మెరుగుపరచబడ్డాయి, వెంట్రల్ ఫిన్ తొలగించబడ్డాయి మరియు గురుత్వాకర్షణ పరిధి యొక్క పెద్ద కేంద్రాన్ని అనుమతించడానికి క్షితిజ సమాంతర తోక విస్తరించింది. ఇంధన సామర్థ్యాన్ని ట్రావెలర్ యొక్క 37 యుఎస్ గ్యాలన్ల నుండి 52 గ్యాలన్లకు పెంచారు, తద్వారా దాని పరిధిని పెంచుతుంది. కొత్త వేరియంట్‌కు AA-5A చిరుతగా పేరు పెట్టారు మరియు 1975 చివరలో 1976 మోడల్‌గా ప్రవేశపెట్టబడింది. దాని పేరుతో సమానంగా ఇది ఆరు నాట్లు (ఏడు mph) ప్రయాణికుడి కంటే వేగంగా ఉంది, అదే 150 HP (110 kW) లైమింగ్ ఓ- 320-E2G పవర్‌ప్లాంట్. చిరుత బాహ్యంగా యాత్రికుడిలా కనిపించినందున, గ్రుమ్మన్ యొక్క మార్కెటింగ్ విభాగం మునుపటి AA-5 నుండి వేరు చేయడానికి "దూకడం చిరుత" చిహ్నాన్ని సృష్టించింది. గ్రుమ్మన్ తన లైట్ ఎయిర్క్రాఫ్ట్ డివిజన్‌ను 1978 లో గల్ఫ్‌స్ట్రీమ్ ఏరోస్పేస్‌కు విక్రయించింది మరియు ఈ విభాగానికి గల్ఫ్‌స్ట్రీమ్ అమెరికన్ గా పేరు మార్చారు. గల్ఫ్‌స్ట్రీమ్ 1979 వరకు AA-5A యొక్క ఉత్పత్తిని కొనసాగించింది. మొత్తం 900 చిరుతలు ఉత్పత్తి చేయబడ్డాయి. AA-5 లైన్ యొక్క చివరి వేరియంట్ AA-5B టైగర్. పులిని గ్రుమ్మన్ ఇంజనీర్లు రూపొందించారు మరియు దీనిని మొట్టమొదట 1974 చివరలో 1975 మోడల్‌గా నిర్మించారు. పులి అనేది AA-5 యాత్రికుడిపై అదే పున es రూపకల్పన పని యొక్క ఫలితం, దీని ఫలితంగా 150 HP (110 kW) చిరుత వచ్చింది మరియు ఇది మొదట అదే విమానం కంటే కొంచెం ఎక్కువ ) ఇంజిన్, ఫలితంగా 139-నాట్ (గంటకు 257 కిమీ) క్రూయిజ్ వేగం. స్థూల బరువును AA-5/AA-5A యొక్క 2,200 పౌండ్లు (1,000 కిలోలు) నుండి పులిపై 2,400 పౌండ్లు (1,100 కిలోలు) పెంచారు. బాహ్యంగా టైగర్ AA-5 ట్రావెలర్ మరియు AA-5A చిరుత లాగా కనిపించింది, కాబట్టి మరోసారి గ్రుమ్మన్ యొక్క మార్కెటింగ్ విభాగం డిజైన్‌ను వేరు చేయడానికి విలక్షణమైన డెకాల్ ప్యాకేజీతో ముందుకు వచ్చింది-ఈసారి "గాలపింగ్ టైగర్". మునుపటి AA-1 లు మరియు AA-5 లు సంవత్సరానికి పెద్దగా మారలేదు, AA-5B పులి దాదాపు నిరంతర అభివృద్ధికి గురైంది. AA-5A మాదిరిగా, GULFStream వారు గ్రుమ్మన్ అమెరికన్ డివిజన్‌ను కొనుగోలు చేసినప్పుడు AA-5B ను ఉత్పత్తిలో కొనసాగించారు. గల్ఫ్‌స్ట్రీమ్ 1979 లో అన్ని పిస్టన్-ఇంజిన్ విమానాల ఉత్పత్తిని నిలిపివేసింది మరియు 1323 విమానాలు పంపిణీ చేయబడిన తరువాత అత్యంత విజయవంతమైన టైగర్ డిజైన్ ఉత్పత్తి నుండి బయటపడింది. పదకొండు సంవత్సరాలుగా డిజైన్ ఉత్పత్తి చేయబడలేదు మరియు తరువాత 1980 ల చివరలో పులిని ఉత్పత్తి చేయడానికి కొత్త సంస్థ ఏర్పడింది. అమెరికన్ జనరల్ ఏవియేషన్ కార్పొరేషన్ కొత్త స్ప్లిట్ నోస్ కౌలింగ్ (ఇంజిన్ కవర్) ను పరిచయం చేయడంతో సహా మరిన్ని డిజైన్ మెరుగుదలలను నిర్వహించింది, ఇది ప్రొపెల్లర్, కొత్త ఇన్స్ట్రుమెంట్ ప్యానెల్, మెరుగైన బాహ్య లైటింగ్, కొత్త ఇంధన పరిమాణ సూచిక వ్యవస్థ, 28 వోల్ట్ ఎలక్ట్రికల్ సిస్టమ్ పాత 14 వోల్ట్ వ్యవస్థను భర్తీ చేయడం, కొత్త-శైలి థొరెటల్ క్వాడ్రంట్ మరియు వేడి మరియు వెంటిలేషన్ వ్యవస్థలకు మెరుగుదలలు. ఏరోడైనమిక్ మెరుగుదలలు 139 నాట్ల (257 కిమీ/గం) నుండి సరైన ఎత్తులో క్రూయిజ్ వేగాన్ని 143 నాట్ల (గంటకు 265 కిమీ/గం) టాస్ వరకు పెంచాయి. పున es రూపకల్పన చేసిన విమానం అమెరికన్ జనరల్ AG-5B టైగర్‌గా సవరించిన రకం సర్టిఫికేట్ కింద ఉత్పత్తిలో ఉంచబడింది. కొత్త సంస్థ AA-1S మరియు AA-5A చిరుతలను ఉత్పత్తి చేయడాన్ని పరిగణించింది, కాని 1993 లో దాని తలుపులు మూసివేయడానికి ముందే ఆ ప్రణాళికలు ఎప్పుడూ నెరవేరలేదు. అమెరికన్ జనరల్ మోడల్ ఇయర్స్ 1990-93 కోసం టైగర్స్‌ను ఉత్పత్తి చేశాడు మరియు ఆ సమయంలో 181 విమానాలను అందించాడు. ఈ డిజైన్ పైలట్లు మరియు విమాన యజమానులలో బలమైన ఫాలోయింగ్ కలిగి ఉంది మరియు 1999 లో, పులిని తిరిగి ఉత్పత్తిలోకి తీసుకురావడానికి ఒక కొత్త సంస్థ ఏర్పడింది. టైగర్ విమానం 2001 లో వెస్ట్ వర్జీనియాలోని మార్టిన్స్బర్గ్‌లోని వారి ప్లాంట్‌లో AG-5B టైగర్ ఉత్పత్తిని ప్రారంభించింది. టైగర్ విమానం AA-1 లేదా AA-5 కుటుంబంలోని ఇతర నమూనాలను ఉత్పత్తి చేయలేదు, అయినప్పటికీ వారు పూర్తి విమానాల కోసం టైప్ సర్టిఫికెట్లను కలిగి ఉన్నారు. 2001 మరియు 2006 మధ్య పులి విమానం 51 AG-5BS ను ఉత్పత్తి చేసింది. 2006 మధ్య నాటికి టైగర్ విమానం ఆర్థిక సమస్యలను ఎదుర్కొంటుంది మరియు AG-5B ల ఉత్పత్తి ఆగిపోయింది మరియు ఉత్పత్తి కార్మికులు తొలగించబడ్డారు. [2] [3] పులి విమానం జనవరి 2007 లో దివాలా కోసం దాఖలు చేసింది. [4] ఆగష్టు 2, 2007 న ఫెడరల్ దివాలా కోర్టు టైగర్ ఎయిర్క్రాఫ్ట్ ఆస్తుల అమ్మకాన్ని ట్రూ ఫ్లైట్ హోల్డింగ్స్ LLC కి ఆమోదించింది. ట్రూ ఫ్లైట్ భాగాలను ఉత్పత్తి చేయాలనే ఉద్దేశ్యాన్ని సూచించింది మరియు వాల్డోస్టా వద్ద 13 ఎకరాల (53,000 మీ 2) స్థలంలో 60,000 చదరపు అడుగుల (5,600 మీ 2) సదుపాయంలో AG-5B పులిని వీలైనంత త్వరగా ఉత్పత్తికి తిరిగి ఇస్తుంది, జార్జియా విమానాశ్రయం, కానీ 2021 నాటికి పూర్తి విమానాలను ఉత్పత్తి చేయలేదు. [5] [6] [7] [8] 3,289 AA-5S మరియు AG-5 లను 1971 మరియు 2005 మధ్య ఐదుగురు తయారీదారులు ఉత్పత్తి చేశారు. AA-5 యొక్క అన్ని నమూనాలు స్లైడింగ్ పందిరి కింద నాలుగు సీట్లను కలిగి ఉన్నాయి, వీటిని వెంటిలేషన్ కోసం విమానంలో కొంతవరకు తెరవవచ్చు. నలుగురు యజమానులకు ప్రవేశం పందిరి గుమ్మము మీదుగా వింగ్ రూట్ నుండి. అదే యుగం యొక్క పోటీ విమానాలతో పోలిస్తే AA-5 లు వాటి కాంతి మరియు ఆహ్లాదకరమైన నిర్వహణ లక్షణాలతో పాటు వ్యవస్థాపించిన శక్తి కోసం అధిక క్రూజింగ్ వేగం కోసం గుర్తించబడ్డాయి. అసలు AA-1 యాంకీ యొక్క ఉత్పన్నాల వలె, AA-5 సిరీస్ అదే ప్రత్యేకమైన బాండెడ్ అల్యూమినియం వింగ్ మరియు తేనెగూడు ఫ్యూజ్‌లేజ్‌ను పంచుకుంటుంది, ఇది బలాన్ని త్యాగం చేయకుండా రివెట్స్ యొక్క అవసరాన్ని తొలగిస్తుంది. ప్రధాన ల్యాండింగ్ గేర్ స్ప్రింగ్-స్టీల్ ముక్కు గేర్ ట్యూబ్‌తో ఫైబర్గ్లాస్. నోస్‌వీల్ 180 డిగ్రీల ద్వారా ఫ్రీ-కాస్టరింగ్ చేస్తున్నందున నోస్‌వీల్ స్టీరింగ్ లేదు. చుక్కాని పెడల్స్ యొక్క పైభాగాలను నెట్టడానికి ఒకరి కాలి వేళ్ళను ఉపయోగించడం ద్వారా మెయిన్ వీల్ డిఫరెన్షియల్ బ్రేకింగ్ ద్వారా స్టీరింగ్ అనేది పనిచేస్తుంది. పార్శ్వ స్థిరత్వాన్ని మెరుగుపరచడానికి రెక్కలు డైహెడ్రల్ కలిగి ఉంటాయి. 2019 లో గార్మిన్ విమానం కోసం పూర్తి G3X టచ్ గ్లాస్ కాక్‌పిట్ ఇన్‌స్టాలేషన్ కోసం అనుబంధ రకం సర్టిఫికెట్‌ను అందుకుంది. [9] టైగర్ విమానాల నుండి డేటా [10] సాధారణ లక్షణాలు పనితీరు సంబంధిత అభివృద్ధి అభివృద్ధి విమానం పోల్చదగిన పాత్ర, కాన్ఫిగరేషన్ మరియు ERA</v>
      </c>
      <c r="E142" s="1" t="s">
        <v>2951</v>
      </c>
      <c r="F142" s="1" t="s">
        <v>2952</v>
      </c>
      <c r="G142" s="1" t="str">
        <f>IFERROR(__xludf.DUMMYFUNCTION("GOOGLETRANSLATE(F:F, ""en"", ""te"")"),"నాలుగు-సీట్ల క్యాబిన్ మోనోప్లేన్")</f>
        <v>నాలుగు-సీట్ల క్యాబిన్ మోనోప్లేన్</v>
      </c>
      <c r="I142" s="1" t="s">
        <v>447</v>
      </c>
      <c r="J142" s="1" t="str">
        <f>IFERROR(__xludf.DUMMYFUNCTION("GOOGLETRANSLATE(I:I, ""en"", ""te"")"),"అమెరికా")</f>
        <v>అమెరికా</v>
      </c>
      <c r="L142" s="1" t="s">
        <v>2953</v>
      </c>
      <c r="M142" s="1" t="str">
        <f>IFERROR(__xludf.DUMMYFUNCTION("GOOGLETRANSLATE(L:L, ""en"", ""te"")"),"అమెరికన్ ఏవియేషన్ గ్రుమాన్ అమెరికాంగల్ఫ్ స్ట్రీమ్ అమెరికన్ అమెరికన్ జనరల్ ఏవియేషన్ కార్పొరేషన్ విమానం")</f>
        <v>అమెరికన్ ఏవియేషన్ గ్రుమాన్ అమెరికాంగల్ఫ్ స్ట్రీమ్ అమెరికన్ అమెరికన్ జనరల్ ఏవియేషన్ కార్పొరేషన్ విమానం</v>
      </c>
      <c r="N142" s="1" t="s">
        <v>2954</v>
      </c>
      <c r="R142" s="1" t="s">
        <v>2955</v>
      </c>
      <c r="S142" s="8">
        <v>3282.0</v>
      </c>
      <c r="T142" s="1" t="s">
        <v>216</v>
      </c>
      <c r="V142" s="1" t="s">
        <v>1982</v>
      </c>
      <c r="W142" s="1" t="s">
        <v>2956</v>
      </c>
      <c r="X142" s="1" t="s">
        <v>2957</v>
      </c>
      <c r="Y142" s="1" t="s">
        <v>2958</v>
      </c>
      <c r="Z142" s="1" t="s">
        <v>2959</v>
      </c>
      <c r="AG142" s="1" t="s">
        <v>2960</v>
      </c>
      <c r="AH142" s="1" t="s">
        <v>2961</v>
      </c>
      <c r="AM142" s="1" t="s">
        <v>2962</v>
      </c>
      <c r="AN142" s="1" t="s">
        <v>2963</v>
      </c>
      <c r="AO142" s="1" t="s">
        <v>2964</v>
      </c>
      <c r="AP142" s="1" t="s">
        <v>2965</v>
      </c>
      <c r="AV142" s="1" t="s">
        <v>1355</v>
      </c>
      <c r="AX142" s="1" t="s">
        <v>2966</v>
      </c>
      <c r="AY142" s="1" t="str">
        <f>IFERROR(__xludf.DUMMYFUNCTION("GOOGLETRANSLATE(AX:AX, ""en"", ""te"")"),"1 × లైమింగ్ O-360-A4K ఎయిర్-కూల్డ్, 4-సిలిండర్, అడ్డంగా-సంతకం చేసిన పిస్టన్ ఇంజిన్, 180 HP (134 kW)")</f>
        <v>1 × లైమింగ్ O-360-A4K ఎయిర్-కూల్డ్, 4-సిలిండర్, అడ్డంగా-సంతకం చేసిన పిస్టన్ ఇంజిన్, 180 HP (134 kW)</v>
      </c>
      <c r="BB142" s="1" t="s">
        <v>2967</v>
      </c>
      <c r="BD142" s="1" t="s">
        <v>2968</v>
      </c>
      <c r="BE142" s="1" t="s">
        <v>2969</v>
      </c>
      <c r="BG142" s="2"/>
      <c r="BS142" s="1" t="s">
        <v>2970</v>
      </c>
      <c r="BT142" s="1" t="s">
        <v>2971</v>
      </c>
      <c r="BW142" s="1" t="s">
        <v>2972</v>
      </c>
      <c r="BX142" s="1"/>
      <c r="BY142" s="1" t="s">
        <v>2961</v>
      </c>
    </row>
    <row r="143">
      <c r="A143" s="1" t="s">
        <v>2973</v>
      </c>
      <c r="B143" s="1" t="str">
        <f>IFERROR(__xludf.DUMMYFUNCTION("GOOGLETRANSLATE(A:A, ""en"", ""te"")"),"పాలిటెక్నికా వార్స్జావ్స్కా పిడబ్ల్యు -5")</f>
        <v>పాలిటెక్నికా వార్స్జావ్స్కా పిడబ్ల్యు -5</v>
      </c>
      <c r="C143" s="1" t="s">
        <v>2974</v>
      </c>
      <c r="D143" s="1" t="str">
        <f>IFERROR(__xludf.DUMMYFUNCTION("GOOGLETRANSLATE(C:C, ""en"", ""te"")"),"పాలిటెక్నికా వార్స్జావ్స్కా పిడబ్ల్యు -5 స్మిక్ (పోలిష్: ""లిటిల్ రాస్కల్"") అనేది వార్సా యూనివర్శిటీ ఆఫ్ టెక్నాలజీ (పోలిష్: ""పొలిటెక్నికా వార్స్జావ్స్కా"") మరియు పోలాండ్‌లో తయారు చేయబడిన ఒకే సీట్ల సెయిల్ ప్లేన్. ఇది మోనోటైప్ ప్రపంచ స్థాయి గ్లైడర్. పిడబ్"&amp;"ల్యు -5 కోసం రూపొందించబడింది మరియు ఇంటర్నేషనల్ గ్లైడింగ్ కమిషన్ సరళమైన, తక్కువ ఖర్చుతో కూడిన సెయిల్ ప్లేన్ కోసం ఒక పోటీని గెలుచుకుంది, ఇది కొత్త పోటీ తరగతి, ఐజిసి ప్రపంచ స్థాయికి ఆధారం అవుతుంది. ఇతర పెరుగుతున్న పోటీ తరగతుల మాదిరిగా కాకుండా, పైలట్లందరూ సమా"&amp;"న ప్రాతిపదికన పాల్గొన్నారని ప్రపంచ స్థాయి హోదా హామీ ఇస్తుంది, మరియు పైలట్లు పెద్ద మొత్తంలో డబ్బు ఖర్చు చేయడం ద్వారా ప్రయోజనాన్ని పొందలేరు. ఐజిసి అంతర్జాతీయ ప్రపంచ స్థాయి రూపకల్పన పోటీలో 42 డిజైన్ ప్రతిపాదనల నుండి పిడబ్ల్యు -5 ఏకగ్రీవంగా ఎంపిక చేయబడింది. న"&amp;"వంబర్ 1989 లో, ఐజిసి ప్రతిపాదనల కోసం ప్రపంచవ్యాప్త పిలుపునిచ్చింది. ఫిబ్రవరి 1990 నాటికి, ఇది 25 దేశాల నుండి డిజైన్ స్పెసిఫికేషన్ల కోసం 84 అభ్యర్థనలను అందుకుంది. ఆగష్టు 1990 నాటికి, ఐజిసికి 20 దేశాల నుండి 42 డిజైన్ ప్రతిపాదనలు వచ్చాయి. సెప్టెంబర్ 1990 లో,"&amp;" ప్రతిపాదనలను సమీక్షించిన తరువాత, వీటిలో చాలా మోడళ్లతో వచ్చాయి, 9 దేశాల నుండి 11 డిజైన్లు ప్రోటోటైప్ పోటీకి వెళ్లాలని ఐజిసి సిఫార్సు చేసింది. అక్టోబర్ 1992 లో, ఐజిసి ఓర్లింగ్‌హౌసేన్ జర్మనీ వద్ద 5 దేశాల నుండి 6 ప్రోటోటైప్‌లను పరిశీలించి పరీక్షించింది. మరిం"&amp;"త సమీక్ష మరియు తయారీ డేటాను సేకరించిన తరువాత, 1993 వసంతకాలంలో, మొదటి ప్రపంచ స్థాయి గ్లైడర్ అయిన వార్సా యూనివర్శిటీ ఆఫ్ టెక్నాలజీలో అధ్యాపకులు/విద్యార్థి బృందం రూపొందించిన పిడబ్ల్యు -5 ను ఐజిసి ప్రకటించింది. రోమన్ -విట్కివిచ్ పర్యవేక్షణలో వార్సా యూనివర్శిట"&amp;"ీ ఆఫ్ టెక్నాలజీ యొక్క పవర్ అండ్ ఏరోనాటికల్ ఇంజనీరింగ్ ఫ్యాకల్టీ వద్ద గ్లైడర్ రూపొందించబడింది. దీనిని మొదట పిజెడ్ఎల్ తన కర్మాగారంలో ఓవిడ్నిక్ వద్ద నిర్మించింది మరియు మొదటిసారి 1993 లో ఎగిరింది. 2000 చివరి నాటికి కొత్త ప్రైవేట్ సంస్థ PZL-BEILSKO1 ను వార్సా "&amp;"యూనివర్శిటీ ఆఫ్ టెక్నాలజీ మరియు DWLKK కంపెనీ నుండి డిజైన్ బృందం యొక్క అసలు సభ్యులు స్థాపించారు. బీల్స్కోలోని కొత్త ఫ్యాక్టరీ B1-PW-5 అని పిలువబడే PW-5 గ్లైడర్ యొక్క సవరించిన సంస్కరణను ఉత్పత్తి చేసింది. [1] ఎందుకంటే దాని ఖర్చు పాత క్లబ్ క్లాస్ గ్లైడర్‌ల అధ"&amp;"ిక పనితీరుతో పోల్చదగినది, అది విక్రయించలేదు మరియు expected హించిన మరియు ప్రపంచ స్థాయి పోటీలు కూడా బాగా ప్రాచుర్యం పొందలేదు. మొత్తం 200 పిడబ్ల్యు -5 ల కంటే తక్కువ నిర్మించబడ్డాయి, అయినప్పటికీ 70 కి పైగా అమెరికాకు ఎగుమతి చేయబడ్డాయి, ఇక్కడ చాలా ఫాలోయింగ్ ఉంద"&amp;"ి. ప్రస్తుతం పిడబ్ల్యు -5 యొక్క రెండు వెర్షన్లు ఉన్నాయి. బి 1 పిడబ్ల్యు -5 గా గుర్తించబడిన బీల్స్కో వెర్షన్ కొన్ని భద్రత- మరియు పనితీరు-సంబంధిత మెరుగుదలలను కలిగి ఉంది: పిడబ్ల్యు -5 ఆధారంగా మోటారుగ్లైడర్ నియమించబడిన పిడబ్ల్యు -5 ఎమ్ నిర్మించడానికి ఒక ప్రాజ"&amp;"ెక్ట్ పురోగతిలో ఉంది. పిడబ్ల్యు -5 లో రెండు సీట్ల ఉత్పన్నం, పిడబ్ల్యు -6. సాధారణ లక్షణాల పనితీరు")</f>
        <v>పాలిటెక్నికా వార్స్జావ్స్కా పిడబ్ల్యు -5 స్మిక్ (పోలిష్: "లిటిల్ రాస్కల్") అనేది వార్సా యూనివర్శిటీ ఆఫ్ టెక్నాలజీ (పోలిష్: "పొలిటెక్నికా వార్స్జావ్స్కా") మరియు పోలాండ్‌లో తయారు చేయబడిన ఒకే సీట్ల సెయిల్ ప్లేన్. ఇది మోనోటైప్ ప్రపంచ స్థాయి గ్లైడర్. పిడబ్ల్యు -5 కోసం రూపొందించబడింది మరియు ఇంటర్నేషనల్ గ్లైడింగ్ కమిషన్ సరళమైన, తక్కువ ఖర్చుతో కూడిన సెయిల్ ప్లేన్ కోసం ఒక పోటీని గెలుచుకుంది, ఇది కొత్త పోటీ తరగతి, ఐజిసి ప్రపంచ స్థాయికి ఆధారం అవుతుంది. ఇతర పెరుగుతున్న పోటీ తరగతుల మాదిరిగా కాకుండా, పైలట్లందరూ సమాన ప్రాతిపదికన పాల్గొన్నారని ప్రపంచ స్థాయి హోదా హామీ ఇస్తుంది, మరియు పైలట్లు పెద్ద మొత్తంలో డబ్బు ఖర్చు చేయడం ద్వారా ప్రయోజనాన్ని పొందలేరు. ఐజిసి అంతర్జాతీయ ప్రపంచ స్థాయి రూపకల్పన పోటీలో 42 డిజైన్ ప్రతిపాదనల నుండి పిడబ్ల్యు -5 ఏకగ్రీవంగా ఎంపిక చేయబడింది. నవంబర్ 1989 లో, ఐజిసి ప్రతిపాదనల కోసం ప్రపంచవ్యాప్త పిలుపునిచ్చింది. ఫిబ్రవరి 1990 నాటికి, ఇది 25 దేశాల నుండి డిజైన్ స్పెసిఫికేషన్ల కోసం 84 అభ్యర్థనలను అందుకుంది. ఆగష్టు 1990 నాటికి, ఐజిసికి 20 దేశాల నుండి 42 డిజైన్ ప్రతిపాదనలు వచ్చాయి. సెప్టెంబర్ 1990 లో, ప్రతిపాదనలను సమీక్షించిన తరువాత, వీటిలో చాలా మోడళ్లతో వచ్చాయి, 9 దేశాల నుండి 11 డిజైన్లు ప్రోటోటైప్ పోటీకి వెళ్లాలని ఐజిసి సిఫార్సు చేసింది. అక్టోబర్ 1992 లో, ఐజిసి ఓర్లింగ్‌హౌసేన్ జర్మనీ వద్ద 5 దేశాల నుండి 6 ప్రోటోటైప్‌లను పరిశీలించి పరీక్షించింది. మరింత సమీక్ష మరియు తయారీ డేటాను సేకరించిన తరువాత, 1993 వసంతకాలంలో, మొదటి ప్రపంచ స్థాయి గ్లైడర్ అయిన వార్సా యూనివర్శిటీ ఆఫ్ టెక్నాలజీలో అధ్యాపకులు/విద్యార్థి బృందం రూపొందించిన పిడబ్ల్యు -5 ను ఐజిసి ప్రకటించింది. రోమన్ -విట్కివిచ్ పర్యవేక్షణలో వార్సా యూనివర్శిటీ ఆఫ్ టెక్నాలజీ యొక్క పవర్ అండ్ ఏరోనాటికల్ ఇంజనీరింగ్ ఫ్యాకల్టీ వద్ద గ్లైడర్ రూపొందించబడింది. దీనిని మొదట పిజెడ్ఎల్ తన కర్మాగారంలో ఓవిడ్నిక్ వద్ద నిర్మించింది మరియు మొదటిసారి 1993 లో ఎగిరింది. 2000 చివరి నాటికి కొత్త ప్రైవేట్ సంస్థ PZL-BEILSKO1 ను వార్సా యూనివర్శిటీ ఆఫ్ టెక్నాలజీ మరియు DWLKK కంపెనీ నుండి డిజైన్ బృందం యొక్క అసలు సభ్యులు స్థాపించారు. బీల్స్కోలోని కొత్త ఫ్యాక్టరీ B1-PW-5 అని పిలువబడే PW-5 గ్లైడర్ యొక్క సవరించిన సంస్కరణను ఉత్పత్తి చేసింది. [1] ఎందుకంటే దాని ఖర్చు పాత క్లబ్ క్లాస్ గ్లైడర్‌ల అధిక పనితీరుతో పోల్చదగినది, అది విక్రయించలేదు మరియు expected హించిన మరియు ప్రపంచ స్థాయి పోటీలు కూడా బాగా ప్రాచుర్యం పొందలేదు. మొత్తం 200 పిడబ్ల్యు -5 ల కంటే తక్కువ నిర్మించబడ్డాయి, అయినప్పటికీ 70 కి పైగా అమెరికాకు ఎగుమతి చేయబడ్డాయి, ఇక్కడ చాలా ఫాలోయింగ్ ఉంది. ప్రస్తుతం పిడబ్ల్యు -5 యొక్క రెండు వెర్షన్లు ఉన్నాయి. బి 1 పిడబ్ల్యు -5 గా గుర్తించబడిన బీల్స్కో వెర్షన్ కొన్ని భద్రత- మరియు పనితీరు-సంబంధిత మెరుగుదలలను కలిగి ఉంది: పిడబ్ల్యు -5 ఆధారంగా మోటారుగ్లైడర్ నియమించబడిన పిడబ్ల్యు -5 ఎమ్ నిర్మించడానికి ఒక ప్రాజెక్ట్ పురోగతిలో ఉంది. పిడబ్ల్యు -5 లో రెండు సీట్ల ఉత్పన్నం, పిడబ్ల్యు -6. సాధారణ లక్షణాల పనితీరు</v>
      </c>
      <c r="E143" s="1" t="s">
        <v>2975</v>
      </c>
      <c r="F143" s="1" t="s">
        <v>2976</v>
      </c>
      <c r="G143" s="1" t="str">
        <f>IFERROR(__xludf.DUMMYFUNCTION("GOOGLETRANSLATE(F:F, ""en"", ""te"")"),"ప్రపంచ స్థాయి సెయిల్ ప్లేన్")</f>
        <v>ప్రపంచ స్థాయి సెయిల్ ప్లేన్</v>
      </c>
      <c r="H143" s="1" t="s">
        <v>2977</v>
      </c>
      <c r="I143" s="1" t="s">
        <v>1938</v>
      </c>
      <c r="J143" s="1" t="str">
        <f>IFERROR(__xludf.DUMMYFUNCTION("GOOGLETRANSLATE(I:I, ""en"", ""te"")"),"పోలాండ్")</f>
        <v>పోలాండ్</v>
      </c>
      <c r="L143" s="1" t="s">
        <v>2978</v>
      </c>
      <c r="M143" s="1" t="str">
        <f>IFERROR(__xludf.DUMMYFUNCTION("GOOGLETRANSLATE(L:L, ""en"", ""te"")"),"పాలిటెక్నికా వార్స్జావ్స్కా")</f>
        <v>పాలిటెక్నికా వార్స్జావ్స్కా</v>
      </c>
      <c r="N143" s="1" t="s">
        <v>2979</v>
      </c>
      <c r="R143" s="1">
        <v>1993.0</v>
      </c>
      <c r="S143" s="1" t="s">
        <v>2980</v>
      </c>
      <c r="T143" s="1" t="s">
        <v>216</v>
      </c>
      <c r="V143" s="1" t="s">
        <v>819</v>
      </c>
      <c r="W143" s="1" t="s">
        <v>781</v>
      </c>
      <c r="X143" s="1" t="s">
        <v>2981</v>
      </c>
      <c r="Y143" s="1" t="s">
        <v>2982</v>
      </c>
      <c r="Z143" s="1" t="s">
        <v>2983</v>
      </c>
      <c r="AE143" s="1">
        <v>17.71</v>
      </c>
      <c r="AG143" s="1" t="s">
        <v>2984</v>
      </c>
      <c r="AH143" s="1" t="s">
        <v>2985</v>
      </c>
      <c r="AK143" s="1">
        <v>32.0</v>
      </c>
      <c r="AL143" s="1" t="s">
        <v>2986</v>
      </c>
      <c r="BB143" s="1" t="s">
        <v>2184</v>
      </c>
      <c r="BG143" s="2"/>
    </row>
    <row r="144">
      <c r="A144" s="1" t="s">
        <v>2987</v>
      </c>
      <c r="B144" s="1" t="str">
        <f>IFERROR(__xludf.DUMMYFUNCTION("GOOGLETRANSLATE(A:A, ""en"", ""te"")"),"START + FLUG H-101")</f>
        <v>START + FLUG H-101</v>
      </c>
      <c r="C144" s="1" t="s">
        <v>2988</v>
      </c>
      <c r="D144" s="1" t="str">
        <f>IFERROR(__xludf.DUMMYFUNCTION("GOOGLETRANSLATE(C:C, ""en"", ""te"")"),"H-101 సాల్టో (ఇంగ్లీష్: లూప్) అనేది గాజు మిశ్రమ నిర్మాణం యొక్క ఏరోబాటిక్ గ్లైడర్, ఇది 1970 లలో జర్మనీలో అభివృద్ధి చేయబడింది. ప్రామాణిక లిబెల్లె H-2010 ఆధారంగా, దీనిని ఉర్సులా హన్లే రూపొందించారు, [1] గ్లాస్ఫ్లగెల్ మాజీ డైరెక్టర్ యూజెన్ హన్లే యొక్క భార్య. ఇ"&amp;"ది మొదట START + FLUG GMBH సాల్గావు చేత ఉత్పత్తి చేయబడింది. [2] H-101 v- తోకను కలిగి ఉండటంలో మిలేల్లె నుండి భిన్నంగా ఉంటుంది, దాని పూర్వీకులను V- తోక గల Hütter H-30 GFK కి చూపిస్తుంది. [1] నాలుగు ఫ్లష్-ఫిట్టింగ్ ఎయిర్ బ్రేక్‌లు రెక్కల వెనుకంజలో ఉన్న అంచులక"&amp;"ు అమర్చబడ్డాయి, ప్రామాణిక మిలేల్లె యొక్క సాంప్రదాయకంగా కూర్చున్న ఎయిర్ బ్రేక్‌లను భర్తీ చేస్తాయి. సాల్టో యొక్క ఎయిర్ బ్రేక్‌లు వారి మధ్య బిందువుల వద్ద అతుక్కుంటాయి, తద్వారా సగం ఉపరితల ప్రాజెక్టులు రెక్క పైన మరియు సగం క్రింద ఉన్నాయి. [2] సాల్టో ప్రోటోటైప్ "&amp;"మొదట 6 మార్చి 1970 న ఎగిరింది, మరియు 67 1977 ప్రారంభంలో, ప్రారంభంలో + ఫ్లగ్ GMBH సాల్గావులో ఉత్పత్తి ఆగిపోయినప్పుడు. మరో ఐదు సాల్టోలను 1993 నుండి 1996 వరకు జర్మన్ కంపెనీ ""ఎల్‌టిబి ఫ్రాంక్ &amp; వాల్డెన్‌బెర్గర్"" నిర్మించింది, సాల్టో గ్లైడర్‌ల యొక్క మొత్తం ఉ"&amp;"త్పత్తిని 72 కి తీసుకువచ్చింది. 1980 ల చివరలో డాక్టర్ ఫైబర్గ్లాస్ చేత సాల్టో మళ్లీ అందుబాటులో ఉంచబడింది, వెస్టర్‌బర్న్‌లో ఉర్సులా హన్లే ఏర్పాటు చేసింది పశ్చిమ జర్మనీలో హన్లే హెచ్ 101 సాల్టోగా, యుటిలిటీ మరియు ఏరోబాటిక్ వెర్షన్లలో లభిస్తుంది, యుటిలిటీ వెర్ష"&amp;"న్ చిన్న లేదా పొడవైన-స్పాన్ రెక్కలతో లభిస్తుంది. [3] జేన్ యొక్క వరల్డ్ సెయిల్‌ప్లేన్స్ &amp; మోటార్ గ్లైడర్‌ల నుండి డేటా, [2] [3] పోల్చదగిన పాత్ర, కాన్ఫిగరేషన్ మరియు ERA సంబంధిత జాబితాల సాధారణ లక్షణాల పనితీరు విమానం")</f>
        <v>H-101 సాల్టో (ఇంగ్లీష్: లూప్) అనేది గాజు మిశ్రమ నిర్మాణం యొక్క ఏరోబాటిక్ గ్లైడర్, ఇది 1970 లలో జర్మనీలో అభివృద్ధి చేయబడింది. ప్రామాణిక లిబెల్లె H-2010 ఆధారంగా, దీనిని ఉర్సులా హన్లే రూపొందించారు, [1] గ్లాస్ఫ్లగెల్ మాజీ డైరెక్టర్ యూజెన్ హన్లే యొక్క భార్య. ఇది మొదట START + FLUG GMBH సాల్గావు చేత ఉత్పత్తి చేయబడింది. [2] H-101 v- తోకను కలిగి ఉండటంలో మిలేల్లె నుండి భిన్నంగా ఉంటుంది, దాని పూర్వీకులను V- తోక గల Hütter H-30 GFK కి చూపిస్తుంది. [1] నాలుగు ఫ్లష్-ఫిట్టింగ్ ఎయిర్ బ్రేక్‌లు రెక్కల వెనుకంజలో ఉన్న అంచులకు అమర్చబడ్డాయి, ప్రామాణిక మిలేల్లె యొక్క సాంప్రదాయకంగా కూర్చున్న ఎయిర్ బ్రేక్‌లను భర్తీ చేస్తాయి. సాల్టో యొక్క ఎయిర్ బ్రేక్‌లు వారి మధ్య బిందువుల వద్ద అతుక్కుంటాయి, తద్వారా సగం ఉపరితల ప్రాజెక్టులు రెక్క పైన మరియు సగం క్రింద ఉన్నాయి. [2] సాల్టో ప్రోటోటైప్ మొదట 6 మార్చి 1970 న ఎగిరింది, మరియు 67 1977 ప్రారంభంలో, ప్రారంభంలో + ఫ్లగ్ GMBH సాల్గావులో ఉత్పత్తి ఆగిపోయినప్పుడు. మరో ఐదు సాల్టోలను 1993 నుండి 1996 వరకు జర్మన్ కంపెనీ "ఎల్‌టిబి ఫ్రాంక్ &amp; వాల్డెన్‌బెర్గర్" నిర్మించింది, సాల్టో గ్లైడర్‌ల యొక్క మొత్తం ఉత్పత్తిని 72 కి తీసుకువచ్చింది. 1980 ల చివరలో డాక్టర్ ఫైబర్గ్లాస్ చేత సాల్టో మళ్లీ అందుబాటులో ఉంచబడింది, వెస్టర్‌బర్న్‌లో ఉర్సులా హన్లే ఏర్పాటు చేసింది పశ్చిమ జర్మనీలో హన్లే హెచ్ 101 సాల్టోగా, యుటిలిటీ మరియు ఏరోబాటిక్ వెర్షన్లలో లభిస్తుంది, యుటిలిటీ వెర్షన్ చిన్న లేదా పొడవైన-స్పాన్ రెక్కలతో లభిస్తుంది. [3] జేన్ యొక్క వరల్డ్ సెయిల్‌ప్లేన్స్ &amp; మోటార్ గ్లైడర్‌ల నుండి డేటా, [2] [3] పోల్చదగిన పాత్ర, కాన్ఫిగరేషన్ మరియు ERA సంబంధిత జాబితాల సాధారణ లక్షణాల పనితీరు విమానం</v>
      </c>
      <c r="E144" s="1" t="s">
        <v>2989</v>
      </c>
      <c r="F144" s="1" t="s">
        <v>2990</v>
      </c>
      <c r="G144" s="1" t="str">
        <f>IFERROR(__xludf.DUMMYFUNCTION("GOOGLETRANSLATE(F:F, ""en"", ""te"")"),"ఏరోబాటిక్ సెయిల్ ప్లేన్")</f>
        <v>ఏరోబాటిక్ సెయిల్ ప్లేన్</v>
      </c>
      <c r="I144" s="1" t="s">
        <v>2991</v>
      </c>
      <c r="J144" s="1" t="str">
        <f>IFERROR(__xludf.DUMMYFUNCTION("GOOGLETRANSLATE(I:I, ""en"", ""te"")"),"పశ్చిమ జర్మనీ")</f>
        <v>పశ్చిమ జర్మనీ</v>
      </c>
      <c r="K144" s="1" t="s">
        <v>2992</v>
      </c>
      <c r="L144" s="1" t="s">
        <v>2993</v>
      </c>
      <c r="M144" s="1" t="str">
        <f>IFERROR(__xludf.DUMMYFUNCTION("GOOGLETRANSLATE(L:L, ""en"", ""te"")"),"ప్రారంభం + ఫ్లగ్")</f>
        <v>ప్రారంభం + ఫ్లగ్</v>
      </c>
      <c r="N144" s="1" t="s">
        <v>2994</v>
      </c>
      <c r="O144" s="1" t="s">
        <v>2995</v>
      </c>
      <c r="P144" s="1" t="str">
        <f>IFERROR(__xludf.DUMMYFUNCTION("GOOGLETRANSLATE(O:O, ""en"", ""te"")"),"ఉర్సులా హన్లే")</f>
        <v>ఉర్సులా హన్లే</v>
      </c>
      <c r="Q144" s="1" t="s">
        <v>2996</v>
      </c>
      <c r="R144" s="4">
        <v>25633.0</v>
      </c>
      <c r="S144" s="1" t="s">
        <v>2997</v>
      </c>
      <c r="V144" s="1">
        <v>1.0</v>
      </c>
      <c r="W144" s="1" t="s">
        <v>1675</v>
      </c>
      <c r="X144" s="1" t="s">
        <v>2998</v>
      </c>
      <c r="Y144" s="1" t="s">
        <v>2999</v>
      </c>
      <c r="Z144" s="1" t="s">
        <v>3000</v>
      </c>
      <c r="AE144" s="1" t="s">
        <v>3001</v>
      </c>
      <c r="AG144" s="1" t="s">
        <v>3002</v>
      </c>
      <c r="AI144" s="1" t="s">
        <v>3003</v>
      </c>
      <c r="AJ144" s="1" t="s">
        <v>3004</v>
      </c>
      <c r="AK144" s="1" t="s">
        <v>3005</v>
      </c>
      <c r="AL144" s="1" t="s">
        <v>3006</v>
      </c>
      <c r="AM144" s="1" t="s">
        <v>3007</v>
      </c>
      <c r="BG144" s="2"/>
      <c r="BI144" s="1" t="s">
        <v>3008</v>
      </c>
      <c r="BJ144" s="1" t="s">
        <v>3009</v>
      </c>
      <c r="BR144" s="1" t="s">
        <v>3010</v>
      </c>
      <c r="BX144" s="1"/>
      <c r="BY144" s="1" t="s">
        <v>3011</v>
      </c>
    </row>
    <row r="145">
      <c r="A145" s="1" t="s">
        <v>3012</v>
      </c>
      <c r="B145" s="1" t="str">
        <f>IFERROR(__xludf.DUMMYFUNCTION("GOOGLETRANSLATE(A:A, ""en"", ""te"")"),"సోకాటా హారిజోన్")</f>
        <v>సోకాటా హారిజోన్</v>
      </c>
      <c r="C145" s="1" t="s">
        <v>3013</v>
      </c>
      <c r="D145" s="1" t="str">
        <f>IFERROR(__xludf.DUMMYFUNCTION("GOOGLETRANSLATE(C:C, ""en"", ""te"")"),"GY-80 హారిజోన్ 1960 లలో ఫ్రెంచ్ నాలుగు-సీట్ల పర్యటన మోనోప్లేన్, ఇది వైవ్స్ గార్డాన్ [FR] చేత రూపొందించబడింది మరియు లైసెన్స్ కింద నిర్మించబడింది, మొదట SUD ఏవియేషన్ చేత మరియు తరువాత ఆ సంస్థ యొక్క సోకాటా అనుబంధ సంస్థ. ఈ విమానం 1950 లలో ప్రసిద్ధ ఫ్రెంచ్ డిజైన"&amp;"ర్ వైవ్స్ గార్డాన్ [FR] రూపొందించారు. 1960 లో, డిజైన్‌ను నిర్మించడానికి సుడ్ ఏవియేషన్ గార్డన్ నుండి లైసెన్స్ పొందారు. ప్రోటోటైప్ మొదట 21 జూలై 1960 న ప్రయాణించింది మరియు ఈ విమానం మొదట నాంటెస్ మరియు రోచెఫోర్ట్ వద్ద SUD ఏవియేషన్ చేత ఉత్పత్తి చేయబడింది. [1] స"&amp;"ుడ్ ఏవియేషన్ తరువాత దివాలా తీసిన మొరాన్-సాల్నియర్ ఎయిర్క్రాఫ్ట్ కంపెనీని కొనుగోలు చేసింది, [2] మరియు 1966 లో, మొరాన్-సాల్నియర్ ర్యాలీ ఉత్పత్తిని కొనసాగించడానికి అనుబంధ సోకాటాను ఏర్పాటు చేసింది; ఏదేమైనా, SUD ఏవియేషన్ త్వరలో దాని ఇతర సాధారణ విమాన విమానాల ఉత"&amp;"్పత్తిని సోకాటాకు బదిలీ చేసింది. [3] ఉత్పత్తి ముగిసినప్పుడు, 1969 చివరి నాటికి SUD-AVITION మరియు దాని SOCATA అనుబంధ సంస్థ 267 యూనిట్లను [1] తయారు చేసింది. ఫ్లాప్స్ మరియు రెండు ఫ్రిజ్-టైప్ ఐలెరాన్లు. [4] ట్రైసైకిల్ ల్యాండింగ్ గేర్ పాక్షికంగా ఉపసంహరించుకుంట"&amp;"ుంది, అన్ని చక్రాలు వెనుకకు ఉపసంహరించుకుంటాయి. [4] (ప్రతి చక్రంలో సగం కంటే కొంచెం ఎక్కువ ఉపసంహరించబడిన స్థితిలో బహిర్గతమవుతుంది). ఈ ఇంజిన్ లేదా O-320 యొక్క 160 HP (120 kW) సంస్కరణను ఉపయోగించి ఉత్పత్తి విమానాలతో, మరియు స్థిరమైన స్పీడ్ ప్రొపెల్లర్‌ను ఉపయోగి"&amp;"ంచుకునే అవకాశం ఉంది. [5] [6] 1966 నాటికి, 180 HP (130 kW) లైమింగ్ O-360 ఇంజిన్ అందుబాటులో ఉంది., [7] మరియు 150 HP ఎంపిక 1967 నాటికి తొలగించబడింది. [8] చాలా పరిధులను ఫ్రెంచ్ పైలట్ యజమానులు కొనుగోలు చేశారు, కాని ఉదాహరణలు జర్మనీ, స్విట్జర్లాండ్ మరియు యునైటెడ"&amp;"్ కింగ్‌డమ్ మరియు నంబర్‌లతో సహా అనేక దేశాలకు 2014 లో సేవలో ఉన్నాయి. మెరుగైన వేరియంట్‌ను మొదట సూపర్ హారిజోన్ 200 గా అభివృద్ధి చేశారు మరియు తరువాత ఉత్పత్తికి వెళ్ళింది సెయింట్ 10 డిప్లొమేట్. [1] జేన్ యొక్క అన్ని ప్రపంచ విమానాల నుండి డేటా 1969-70 [9] సాధారణ "&amp;"లక్షణాలు పనితీరు సంబంధిత అభివృద్ధి విమానాలు పోల్చదగిన పాత్ర, కాన్ఫిగరేషన్ మరియు ERA")</f>
        <v>GY-80 హారిజోన్ 1960 లలో ఫ్రెంచ్ నాలుగు-సీట్ల పర్యటన మోనోప్లేన్, ఇది వైవ్స్ గార్డాన్ [FR] చేత రూపొందించబడింది మరియు లైసెన్స్ కింద నిర్మించబడింది, మొదట SUD ఏవియేషన్ చేత మరియు తరువాత ఆ సంస్థ యొక్క సోకాటా అనుబంధ సంస్థ. ఈ విమానం 1950 లలో ప్రసిద్ధ ఫ్రెంచ్ డిజైనర్ వైవ్స్ గార్డాన్ [FR] రూపొందించారు. 1960 లో, డిజైన్‌ను నిర్మించడానికి సుడ్ ఏవియేషన్ గార్డన్ నుండి లైసెన్స్ పొందారు. ప్రోటోటైప్ మొదట 21 జూలై 1960 న ప్రయాణించింది మరియు ఈ విమానం మొదట నాంటెస్ మరియు రోచెఫోర్ట్ వద్ద SUD ఏవియేషన్ చేత ఉత్పత్తి చేయబడింది. [1] సుడ్ ఏవియేషన్ తరువాత దివాలా తీసిన మొరాన్-సాల్నియర్ ఎయిర్క్రాఫ్ట్ కంపెనీని కొనుగోలు చేసింది, [2] మరియు 1966 లో, మొరాన్-సాల్నియర్ ర్యాలీ ఉత్పత్తిని కొనసాగించడానికి అనుబంధ సోకాటాను ఏర్పాటు చేసింది; ఏదేమైనా, SUD ఏవియేషన్ త్వరలో దాని ఇతర సాధారణ విమాన విమానాల ఉత్పత్తిని సోకాటాకు బదిలీ చేసింది. [3] ఉత్పత్తి ముగిసినప్పుడు, 1969 చివరి నాటికి SUD-AVITION మరియు దాని SOCATA అనుబంధ సంస్థ 267 యూనిట్లను [1] తయారు చేసింది. ఫ్లాప్స్ మరియు రెండు ఫ్రిజ్-టైప్ ఐలెరాన్లు. [4] ట్రైసైకిల్ ల్యాండింగ్ గేర్ పాక్షికంగా ఉపసంహరించుకుంటుంది, అన్ని చక్రాలు వెనుకకు ఉపసంహరించుకుంటాయి. [4] (ప్రతి చక్రంలో సగం కంటే కొంచెం ఎక్కువ ఉపసంహరించబడిన స్థితిలో బహిర్గతమవుతుంది). ఈ ఇంజిన్ లేదా O-320 యొక్క 160 HP (120 kW) సంస్కరణను ఉపయోగించి ఉత్పత్తి విమానాలతో, మరియు స్థిరమైన స్పీడ్ ప్రొపెల్లర్‌ను ఉపయోగించుకునే అవకాశం ఉంది. [5] [6] 1966 నాటికి, 180 HP (130 kW) లైమింగ్ O-360 ఇంజిన్ అందుబాటులో ఉంది., [7] మరియు 150 HP ఎంపిక 1967 నాటికి తొలగించబడింది. [8] చాలా పరిధులను ఫ్రెంచ్ పైలట్ యజమానులు కొనుగోలు చేశారు, కాని ఉదాహరణలు జర్మనీ, స్విట్జర్లాండ్ మరియు యునైటెడ్ కింగ్‌డమ్ మరియు నంబర్‌లతో సహా అనేక దేశాలకు 2014 లో సేవలో ఉన్నాయి. మెరుగైన వేరియంట్‌ను మొదట సూపర్ హారిజోన్ 200 గా అభివృద్ధి చేశారు మరియు తరువాత ఉత్పత్తికి వెళ్ళింది సెయింట్ 10 డిప్లొమేట్. [1] జేన్ యొక్క అన్ని ప్రపంచ విమానాల నుండి డేటా 1969-70 [9] సాధారణ లక్షణాలు పనితీరు సంబంధిత అభివృద్ధి విమానాలు పోల్చదగిన పాత్ర, కాన్ఫిగరేషన్ మరియు ERA</v>
      </c>
      <c r="E145" s="1" t="s">
        <v>3014</v>
      </c>
      <c r="F145" s="1" t="s">
        <v>3015</v>
      </c>
      <c r="G145" s="1" t="str">
        <f>IFERROR(__xludf.DUMMYFUNCTION("GOOGLETRANSLATE(F:F, ""en"", ""te"")"),"నాలుగు-సీట్ల టూరింగ్ మోనోప్లేన్")</f>
        <v>నాలుగు-సీట్ల టూరింగ్ మోనోప్లేన్</v>
      </c>
      <c r="I145" s="1" t="s">
        <v>422</v>
      </c>
      <c r="J145" s="1" t="str">
        <f>IFERROR(__xludf.DUMMYFUNCTION("GOOGLETRANSLATE(I:I, ""en"", ""te"")"),"ఫ్రాన్స్")</f>
        <v>ఫ్రాన్స్</v>
      </c>
      <c r="L145" s="1" t="s">
        <v>3016</v>
      </c>
      <c r="M145" s="1" t="str">
        <f>IFERROR(__xludf.DUMMYFUNCTION("GOOGLETRANSLATE(L:L, ""en"", ""te"")"),"సుడ్ ఏవియేషన్ సోకాటా")</f>
        <v>సుడ్ ఏవియేషన్ సోకాటా</v>
      </c>
      <c r="N145" s="1" t="s">
        <v>3017</v>
      </c>
      <c r="O145" s="1" t="s">
        <v>3018</v>
      </c>
      <c r="P145" s="1" t="str">
        <f>IFERROR(__xludf.DUMMYFUNCTION("GOOGLETRANSLATE(O:O, ""en"", ""te"")"),"వైవ్స్ గార్డాన్ [Fr]")</f>
        <v>వైవ్స్ గార్డాన్ [Fr]</v>
      </c>
      <c r="Q145" s="1" t="s">
        <v>3019</v>
      </c>
      <c r="R145" s="4">
        <v>22118.0</v>
      </c>
      <c r="S145" s="1">
        <v>267.0</v>
      </c>
      <c r="T145" s="1" t="s">
        <v>3020</v>
      </c>
      <c r="U145" s="1" t="s">
        <v>3021</v>
      </c>
      <c r="V145" s="1">
        <v>1.0</v>
      </c>
      <c r="W145" s="1" t="s">
        <v>2559</v>
      </c>
      <c r="X145" s="1" t="s">
        <v>3022</v>
      </c>
      <c r="Y145" s="1" t="s">
        <v>1807</v>
      </c>
      <c r="Z145" s="1" t="s">
        <v>3023</v>
      </c>
      <c r="AE145" s="1">
        <v>7.2</v>
      </c>
      <c r="AF145" s="1" t="s">
        <v>3024</v>
      </c>
      <c r="AG145" s="1" t="s">
        <v>3025</v>
      </c>
      <c r="AI145" s="1" t="s">
        <v>3026</v>
      </c>
      <c r="AV145" s="1" t="s">
        <v>2228</v>
      </c>
      <c r="AW145" s="1" t="s">
        <v>3027</v>
      </c>
      <c r="AX145" s="1" t="s">
        <v>3028</v>
      </c>
      <c r="AY145" s="1" t="str">
        <f>IFERROR(__xludf.DUMMYFUNCTION("GOOGLETRANSLATE(AX:AX, ""en"", ""te"")"),"1 × లైమింగ్ O-360-A ఫ్లాట్-ఫోర్ పిస్టన్ ఇంజిన్, 130 kW (180 HP)")</f>
        <v>1 × లైమింగ్ O-360-A ఫ్లాట్-ఫోర్ పిస్టన్ ఇంజిన్, 130 kW (180 HP)</v>
      </c>
      <c r="BB145" s="1" t="s">
        <v>3029</v>
      </c>
      <c r="BC145" s="1" t="s">
        <v>3030</v>
      </c>
      <c r="BD145" s="1" t="s">
        <v>3031</v>
      </c>
      <c r="BG145" s="2"/>
      <c r="BR145" s="1" t="s">
        <v>3032</v>
      </c>
      <c r="BS145" s="1" t="s">
        <v>3033</v>
      </c>
      <c r="BT145" s="1" t="s">
        <v>1399</v>
      </c>
      <c r="BX145" s="1"/>
      <c r="BY145" s="1" t="s">
        <v>3034</v>
      </c>
      <c r="BZ145" s="1" t="s">
        <v>3035</v>
      </c>
      <c r="EX145" s="1" t="s">
        <v>3036</v>
      </c>
      <c r="EY145" s="1" t="s">
        <v>3037</v>
      </c>
    </row>
    <row r="146">
      <c r="A146" s="1" t="s">
        <v>3038</v>
      </c>
      <c r="B146" s="1" t="str">
        <f>IFERROR(__xludf.DUMMYFUNCTION("GOOGLETRANSLATE(A:A, ""en"", ""te"")"),"R100")</f>
        <v>R100</v>
      </c>
      <c r="C146" s="1" t="s">
        <v>3039</v>
      </c>
      <c r="D146" s="1" t="str">
        <f>IFERROR(__xludf.DUMMYFUNCTION("GOOGLETRANSLATE(C:C, ""en"", ""te"")"),"అతని మెజెస్టి యొక్క ఎయిర్‌షిప్ R100 అనేది ఇంపీరియల్ ఎయిర్‌షిప్ పథకంలో భాగంగా బ్రిటిష్ సామ్రాజ్యం మార్గాల్లో ఉపయోగం కోసం వాణిజ్య ఎయిర్‌షిప్ సేవను అభివృద్ధి చేయడానికి రెండు-షిప్ పోటీలో భాగంగా తయారు చేసిన ప్రైవేటు రూపకల్పన మరియు నిర్మించిన బ్రిటిష్ దృ g మైన "&amp;"ఎయిర్‌షిప్. ఇతర ఎయిర్‌షిప్, R101 ను బ్రిటిష్ వైమానిక మంత్రిత్వ శాఖ నిర్మించింది, కాని రెండు ఎయిర్‌షిప్‌లకు ప్రభుత్వం నిధులు సమకూర్చింది. R100 ను ఎయిర్‌షిప్ గ్యారెంటీ కంపెనీ నిర్మించింది, కమాండర్ డెన్నిస్ బర్నీ నేతృత్వంలోని ఆర్మమెంట్స్ సంస్థ విక్కర్స్-ఆర్మ"&amp;"్‌స్ట్రాంగ్స్ యొక్క ప్రత్యేకంగా సృష్టించబడిన అనుబంధ సంస్థ. డిజైన్ బృందానికి బర్న్స్ వాలిస్ నాయకత్వం వహించారు, తరువాత బౌన్స్ బాంబును కనుగొన్నందుకు ప్రసిద్ధి చెందింది. డిజైన్ బృందంలో నెవిల్ షుట్ నార్వేను సీనియర్ స్ట్రెస్ ఇంజనీర్‌గా చేర్చారు (అతని స్లైడ్ రూల"&amp;"్: ఇంజనీర్ యొక్క ఆత్మకథ చూడండి). జూలై -ఆగస్టు 1930 లో అట్లాంటిక్, కానీ అక్టోబర్ 1930 లో R101 క్రాష్ తరువాత ఇంపీరియల్ ఎయిర్ షిప్ పథకం ముగిసింది మరియు R100 స్క్రాప్ కోసం విచ్ఛిన్నమైంది. భారతదేశం, ఆస్ట్రేలియా మరియు కెనడాతో సహా బ్రిటన్ మరియు బ్రిటిష్ సామ్రాజ్"&amp;"యం దేశాల మధ్య ప్రయాణీకుల మరియు మెయిల్ రవాణాను అందించడానికి ఎయిర్‌షిప్‌లను అభివృద్ధి చేయడానికి బ్రిటిష్ ప్రభుత్వ కార్యక్రమంలో భాగంగా R100 నిర్మించబడింది. సివిల్ ఎయిర్‌షిప్ డెవలప్‌మెంట్ ప్రోగ్రాం కోసం డెన్నిస్టౌన్ బర్నీ యొక్క 1922 ప్రతిపాదనలో ఇది దాని మూలాన"&amp;"్ని కలిగి ఉంది మరియు విక్కర్స్ యొక్క ప్రత్యేకంగా స్థాపించబడిన అనుబంధ సంస్థ చేత నిర్వహించబడుతుంది. 1923 సార్వత్రిక ఎన్నికలు రామ్‌సే మెక్‌డొనాల్డ్ యొక్క కార్మిక పరిపాలనను అధికారంలోకి తీసుకువచ్చినప్పుడు, కొత్త వైమానిక మంత్రి లార్డ్ థామ్సన్ ఇంపీరియల్ ఎయిర్‌షి"&amp;"ప్ పథకాన్ని దాని స్థానంలో రూపొందించారు. ఇది రెండు ప్రయోగాత్మక ఎయిర్‌షిప్‌లను నిర్మించాలని పిలుపునిచ్చింది: ఒకటి, R101, వైమానిక మంత్రిత్వ శాఖ ఆదేశాల మేరకు రూపొందించబడింది మరియు నిర్మించబడింది, మరియు మరొకటి, R100, విక్కర్స్ అనుబంధ సంస్థ చేత నిర్ణీత ధరల ఒప్ప"&amp;"ందం ప్రకారం నిర్మించబడాలి. యార్క్‌షైర్‌లోని మాజీ ఆర్‌ఎన్‌ఏల ఎయిర్ స్టేషన్ హౌడెన్ వద్ద R100 నిర్మించబడింది, హౌడెన్ నుండి 3 మై (5 కిమీ) మరియు హల్ నుండి 25 మైళ్ళు (40 కిమీ) రిమోట్ లొకేషన్. డిజైన్ పనులు 1925 లో ప్రారంభమయ్యాయి, అదే సమయంలో కొంతవరకు తగ్గింపు సైట"&amp;"్ క్రమంలో ఉంచబడింది మరియు హైడ్రోజన్ ఉత్పత్తి చేసే మొక్కను వ్యవస్థాపించారు. విక్కర్స్ యొక్క ప్రత్యేకంగా స్థాపించబడిన అనుబంధ సంస్థ, ఎయిర్‌షిప్ గ్యారెంటీ సంస్థ, గణనీయమైన ఇబ్బందులను ఎదుర్కొంది. R100 నిర్మాణానికి ఒప్పందం ఒక నిర్ణీత ధర ఒకటి మరియు ఈ ప్రాజెక్ట్ న"&amp;"ష్టాన్ని కలిగిస్తుందని చాలా ముందుగానే స్పష్టంగా ఉంది, కాబట్టి ఆర్థిక వ్యవస్థలు జరిగాయి; ఉదాహరణకు, ఎయిర్‌షిప్ నిర్మాణానికి డజను యంత్ర సాధనాలు మాత్రమే వాడుకలో ఉన్నాయి. ఈ ప్రదేశం యొక్క రిమోట్నెస్ కారణంగా నైపుణ్యం కలిగిన కార్మికులను కనుగొనడంలో కూడా ఇబ్బందులు "&amp;"ఉన్నాయి, మరియు ఎక్కువ భాగం కార్మికులు స్థానిక ప్రజలు శిక్షణ పొందవలసి వచ్చింది. వేడి చేయని ఎయిర్‌షిప్ షెడ్‌లోని పరిస్థితులు కూడా పేలవంగా ఉన్నాయి: పైకప్పు లీక్ అయ్యింది, శీతాకాలంలో గిర్డర్లపై మంచు ఏర్పడింది, మరియు సంగ్రహణ ఎయిర్‌షిప్ యొక్క డ్యూరాలిమిన్ నిర్మ"&amp;"ాణం యొక్క తుప్పుకు కారణమైంది, తద్వారా గిర్డర్‌లను వార్నిష్ చేయవలసి ఉంటుంది. మూడు సంవత్సరాలుగా అసెంబ్లీ పని డిజైనర్ల వెనుక ఉంది, మరియు డిజైన్ పని యొక్క పురోగతి నిర్మాణ వేగంతో నిర్ణయించే అంశం. విండ్ టన్నెల్ పరీక్షలు 16-వైపుల విలోమ విభాగంలో వృత్తాకారంగా ఉన్న"&amp;" డ్రాగ్‌ను కలిగి ఉన్నాయని చూపించినందున, R100 మరియు R101 రెండూ ఒత్తిడి గణనలను సరళీకృతం చేయడానికి మునుపటి ఎయిర్‌షిప్‌ల కంటే తక్కువ సంఖ్యలో రేఖాంశ గిర్డర్లను ఉపయోగించాయి. అయినప్పటికీ, విలోమ ఫ్రేమ్‌ల లెక్కలకు ప్రతి ఫ్రేమ్‌కు ఒక పరిష్కారాన్ని ఉత్పత్తి చేయడానిక"&amp;"ి రెండు లేదా మూడు నెలలు పట్టింది. 1921 లో R38 యొక్క విపత్తు నిర్మాణాత్మక వైఫల్యం తరువాత, ఎయిర్‌షిప్‌లకు అవసరమైన బలానికి కొత్త వాయు మంత్రిత్వ శాఖ ప్రమాణాల యొక్క పర్యవసానంగా ఒత్తిడి లెక్కల యొక్క సంపూర్ణత. తక్కువ రేఖాంశ గిర్డర్‌ల ఫలితంగా కవరులో పెద్ద మద్దతు "&amp;"లేని ప్యానెల్‌లు మరియు విమాన పరీక్షలు జరిగాయి. R100 యొక్క కవరింగ్ కేవలం సరిపోదని నిరూపించడానికి. R101 యొక్క కవరు కూడా సంతృప్తికరంగా లేదు మరియు దాని ముఖచిత్రంలో వైఫల్యం దాని క్రాష్‌కు కారణం కావచ్చు. బర్న్స్ వాలిస్ 11 ప్రామాణిక భాగాలను మాత్రమే ఉపయోగించి ఎయి"&amp;"ర్‌షిప్ యొక్క చట్రాన్ని సృష్టించాడు. 16 రేఖాంశ గిర్డర్లు మూడు గొట్టాలతో ఏర్పడ్డాయి, ఇది డ్యూరాలిమిన్ గాయం యొక్క స్ట్రిప్స్ నుండి ఒక హెలిక్స్లోకి ఏర్పడింది మరియు కలిసి రివర్ట్ చేయబడింది. ఇవి 15 బహుభుజి విలోమ ఫ్రేమ్‌లను అనుసంధానించాయి, ఇవి ఓడ యొక్క పొడవును "&amp;"నడుపుతున్న సెంట్రల్ లాంగిట్యూడినల్ గిర్డర్‌కు అనుసంధానించబడిన వైర్ బ్రేసింగ్ ద్వారా ఆకారంలో ఉంచబడ్డాయి. [1] ఎయిర్‌ఫ్రేమ్ స్ట్రెస్ డిజైన్ కోసం కొత్త నిబంధనల యొక్క మరో పరిణామం ఏమిటంటే, గ్యాస్‌బ్యాగ్‌ల యొక్క లిఫ్టింగ్ శక్తిని ఉపయోగించుకునే కొత్త మార్గం కనుగొ"&amp;"నవలసి ఉంది. ఈ సమస్యకు వాలిస్ యొక్క పరిష్కారం తరువాత వెల్లెస్లీ, వెల్లింగ్టన్ మరియు విండ్సర్ బాంబర్ల కోసం అతని వినూత్న జియోడెసిక్ ఎయిర్ఫ్రేమ్ ఫ్యూజ్‌లేజ్ మరియు వింగ్ డిజైన్‌కు దారితీసింది. ఎలివేటర్లు ఏరోడైనమిక్‌గా సమతుల్యతతో ఉన్నాయి, కాని రడ్డర్లు అసమతుల్య"&amp;"తతో ఉన్నారు. బరువు మరియు డబ్బులో గణనీయమైన ఖర్చుతో R101 సర్వో మోటార్స్‌తో అమర్చబడిందని డిజైనర్లు తెలుసుకున్నప్పుడు, వారు తప్పు చేశారని మరియు వారి లెక్కలను తిరిగి తనిఖీ చేశారని వారు భావించారు. చివరికి వారు తమ లెక్కలు సరైనవని నిర్ధారించారు: R100 ఎగురవేయబడినప"&amp;"్పుడు నియంత్రణలు కాంతి మరియు ప్రభావవంతమైన రెండింటినీ నిరూపించాయి మరియు దాని నియంత్రణ లక్షణాలను R101 తో అనుకూలంగా పోల్చారు, R101 యొక్క మొదటి అధికారి నెల్ అథర్‌స్టోన్. [2] R100 దాని షెడ్ పైకప్పు నుండి సస్పెండ్ చేయబడింది. వ్యక్తిగత విలోమ ఫ్రేమ్‌లు అడ్డంగా సమ"&amp;"ావేశమై, పైకప్పు-మౌంటెడ్ ట్రాక్‌వేల నుండి పైకి ఎత్తి, స్థితిలోకి జారిపోయే ముందు మరియు రేఖాంశ గిర్డర్‌ల ద్వారా ప్రక్కనే ఉన్న ఫ్రేమ్‌లకు జతచేయబడతాయి. గ్యాస్‌బ్యాగులు హైడ్రోజన్‌తో పెంచిపోయే వరకు ఓడ నిలిపివేయబడింది. [3] 1929 మధ్య నాటికి ఓడ యొక్క నిర్మాణం దాదాప"&amp;"ుగా పూర్తయింది మరియు దాని గ్యాస్‌బ్యాగులు పెంచి ఉన్నాయి. గ్యాస్‌బ్యాగ్‌ల ద్రవ్యోల్బణం తరువాత, అల్యూమినియం ఎయిర్‌క్రాఫ్ట్ డోప్‌తో పెయింట్ చేయబడిన నార ఫాబ్రిక్ యొక్క బయటి కవరింగ్ అమల్లోకి వచ్చింది, మరియు ఇది నవంబర్ ప్రారంభంలో పూర్తయింది. [3] నవంబర్ 11 న లిఫ"&amp;"్ట్ మరియు ట్రిమ్ ట్రయల్స్ జరిగాయి: ఖాళీ బరువు 105.52 పొడవైన టన్నులు (107.21 టి) మరియు గ్యాస్‌బ్యాగ్ వాల్యూమ్ 5,156,000 క్యూ అడుగులు (146,000 మీ 3), ఇది 156.52 పొడవైన టన్నుల (159.03 టి) యొక్క ప్రామాణిక స్థూల లిఫ్ట్ ఇస్తుంది మరియు పునర్వినియోగపరచలేనిది 51.0"&amp;"0 పొడవైన టన్నుల లిఫ్ట్ (51.82 టి). సేవా లోడ్ (సిబ్బంది, దుకాణాలు మరియు బ్యాలస్ట్) కోసం 18 పొడవైన టన్నుల (18 టి) ను తీసివేయడం దీని అర్థం ఇంధనం మరియు పేలోడ్ కోసం అందుబాటులో ఉన్న బరువు 33.00 పొడవు టన్నులు (33.53 టి). [4] ఇది మొదట R100 కోసం ప్రత్యేక ఇంజిన్లను"&amp;" రూపొందించడానికి ఉద్దేశించబడింది, ఇది హైడ్రోజన్ మరియు కిరోసిన్ చేత ఆజ్యం పోస్తుంది, కాని ఒక సంవత్సరం పని తరువాత ఇంజిన్ సమయానికి అభివృద్ధి చేయబడదని గ్రహించబడింది మరియు ఇది బార్డ్మోర్ టోర్నాడో డీజిల్ ఇంజిన్‌కు సరిపోయేలా నిర్ణయించబడింది R101 లో సంస్థాపన కోసం"&amp;" వైమానిక మంత్రిత్వ శాఖ కోసం అభివృద్ధి చేయబడింది. ప్రారంభ దశలో సుడిగాలి దాని బరువు మరియు ఇతర సమస్యల కారణంగా అనుచితంగా నిర్ణయించబడింది, మరియు వాలిస్ ఆరు పునర్వినియోగపరచబడిన రోల్స్ రాయిస్ కాండోర్ పెట్రోల్ ఇంజిన్ల వాడకంపై స్థిరపడ్డారు, ఇంధనం, దాని దిగువ ఫ్లాష"&amp;"్ పాయింట్‌తో, అగ్ని ప్రమాదంగా పరిగణించబడింది. ఉష్ణమండల పరిస్థితులలో. [5] ఇంజిన్లు మూడు గొండోలాస్‌లో ఉన్నాయి, ఒక్కొక్కటి ఒక ఇంజిన్ 17 అడుగుల (5.18 మీ) వ్యాసం కలిగిన ట్రాక్టర్ ప్రొపెల్లర్‌ను మరియు రెండవది 15 అడుగుల (4.57 మీ) వ్యాసం కలిగిన పషర్ ప్రొపెల్లర్‌న"&amp;"ు నడుపుతుంది. పషర్ ప్రొపెల్లర్లను నడిపించే ఇంజిన్లు ఎయిర్‌షిప్‌ను డాకింగ్ చేయడానికి రివర్స్ థ్రస్ట్‌ను అందించడానికి గేర్‌బాక్స్‌తో అమర్చబడ్డాయి. [6] ప్రయాణీకుడు మరియు సిబ్బంది వసతి మూడు డెక్‌లపై ఒకే బేను నిర్మాణం యొక్క ఒకే బేను ఆక్రమించింది మరియు పూర్తిగా"&amp;" ఎయిర్‌షిప్ కవరులో ఉంది. దిగువ డెక్‌లో సిబ్బంది వసతి ఉంది. రెండవ డెక్‌లో భోజనాల గది ఉంది, ఇది ప్రయాణీకుల లాంజ్, ప్లస్ కిచెన్, 18 నాలుగు-బెర్త్ ప్యాసింజర్ క్యాబిన్లు మరియు ఇరువైపులా ఒక గ్యాలరీ ప్రయాణీకులు చర్మంలో నిర్మించిన కిటికీల ద్వారా వీక్షణను ఆస్వాదిం"&amp;"చడానికి. మూడవ డెక్‌లో భోజనాల గది చుట్టూ నడుస్తున్న గ్యాలరీ మరియు 14 రెండు-బెర్త్ క్యాబిన్లు ఉన్నాయి. [6] R100 16 డిసెంబర్ 1929 ఉదయం తన తొలి విమానంలో చేసింది. 07:53 వద్ద హౌడెన్ నుండి బయలుదేరిన తరువాత, అది నెమ్మదిగా యార్క్‌కు వెళ్లి, ఆపై బెడ్‌ఫోర్డ్‌షైర్‌లో"&amp;"ని కార్డింగ్టన్ వద్ద రాయల్ ఎయిర్‌షిప్ వర్క్స్ కోసం కోర్సును ఏర్పాటు చేసింది, ఐదు ఇంజిన్లలో నడుస్తోంది, ఎందుకంటే ఇంజిన్‌లలో ఒకటి ఉండాలి పగిలిన వాటర్ జాకెట్ కారణంగా మూసివేయండి మరియు 13:40 వద్ద మూరింగ్ ప్రక్రియను పూర్తి చేయండి. [7] మరుసటి రోజు రెండవ ఫ్లైట్ జ"&amp;"రిగింది, లండన్‌కు విమాన ప్రయాణం చేయాలనే ఉద్దేశ్యంతో, కానీ మాస్ట్ జారిపోయిన కొద్దిసేపటికే, దిగువ ఫిన్ నుండి ఫాబ్రిక్ యొక్క స్ట్రిప్ వేరుచేయబడింది, మరియు ఫ్లైట్ పరీక్షించడానికి బెడ్‌ఫోర్డ్‌షైర్ చుట్టూ ఒక క్రూయిజ్‌కు పరిమితం చేయబడింది ప్రతిస్పందన, 6 గంటలు 29"&amp;" నిమి. మరుసటి రోజు, R100 ను కార్డింగ్టన్ వద్ద మాస్ట్ నుండి నెం .2 షెడ్‌కు తీసుకెళ్లారు మరియు కవర్‌ను కలిగి ఉన్న వైరింగ్‌ను సవరించే పని ప్రారంభమైంది: ఇది 11 జనవరి 1930 వరకు పట్టింది. [8] 16 జనవరి 1930 న ఒక పరీక్షలో, R100 81.5 mph (131.2 కిమీ/గం) వేగాన్ని స"&amp;"ాధించింది. [9] వేగంతో, బయటి కవరింగ్‌తో సమస్య స్పష్టమైంది: ఇది నిలబడి ఉన్న తరంగ రూపంలో అలలు మరియు ఫ్లాప్ అధికంగా ఉంటుంది. జనవరి 20 న నాల్గవ విమానంలో, ఈ దృగ్విషయం గురించి సినీ చిత్రం తీయబడింది, ఇది మద్దతు లేని ఫాబ్రిక్ యొక్క పెద్ద ప్రాంతాల కారణంగా సంభవించిం"&amp;"ది; ఇది కొన్ని ఛాయాచిత్రాలలో కూడా కనిపిస్తుంది. జనవరి 20 న జనవరి 20 న మరో చిన్న ఫ్లైట్ జరిగింది, జనవరి 27 న 09:38 వద్ద ప్రారంభమైంది, R100 కార్డింగ్టన్ వద్ద మాస్ట్‌ను జారిపడి, జనవరి 29 న 15:26 వద్ద ముగిసింది. ఈ ఫ్లైట్ తరువాత, కవర్‌పై పని చేయడానికి షెడ్‌కు "&amp;"తిరిగి ఇవ్వబడింది. అదే సమయంలో, అసలు పునర్వినియోగపరచబడిన కాండోర్ IIIA ఇంజిన్లు ఆరు కొత్త కాండోర్ IIIB లతో భర్తీ చేయబడ్డాయి మరియు ప్రయాణీకుల వసతి మొత్తాన్ని తగ్గించడం ద్వారా కొంత బరువు తొలగించబడింది. ఏప్రిల్ చివరి నాటికి ఈ పని పూర్తయింది, కాని ఏప్రిల్ 24 న "&amp;"షెడ్ నుండి బయటికి వెళ్లేటప్పుడు ఇది ఒక ఉత్సాహంతో పట్టుకుంది, తోక ఉపరితలాలను దెబ్బతీసింది. గాలి దానిని షెడ్‌లో భర్తీ చేయడాన్ని నిరోధించింది, కనుక ఇది మాస్ట్‌కు కప్పబడి ఉంది. [11] ఏప్రిల్ 27 ఉదయం వరకు మరమ్మతుల కోసం షెడ్‌కు తిరిగి ఇవ్వడం సాధ్యం కాలేదు. మరమ్మ"&amp;"తులు expected హించిన దానికంటే ఎక్కువ సమయం పట్టింది, మరియు మే 21 వరకు R100 షెడ్‌లో ఉంది, ఇది కొత్త ఇంజిన్ ఇన్‌స్టాలేషన్ మరియు కవర్‌కు సవరణలను పరీక్షించడానికి ఉద్దేశించిన 24 గంటల విమానాన్ని తయారు చేసింది. R100 యొక్క ఒప్పందం మొదట భారతదేశానికి ప్రదర్శన విమానా"&amp;"నికి పిలుపునిచ్చింది. పెట్రోల్ ఇంజిన్లను ఉపయోగించాలనే నిర్ణయం కెనడాకు గమ్యస్థానంలో మార్పుకు దారితీసింది, ఎందుకంటే పెట్రోల్ మీదితో ఉన్న ఉష్ణమండల విమానంలో ప్రయాణించడం చాలా ప్రమాదకరమని భావించారు. అన్నీ బాగానే ఉన్నందున, మే 25 న కెనడాకు బయలుదేరడానికి ఇది ప్రణా"&amp;"ళిక చేయబడింది. మే 21 న విమానంలో, unexpected హించని ఏరోడైనమిక్ పీడనం కారణంగా శంఖాకార తోక విభాగం కూలిపోయింది, మరియు ఇది షెడ్‌కు తిరిగి ఇవ్వబడింది, అక్కడ అసలు తోక విభాగాన్ని రాయల్ ఎయిర్‌షిప్ వర్క్స్ రూపొందించిన మరియు తయారు చేసిన అర్ధగోళ టోపీ ద్వారా భర్తీ చేయ"&amp;"బడింది, [12] తగ్గించడం జూన్ 1930 లో R101 విమానాలకు కొద్దిసేపటి ముందు ఎయిర్‌షిప్ పొడవు 15 అడుగుల (4.6 మీ), కార్డింగ్టన్ ఇంజనీర్లు తాత్కాలికంగా కెనడా మరియు భారతదేశానికి సుదీర్ఘ విమానాలు 1931 వరకు వాయిదా వేయవచ్చని సూచించారు వారి ప్రస్తుత అభివృద్ధి దశలో ఫ్లైట"&amp;"్. [13] R100 బృందం వారి ఎయిర్‌షిప్ కెనడాకు వెళ్లే సామర్థ్యాన్ని కలిగి ఉందని, మరియు కెనడియన్ ఫ్లైట్ వారి ఒప్పందంలో ఒక భాగం అని సమాధానం ఇచ్చింది. [14] R100 29 జూలై 1930 న కెనడాకు బయలుదేరింది, 78 గంటల్లో సెయింట్-హుబెర్ట్, క్యూబెక్ విమానాశ్రయం (మాంట్రియల్ వెల"&amp;"ుపల) వద్ద తన మూరింగ్ మాస్ట్‌కు చేరుకుంది, 3,300 మైళ్ళు (5,300 కిమీ) యొక్క గొప్ప సర్కిల్ మార్గాన్ని 42 mphle వేగంతో కవర్ చేసింది (68 కిమీ/గం). ఎయిర్‌షిప్ మాంట్రియల్‌లో 12 రోజులు బస చేసింది, ప్రతిరోజూ 100,000 మందికి పైగా ఎయిర్‌షిప్‌ను సందర్శించేటప్పుడు అది "&amp;"అక్కడ కప్పబడి ఉంది, మరియు R100 తో ప్రజల మోహాన్ని ఎగతాళి చేయడానికి లా బోల్డక్ ఒక పాటను కంపోజ్ చేసింది. [14] ఇది కెనడాలో ఉన్నప్పుడు ఒట్టావా, టొరంటో మరియు నయాగర జలపాతాలకు 24 గంటల ప్రయాణీకుల మోసే విమానంలో కూడా చేసింది. ఆగస్టు 13 న తిరిగి వచ్చే విమానంలో ఎయిర్‌"&amp;"షిప్ బయలుదేరింది, 57½ గంటల విమానంలో కార్డింగ్‌టన్‌కు చేరుకుంది. నెవిల్ షుట్ తరువాత స్లైడ్ రూల్ లో సూచించారు: R100 యొక్క కెనడియన్ ఫ్లైట్ యొక్క విజయం పరోక్షంగా R101 విపత్తుకు దారితీసిందని ఇంజనీర్ యొక్క ఆత్మకథ. అట్లాంటిక్ విమానానికి ముందు, కార్డింగ్టన్ బృందం"&amp;" అటువంటి వ్యవధి యొక్క పనితీరుకు ఎయిర్‌షిప్ ఏవీ సిద్ధంగా లేవని సూచించవచ్చు. ఏదేమైనా, R100 విజయంలో తిరిగి వచ్చినప్పుడు వారు భారతదేశానికి విమానంలో ప్రయాణించవలసి వచ్చింది లేదా ఓటమిని అంగీకరించాలి - దీని అర్థం వారి ఉద్యోగాలను కోల్పోయే ప్రమాదం ఉన్నందున అపఖ్యాతి"&amp;" పాలైంది. అతను తన బృందం ""వారి ఓడ చెడ్డ ఎయిర్ షిప్ అని ess హించారు, కాని గ్రహించలేదు"" (కార్డింగ్టన్ వద్ద రహస్యంగా ఉన్నందున) ""ఇతర ఓడ ఎంత చెడ్డది."" [14] R100 రూపకల్పన యొక్క కథ మరియు దాని క్లెయిమ్ ఆధిపత్యం R101 కు షుట్ యొక్క స్లైడ్ రూల్: ఆటోబయోగ్రఫీ ఆఫ్ ఎ"&amp;" ఇంజనీర్, మొదట 1954 లో ప్రచురించబడింది. షుట్ సూచించినట్లుగా లోపభూయిష్టంగా మరియు అధికంగా ఉన్నప్పటికీ, R100 బ్రిటన్లో సాంప్రదాయిక ఎయిర్‌షిప్ టెక్నాలజీని అందించే ఉత్తమమైనదాన్ని సూచిస్తుంది. [ప్రస్తావన అవసరం] R101 పాక్షికంగా పోల్చితే బాధపడింది, ఎందుకంటే దాని "&amp;"యొక్క అనేక సంచలనాత్మక కానీ చివరికి సందేహాస్పదమైన ఆవిష్కరణలు మరియు దాని డీజిల్ ఇంజిన్ల బరువు కారణంగా. ఎత్తే సామర్థ్యంలో, రెండు డిరిజిబుల్స్ చిన్న LZ 127 గ్రాఫ్ జెప్పెలిన్ కంటే తక్కువ. 5 అక్టోబర్ 1930 న భారతదేశానికి వెళ్లే మార్గంలో, R101 ఫ్రాన్స్‌లో కూలిపోయ"&amp;"ి కాలిపోయిన తరువాత, వైమానిక మంత్రిత్వ శాఖ R100 గ్రౌన్దేడ్లను ఆదేశించింది. ఎయిర్‌షిప్ డిఫ్లేట్ చేయబడింది మరియు కార్డింగ్టన్ వద్ద ఒక సంవత్సరం పాటు దాని షెడ్‌లో వేలాడదీయబడింది, అదే సమయంలో మూడు ఎంపికలు పరిగణించబడ్డాయి: R100 యొక్క పూర్తి రిఫిట్ మరియు చివరికి R"&amp;"102 నిర్మాణానికి పరీక్షల కొనసాగింపు; R100 యొక్క స్టాటిక్ పరీక్ష మరియు ఈ కార్యక్రమాన్ని ""టికింగ్"" గా ఉంచడానికి సుమారు 300 మంది సిబ్బందిని నిలుపుకోవడం; లేదా సిబ్బందిని నిలుపుకోవడం మరియు ఎయిర్‌షిప్ యొక్క స్క్రాపింగ్. నవంబర్ 1931 లో, స్క్రాప్ కోసం R100 ను వ"&amp;"ిక్రయించాలని నిర్ణయించారు. ఓడ యొక్క చట్రం కూల్చివేయబడింది, స్టీమ్‌రోలర్ చేత చదును చేయబడింది మరియు విభాగాలుగా కత్తిరించబడింది [15] £ 600 కన్నా తక్కువకు అమ్ముడైంది. మాస్‌ఫీల్డ్ నుండి డేటా [16] పోల్చదగిన పాత్ర, కాన్ఫిగరేషన్ మరియు ERA సంబంధిత జాబితాల సాధారణ ల"&amp;"క్షణాల పనితీరు విమానం")</f>
        <v>అతని మెజెస్టి యొక్క ఎయిర్‌షిప్ R100 అనేది ఇంపీరియల్ ఎయిర్‌షిప్ పథకంలో భాగంగా బ్రిటిష్ సామ్రాజ్యం మార్గాల్లో ఉపయోగం కోసం వాణిజ్య ఎయిర్‌షిప్ సేవను అభివృద్ధి చేయడానికి రెండు-షిప్ పోటీలో భాగంగా తయారు చేసిన ప్రైవేటు రూపకల్పన మరియు నిర్మించిన బ్రిటిష్ దృ g మైన ఎయిర్‌షిప్. ఇతర ఎయిర్‌షిప్, R101 ను బ్రిటిష్ వైమానిక మంత్రిత్వ శాఖ నిర్మించింది, కాని రెండు ఎయిర్‌షిప్‌లకు ప్రభుత్వం నిధులు సమకూర్చింది. R100 ను ఎయిర్‌షిప్ గ్యారెంటీ కంపెనీ నిర్మించింది, కమాండర్ డెన్నిస్ బర్నీ నేతృత్వంలోని ఆర్మమెంట్స్ సంస్థ విక్కర్స్-ఆర్మ్‌స్ట్రాంగ్స్ యొక్క ప్రత్యేకంగా సృష్టించబడిన అనుబంధ సంస్థ. డిజైన్ బృందానికి బర్న్స్ వాలిస్ నాయకత్వం వహించారు, తరువాత బౌన్స్ బాంబును కనుగొన్నందుకు ప్రసిద్ధి చెందింది. డిజైన్ బృందంలో నెవిల్ షుట్ నార్వేను సీనియర్ స్ట్రెస్ ఇంజనీర్‌గా చేర్చారు (అతని స్లైడ్ రూల్: ఇంజనీర్ యొక్క ఆత్మకథ చూడండి). జూలై -ఆగస్టు 1930 లో అట్లాంటిక్, కానీ అక్టోబర్ 1930 లో R101 క్రాష్ తరువాత ఇంపీరియల్ ఎయిర్ షిప్ పథకం ముగిసింది మరియు R100 స్క్రాప్ కోసం విచ్ఛిన్నమైంది. భారతదేశం, ఆస్ట్రేలియా మరియు కెనడాతో సహా బ్రిటన్ మరియు బ్రిటిష్ సామ్రాజ్యం దేశాల మధ్య ప్రయాణీకుల మరియు మెయిల్ రవాణాను అందించడానికి ఎయిర్‌షిప్‌లను అభివృద్ధి చేయడానికి బ్రిటిష్ ప్రభుత్వ కార్యక్రమంలో భాగంగా R100 నిర్మించబడింది. సివిల్ ఎయిర్‌షిప్ డెవలప్‌మెంట్ ప్రోగ్రాం కోసం డెన్నిస్టౌన్ బర్నీ యొక్క 1922 ప్రతిపాదనలో ఇది దాని మూలాన్ని కలిగి ఉంది మరియు విక్కర్స్ యొక్క ప్రత్యేకంగా స్థాపించబడిన అనుబంధ సంస్థ చేత నిర్వహించబడుతుంది. 1923 సార్వత్రిక ఎన్నికలు రామ్‌సే మెక్‌డొనాల్డ్ యొక్క కార్మిక పరిపాలనను అధికారంలోకి తీసుకువచ్చినప్పుడు, కొత్త వైమానిక మంత్రి లార్డ్ థామ్సన్ ఇంపీరియల్ ఎయిర్‌షిప్ పథకాన్ని దాని స్థానంలో రూపొందించారు. ఇది రెండు ప్రయోగాత్మక ఎయిర్‌షిప్‌లను నిర్మించాలని పిలుపునిచ్చింది: ఒకటి, R101, వైమానిక మంత్రిత్వ శాఖ ఆదేశాల మేరకు రూపొందించబడింది మరియు నిర్మించబడింది, మరియు మరొకటి, R100, విక్కర్స్ అనుబంధ సంస్థ చేత నిర్ణీత ధరల ఒప్పందం ప్రకారం నిర్మించబడాలి. యార్క్‌షైర్‌లోని మాజీ ఆర్‌ఎన్‌ఏల ఎయిర్ స్టేషన్ హౌడెన్ వద్ద R100 నిర్మించబడింది, హౌడెన్ నుండి 3 మై (5 కిమీ) మరియు హల్ నుండి 25 మైళ్ళు (40 కిమీ) రిమోట్ లొకేషన్. డిజైన్ పనులు 1925 లో ప్రారంభమయ్యాయి, అదే సమయంలో కొంతవరకు తగ్గింపు సైట్ క్రమంలో ఉంచబడింది మరియు హైడ్రోజన్ ఉత్పత్తి చేసే మొక్కను వ్యవస్థాపించారు. విక్కర్స్ యొక్క ప్రత్యేకంగా స్థాపించబడిన అనుబంధ సంస్థ, ఎయిర్‌షిప్ గ్యారెంటీ సంస్థ, గణనీయమైన ఇబ్బందులను ఎదుర్కొంది. R100 నిర్మాణానికి ఒప్పందం ఒక నిర్ణీత ధర ఒకటి మరియు ఈ ప్రాజెక్ట్ నష్టాన్ని కలిగిస్తుందని చాలా ముందుగానే స్పష్టంగా ఉంది, కాబట్టి ఆర్థిక వ్యవస్థలు జరిగాయి; ఉదాహరణకు, ఎయిర్‌షిప్ నిర్మాణానికి డజను యంత్ర సాధనాలు మాత్రమే వాడుకలో ఉన్నాయి. ఈ ప్రదేశం యొక్క రిమోట్నెస్ కారణంగా నైపుణ్యం కలిగిన కార్మికులను కనుగొనడంలో కూడా ఇబ్బందులు ఉన్నాయి, మరియు ఎక్కువ భాగం కార్మికులు స్థానిక ప్రజలు శిక్షణ పొందవలసి వచ్చింది. వేడి చేయని ఎయిర్‌షిప్ షెడ్‌లోని పరిస్థితులు కూడా పేలవంగా ఉన్నాయి: పైకప్పు లీక్ అయ్యింది, శీతాకాలంలో గిర్డర్లపై మంచు ఏర్పడింది, మరియు సంగ్రహణ ఎయిర్‌షిప్ యొక్క డ్యూరాలిమిన్ నిర్మాణం యొక్క తుప్పుకు కారణమైంది, తద్వారా గిర్డర్‌లను వార్నిష్ చేయవలసి ఉంటుంది. మూడు సంవత్సరాలుగా అసెంబ్లీ పని డిజైనర్ల వెనుక ఉంది, మరియు డిజైన్ పని యొక్క పురోగతి నిర్మాణ వేగంతో నిర్ణయించే అంశం. విండ్ టన్నెల్ పరీక్షలు 16-వైపుల విలోమ విభాగంలో వృత్తాకారంగా ఉన్న డ్రాగ్‌ను కలిగి ఉన్నాయని చూపించినందున, R100 మరియు R101 రెండూ ఒత్తిడి గణనలను సరళీకృతం చేయడానికి మునుపటి ఎయిర్‌షిప్‌ల కంటే తక్కువ సంఖ్యలో రేఖాంశ గిర్డర్లను ఉపయోగించాయి. అయినప్పటికీ, విలోమ ఫ్రేమ్‌ల లెక్కలకు ప్రతి ఫ్రేమ్‌కు ఒక పరిష్కారాన్ని ఉత్పత్తి చేయడానికి రెండు లేదా మూడు నెలలు పట్టింది. 1921 లో R38 యొక్క విపత్తు నిర్మాణాత్మక వైఫల్యం తరువాత, ఎయిర్‌షిప్‌లకు అవసరమైన బలానికి కొత్త వాయు మంత్రిత్వ శాఖ ప్రమాణాల యొక్క పర్యవసానంగా ఒత్తిడి లెక్కల యొక్క సంపూర్ణత. తక్కువ రేఖాంశ గిర్డర్‌ల ఫలితంగా కవరులో పెద్ద మద్దతు లేని ప్యానెల్‌లు మరియు విమాన పరీక్షలు జరిగాయి. R100 యొక్క కవరింగ్ కేవలం సరిపోదని నిరూపించడానికి. R101 యొక్క కవరు కూడా సంతృప్తికరంగా లేదు మరియు దాని ముఖచిత్రంలో వైఫల్యం దాని క్రాష్‌కు కారణం కావచ్చు. బర్న్స్ వాలిస్ 11 ప్రామాణిక భాగాలను మాత్రమే ఉపయోగించి ఎయిర్‌షిప్ యొక్క చట్రాన్ని సృష్టించాడు. 16 రేఖాంశ గిర్డర్లు మూడు గొట్టాలతో ఏర్పడ్డాయి, ఇది డ్యూరాలిమిన్ గాయం యొక్క స్ట్రిప్స్ నుండి ఒక హెలిక్స్లోకి ఏర్పడింది మరియు కలిసి రివర్ట్ చేయబడింది. ఇవి 15 బహుభుజి విలోమ ఫ్రేమ్‌లను అనుసంధానించాయి, ఇవి ఓడ యొక్క పొడవును నడుపుతున్న సెంట్రల్ లాంగిట్యూడినల్ గిర్డర్‌కు అనుసంధానించబడిన వైర్ బ్రేసింగ్ ద్వారా ఆకారంలో ఉంచబడ్డాయి. [1] ఎయిర్‌ఫ్రేమ్ స్ట్రెస్ డిజైన్ కోసం కొత్త నిబంధనల యొక్క మరో పరిణామం ఏమిటంటే, గ్యాస్‌బ్యాగ్‌ల యొక్క లిఫ్టింగ్ శక్తిని ఉపయోగించుకునే కొత్త మార్గం కనుగొనవలసి ఉంది. ఈ సమస్యకు వాలిస్ యొక్క పరిష్కారం తరువాత వెల్లెస్లీ, వెల్లింగ్టన్ మరియు విండ్సర్ బాంబర్ల కోసం అతని వినూత్న జియోడెసిక్ ఎయిర్ఫ్రేమ్ ఫ్యూజ్‌లేజ్ మరియు వింగ్ డిజైన్‌కు దారితీసింది. ఎలివేటర్లు ఏరోడైనమిక్‌గా సమతుల్యతతో ఉన్నాయి, కాని రడ్డర్లు అసమతుల్యతతో ఉన్నారు. బరువు మరియు డబ్బులో గణనీయమైన ఖర్చుతో R101 సర్వో మోటార్స్‌తో అమర్చబడిందని డిజైనర్లు తెలుసుకున్నప్పుడు, వారు తప్పు చేశారని మరియు వారి లెక్కలను తిరిగి తనిఖీ చేశారని వారు భావించారు. చివరికి వారు తమ లెక్కలు సరైనవని నిర్ధారించారు: R100 ఎగురవేయబడినప్పుడు నియంత్రణలు కాంతి మరియు ప్రభావవంతమైన రెండింటినీ నిరూపించాయి మరియు దాని నియంత్రణ లక్షణాలను R101 తో అనుకూలంగా పోల్చారు, R101 యొక్క మొదటి అధికారి నెల్ అథర్‌స్టోన్. [2] R100 దాని షెడ్ పైకప్పు నుండి సస్పెండ్ చేయబడింది. వ్యక్తిగత విలోమ ఫ్రేమ్‌లు అడ్డంగా సమావేశమై, పైకప్పు-మౌంటెడ్ ట్రాక్‌వేల నుండి పైకి ఎత్తి, స్థితిలోకి జారిపోయే ముందు మరియు రేఖాంశ గిర్డర్‌ల ద్వారా ప్రక్కనే ఉన్న ఫ్రేమ్‌లకు జతచేయబడతాయి. గ్యాస్‌బ్యాగులు హైడ్రోజన్‌తో పెంచిపోయే వరకు ఓడ నిలిపివేయబడింది. [3] 1929 మధ్య నాటికి ఓడ యొక్క నిర్మాణం దాదాపుగా పూర్తయింది మరియు దాని గ్యాస్‌బ్యాగులు పెంచి ఉన్నాయి. గ్యాస్‌బ్యాగ్‌ల ద్రవ్యోల్బణం తరువాత, అల్యూమినియం ఎయిర్‌క్రాఫ్ట్ డోప్‌తో పెయింట్ చేయబడిన నార ఫాబ్రిక్ యొక్క బయటి కవరింగ్ అమల్లోకి వచ్చింది, మరియు ఇది నవంబర్ ప్రారంభంలో పూర్తయింది. [3] నవంబర్ 11 న లిఫ్ట్ మరియు ట్రిమ్ ట్రయల్స్ జరిగాయి: ఖాళీ బరువు 105.52 పొడవైన టన్నులు (107.21 టి) మరియు గ్యాస్‌బ్యాగ్ వాల్యూమ్ 5,156,000 క్యూ అడుగులు (146,000 మీ 3), ఇది 156.52 పొడవైన టన్నుల (159.03 టి) యొక్క ప్రామాణిక స్థూల లిఫ్ట్ ఇస్తుంది మరియు పునర్వినియోగపరచలేనిది 51.00 పొడవైన టన్నుల లిఫ్ట్ (51.82 టి). సేవా లోడ్ (సిబ్బంది, దుకాణాలు మరియు బ్యాలస్ట్) కోసం 18 పొడవైన టన్నుల (18 టి) ను తీసివేయడం దీని అర్థం ఇంధనం మరియు పేలోడ్ కోసం అందుబాటులో ఉన్న బరువు 33.00 పొడవు టన్నులు (33.53 టి). [4] ఇది మొదట R100 కోసం ప్రత్యేక ఇంజిన్లను రూపొందించడానికి ఉద్దేశించబడింది, ఇది హైడ్రోజన్ మరియు కిరోసిన్ చేత ఆజ్యం పోస్తుంది, కాని ఒక సంవత్సరం పని తరువాత ఇంజిన్ సమయానికి అభివృద్ధి చేయబడదని గ్రహించబడింది మరియు ఇది బార్డ్మోర్ టోర్నాడో డీజిల్ ఇంజిన్‌కు సరిపోయేలా నిర్ణయించబడింది R101 లో సంస్థాపన కోసం వైమానిక మంత్రిత్వ శాఖ కోసం అభివృద్ధి చేయబడింది. ప్రారంభ దశలో సుడిగాలి దాని బరువు మరియు ఇతర సమస్యల కారణంగా అనుచితంగా నిర్ణయించబడింది, మరియు వాలిస్ ఆరు పునర్వినియోగపరచబడిన రోల్స్ రాయిస్ కాండోర్ పెట్రోల్ ఇంజిన్ల వాడకంపై స్థిరపడ్డారు, ఇంధనం, దాని దిగువ ఫ్లాష్ పాయింట్‌తో, అగ్ని ప్రమాదంగా పరిగణించబడింది. ఉష్ణమండల పరిస్థితులలో. [5] ఇంజిన్లు మూడు గొండోలాస్‌లో ఉన్నాయి, ఒక్కొక్కటి ఒక ఇంజిన్ 17 అడుగుల (5.18 మీ) వ్యాసం కలిగిన ట్రాక్టర్ ప్రొపెల్లర్‌ను మరియు రెండవది 15 అడుగుల (4.57 మీ) వ్యాసం కలిగిన పషర్ ప్రొపెల్లర్‌ను నడుపుతుంది. పషర్ ప్రొపెల్లర్లను నడిపించే ఇంజిన్లు ఎయిర్‌షిప్‌ను డాకింగ్ చేయడానికి రివర్స్ థ్రస్ట్‌ను అందించడానికి గేర్‌బాక్స్‌తో అమర్చబడ్డాయి. [6] ప్రయాణీకుడు మరియు సిబ్బంది వసతి మూడు డెక్‌లపై ఒకే బేను నిర్మాణం యొక్క ఒకే బేను ఆక్రమించింది మరియు పూర్తిగా ఎయిర్‌షిప్ కవరులో ఉంది. దిగువ డెక్‌లో సిబ్బంది వసతి ఉంది. రెండవ డెక్‌లో భోజనాల గది ఉంది, ఇది ప్రయాణీకుల లాంజ్, ప్లస్ కిచెన్, 18 నాలుగు-బెర్త్ ప్యాసింజర్ క్యాబిన్లు మరియు ఇరువైపులా ఒక గ్యాలరీ ప్రయాణీకులు చర్మంలో నిర్మించిన కిటికీల ద్వారా వీక్షణను ఆస్వాదించడానికి. మూడవ డెక్‌లో భోజనాల గది చుట్టూ నడుస్తున్న గ్యాలరీ మరియు 14 రెండు-బెర్త్ క్యాబిన్లు ఉన్నాయి. [6] R100 16 డిసెంబర్ 1929 ఉదయం తన తొలి విమానంలో చేసింది. 07:53 వద్ద హౌడెన్ నుండి బయలుదేరిన తరువాత, అది నెమ్మదిగా యార్క్‌కు వెళ్లి, ఆపై బెడ్‌ఫోర్డ్‌షైర్‌లోని కార్డింగ్టన్ వద్ద రాయల్ ఎయిర్‌షిప్ వర్క్స్ కోసం కోర్సును ఏర్పాటు చేసింది, ఐదు ఇంజిన్లలో నడుస్తోంది, ఎందుకంటే ఇంజిన్‌లలో ఒకటి ఉండాలి పగిలిన వాటర్ జాకెట్ కారణంగా మూసివేయండి మరియు 13:40 వద్ద మూరింగ్ ప్రక్రియను పూర్తి చేయండి. [7] మరుసటి రోజు రెండవ ఫ్లైట్ జరిగింది, లండన్‌కు విమాన ప్రయాణం చేయాలనే ఉద్దేశ్యంతో, కానీ మాస్ట్ జారిపోయిన కొద్దిసేపటికే, దిగువ ఫిన్ నుండి ఫాబ్రిక్ యొక్క స్ట్రిప్ వేరుచేయబడింది, మరియు ఫ్లైట్ పరీక్షించడానికి బెడ్‌ఫోర్డ్‌షైర్ చుట్టూ ఒక క్రూయిజ్‌కు పరిమితం చేయబడింది ప్రతిస్పందన, 6 గంటలు 29 నిమి. మరుసటి రోజు, R100 ను కార్డింగ్టన్ వద్ద మాస్ట్ నుండి నెం .2 షెడ్‌కు తీసుకెళ్లారు మరియు కవర్‌ను కలిగి ఉన్న వైరింగ్‌ను సవరించే పని ప్రారంభమైంది: ఇది 11 జనవరి 1930 వరకు పట్టింది. [8] 16 జనవరి 1930 న ఒక పరీక్షలో, R100 81.5 mph (131.2 కిమీ/గం) వేగాన్ని సాధించింది. [9] వేగంతో, బయటి కవరింగ్‌తో సమస్య స్పష్టమైంది: ఇది నిలబడి ఉన్న తరంగ రూపంలో అలలు మరియు ఫ్లాప్ అధికంగా ఉంటుంది. జనవరి 20 న నాల్గవ విమానంలో, ఈ దృగ్విషయం గురించి సినీ చిత్రం తీయబడింది, ఇది మద్దతు లేని ఫాబ్రిక్ యొక్క పెద్ద ప్రాంతాల కారణంగా సంభవించింది; ఇది కొన్ని ఛాయాచిత్రాలలో కూడా కనిపిస్తుంది. జనవరి 20 న జనవరి 20 న మరో చిన్న ఫ్లైట్ జరిగింది, జనవరి 27 న 09:38 వద్ద ప్రారంభమైంది, R100 కార్డింగ్టన్ వద్ద మాస్ట్‌ను జారిపడి, జనవరి 29 న 15:26 వద్ద ముగిసింది. ఈ ఫ్లైట్ తరువాత, కవర్‌పై పని చేయడానికి షెడ్‌కు తిరిగి ఇవ్వబడింది. అదే సమయంలో, అసలు పునర్వినియోగపరచబడిన కాండోర్ IIIA ఇంజిన్లు ఆరు కొత్త కాండోర్ IIIB లతో భర్తీ చేయబడ్డాయి మరియు ప్రయాణీకుల వసతి మొత్తాన్ని తగ్గించడం ద్వారా కొంత బరువు తొలగించబడింది. ఏప్రిల్ చివరి నాటికి ఈ పని పూర్తయింది, కాని ఏప్రిల్ 24 న షెడ్ నుండి బయటికి వెళ్లేటప్పుడు ఇది ఒక ఉత్సాహంతో పట్టుకుంది, తోక ఉపరితలాలను దెబ్బతీసింది. గాలి దానిని షెడ్‌లో భర్తీ చేయడాన్ని నిరోధించింది, కనుక ఇది మాస్ట్‌కు కప్పబడి ఉంది. [11] ఏప్రిల్ 27 ఉదయం వరకు మరమ్మతుల కోసం షెడ్‌కు తిరిగి ఇవ్వడం సాధ్యం కాలేదు. మరమ్మతులు expected హించిన దానికంటే ఎక్కువ సమయం పట్టింది, మరియు మే 21 వరకు R100 షెడ్‌లో ఉంది, ఇది కొత్త ఇంజిన్ ఇన్‌స్టాలేషన్ మరియు కవర్‌కు సవరణలను పరీక్షించడానికి ఉద్దేశించిన 24 గంటల విమానాన్ని తయారు చేసింది. R100 యొక్క ఒప్పందం మొదట భారతదేశానికి ప్రదర్శన విమానానికి పిలుపునిచ్చింది. పెట్రోల్ ఇంజిన్లను ఉపయోగించాలనే నిర్ణయం కెనడాకు గమ్యస్థానంలో మార్పుకు దారితీసింది, ఎందుకంటే పెట్రోల్ మీదితో ఉన్న ఉష్ణమండల విమానంలో ప్రయాణించడం చాలా ప్రమాదకరమని భావించారు. అన్నీ బాగానే ఉన్నందున, మే 25 న కెనడాకు బయలుదేరడానికి ఇది ప్రణాళిక చేయబడింది. మే 21 న విమానంలో, unexpected హించని ఏరోడైనమిక్ పీడనం కారణంగా శంఖాకార తోక విభాగం కూలిపోయింది, మరియు ఇది షెడ్‌కు తిరిగి ఇవ్వబడింది, అక్కడ అసలు తోక విభాగాన్ని రాయల్ ఎయిర్‌షిప్ వర్క్స్ రూపొందించిన మరియు తయారు చేసిన అర్ధగోళ టోపీ ద్వారా భర్తీ చేయబడింది, [12] తగ్గించడం జూన్ 1930 లో R101 విమానాలకు కొద్దిసేపటి ముందు ఎయిర్‌షిప్ పొడవు 15 అడుగుల (4.6 మీ), కార్డింగ్టన్ ఇంజనీర్లు తాత్కాలికంగా కెనడా మరియు భారతదేశానికి సుదీర్ఘ విమానాలు 1931 వరకు వాయిదా వేయవచ్చని సూచించారు వారి ప్రస్తుత అభివృద్ధి దశలో ఫ్లైట్. [13] R100 బృందం వారి ఎయిర్‌షిప్ కెనడాకు వెళ్లే సామర్థ్యాన్ని కలిగి ఉందని, మరియు కెనడియన్ ఫ్లైట్ వారి ఒప్పందంలో ఒక భాగం అని సమాధానం ఇచ్చింది. [14] R100 29 జూలై 1930 న కెనడాకు బయలుదేరింది, 78 గంటల్లో సెయింట్-హుబెర్ట్, క్యూబెక్ విమానాశ్రయం (మాంట్రియల్ వెలుపల) వద్ద తన మూరింగ్ మాస్ట్‌కు చేరుకుంది, 3,300 మైళ్ళు (5,300 కిమీ) యొక్క గొప్ప సర్కిల్ మార్గాన్ని 42 mphle వేగంతో కవర్ చేసింది (68 కిమీ/గం). ఎయిర్‌షిప్ మాంట్రియల్‌లో 12 రోజులు బస చేసింది, ప్రతిరోజూ 100,000 మందికి పైగా ఎయిర్‌షిప్‌ను సందర్శించేటప్పుడు అది అక్కడ కప్పబడి ఉంది, మరియు R100 తో ప్రజల మోహాన్ని ఎగతాళి చేయడానికి లా బోల్డక్ ఒక పాటను కంపోజ్ చేసింది. [14] ఇది కెనడాలో ఉన్నప్పుడు ఒట్టావా, టొరంటో మరియు నయాగర జలపాతాలకు 24 గంటల ప్రయాణీకుల మోసే విమానంలో కూడా చేసింది. ఆగస్టు 13 న తిరిగి వచ్చే విమానంలో ఎయిర్‌షిప్ బయలుదేరింది, 57½ గంటల విమానంలో కార్డింగ్‌టన్‌కు చేరుకుంది. నెవిల్ షుట్ తరువాత స్లైడ్ రూల్ లో సూచించారు: R100 యొక్క కెనడియన్ ఫ్లైట్ యొక్క విజయం పరోక్షంగా R101 విపత్తుకు దారితీసిందని ఇంజనీర్ యొక్క ఆత్మకథ. అట్లాంటిక్ విమానానికి ముందు, కార్డింగ్టన్ బృందం అటువంటి వ్యవధి యొక్క పనితీరుకు ఎయిర్‌షిప్ ఏవీ సిద్ధంగా లేవని సూచించవచ్చు. ఏదేమైనా, R100 విజయంలో తిరిగి వచ్చినప్పుడు వారు భారతదేశానికి విమానంలో ప్రయాణించవలసి వచ్చింది లేదా ఓటమిని అంగీకరించాలి - దీని అర్థం వారి ఉద్యోగాలను కోల్పోయే ప్రమాదం ఉన్నందున అపఖ్యాతి పాలైంది. అతను తన బృందం "వారి ఓడ చెడ్డ ఎయిర్ షిప్ అని ess హించారు, కాని గ్రహించలేదు" (కార్డింగ్టన్ వద్ద రహస్యంగా ఉన్నందున) "ఇతర ఓడ ఎంత చెడ్డది." [14] R100 రూపకల్పన యొక్క కథ మరియు దాని క్లెయిమ్ ఆధిపత్యం R101 కు షుట్ యొక్క స్లైడ్ రూల్: ఆటోబయోగ్రఫీ ఆఫ్ ఎ ఇంజనీర్, మొదట 1954 లో ప్రచురించబడింది. షుట్ సూచించినట్లుగా లోపభూయిష్టంగా మరియు అధికంగా ఉన్నప్పటికీ, R100 బ్రిటన్లో సాంప్రదాయిక ఎయిర్‌షిప్ టెక్నాలజీని అందించే ఉత్తమమైనదాన్ని సూచిస్తుంది. [ప్రస్తావన అవసరం] R101 పాక్షికంగా పోల్చితే బాధపడింది, ఎందుకంటే దాని యొక్క అనేక సంచలనాత్మక కానీ చివరికి సందేహాస్పదమైన ఆవిష్కరణలు మరియు దాని డీజిల్ ఇంజిన్ల బరువు కారణంగా. ఎత్తే సామర్థ్యంలో, రెండు డిరిజిబుల్స్ చిన్న LZ 127 గ్రాఫ్ జెప్పెలిన్ కంటే తక్కువ. 5 అక్టోబర్ 1930 న భారతదేశానికి వెళ్లే మార్గంలో, R101 ఫ్రాన్స్‌లో కూలిపోయి కాలిపోయిన తరువాత, వైమానిక మంత్రిత్వ శాఖ R100 గ్రౌన్దేడ్లను ఆదేశించింది. ఎయిర్‌షిప్ డిఫ్లేట్ చేయబడింది మరియు కార్డింగ్టన్ వద్ద ఒక సంవత్సరం పాటు దాని షెడ్‌లో వేలాడదీయబడింది, అదే సమయంలో మూడు ఎంపికలు పరిగణించబడ్డాయి: R100 యొక్క పూర్తి రిఫిట్ మరియు చివరికి R102 నిర్మాణానికి పరీక్షల కొనసాగింపు; R100 యొక్క స్టాటిక్ పరీక్ష మరియు ఈ కార్యక్రమాన్ని "టికింగ్" గా ఉంచడానికి సుమారు 300 మంది సిబ్బందిని నిలుపుకోవడం; లేదా సిబ్బందిని నిలుపుకోవడం మరియు ఎయిర్‌షిప్ యొక్క స్క్రాపింగ్. నవంబర్ 1931 లో, స్క్రాప్ కోసం R100 ను విక్రయించాలని నిర్ణయించారు. ఓడ యొక్క చట్రం కూల్చివేయబడింది, స్టీమ్‌రోలర్ చేత చదును చేయబడింది మరియు విభాగాలుగా కత్తిరించబడింది [15] £ 600 కన్నా తక్కువకు అమ్ముడైంది. మాస్‌ఫీల్డ్ నుండి డేటా [16] పోల్చదగిన పాత్ర, కాన్ఫిగరేషన్ మరియు ERA సంబంధిత జాబితాల సాధారణ లక్షణాల పనితీరు విమానం</v>
      </c>
      <c r="E146" s="1" t="s">
        <v>3040</v>
      </c>
      <c r="F146" s="1" t="s">
        <v>3041</v>
      </c>
      <c r="G146" s="1" t="str">
        <f>IFERROR(__xludf.DUMMYFUNCTION("GOOGLETRANSLATE(F:F, ""en"", ""te"")"),"ప్రయాణీకుల ఎయిర్‌షిప్")</f>
        <v>ప్రయాణీకుల ఎయిర్‌షిప్</v>
      </c>
      <c r="I146" s="1" t="s">
        <v>964</v>
      </c>
      <c r="J146" s="1" t="str">
        <f>IFERROR(__xludf.DUMMYFUNCTION("GOOGLETRANSLATE(I:I, ""en"", ""te"")"),"యునైటెడ్ కింగ్‌డమ్")</f>
        <v>యునైటెడ్ కింగ్‌డమ్</v>
      </c>
      <c r="L146" s="1" t="s">
        <v>2485</v>
      </c>
      <c r="M146" s="1" t="str">
        <f>IFERROR(__xludf.DUMMYFUNCTION("GOOGLETRANSLATE(L:L, ""en"", ""te"")"),"విక్కర్స్")</f>
        <v>విక్కర్స్</v>
      </c>
      <c r="N146" s="3" t="s">
        <v>2486</v>
      </c>
      <c r="R146" s="4">
        <v>10943.0</v>
      </c>
      <c r="S146" s="1">
        <v>1.0</v>
      </c>
      <c r="V146" s="1">
        <v>37.0</v>
      </c>
      <c r="W146" s="1" t="s">
        <v>3042</v>
      </c>
      <c r="AG146" s="1" t="s">
        <v>3043</v>
      </c>
      <c r="AV146" s="1">
        <v>100.0</v>
      </c>
      <c r="AX146" s="1" t="s">
        <v>3044</v>
      </c>
      <c r="AY146" s="1" t="str">
        <f>IFERROR(__xludf.DUMMYFUNCTION("GOOGLETRANSLATE(AX:AX, ""en"", ""te"")"),"6 × రోల్స్ రాయిస్ కాండోర్ IIIB 12 సిలిండర్, 650 హెచ్‌పి (485 కిలోవాట్)")</f>
        <v>6 × రోల్స్ రాయిస్ కాండోర్ IIIB 12 సిలిండర్, 650 హెచ్‌పి (485 కిలోవాట్)</v>
      </c>
      <c r="BB146" s="1" t="s">
        <v>3045</v>
      </c>
      <c r="BG146" s="2"/>
      <c r="BT146" s="1" t="s">
        <v>3046</v>
      </c>
      <c r="BZ146" s="1" t="s">
        <v>3047</v>
      </c>
      <c r="DT146" s="1" t="s">
        <v>3048</v>
      </c>
      <c r="DU146" s="1" t="s">
        <v>3049</v>
      </c>
      <c r="DV146" s="1" t="s">
        <v>3050</v>
      </c>
    </row>
    <row r="147">
      <c r="A147" s="1" t="s">
        <v>3051</v>
      </c>
      <c r="B147" s="1" t="str">
        <f>IFERROR(__xludf.DUMMYFUNCTION("GOOGLETRANSLATE(A:A, ""en"", ""te"")"),"భవిష్యత్ వ్యూహాత్మక ట్యాంకర్ విమానం")</f>
        <v>భవిష్యత్ వ్యూహాత్మక ట్యాంకర్ విమానం</v>
      </c>
      <c r="C147" s="1" t="s">
        <v>3052</v>
      </c>
      <c r="D147" s="1" t="str">
        <f>IFERROR(__xludf.DUMMYFUNCTION("GOOGLETRANSLATE(C:C, ""en"", ""te"")"),"ఫ్యూచర్ స్ట్రాటజిక్ ట్యాంకర్ ఎయిర్క్రాఫ్ట్ (ఎఫ్‌ఎస్‌టిఎ) అనేది ఎయిర్‌బస్ ఎ 330 మల్టీ రోల్ ట్యాంకర్ ట్రాన్స్‌పోర్ట్ ఏరియల్ రీఫ్యూయలింగ్ (ఎఆర్) మరియు ఎయిర్ ట్రాన్స్‌పోర్ట్ (ఎటి) విమానాలను రాయల్ వైమానిక దళం కోసం, వీసి 10 లు మరియు ట్రిస్టార్‌లు వంటి పాత నమూనా"&amp;"లను భర్తీ చేయడానికి ఒక బ్రిటిష్ ప్రాజెక్ట్. బిడ్ల మూల్యాంకనం తరువాత, 2004 లో కోభం పిఎల్‌సి, ఈడ్స్, రోల్స్ రాయిస్ పిఎల్‌సి, థేల్స్ యుకె మరియు విటి గ్రూప్ పిఎల్‌సి యాజమాన్యంలోని ఎయిర్‌ట్యాంకర్ కన్సార్టియంను ఆర్‌ఐఎఫ్ ఎంచుకుంది. ఈ ప్రాజెక్ట్ 2008 నుండి RAF యొ"&amp;"క్క విక్కర్స్ VC10 లను మరియు 2012 లో లాక్‌హీడ్ ట్రిస్టార్‌లను అందించడం అదే RAF ఎయిర్ ట్రాన్స్పోర్ట్ హబ్, RAF బ్రైజ్ నార్టన్, ఆక్స్ఫర్డ్షైర్ స్థానంలో ఉన్న విమానం. కొనుగోలు కంటే ప్రైవేట్ ఫైనాన్స్ ఇనిషియేటివ్ (పిఎఫ్‌ఐ) వాడకం 2000 లో ఎంపిక చేయబడింది. పిఎఫ్‌ఐ "&amp;"కింద ఆర్‌ఐఎఫ్ ఏరియల్ రీఫ్యూయలింగ్ మరియు ఎయిర్ ట్రాన్స్‌పోర్ట్ మిషన్ల కోసం అవసరమైన విధంగా చెల్లిస్తుంది. RAF అన్ని సైనిక కార్యకలాపాలకు బాధ్యత వహించడం కొనసాగిస్తుంది, అదే సమయంలో కాంట్రాక్టర్ విమానాన్ని కలిగి ఉంటాడు, నిర్వహిస్తాడు మరియు నిర్వహిస్తాడు మరియు శ"&amp;"ిక్షణా సౌకర్యాలు మరియు కొంతమంది సిబ్బందిని కూడా అందిస్తాడు. RAF కి అవసరం లేనప్పుడు వాణిజ్య కార్యకలాపాల కోసం విమానాలను ఉపయోగించడం ద్వారా ప్రైవేట్ సంస్థ అదనపు ఆదాయాన్ని సంపాదించగలదు-వీటిలో చాలా సరిఅయినవి ఇతర యూరోపియన్ వైమానిక దళాలకు ఎయిర్-రిఫ్యూలింగ్ మిషన్ల"&amp;"ను లీజుకు తీసుకుంటాయి. అయితే RAF ఎల్లప్పుడూ విమానంలో ""మొదటి కాల్"" ను కలిగి ఉంటుంది, సంక్షోభ సమయాల్లో మొత్తం విమానాలను సమీకరించగలదు. ఈ ప్రాజెక్ట్ కోసం తుది బిడ్లు 30 ఏప్రిల్ 2003 న పోటీపడే రెండు కన్సార్టియా నుండి స్వీకరించబడ్డాయి. [1] RAF యొక్క FSTA ను అ"&amp;"ందించడానికి తుది చర్చలలోకి ప్రవేశించడానికి ఎయిర్ ట్యాంకర్ ఎంపిక చేసినట్లు రక్షణ మంత్రిత్వ శాఖ (MOD) 26 జనవరి 2004 న ప్రకటించింది. [2] విమాన ఎంపిక తరువాత, మోడ్ ఎయిర్‌ట్యాంకర్ కన్సార్టియంతో ప్రత్యేకమైన చర్చలను ప్రారంభించింది. ఏదేమైనా, ఏప్రిల్ 2004 నుండి, కా"&amp;"ంట్రాక్ట్ చర్చల యొక్క పెళుసైన స్థితి గురించి పుకార్లు వచ్చాయి. FSTA ప్రోగ్రామ్‌పై నిరంతర సందేహాలతో, RAF యొక్క అసలు ట్రిస్టార్‌ల మార్పిడికి బాధ్యత వహించే మార్షల్ ఏరోస్పేస్, కొన్ని పెద్ద సంఖ్యలో మిగులు వాణిజ్య ట్రిస్టార్‌లను కొనుగోలు చేయడానికి మరియు మార్చడా"&amp;"నికి ముందుకొచ్చాడు. [3] 28 ఫిబ్రవరి 2005 న, మోడ్ ఎయిర్‌ట్యాంకర్‌ను b 13 బిలియన్ల ఒప్పందానికి ఇష్టపడే బిడ్డర్‌గా పేర్కొంది. [4] ఈ ప్రాజెక్టును కొనసాగించడానికి అవసరమైన ఆమోదం ఎయిర్‌ట్యాంకర్‌కు ఇవ్వబడిందని మోడ్ 6 జూన్ 2007 న ప్రకటించింది, విమానానికి నిధులు సమ"&amp;"కూర్చడానికి అవసరమైన billion 2 బిలియన్ల ప్రైవేట్ ఫైనాన్సింగ్ కోసం కంపెనీని అనుమతిస్తుంది. 27 మార్చి 2008 న, ఒక పిఎఫ్‌ఐ ఒప్పందం ఎయిర్‌ట్యాంకర్‌తో అంగీకరించింది, కాంట్రాక్టు సమయంలో .5 10.5 బిలియన్ల విలువైనది, మరియు 14 మార్చబడిన A330 విమానాలను 2011 నుండి పంపి"&amp;"ణీ చేయబడుతోంది మరియు కనీసం 2035 వరకు నిర్వహించబడుతుంది. [5] ఈ ఒప్పందం సంవత్సరానికి 0 390 మిలియన్లకు చెల్లించబడుతుంది. ఈ నడుస్తున్న ఖర్చులలో £ 80 మిలియన్లు మరియు మిగిలినవి కన్సార్టియం యొక్క ఫైనాన్సింగ్ మరియు లాభం [6] మరియు విమానం మరియు మౌలిక సదుపాయాలతో సహా"&amp;" ప్రాజెక్ట్ యొక్క మూలధన వ్యయాన్ని కవర్ చేస్తాయి. [7] అన్ని విమానాలు ఒక జత వింగ్-మౌంటెడ్ వైమానిక-రిఫ్యూలింగ్ పాడ్‌లను కలిగి ఉంటాయి, అయితే సెంట్రెలైన్ ఫ్లైట్ రీఫ్యూయలింగ్ యూనిట్లు (FRUS) కోసం ఏడు FSTA లు మాత్రమే అమర్చబడతాయి; ప్రతి మార్పిడికి తొమ్మిది నెలలు "&amp;"పడుతుంది. ఎయిర్‌ట్యాంకర్ సౌకర్యం RAF బ్రిజ్ నార్టన్ వద్ద ఉంది, ఇక్కడ రెండు-బే హ్యాంగర్ మరియు సపోర్ట్ భవనం నిర్వహణ సౌకర్యం, విమాన కార్యకలాపాల కేంద్రం మరియు కార్యక్రమానికి కార్యాలయ ప్రధాన కార్యాలయాన్ని అందిస్తుంది. [8] లుఫ్తాన్స టెక్నిక్ మద్దతు, మరమ్మత్తు మ"&amp;"రియు సమగ్ర సేవలను అందిస్తుంది. [9] మొదటి రెండు అభివృద్ధి విమానాలు మాడ్రిడ్ సమీపంలోని ఎయిర్‌బస్ మిలిటరీ సౌకర్యం వద్ద సమగ్ర సైనిక మార్పిడి ప్రక్రియ మరియు ప్రారంభ విమాన పరీక్షా కార్యక్రమం ద్వారా వెళ్ళాయి. FSTA విమానాల కోసం ఉద్దేశించిన మిగిలిన 12 విమానాలను బౌ"&amp;"ర్న్‌మౌత్‌లోని వారి సౌకర్యం వద్ద కోరంహాస్ ఏవియేషన్ సర్వీసెస్ ద్వారా మార్చాలని ఉద్దేశించబడింది, [10] కానీ జూన్ 2012 లో, తుది పది విమానాలను స్పెయిన్‌లో మార్చాలని ప్రకటించారు సమయానికి మరియు ఖర్చుతో పంపిణీ చేయబడ్డాయి. [11] UK లో మార్చబడిన మొట్టమొదటి విమానం 26"&amp;" ఆగస్టు 2011 న బౌర్న్‌మౌత్ విమానాశ్రయానికి చేరుకుంది. 2 సెప్టెంబర్ 2011 న బౌర్న్‌మౌత్‌లో కొత్తగా పునరుద్ధరించిన A330 మార్పిడి సదుపాయాన్ని అధికారికంగా తెరవడానికి కోభం ఒక వేడుకను నిర్వహించింది. 2011 రాయల్ ఇంటర్నేషనల్ సందర్భంగా RAF ఫెయిర్‌ఫోర్డ్లో నామకరణ కార"&amp;"్యక్రమంలో జరిగిన కార్యక్రమంలో. ఎయిర్ టాటూ, ఈ విమానం RAF సేవలో ""వాయేజర్"" అని పిలుస్తారు. [12] నవంబర్ 2010 లో ఫ్రెంచ్ వైమానిక దళం విడి FSTA సామర్థ్యాన్ని కొనుగోలు చేయవచ్చని సూచించబడింది. [13] [14] మొట్టమొదటిసారిగా పూర్తి చేసిన విమానం డిసెంబర్ 2011 లో RAF "&amp;"బ్రైజ్ నార్టన్ వద్దకు వచ్చింది; సుదీర్ఘ ధృవీకరణ ప్రక్రియ తరువాత, ఇది ఏప్రిల్ 2012 లో విమానాలకు శిక్షణ ఇవ్వడం ప్రారంభించింది. [15] కొత్త కోభం రూపొందించిన హై స్పీడ్-వేరియబుల్ డ్రాగ్ డ్రోగ్‌తో సాంకేతిక సమస్యలను అనుసరించి, సుడిగాలిని ఇంధనం నింపేటప్పుడు వింగ్ "&amp;"టిప్ పాడ్‌లపై డ్రోగ్‌లను 2012 ప్రారంభంలో ప్రామాణిక సార్జెంట్ ఫ్లెచర్ డ్రోగ్‌లతో భర్తీ చేశారు, గాలి ఇంధనం నింపడానికి అవసరమైన సేవా క్లియరెన్స్‌కు విడుదల ఆలస్యం (AAR) కార్యకలాపాలు. చివరకు 16 మే 2013 న ధృవీకరణ మంజూరు చేయబడింది మరియు 20 మే 2013 న ప్రారంభించిన "&amp;"మొదటి కార్యాచరణ ట్యాంకర్ ఫ్లైట్. [16] వాయేజర్ 2015 లో ఎఫ్ -35 బికి ఇంధనం నింపే టెస్ట్ విమానాలను ప్రారంభించింది, ఇది జూన్ 2015 మధ్య నాటికి ధృవీకరణ పత్రాన్ని అంచనా వేసింది. ఇది ఆస్ట్రేలియన్ కెసి -30 వేరియంట్ 2015 చివరిలో ఎఫ్ -35 ఎతో రీఫ్యూయలింగ్ ట్రయల్స్ పూ"&amp;"ర్తి చేసింది. [17] మే 2014 నాటికి తొమ్మిది విమానాలు పంపిణీ చేయబడ్డాయి, RAF విమానాల ""కోర్ ఫ్లీట్"" ను పూర్తి చేశాయి. [18] మిగిలిన 5 విమానాలు ""సర్జ్ సామర్ధ్యం"" ను సూచిస్తాయి, అవసరమైనప్పుడు RAF కి లభిస్తాయి, కాని ""సివిల్ మార్కెట్‌కు విడుదల చేయడం, దాని సై"&amp;"నిక పరికరాలు తక్కువ లేదా మోడ్ ఒప్పందంతో సైనిక సామర్థ్యంలో భాగస్వామి దేశాలకు"" వంటి పనుల కోసం ఎయిర్‌ట్యాంకర్‌కు అందుబాటులో ఉంటాయి "". [[18] జూన్ 2014 లో థామస్ కుక్ ఎయిర్‌లైన్స్ ఎయిర్‌ట్యాంకర్ నుండి 5 ""సర్జ్"" విమానాలలో ఒకదాన్ని లీజుకు ఇవ్వడానికి ఒక ఒప్పంద"&amp;"ం కుదుర్చుకుంది. [19] ఈ విమానం వాయేజర్ విమానాల నుండి 32 సీట్లు, విమాన వీడియోలో వేర్వేరు సీట్లు కలిగి ఉంటుంది మరియు వారు థామస్ కుక్ లివరీని అందుకుంటారు. [19] మార్చి 2010 లో నేషనల్ ఆడిట్ ఆఫీస్ (NAO) ఈ పథకం యొక్క సమీక్షను ప్రచురించింది, ఇది రక్షణ మంత్రిత్వ శ"&amp;"ాఖ డబ్బు కోసం విలువను సాధించిందని తేల్చలేకపోయింది. సేకరణ యొక్క తరువాతి దశలను బాగా నిర్వహించినప్పటికీ, అది చేయగల ఉత్తమమైన ఒప్పందాన్ని పొందగల MOD యొక్క సామర్థ్యం లోపాల ద్వారా అణగదొక్కబడింది, ఇది సేకరణను నిర్వహించిన మరియు ప్రత్యామ్నాయ ఎంపికలను అంచనా వేసింది."&amp;" కాంట్రాక్ట్ సంతకం నుండి ఎయిర్-టు-ఎయిర్ రీఫ్యూయలింగ్ మరియు సైనిక రవాణా విమానాలను అందించే ప్రాజెక్ట్ దాని డెలివరీ మైలురాళ్లను సాధించినప్పటికీ, ప్రణాళికాబద్ధమైన దానికంటే ఐదున్నర సంవత్సరాల తరువాత ఇది ఇంకా పంపిణీ చేయబడే అవకాశం ఉంది. [7] ఏదేమైనా, అన్ని ఫాలో-ఆన"&amp;"్ మైలురాళ్ళు షెడ్యూల్‌లో లేదా ముందుకు సాగాయి, మరియు ముఖ్యంగా ప్రతి పద్నాలుగు విమానాల డెలివరీ. FSTA ప్రోగ్రామ్ మొదటి ప్రపంచ యుద్ధం నుండి షెడ్యూల్ మరియు బడ్జెట్‌లో పంపిణీ చేసే మొట్టమొదటి UK విమాన కార్యక్రమం. పబ్లిక్ అకౌంట్స్ కమిటీ విమాన స్పెసిఫికేషన్ ఆఫ్ఘని"&amp;"స్తాన్‌లోకి విమానాలకు అవసరమైన తగిన రక్షణను కలిగి లేదని కనుగొంది మరియు అందువల్ల లాక్‌హీడ్ ట్రిస్టార్ కొనసాగుతుందని అర్థం 2016 వరకు ఈ పాత్రను నెరవేర్చడానికి. ఇది ఆఫ్ఘనిస్తాన్లో సైనిక కార్యకలాపాలు ప్రారంభానికి ముందు ప్రారంభమయ్యే FSTA పథకం మరియు కాంట్రాక్టులో"&amp;" అవసరమైన రక్షణ వ్యవస్థలను చేర్చడంపై ఏదైనా నిర్ణయంలో గణనీయమైన ఆలస్యం జరిగింది. [20] ఏదేమైనా, తగినంత రక్షణను నెరవేర్చడానికి FSTA విమానం త్వరగా సవరించబడింది, మరియు వాయేజర్స్ డిసెంబర్ 2013 లో ఆఫ్ఘనిస్తాన్‌లోకి కార్యకలాపాలను ప్రారంభించారు. లాక్‌హీడ్ ట్రిస్టార్"&amp;" మార్చి 2014 లో RAF సేవ నుండి రిటైర్ అయ్యారు మరియు 2013 సెప్టెంబర్‌లో VC10.")</f>
        <v>ఫ్యూచర్ స్ట్రాటజిక్ ట్యాంకర్ ఎయిర్క్రాఫ్ట్ (ఎఫ్‌ఎస్‌టిఎ) అనేది ఎయిర్‌బస్ ఎ 330 మల్టీ రోల్ ట్యాంకర్ ట్రాన్స్‌పోర్ట్ ఏరియల్ రీఫ్యూయలింగ్ (ఎఆర్) మరియు ఎయిర్ ట్రాన్స్‌పోర్ట్ (ఎటి) విమానాలను రాయల్ వైమానిక దళం కోసం, వీసి 10 లు మరియు ట్రిస్టార్‌లు వంటి పాత నమూనాలను భర్తీ చేయడానికి ఒక బ్రిటిష్ ప్రాజెక్ట్. బిడ్ల మూల్యాంకనం తరువాత, 2004 లో కోభం పిఎల్‌సి, ఈడ్స్, రోల్స్ రాయిస్ పిఎల్‌సి, థేల్స్ యుకె మరియు విటి గ్రూప్ పిఎల్‌సి యాజమాన్యంలోని ఎయిర్‌ట్యాంకర్ కన్సార్టియంను ఆర్‌ఐఎఫ్ ఎంచుకుంది. ఈ ప్రాజెక్ట్ 2008 నుండి RAF యొక్క విక్కర్స్ VC10 లను మరియు 2012 లో లాక్‌హీడ్ ట్రిస్టార్‌లను అందించడం అదే RAF ఎయిర్ ట్రాన్స్పోర్ట్ హబ్, RAF బ్రైజ్ నార్టన్, ఆక్స్ఫర్డ్షైర్ స్థానంలో ఉన్న విమానం. కొనుగోలు కంటే ప్రైవేట్ ఫైనాన్స్ ఇనిషియేటివ్ (పిఎఫ్‌ఐ) వాడకం 2000 లో ఎంపిక చేయబడింది. పిఎఫ్‌ఐ కింద ఆర్‌ఐఎఫ్ ఏరియల్ రీఫ్యూయలింగ్ మరియు ఎయిర్ ట్రాన్స్‌పోర్ట్ మిషన్ల కోసం అవసరమైన విధంగా చెల్లిస్తుంది. RAF అన్ని సైనిక కార్యకలాపాలకు బాధ్యత వహించడం కొనసాగిస్తుంది, అదే సమయంలో కాంట్రాక్టర్ విమానాన్ని కలిగి ఉంటాడు, నిర్వహిస్తాడు మరియు నిర్వహిస్తాడు మరియు శిక్షణా సౌకర్యాలు మరియు కొంతమంది సిబ్బందిని కూడా అందిస్తాడు. RAF కి అవసరం లేనప్పుడు వాణిజ్య కార్యకలాపాల కోసం విమానాలను ఉపయోగించడం ద్వారా ప్రైవేట్ సంస్థ అదనపు ఆదాయాన్ని సంపాదించగలదు-వీటిలో చాలా సరిఅయినవి ఇతర యూరోపియన్ వైమానిక దళాలకు ఎయిర్-రిఫ్యూలింగ్ మిషన్లను లీజుకు తీసుకుంటాయి. అయితే RAF ఎల్లప్పుడూ విమానంలో "మొదటి కాల్" ను కలిగి ఉంటుంది, సంక్షోభ సమయాల్లో మొత్తం విమానాలను సమీకరించగలదు. ఈ ప్రాజెక్ట్ కోసం తుది బిడ్లు 30 ఏప్రిల్ 2003 న పోటీపడే రెండు కన్సార్టియా నుండి స్వీకరించబడ్డాయి. [1] RAF యొక్క FSTA ను అందించడానికి తుది చర్చలలోకి ప్రవేశించడానికి ఎయిర్ ట్యాంకర్ ఎంపిక చేసినట్లు రక్షణ మంత్రిత్వ శాఖ (MOD) 26 జనవరి 2004 న ప్రకటించింది. [2] విమాన ఎంపిక తరువాత, మోడ్ ఎయిర్‌ట్యాంకర్ కన్సార్టియంతో ప్రత్యేకమైన చర్చలను ప్రారంభించింది. ఏదేమైనా, ఏప్రిల్ 2004 నుండి, కాంట్రాక్ట్ చర్చల యొక్క పెళుసైన స్థితి గురించి పుకార్లు వచ్చాయి. FSTA ప్రోగ్రామ్‌పై నిరంతర సందేహాలతో, RAF యొక్క అసలు ట్రిస్టార్‌ల మార్పిడికి బాధ్యత వహించే మార్షల్ ఏరోస్పేస్, కొన్ని పెద్ద సంఖ్యలో మిగులు వాణిజ్య ట్రిస్టార్‌లను కొనుగోలు చేయడానికి మరియు మార్చడానికి ముందుకొచ్చాడు. [3] 28 ఫిబ్రవరి 2005 న, మోడ్ ఎయిర్‌ట్యాంకర్‌ను b 13 బిలియన్ల ఒప్పందానికి ఇష్టపడే బిడ్డర్‌గా పేర్కొంది. [4] ఈ ప్రాజెక్టును కొనసాగించడానికి అవసరమైన ఆమోదం ఎయిర్‌ట్యాంకర్‌కు ఇవ్వబడిందని మోడ్ 6 జూన్ 2007 న ప్రకటించింది, విమానానికి నిధులు సమకూర్చడానికి అవసరమైన billion 2 బిలియన్ల ప్రైవేట్ ఫైనాన్సింగ్ కోసం కంపెనీని అనుమతిస్తుంది. 27 మార్చి 2008 న, ఒక పిఎఫ్‌ఐ ఒప్పందం ఎయిర్‌ట్యాంకర్‌తో అంగీకరించింది, కాంట్రాక్టు సమయంలో .5 10.5 బిలియన్ల విలువైనది, మరియు 14 మార్చబడిన A330 విమానాలను 2011 నుండి పంపిణీ చేయబడుతోంది మరియు కనీసం 2035 వరకు నిర్వహించబడుతుంది. [5] ఈ ఒప్పందం సంవత్సరానికి 0 390 మిలియన్లకు చెల్లించబడుతుంది. ఈ నడుస్తున్న ఖర్చులలో £ 80 మిలియన్లు మరియు మిగిలినవి కన్సార్టియం యొక్క ఫైనాన్సింగ్ మరియు లాభం [6] మరియు విమానం మరియు మౌలిక సదుపాయాలతో సహా ప్రాజెక్ట్ యొక్క మూలధన వ్యయాన్ని కవర్ చేస్తాయి. [7] అన్ని విమానాలు ఒక జత వింగ్-మౌంటెడ్ వైమానిక-రిఫ్యూలింగ్ పాడ్‌లను కలిగి ఉంటాయి, అయితే సెంట్రెలైన్ ఫ్లైట్ రీఫ్యూయలింగ్ యూనిట్లు (FRUS) కోసం ఏడు FSTA లు మాత్రమే అమర్చబడతాయి; ప్రతి మార్పిడికి తొమ్మిది నెలలు పడుతుంది. ఎయిర్‌ట్యాంకర్ సౌకర్యం RAF బ్రిజ్ నార్టన్ వద్ద ఉంది, ఇక్కడ రెండు-బే హ్యాంగర్ మరియు సపోర్ట్ భవనం నిర్వహణ సౌకర్యం, విమాన కార్యకలాపాల కేంద్రం మరియు కార్యక్రమానికి కార్యాలయ ప్రధాన కార్యాలయాన్ని అందిస్తుంది. [8] లుఫ్తాన్స టెక్నిక్ మద్దతు, మరమ్మత్తు మరియు సమగ్ర సేవలను అందిస్తుంది. [9] మొదటి రెండు అభివృద్ధి విమానాలు మాడ్రిడ్ సమీపంలోని ఎయిర్‌బస్ మిలిటరీ సౌకర్యం వద్ద సమగ్ర సైనిక మార్పిడి ప్రక్రియ మరియు ప్రారంభ విమాన పరీక్షా కార్యక్రమం ద్వారా వెళ్ళాయి. FSTA విమానాల కోసం ఉద్దేశించిన మిగిలిన 12 విమానాలను బౌర్న్‌మౌత్‌లోని వారి సౌకర్యం వద్ద కోరంహాస్ ఏవియేషన్ సర్వీసెస్ ద్వారా మార్చాలని ఉద్దేశించబడింది, [10] కానీ జూన్ 2012 లో, తుది పది విమానాలను స్పెయిన్‌లో మార్చాలని ప్రకటించారు సమయానికి మరియు ఖర్చుతో పంపిణీ చేయబడ్డాయి. [11] UK లో మార్చబడిన మొట్టమొదటి విమానం 26 ఆగస్టు 2011 న బౌర్న్‌మౌత్ విమానాశ్రయానికి చేరుకుంది. 2 సెప్టెంబర్ 2011 న బౌర్న్‌మౌత్‌లో కొత్తగా పునరుద్ధరించిన A330 మార్పిడి సదుపాయాన్ని అధికారికంగా తెరవడానికి కోభం ఒక వేడుకను నిర్వహించింది. 2011 రాయల్ ఇంటర్నేషనల్ సందర్భంగా RAF ఫెయిర్‌ఫోర్డ్లో నామకరణ కార్యక్రమంలో జరిగిన కార్యక్రమంలో. ఎయిర్ టాటూ, ఈ విమానం RAF సేవలో "వాయేజర్" అని పిలుస్తారు. [12] నవంబర్ 2010 లో ఫ్రెంచ్ వైమానిక దళం విడి FSTA సామర్థ్యాన్ని కొనుగోలు చేయవచ్చని సూచించబడింది. [13] [14] మొట్టమొదటిసారిగా పూర్తి చేసిన విమానం డిసెంబర్ 2011 లో RAF బ్రైజ్ నార్టన్ వద్దకు వచ్చింది; సుదీర్ఘ ధృవీకరణ ప్రక్రియ తరువాత, ఇది ఏప్రిల్ 2012 లో విమానాలకు శిక్షణ ఇవ్వడం ప్రారంభించింది. [15] కొత్త కోభం రూపొందించిన హై స్పీడ్-వేరియబుల్ డ్రాగ్ డ్రోగ్‌తో సాంకేతిక సమస్యలను అనుసరించి, సుడిగాలిని ఇంధనం నింపేటప్పుడు వింగ్ టిప్ పాడ్‌లపై డ్రోగ్‌లను 2012 ప్రారంభంలో ప్రామాణిక సార్జెంట్ ఫ్లెచర్ డ్రోగ్‌లతో భర్తీ చేశారు, గాలి ఇంధనం నింపడానికి అవసరమైన సేవా క్లియరెన్స్‌కు విడుదల ఆలస్యం (AAR) కార్యకలాపాలు. చివరకు 16 మే 2013 న ధృవీకరణ మంజూరు చేయబడింది మరియు 20 మే 2013 న ప్రారంభించిన మొదటి కార్యాచరణ ట్యాంకర్ ఫ్లైట్. [16] వాయేజర్ 2015 లో ఎఫ్ -35 బికి ఇంధనం నింపే టెస్ట్ విమానాలను ప్రారంభించింది, ఇది జూన్ 2015 మధ్య నాటికి ధృవీకరణ పత్రాన్ని అంచనా వేసింది. ఇది ఆస్ట్రేలియన్ కెసి -30 వేరియంట్ 2015 చివరిలో ఎఫ్ -35 ఎతో రీఫ్యూయలింగ్ ట్రయల్స్ పూర్తి చేసింది. [17] మే 2014 నాటికి తొమ్మిది విమానాలు పంపిణీ చేయబడ్డాయి, RAF విమానాల "కోర్ ఫ్లీట్" ను పూర్తి చేశాయి. [18] మిగిలిన 5 విమానాలు "సర్జ్ సామర్ధ్యం" ను సూచిస్తాయి, అవసరమైనప్పుడు RAF కి లభిస్తాయి, కాని "సివిల్ మార్కెట్‌కు విడుదల చేయడం, దాని సైనిక పరికరాలు తక్కువ లేదా మోడ్ ఒప్పందంతో సైనిక సామర్థ్యంలో భాగస్వామి దేశాలకు" వంటి పనుల కోసం ఎయిర్‌ట్యాంకర్‌కు అందుబాటులో ఉంటాయి ". [[18] జూన్ 2014 లో థామస్ కుక్ ఎయిర్‌లైన్స్ ఎయిర్‌ట్యాంకర్ నుండి 5 "సర్జ్" విమానాలలో ఒకదాన్ని లీజుకు ఇవ్వడానికి ఒక ఒప్పందం కుదుర్చుకుంది. [19] ఈ విమానం వాయేజర్ విమానాల నుండి 32 సీట్లు, విమాన వీడియోలో వేర్వేరు సీట్లు కలిగి ఉంటుంది మరియు వారు థామస్ కుక్ లివరీని అందుకుంటారు. [19] మార్చి 2010 లో నేషనల్ ఆడిట్ ఆఫీస్ (NAO) ఈ పథకం యొక్క సమీక్షను ప్రచురించింది, ఇది రక్షణ మంత్రిత్వ శాఖ డబ్బు కోసం విలువను సాధించిందని తేల్చలేకపోయింది. సేకరణ యొక్క తరువాతి దశలను బాగా నిర్వహించినప్పటికీ, అది చేయగల ఉత్తమమైన ఒప్పందాన్ని పొందగల MOD యొక్క సామర్థ్యం లోపాల ద్వారా అణగదొక్కబడింది, ఇది సేకరణను నిర్వహించిన మరియు ప్రత్యామ్నాయ ఎంపికలను అంచనా వేసింది. కాంట్రాక్ట్ సంతకం నుండి ఎయిర్-టు-ఎయిర్ రీఫ్యూయలింగ్ మరియు సైనిక రవాణా విమానాలను అందించే ప్రాజెక్ట్ దాని డెలివరీ మైలురాళ్లను సాధించినప్పటికీ, ప్రణాళికాబద్ధమైన దానికంటే ఐదున్నర సంవత్సరాల తరువాత ఇది ఇంకా పంపిణీ చేయబడే అవకాశం ఉంది. [7] ఏదేమైనా, అన్ని ఫాలో-ఆన్ మైలురాళ్ళు షెడ్యూల్‌లో లేదా ముందుకు సాగాయి, మరియు ముఖ్యంగా ప్రతి పద్నాలుగు విమానాల డెలివరీ. FSTA ప్రోగ్రామ్ మొదటి ప్రపంచ యుద్ధం నుండి షెడ్యూల్ మరియు బడ్జెట్‌లో పంపిణీ చేసే మొట్టమొదటి UK విమాన కార్యక్రమం. పబ్లిక్ అకౌంట్స్ కమిటీ విమాన స్పెసిఫికేషన్ ఆఫ్ఘనిస్తాన్‌లోకి విమానాలకు అవసరమైన తగిన రక్షణను కలిగి లేదని కనుగొంది మరియు అందువల్ల లాక్‌హీడ్ ట్రిస్టార్ కొనసాగుతుందని అర్థం 2016 వరకు ఈ పాత్రను నెరవేర్చడానికి. ఇది ఆఫ్ఘనిస్తాన్లో సైనిక కార్యకలాపాలు ప్రారంభానికి ముందు ప్రారంభమయ్యే FSTA పథకం మరియు కాంట్రాక్టులో అవసరమైన రక్షణ వ్యవస్థలను చేర్చడంపై ఏదైనా నిర్ణయంలో గణనీయమైన ఆలస్యం జరిగింది. [20] ఏదేమైనా, తగినంత రక్షణను నెరవేర్చడానికి FSTA విమానం త్వరగా సవరించబడింది, మరియు వాయేజర్స్ డిసెంబర్ 2013 లో ఆఫ్ఘనిస్తాన్‌లోకి కార్యకలాపాలను ప్రారంభించారు. లాక్‌హీడ్ ట్రిస్టార్ మార్చి 2014 లో RAF సేవ నుండి రిటైర్ అయ్యారు మరియు 2013 సెప్టెంబర్‌లో VC10.</v>
      </c>
      <c r="E147" s="1" t="s">
        <v>3053</v>
      </c>
      <c r="BG147" s="2"/>
      <c r="EZ147" s="1" t="s">
        <v>3054</v>
      </c>
      <c r="FA147" s="1" t="s">
        <v>3055</v>
      </c>
      <c r="FB147" s="1" t="s">
        <v>610</v>
      </c>
      <c r="FC147" s="1" t="s">
        <v>611</v>
      </c>
      <c r="FD147" s="1" t="s">
        <v>3056</v>
      </c>
      <c r="FE147" s="1" t="s">
        <v>3057</v>
      </c>
    </row>
    <row r="148">
      <c r="A148" s="1" t="s">
        <v>3058</v>
      </c>
      <c r="B148" s="1" t="str">
        <f>IFERROR(__xludf.DUMMYFUNCTION("GOOGLETRANSLATE(A:A, ""en"", ""te"")"),"సాండర్స్-రో sr.53")</f>
        <v>సాండర్స్-రో sr.53</v>
      </c>
      <c r="C148" s="1" t="s">
        <v>3059</v>
      </c>
      <c r="D148" s="1" t="str">
        <f>IFERROR(__xludf.DUMMYFUNCTION("GOOGLETRANSLATE(C:C, ""en"", ""te"")"),"సాండర్స్-రో SR.53 అనేది 1950 ల ప్రారంభంలో సాండర్స్-రో చేత రాయల్ ఎయిర్ ఫోర్స్ (RAF) కోసం అభివృద్ధి చేయబడిన మిశ్రమ జెట్ మరియు రాకెట్ ప్రొపల్షన్ యొక్క బ్రిటిష్ ప్రోటోటైప్ ఇంటర్‌సెప్టర్ విమానం. [2] As హించినట్లుగా, SR.53 ను ఇంటర్‌సెప్టర్ విమానంగా ఉపయోగించారు,"&amp;" దాని రాకెట్ ప్రొపల్షన్‌ను ఉపయోగించి వేగంగా ఎక్కడానికి మరియు ఇన్కమింగ్ శత్రు బాంబర్లను అధిక వేగంతో సంప్రదించడానికి; దాని దాడి పరుగు తరువాత, బదులుగా ద్వితీయ జెట్ ప్రొపల్షన్‌ను ఉపయోగించడం ద్వారా విమానం దాని స్థావరానికి తిరిగి రాగలదు. పరీక్ష విమానాల సమయంలో S"&amp;"R.53 మంచి పనితీరును కలిగి ఉందని నిరూపించబడినప్పటికీ, అటువంటి విమానం యొక్క అవసరం ఉపరితలం నుండి గాలికి క్షిపణి సాంకేతిక పరిజ్ఞానం యొక్క వేగంగా అభివృద్ధి చెందడం ద్వారా అధిగమించబడింది, ఇది విమానం యొక్క ఉద్దేశ్యాన్ని పున ons పరిశీలించడానికి దారితీసింది. జూలై 1"&amp;"960 లో, అభివృద్ధి కార్యక్రమం అధికారికంగా రద్దు చేయబడింది, ఆ సమయానికి మొత్తం 56 పరీక్ష విమానాలు జరిగాయి. [3] విమాన పరీక్షల సమయంలో ఒక జత ప్రోటోటైప్ SR.53 విమానం పూర్తయింది మరియు ఉపయోగించబడింది. రెండవ నమూనా జూన్ 1958 లో అలాంటి ఒక పరీక్ష విమానంలో నాశనం చేయబడి"&amp;"ంది. మొదటి నమూనా ఈ రోజు వరకు భద్రపరచబడింది. ఇది రాయల్ ఎయిర్ ఫోర్స్ మ్యూజియం కాస్ఫోర్డ్ వద్ద పబ్లిక్ డిస్ప్లేలో ఉంది. [4] రెండవ ప్రపంచ యుద్ధం ఆధునిక యుద్ధానికి వ్యూహాత్మక బాంబు దాడి యొక్క ప్రాముఖ్యతను ప్రదర్శించింది, మరియు అభివృద్ధి చెందుతున్న ప్రచ్ఛన్న యు"&amp;"ద్ధం అభివృద్ధి చెందడంతో, అణ్వాయుధాలతో సాయుధమైన శత్రు బాంబర్ విమానాల యొక్క పెద్ద తరంగాలకు వ్యతిరేకంగా కొత్త మరియు మరింత ప్రభావవంతమైన వాయు రక్షణల అభివృద్ధి చాలా దేశాలకు ప్రాధాన్యతనిచ్చింది. యుద్ధ సమయంలో, నాజీ జర్మనీ తన అంతరాయ సామర్థ్యాలను పెంచడానికి దాని స్"&amp;"వంత రాకెట్-శక్తితో కూడిన విమానాలను విస్తృతంగా అభివృద్ధి చేసింది, యుద్ధం యొక్క చివరి రెండు సంవత్సరాలలో, ఇది మెసెర్స్చ్మిట్ ME 163 మరియు బాచెమ్ BA 349 వంటి విమానాలను అమలు చేయగలిగింది, ఇది ద్వారా, ఇది ద్వారా రాకెట్ ప్రొపల్షన్, అసమానమైన రేట్లు-క్లైమ్బ్ చేయగలద"&amp;"ు, శత్రు బాంబర్లు వారి లక్ష్యాలను చేరుకోవడానికి ముందే (కనీసం సిద్ధాంతంలో) వేగంగా సోర్టీ చేయడానికి వీలు కల్పిస్తుంది. ఈ విమానాల పనితీరు మిత్రదేశాలకు బాగా తెలిసినందున, RAF నిపుణులు అంతర్లీన సాంకేతిక పరిజ్ఞానాన్ని అన్వేషించడానికి మరియు అర్థం చేసుకోవడానికి ఆస"&amp;"క్తిగా ఉన్నారు. [5] యుద్ధం తరువాత, జర్మన్ రాకెట్ టెక్నాలజీని మాజీ మిత్రరాజ్యాల దేశాల వివిధ సభ్యులు విస్తృతంగా అధ్యయనం చేశారు. టేకాఫ్ దశలో విమానాలను పెంచే లక్ష్యంతో ద్రవ-చోదక రాకెట్లను అభివృద్ధి చేయడానికి బ్రిటన్ త్వరగా ఒక కార్యక్రమాన్ని ప్రారంభించాలని నిర"&amp;"్ణయించుకుంది, దీనిని RAF లో రాకెట్-సహాయక టేక్-ఆఫ్ గేర్ (RATOG) అని పిలుస్తారు, మరియు ఆరోహణ-నుండి- విమాన ఎత్తు దశ. [5] 1946 లో, కొత్త బ్రిటిష్ నిర్మించిన రాకెట్ మోటార్స్, డి హవిలాండ్ స్ప్రైట్ గరిష్టంగా 22 kN (5,000 lbf) మరియు ఆర్మ్‌స్ట్రాంగ్ సిడ్లీ స్నార్ల"&amp;"ర్‌తో 8.9 kN (2,000 lbf) థ్రస్ట్‌తో పని ప్రారంభమైంది; ఈ రాకెట్ మోటార్లు వేర్వేరు ప్రొపెల్లెంట్లను ఉపయోగించుకున్నాయి, స్ప్రైట్ హై-టెస్ట్ పెరాక్సైడ్ (హెచ్‌టిపి) మోనోప్రొపెల్లంట్‌ను ఉపయోగించగా, స్నార్లర్ మిథనాల్/నీరు/ద్రవ ఆక్సిజన్ మిశ్రమాన్ని ఉపయోగించుకున్నా"&amp;"డు. 1950 ల ప్రారంభంలో, రెండు ఇంజన్లు విమాన పరీక్షా దశకు వెళ్ళాయి; ఏదేమైనా, సమరయోధులకు పెరిగిన పనితీరును అందించాలన్న వారి పాత్రకు కొంత డిమాండ్ త్వరలోనే సాంప్రదాయిక జెట్ ఇంజిన్ల యొక్క ప్రాబల్యం పెరుగుతోంది. మే 1951 లో, పెరుగుతున్న సోవియట్ వ్యూహాత్మక బాంబర్ "&amp;"విమానాలు మరియు దేశం యొక్క కొత్తగా అభివృద్ధి చెందిన అణు ఆయుధాల యొక్క పెరుగుతున్న సంభావ్య సామర్ధ్యం మరియు ముప్పుపై ఉన్న నివేదికలను ఎదుర్కొంది, బ్రిటిష్ వైమానిక మంత్రిత్వ శాఖ కార్యాచరణ అవసరాన్ని రూపొందించడానికి ముందుకు సాగింది, లేదా 301, ఇది కేవలం 2 నిమిషాల "&amp;"30 సెకన్లలో 18,000 మీటర్ల (60,000 అడుగులు) ఎత్తును సాధించగల రాకెట్-శక్తితో కూడిన ఇంటర్‌సెప్టర్‌ను కోరింది. లేదా 301 ద్వారా నిర్దేశించిన అనేక పనితీరు అవసరాలు ప్రత్యర్థి సోవియట్ విమానాల పనితీరులో వేగంగా పెరుగుతాయి; 1960 ల ప్రారంభంలో, ఈ బాంబర్లు మాక్ 2 వరకు "&amp;"సూపర్సోనిక్ వేగం చేయగలవని అనుమానించారు, 24,000 మీటర్లు (80,000 అడుగులు) కంటే ఎక్కువ కార్యాచరణ ఎత్తులో ఉంది. [6] దీని ప్రకారం, ఈ ముప్పును ఎదుర్కోవటానికి దేశం యొక్క చర్యలలో భాగమైన సమర్థవంతమైన డిఫెన్స్ ఇంటర్‌సెప్టర్, సమయానికి అధిక ఎత్తున బాంబర్లను చేరుకోవడాన"&amp;"ికి ఇలాంటి వేగం మరియు అనూహ్యంగా అధిక ఆరోహణ రేటు కలిగి ఉండాలి. [7] స్ప్రైట్ మరియు స్నార్లర్ యొక్క అభివృద్ధి మరింత శక్తివంతమైన రాకెట్ ఇంజిన్‌ను ఆచరణీయమైన ""పాయింట్ డిఫెన్స్"" ఇంటర్‌సెప్టర్ కోసం ప్రణాళికాబద్ధమైన పవర్‌ప్లాంట్‌గా అభివృద్ధి చేసే అవకాశానికి దారి"&amp;"తీసింది. [8] O.R. యొక్క అవసరాలు. 301 భారంగా పరిగణించబడ్డాయి, వీటిలో రాప్ లాంచ్ మరియు స్కిడ్‌లో ల్యాండింగ్, మరియు టెండర్‌కు చేరుకున్న కంపెనీల సమ్మతితో, సవరించిన స్పెసిఫికేషన్ ఎఫ్ 124 టి మిశ్రమ పవర్‌ప్లాంట్ కాన్ఫిగరేషన్‌కు అనుమతించడంతో పాటు సాంప్రదాయిక అండర"&amp;"్ క్యారేజీని స్వీకరించడంతో పాటు. [8] 21 ఫిబ్రవరి 1951 న, సవరించిన స్పెసిఫికేషన్ F124T వారి సమర్పణలను అభ్యర్థించడానికి బ్రిటన్ యొక్క వివిధ విమాన తయారీదారులలో అరడజను మందికి ప్రసారం చేయబడింది. [9] స్పెసిఫికేషన్ పొందిన సంస్థలలో సాండర్స్-రో ఒకటి కాదు; ఫ్లయింగ్"&amp;" బోట్ల ఉత్పత్తిలో సంస్థ సాధారణంగా పాల్గొన్నందున, సరఫరా మంత్రిత్వ శాఖ వాటిని సంబంధితంగా పరిగణించకపోవడం దీనికి కారణం. [9] ఏదేమైనా, సాండర్స్-రో వాస్తవానికి కొత్త అవసరాలపై ఆసక్తి కలిగి ఉన్నాడు, ఇప్పటికే స్వతంత్రంగా అధిక ఎత్తులో మరియు హై-స్పీడ్ విమానంలో అధ్యయన"&amp;"ాలు నిర్వహిస్తున్నారు. సంస్థ యొక్క చీఫ్ డిజైనర్ మారిస్ బ్రెన్నాన్, 30,000 మీటర్ల (100,000 అడుగులు) వరకు ఎత్తులో ఎగురుతున్న రాకెట్-చోదక విమానాల అవకాశాలను అధ్యయనం చేయాలని డిజైన్ బృందంలోని సభ్యులను అప్పటికే ఆదేశించారు మరియు 'సమస్యల యొక్క దర్యాప్తును ప్రచురిం"&amp;"చారు. స్వచ్ఛమైన రాకెట్ ఫైటర్ విమానం 'అదే సమయంలో మంత్రిత్వ శాఖ స్పెసిఫికేషన్ F124T ని జారీ చేసింది. [10] [9] స్పెసిఫికేషన్‌ను పంపించకుండా లేదా సంస్థకు టెండర్ చేయడానికి ఆహ్వానం చేయడంలో సాంప్రదాయిక విధానాన్ని అనుసరించడంలో విఫలమైనందుకు సాండర్స్-రో మంత్రిత్వ శ"&amp;"ాఖను సంప్రదించింది; తత్ఫలితంగా, 24 మార్చి 1951 న, ఇతర పోటీదారులతో పాటు తన డిజైన్లను సమర్పించాలని మంత్రిత్వ శాఖ సంస్థను కోరింది. [11] ఏప్రిల్ 1951 చివరి నాటికి, సాండర్స్-రో వారి వివరణాత్మక ప్రతిపాదనను సమర్పించారు. [11] SR.53 గా నియమించబడిన ప్రతిపాదిత సింగి"&amp;"ల్-సీట్ల విమానం చాలా ఎక్కువ వేగంతో ఉంటుంది, ఇది MACH 2.44 (2,592 కిమీ/గం/గం; 1,611 mph) యొక్క అగ్ర వేగంతో 18,000 మీటర్ల ఎత్తులో ఉన్నప్పుడు (18,000 మీటర్ల ఎత్తులో ఉన్నప్పుడు అంచనా వేయబడింది ( 60,000 అడుగులు), మరియు 15,000 మీటర్ల (50,000 అడుగులు) ఎత్తులో ని"&amp;"మిషానికి 16,000 మీటర్లు (52,000 అడుగులు) ఎక్కడం రేటు. [11] కార్డిట్-ఆధారిత బూస్టర్ రాకెట్లతో పాటు టేకాఫ్‌ల కోసం సహాయక పునర్వినియోగపరచలేని అండర్ క్యారేజ్ ఉపయోగించవచ్చు. అత్యవసర పరిస్థితుల్లో, మొత్తం క్యాబిన్ మొదట పైలట్‌కు తప్పించుకునే మార్గాలను అందించే సాధ"&amp;"నంగా జెట్టిసన్ చేయబడి ఉండేది; దీన్ని అభివృద్ధి చేయడంలో పాల్గొన్న పని కారణంగా, దీనిని బదులుగా మరింత ప్రామాణిక ఎజెక్షన్ సీటు అమరిక ద్వారా భర్తీ చేశారు. [12] ప్రమాదకరమైన మరియు ఖరీదైనదిగా ఉండటానికి అసలు ఆ శక్తిలేని 'గ్లైడ్ హోమ్' విధానం సంస్థ త్వరగా గుర్తించిం"&amp;"ది; విమాన ప్రయాణానికి శక్తినిచ్చే ప్రయోజనాల కోసం వారు ద్వితీయ జెట్ ఇంజిన్ అనే భావనతో వైమానిక మంత్రిత్వ శాఖను సంప్రదించారు. ఈ భావనపై మంత్రిత్వ శాఖ ఉత్సాహంగా ఉంది; మే 1951 లో, ఆసక్తిగల అన్ని సంస్థలు ఈ అమరికను పరిశీలించమని కోరారు. [11] SR.53 ఒక సొగసైన విమానం"&amp;", ఇది పదునైన నోస్, డెల్టా లాంటి రెక్క మరియు టి-టెయిల్. [13] ఇది సింగిల్ ఆర్మ్‌స్ట్రాంగ్ సిడ్లీ వైపర్ టర్బోజెట్ ఇంజిన్ మరియు డి హవిలాండ్ స్పెక్టర్ రాకెట్ ఇంజిన్ కలయికతో శక్తిని పొందింది, వీటిలో ఒకదానికొకటి వెనుక ఫ్యూజ్‌లేజ్‌పై ఒకదానిపై మరొకటి మౌంట్ చేయబడ్డ"&amp;"ాయి. [13] [12] SR.53 ను శక్తివంతం చేయడానికి సాండర్స్-రో మొదట వారి స్వంత రాకెట్ మోటారును అభివృద్ధి చేయాలని ప్రతిపాదించారు, మొదట స్పెక్టర్ లేదా స్క్రీమర్ యొక్క పనితీరుతో మొదట సంతోషించలేదు; ఏదేమైనా, ఇది గణనీయమైన అభివృద్ధి పనులను తీసుకుంటుందని గుర్తించబడింది."&amp;" [12] అక్టోబర్ 1952 నాటికి, విమానం యొక్క ప్రాథమిక రూపురేఖలు ఖరారు చేయబడ్డాయి, అంతకుముందు స్లాట్డ్ ఫ్లాప్‌లతో ప్రతిపాదించిన కంబైన్డ్ ఫ్లాప్ మరియు ఐలెరాన్‌లను భర్తీ చేస్తూ, వైపర్ ఇంజిన్ పైకి మార్చబడింది మరియు విభజించబడినది కాకుండా స్ట్రెయిట్ జెట్ పైపుతో అమర"&amp;"్చబడి ఉంటుంది, టెయిల్‌ప్లేన్ కూడా ఫిన్ పైభాగంలో ఉన్నత స్థానానికి తరలించబడింది. [14] 30 అక్టోబర్ 1952 న, మూడు ప్రోటోటైప్‌లను పూర్తి చేయడానికి మంత్రిత్వ శాఖ నుండి ముందుకు సాగాలని కంపెనీ ఒక సూచనను అందుకుంది. [14] 12 డిసెంబర్ 1952 న, భావన యొక్క మరింత శుద్ధీకర"&amp;"ణ నిర్వచించిన స్పెసిఫికేషన్ లేదా 337 విడుదలకు దారితీసింది. [15] నిర్వచించిన స్పెసిఫికేషన్ యొక్క మార్పులు ప్రధానంగా ఆయుధ మార్పుల చుట్టూ తిరుగుతున్నాయి, నీలిరంగు జే ఇన్ఫ్రారెడ్-గైడెడ్ ఎయిర్-టు-ఎయిర్ క్షిపణిని అవలంబిస్తాయి, ఇది మొదట 51-మిల్లీమీటర్ల (2 అంగుళా"&amp;"లు) రాకెట్ల యొక్క ఉపసంహరించుకునే బ్యాటరీని భర్తీ చేసింది. [16] [14] 1953 మొదటి నాలుగు నెలల్లో, సాండర్స్-రో రాయల్ ఎయిర్క్రాఫ్ట్ ఎస్టాబ్లిష్మెంట్ (RAE) యొక్క నిర్ణయం కారణంగా SR.53 యొక్క ఫ్యూజ్‌లేజ్, వింగ్ మరియు అండర్ క్యారేజ్ యొక్క నిర్మాణాత్మక పున es రూపకల"&amp;"్పన చేయవలసి వచ్చింది, రెక్కకు కంటే ఎక్కువ అన్హెడ్రల్ కోణం అవసరం మొదట దీని కోసం రూపొందించబడింది. [14] 5 మే 1953 న, SR.53 పై దృష్టి సారించే సరఫరా మంత్రిత్వ శాఖలో సలహా రూపకల్పన సమావేశం నిర్వహించబడింది; మూడు రోజుల తరువాత, మూడు ప్రోటోటైప్‌ల ఉత్పత్తికి అధికారిక"&amp;" ఒప్పందం వచ్చింది. [17] స్పెసిఫికేషన్‌ను తీర్చడానికి విమానం కోసం ఎంచుకోవడానికి సరైన ఇంధనం/మోటారుపై RAF మరియు మంత్రిత్వ శాఖలోని సందేహాల కారణంగా, ఇది సవరించిన స్పెసిఫికేషన్‌ను జారీ చేయాలని నిర్ణయించారు, తరువాత అభివృద్ధి ఒప్పందానికి A.V. రో, వారి స్వంత రాకెట"&amp;"్-శక్తితో పనిచేసే ఇంటర్‌సెప్టర్‌పై పనిని ప్రారంభించిన AVRO 720 గా నియమించబడ్డారు. ప్రతిపాదనలను టెండర్ చేసిన ఆరు కంపెనీలలో, రెండు అభివృద్ధి ఒప్పందాల కోసం ఎంపిక చేయబడ్డాయి: A.V. వారి AVRO 720 తో రో మరియు SR.53 తో సాండర్స్-రో. [15] [17] సాండర్స్-రో, SR.53 మన"&amp;"ుగడ సాగించే అవకాశం ఉంటే, మూడు ప్రోటోటైప్‌లను నిర్మించడానికి కాంట్రాక్టు జారీ చేయబడిన తరువాత, మొదటి విమానానికి పిలుపునిచ్చిన షెడ్యూల్‌ను సెట్ చేసిన తరువాత, ఇది పోటీ ఉన్న అవ్రో 720 ను అధిగమించాల్సిన అవసరం ఉందని గుర్తించారు. జూలై 1954 లో, 1957 యొక్క అంచనా సే"&amp;"వా పరిచయం తేదీతో పాటు నిర్వహించబడుతుంది. [18] [19] ఏది ఏమయినప్పటికీ, విమానం యొక్క సంక్లిష్టతను పరిష్కరించడానికి ఇది చాలా సమయం ఇవ్వనందున ఇది చాలా ప్రతిష్టాత్మకమైనదని వుడ్ గమనించాడు, లేదా విడిగా ఉత్పత్తి చేయబడిన స్పెక్టర్ ఇంజిన్ సరఫరాలో ఆలస్యం కోసం ఇది గదిన"&amp;"ి ఉంచలేదు. [19] డిజైన్ యొక్క అంశాలతో పరిష్కరించబడని సమస్యలు వరుస ఎదురుదెబ్బలకు కారణమయ్యాయి, స్పెక్టర్ రాకెట్ ఇంజిన్ యొక్క గ్రౌండ్ పరీక్షల సమయంలో సంభవించే పేలుడు రూపంలో ఒక ముఖ్యమైన సంఘటనతో సహా. మొదటి SR.53 ప్రోటోటైప్ నిర్మాణం than హించిన దానికంటే ఎక్కువ సమ"&amp;"యం పట్టింది, కొంతవరకు డి హవిలాండ్ సమయానికి స్పెక్టర్ ఇంజిన్‌ను పంపిణీ చేయడంలో సమస్యలు ఉన్నందున, సహాయక పరికరాలను వ్యవస్థాపించడం కూడా సమయం తీసుకుంటుంది. [20] దీని ప్రకారం, SR.53 యొక్క తొలి ఫ్లైట్ షెడ్యూల్ వెనుక మరింత మరియు మరింత వెనుకకు రావడం ప్రారంభమైంది. "&amp;"[15] [19] మొదటి విమాన తేదీని మొదట మార్చి 1955 వరకు, ఆపై 1957 వరకు సెట్ చేశారు. [21] ప్రత్యేకమైన సవాళ్లు హెచ్‌టిపి ఇంధనం ద్వారా ఎదురయ్యాయి, వీటిలో తగిన నిల్వ సంచుల అభివృద్ధి మరియు ఇంధన ప్రవాహం అనుపాతంతో సహా. [21] జనవరి 1954 లో, మంత్రిత్వ శాఖ తన ఆర్డర్‌ను మ"&amp;"ూడు SR.53 ప్రోటోటైప్‌ల నుండి రెండుకి తగ్గించింది, వీటిని సాండర్స్-రో యొక్క కౌస్ సౌకర్యం వద్ద పక్కపక్కనే నిర్మించారు. [22] పోటీ అవ్రో 720 తో అభివృద్ధి మరింత సజావుగా సాగింది; 1956 నాటికి, దాని నమూనా వాస్తవంగా పూర్తయింది మరియు వెనుకబడి ఉన్న SR.53 కంటే ఒక సంవ"&amp;"త్సరం ముందు ఎగురుతూ ఉండే సామర్థ్యాన్ని కలిగి ఉంది. [23] సెప్టెంబర్ 1953 నాటికి, ఖర్చు తగ్గింపులను అమలు చేయవలసిన అవసరం కారణంగా ఈ విమానాలను అభివృద్ధి చేసే కార్యక్రమం పరిశీలనలో ఉంది; ఫలితంగా, అవ్రో 720 కోసం ఒప్పందం చివరికి రద్దు చేయబడింది. SR.53 కి ప్రాధాన్య"&amp;"త ఇవ్వడానికి ఒక కారణం ఏమిటంటే, విమానం అభివృద్ధి చెందుతున్నప్పటికీ, హైడ్రోజన్ పెరాక్సైడ్ను ఆక్సిడైజర్‌గా ఉపయోగించడం అవ్రో 720 యొక్క ద్రవ ఆక్సిజన్ వాడకం కంటే తక్కువ సమస్యాత్మకంగా భావించబడింది, ఇది అగ్ని ప్రమాదాన్ని కలిగించింది. [18] వుడ్ ప్రకారం, SR.53 ఉపయో"&amp;"గించినట్లుగా, HTP విధానానికి ప్రాధాన్యత ఉంది, రెండు వేర్వేరు ఇంధన కార్యక్రమాల ఆపరేషన్‌కు మద్దతు ఇవ్వడానికి ఇష్టపడకపోవటంతో పాటు. [22] ఏదేమైనా, ఈ కారణం యొక్క ప్రామాణికత AVRO SR.53 ఉపయోగించిన అదే ఇంజిన్ అయిన HTP మరియు స్పెక్టర్‌కు మారడానికి ప్రతిపాదిస్తున్నం"&amp;"దున కొంతవరకు బలహీనపడింది. [24] రద్దును ప్రభావితం చేసిన మరో అంశం ఏమిటంటే, ప్రాజెక్టుకు మద్దతు ఇవ్వడానికి RAF యొక్క సంకోచం, దాని ప్రాధాన్యతపై ఏదైనా నిర్ణయం తీసుకోవటానికి ముందే విమాన మూల్యాంకనాలు నిర్వహించబడే వరకు ఈ సేవ వేచి ఉండాలని కోరుకుంది. [19] 1953 చివర"&amp;"లో, సాండర్స్-రో ఉత్పన్న రూపకల్పనపై పనిని ప్రారంభించింది, దీనిని SR.177 గా నియమించారు. SR.53 మరియు AVRO 720 లో ఆన్‌బోర్డ్ రాడార్ లేకపోవడాన్ని బ్రెన్నాన్ భావించాడు, ఇది స్పెసిఫికేషన్ యొక్క అవసరం లేనప్పటికీ ఇది ఒక ముఖ్యమైన లోపంగా ఉంది, పైలట్ తన స్వంత దృష్టి "&amp;"మరియు దిశపై ఆధారపడి ఉంటుంది నియంత్రణ. [[19] టర్బోజెట్ ఇంజిన్ వాడకంపై బ్రెన్నాన్ కూడా అసంతృప్తి చెందాడు; ఒక పెద్ద జెట్ ఇంజిన్ విమానం యొక్క స్థిరమైన సూపర్సోనిక్ క్రూజింగ్ వేగంతో సరిపోలాలని మరియు రాకెట్ మోటారును ప్రధానంగా అధిక పనితీరు గల, మలుపులు మరియు వేగవం"&amp;"తమైన త్వరణం కోసం ఉపయోగించాలని అతను నమ్మాడు. దీని ప్రకారం, SR.177 చాలా పెద్ద మరియు అధునాతన విమానం, ఇది SR.53 కు మరింత పరిధి మరియు మొత్తం ఉన్నతమైన పనితీరును అందిస్తుంది. [25] ఇది ఉపయోగకరమైన వాయుమార్గాన రాడార్‌ను మోయగలిగే పరిమాణంలో ఉంది, ఇది కొత్త ఫైటర్ పనిచ"&amp;"ేయడానికి ఉద్దేశించిన అధిక ఎత్తులో అంతరాయానికి బ్రెన్నాన్ అవసరమని భావించారు. కొత్త, పెద్ద విమానాలను రాయల్ నేవీ మరియు వెస్ట్ జర్మనీతో పాటు RAF కోసం సముద్ర ఉపయోగం కోసం ప్రత్యేక సంస్కరణలుగా అభివృద్ధి చేయాల్సి ఉంది. [26] సాండర్స్-రో SR.53 మరియు SR.177 రెండింటి"&amp;"లోనూ పనిచేశారు, రెండోది కొత్తగా ఏర్పడిన హై స్పీడ్ డెవలప్‌మెంట్ విభాగం ద్వారా పని చేస్తుంది. [27] అక్టోబర్ 1951 లో, సాండర్స్-రో డోర్సెట్‌లోని RAF హర్న్ వద్ద సౌకర్యాలను పొందాడు, SR.53 యొక్క పరీక్ష విమానాలకు సైట్ యొక్క ఉపయోగానికి మద్దతు ఇవ్వడానికి. [28] ఐల్ "&amp;"ఆఫ్ వైట్లో తగిన వైమానిక క్షేత్రాలు లేకపోవడం వల్ల ఈ కొలత అవసరం, ఇక్కడ కంపెనీ ఆధారంగా మరియు సాధారణంగా అభివృద్ధిని నిర్వహించింది. ఈ క్రమంలో, సంస్థ హర్న్ సైట్ వద్ద ఒక హెచ్‌టిపి స్టోరేజ్ ఫ్యాకల్టీని నిర్మించింది; ప్రత్యేక రేడియో సహాయాలు కూడా వ్యవస్థాపించబడ్డాయ"&amp;"ి మరియు ప్రారంభంలో ప్రత్యేకంగా మార్పు చెందిన గ్లోస్టర్ ఉల్కాపాతం ఉపయోగించి పరీక్షించబడ్డాయి, వీటిని సరఫరా మంత్రిత్వ శాఖ ఇచ్చింది. [29] ఫ్లయింగ్ ట్రయల్స్ బదులుగా RAF బోస్కోంబే వద్ద కేంద్రీకృతమై ఉన్నందున ఈ సెటప్ చివరికి ఉపయోగించబడదు. [30] 28 జూన్ 1956 న, పూ"&amp;"ర్తి చేసిన మొదటి నమూనా, XD145, RAF బోస్కోంబే వద్ద విమానం మరియు ఆయుధ ప్రయోగాత్మక స్థాపన ద్వారా అసెంబ్లీ కోసం పంపబడింది. [30] 16 జనవరి 1957 న, దాని స్పెక్టర్ ఇంజిన్ యొక్క మొదటి వ్యవస్థాపించిన గ్రౌండ్ రన్ జరిగింది; 16 ఏప్రిల్ 1957 న, దీని తరువాత దాని వైపర్ ఇ"&amp;"ంజిన్ యొక్క మొదటి వ్యవస్థాపించబడిన గ్రౌండ్ రన్ జరిగింది. 9 మే 1957 న, XD145 రకం యొక్క మొదటి గ్రౌండ్ టాక్సీ ట్రయల్ నిర్వహించింది. [30] 16 మే 1957 న, స్క్వాడ్రన్ నాయకుడు జాన్ బూత్ డిఎఫ్‌సి మొదటి టెస్ట్ ఫ్లైట్ కోసం XD145 యొక్క నియంత్రణలలో ఉన్నారు, రెండవ ప్రో"&amp;"టోటైప్ XD151 యొక్క తొలి విమానంతో, 6 డిసెంబర్ 1957 న. [15] [30] పరీక్ష ఫలితాలు ""... ఎగరడానికి చాలా నిశ్శబ్దమైన మరియు చాలా ఆహ్లాదకరమైన విమానం, బాగా శ్రావ్యమైన నియంత్రణలతో"". [8] రెండు ప్రోటోటైప్‌లు మొత్తం 56 టెస్ట్ విమానాలను ఎగరవేసాయి, మాక్ 1.33 వేగం పొందబ"&amp;"డింది. [3] రే బోస్కోంబే డౌన్ వద్ద పరీక్ష చేస్తున్నప్పుడు, XD151 5 జూన్ 1958 న దాని 12 వ విమానంలో జరిగిన టేకాఫ్ సమయంలో కూలిపోయింది. రన్వే నుండి పరిగెత్తడం, విమానం ఒక కాంక్రీట్ అప్రోచ్ లైట్ ను తాకింది, ప్రభావంపై పేలింది మరియు దాని పైలట్, స్క్వాడ్రన్ నాయకుడు"&amp;" బూత్‌ను చంపింది. [31] [30] మిగిలిన ప్రోటోటైప్ ఎల్‌టి సిడిఆర్ పీటర్ లాంబ్ ఫ్లైట్ టెస్ట్ ప్రోగ్రామ్‌ను స్వాధీనం చేసుకోవడంతో ఎగురుతూనే ఉంది. [3] మొట్టమొదటి SR.53 ప్రసారానికి వెళ్ళే ముందు 1957, [2] అప్రసిద్ధ 1957 డిఫెన్స్ వైట్ పేపర్ బ్రిటిష్ ప్రభుత్వ విధానాన"&amp;"్ని వివరించే ఒక నెల తరువాత, క్షిపణి అభివృద్ధిపై దృష్టి కేంద్రీకరించడానికి పైలట్ చేసిన విమానాలను ఎక్కువగా వదిలివేయడానికి. అదే సమయంలో, SR.53 యొక్క ప్రారంభ రూపకల్పన నుండి ఆరు సంవత్సరాలలో జెట్ ఇంజిన్ అభివృద్ధి చాలా దూరం అభివృద్ధి చెందింది. రాడార్‌లో మెరుగుదలల"&amp;"ు అంటే ఇన్కమింగ్ బాంబర్ ముప్పును చాలా ముందుగానే గుర్తించవచ్చని, SR.53 వంటి విమానం యొక్క అవసరం కనుమరుగైంది, మరియు ఈ ప్రాజెక్ట్ 29 జూలై 1960 న రద్దు చేయబడింది, మూడవ నమూనా (XD153 తో (XD153 ) ఎప్పుడూ నిర్మించబడలేదు. [3] మొట్టమొదటి SR.53 ప్రోటోటైప్, XD145, వోల"&amp;"్వర్‌హాంప్టన్ సమీపంలోని రాయల్ ఎయిర్ ఫోర్స్ మ్యూజియం కాస్ఫోర్డ్ వద్ద భద్రపరచబడింది. [32] 1912 నుండి బ్రిటిష్ ఫైటర్ నుండి వచ్చిన డేటా [33] సాధారణ లక్షణాలు పనితీరు ఆయుధాల సంబంధిత అభివృద్ధి విమానం పోల్చదగిన పాత్ర, కాన్ఫిగరేషన్ మరియు ERA సంబంధిత జాబితాలు")</f>
        <v>సాండర్స్-రో SR.53 అనేది 1950 ల ప్రారంభంలో సాండర్స్-రో చేత రాయల్ ఎయిర్ ఫోర్స్ (RAF) కోసం అభివృద్ధి చేయబడిన మిశ్రమ జెట్ మరియు రాకెట్ ప్రొపల్షన్ యొక్క బ్రిటిష్ ప్రోటోటైప్ ఇంటర్‌సెప్టర్ విమానం. [2] As హించినట్లుగా, SR.53 ను ఇంటర్‌సెప్టర్ విమానంగా ఉపయోగించారు, దాని రాకెట్ ప్రొపల్షన్‌ను ఉపయోగించి వేగంగా ఎక్కడానికి మరియు ఇన్కమింగ్ శత్రు బాంబర్లను అధిక వేగంతో సంప్రదించడానికి; దాని దాడి పరుగు తరువాత, బదులుగా ద్వితీయ జెట్ ప్రొపల్షన్‌ను ఉపయోగించడం ద్వారా విమానం దాని స్థావరానికి తిరిగి రాగలదు. పరీక్ష విమానాల సమయంలో SR.53 మంచి పనితీరును కలిగి ఉందని నిరూపించబడినప్పటికీ, అటువంటి విమానం యొక్క అవసరం ఉపరితలం నుండి గాలికి క్షిపణి సాంకేతిక పరిజ్ఞానం యొక్క వేగంగా అభివృద్ధి చెందడం ద్వారా అధిగమించబడింది, ఇది విమానం యొక్క ఉద్దేశ్యాన్ని పున ons పరిశీలించడానికి దారితీసింది. జూలై 1960 లో, అభివృద్ధి కార్యక్రమం అధికారికంగా రద్దు చేయబడింది, ఆ సమయానికి మొత్తం 56 పరీక్ష విమానాలు జరిగాయి. [3] విమాన పరీక్షల సమయంలో ఒక జత ప్రోటోటైప్ SR.53 విమానం పూర్తయింది మరియు ఉపయోగించబడింది. రెండవ నమూనా జూన్ 1958 లో అలాంటి ఒక పరీక్ష విమానంలో నాశనం చేయబడింది. మొదటి నమూనా ఈ రోజు వరకు భద్రపరచబడింది. ఇది రాయల్ ఎయిర్ ఫోర్స్ మ్యూజియం కాస్ఫోర్డ్ వద్ద పబ్లిక్ డిస్ప్లేలో ఉంది. [4] రెండవ ప్రపంచ యుద్ధం ఆధునిక యుద్ధానికి వ్యూహాత్మక బాంబు దాడి యొక్క ప్రాముఖ్యతను ప్రదర్శించింది, మరియు అభివృద్ధి చెందుతున్న ప్రచ్ఛన్న యుద్ధం అభివృద్ధి చెందడంతో, అణ్వాయుధాలతో సాయుధమైన శత్రు బాంబర్ విమానాల యొక్క పెద్ద తరంగాలకు వ్యతిరేకంగా కొత్త మరియు మరింత ప్రభావవంతమైన వాయు రక్షణల అభివృద్ధి చాలా దేశాలకు ప్రాధాన్యతనిచ్చింది. యుద్ధ సమయంలో, నాజీ జర్మనీ తన అంతరాయ సామర్థ్యాలను పెంచడానికి దాని స్వంత రాకెట్-శక్తితో కూడిన విమానాలను విస్తృతంగా అభివృద్ధి చేసింది, యుద్ధం యొక్క చివరి రెండు సంవత్సరాలలో, ఇది మెసెర్స్చ్మిట్ ME 163 మరియు బాచెమ్ BA 349 వంటి విమానాలను అమలు చేయగలిగింది, ఇది ద్వారా, ఇది ద్వారా రాకెట్ ప్రొపల్షన్, అసమానమైన రేట్లు-క్లైమ్బ్ చేయగలదు, శత్రు బాంబర్లు వారి లక్ష్యాలను చేరుకోవడానికి ముందే (కనీసం సిద్ధాంతంలో) వేగంగా సోర్టీ చేయడానికి వీలు కల్పిస్తుంది. ఈ విమానాల పనితీరు మిత్రదేశాలకు బాగా తెలిసినందున, RAF నిపుణులు అంతర్లీన సాంకేతిక పరిజ్ఞానాన్ని అన్వేషించడానికి మరియు అర్థం చేసుకోవడానికి ఆసక్తిగా ఉన్నారు. [5] యుద్ధం తరువాత, జర్మన్ రాకెట్ టెక్నాలజీని మాజీ మిత్రరాజ్యాల దేశాల వివిధ సభ్యులు విస్తృతంగా అధ్యయనం చేశారు. టేకాఫ్ దశలో విమానాలను పెంచే లక్ష్యంతో ద్రవ-చోదక రాకెట్లను అభివృద్ధి చేయడానికి బ్రిటన్ త్వరగా ఒక కార్యక్రమాన్ని ప్రారంభించాలని నిర్ణయించుకుంది, దీనిని RAF లో రాకెట్-సహాయక టేక్-ఆఫ్ గేర్ (RATOG) అని పిలుస్తారు, మరియు ఆరోహణ-నుండి- విమాన ఎత్తు దశ. [5] 1946 లో, కొత్త బ్రిటిష్ నిర్మించిన రాకెట్ మోటార్స్, డి హవిలాండ్ స్ప్రైట్ గరిష్టంగా 22 kN (5,000 lbf) మరియు ఆర్మ్‌స్ట్రాంగ్ సిడ్లీ స్నార్లర్‌తో 8.9 kN (2,000 lbf) థ్రస్ట్‌తో పని ప్రారంభమైంది; ఈ రాకెట్ మోటార్లు వేర్వేరు ప్రొపెల్లెంట్లను ఉపయోగించుకున్నాయి, స్ప్రైట్ హై-టెస్ట్ పెరాక్సైడ్ (హెచ్‌టిపి) మోనోప్రొపెల్లంట్‌ను ఉపయోగించగా, స్నార్లర్ మిథనాల్/నీరు/ద్రవ ఆక్సిజన్ మిశ్రమాన్ని ఉపయోగించుకున్నాడు. 1950 ల ప్రారంభంలో, రెండు ఇంజన్లు విమాన పరీక్షా దశకు వెళ్ళాయి; ఏదేమైనా, సమరయోధులకు పెరిగిన పనితీరును అందించాలన్న వారి పాత్రకు కొంత డిమాండ్ త్వరలోనే సాంప్రదాయిక జెట్ ఇంజిన్ల యొక్క ప్రాబల్యం పెరుగుతోంది. మే 1951 లో, పెరుగుతున్న సోవియట్ వ్యూహాత్మక బాంబర్ విమానాలు మరియు దేశం యొక్క కొత్తగా అభివృద్ధి చెందిన అణు ఆయుధాల యొక్క పెరుగుతున్న సంభావ్య సామర్ధ్యం మరియు ముప్పుపై ఉన్న నివేదికలను ఎదుర్కొంది, బ్రిటిష్ వైమానిక మంత్రిత్వ శాఖ కార్యాచరణ అవసరాన్ని రూపొందించడానికి ముందుకు సాగింది, లేదా 301, ఇది కేవలం 2 నిమిషాల 30 సెకన్లలో 18,000 మీటర్ల (60,000 అడుగులు) ఎత్తును సాధించగల రాకెట్-శక్తితో కూడిన ఇంటర్‌సెప్టర్‌ను కోరింది. లేదా 301 ద్వారా నిర్దేశించిన అనేక పనితీరు అవసరాలు ప్రత్యర్థి సోవియట్ విమానాల పనితీరులో వేగంగా పెరుగుతాయి; 1960 ల ప్రారంభంలో, ఈ బాంబర్లు మాక్ 2 వరకు సూపర్సోనిక్ వేగం చేయగలవని అనుమానించారు, 24,000 మీటర్లు (80,000 అడుగులు) కంటే ఎక్కువ కార్యాచరణ ఎత్తులో ఉంది. [6] దీని ప్రకారం, ఈ ముప్పును ఎదుర్కోవటానికి దేశం యొక్క చర్యలలో భాగమైన సమర్థవంతమైన డిఫెన్స్ ఇంటర్‌సెప్టర్, సమయానికి అధిక ఎత్తున బాంబర్లను చేరుకోవడానికి ఇలాంటి వేగం మరియు అనూహ్యంగా అధిక ఆరోహణ రేటు కలిగి ఉండాలి. [7] స్ప్రైట్ మరియు స్నార్లర్ యొక్క అభివృద్ధి మరింత శక్తివంతమైన రాకెట్ ఇంజిన్‌ను ఆచరణీయమైన "పాయింట్ డిఫెన్స్" ఇంటర్‌సెప్టర్ కోసం ప్రణాళికాబద్ధమైన పవర్‌ప్లాంట్‌గా అభివృద్ధి చేసే అవకాశానికి దారితీసింది. [8] O.R. యొక్క అవసరాలు. 301 భారంగా పరిగణించబడ్డాయి, వీటిలో రాప్ లాంచ్ మరియు స్కిడ్‌లో ల్యాండింగ్, మరియు టెండర్‌కు చేరుకున్న కంపెనీల సమ్మతితో, సవరించిన స్పెసిఫికేషన్ ఎఫ్ 124 టి మిశ్రమ పవర్‌ప్లాంట్ కాన్ఫిగరేషన్‌కు అనుమతించడంతో పాటు సాంప్రదాయిక అండర్ క్యారేజీని స్వీకరించడంతో పాటు. [8] 21 ఫిబ్రవరి 1951 న, సవరించిన స్పెసిఫికేషన్ F124T వారి సమర్పణలను అభ్యర్థించడానికి బ్రిటన్ యొక్క వివిధ విమాన తయారీదారులలో అరడజను మందికి ప్రసారం చేయబడింది. [9] స్పెసిఫికేషన్ పొందిన సంస్థలలో సాండర్స్-రో ఒకటి కాదు; ఫ్లయింగ్ బోట్ల ఉత్పత్తిలో సంస్థ సాధారణంగా పాల్గొన్నందున, సరఫరా మంత్రిత్వ శాఖ వాటిని సంబంధితంగా పరిగణించకపోవడం దీనికి కారణం. [9] ఏదేమైనా, సాండర్స్-రో వాస్తవానికి కొత్త అవసరాలపై ఆసక్తి కలిగి ఉన్నాడు, ఇప్పటికే స్వతంత్రంగా అధిక ఎత్తులో మరియు హై-స్పీడ్ విమానంలో అధ్యయనాలు నిర్వహిస్తున్నారు. సంస్థ యొక్క చీఫ్ డిజైనర్ మారిస్ బ్రెన్నాన్, 30,000 మీటర్ల (100,000 అడుగులు) వరకు ఎత్తులో ఎగురుతున్న రాకెట్-చోదక విమానాల అవకాశాలను అధ్యయనం చేయాలని డిజైన్ బృందంలోని సభ్యులను అప్పటికే ఆదేశించారు మరియు 'సమస్యల యొక్క దర్యాప్తును ప్రచురించారు. స్వచ్ఛమైన రాకెట్ ఫైటర్ విమానం 'అదే సమయంలో మంత్రిత్వ శాఖ స్పెసిఫికేషన్ F124T ని జారీ చేసింది. [10] [9] స్పెసిఫికేషన్‌ను పంపించకుండా లేదా సంస్థకు టెండర్ చేయడానికి ఆహ్వానం చేయడంలో సాంప్రదాయిక విధానాన్ని అనుసరించడంలో విఫలమైనందుకు సాండర్స్-రో మంత్రిత్వ శాఖను సంప్రదించింది; తత్ఫలితంగా, 24 మార్చి 1951 న, ఇతర పోటీదారులతో పాటు తన డిజైన్లను సమర్పించాలని మంత్రిత్వ శాఖ సంస్థను కోరింది. [11] ఏప్రిల్ 1951 చివరి నాటికి, సాండర్స్-రో వారి వివరణాత్మక ప్రతిపాదనను సమర్పించారు. [11] SR.53 గా నియమించబడిన ప్రతిపాదిత సింగిల్-సీట్ల విమానం చాలా ఎక్కువ వేగంతో ఉంటుంది, ఇది MACH 2.44 (2,592 కిమీ/గం/గం; 1,611 mph) యొక్క అగ్ర వేగంతో 18,000 మీటర్ల ఎత్తులో ఉన్నప్పుడు (18,000 మీటర్ల ఎత్తులో ఉన్నప్పుడు అంచనా వేయబడింది ( 60,000 అడుగులు), మరియు 15,000 మీటర్ల (50,000 అడుగులు) ఎత్తులో నిమిషానికి 16,000 మీటర్లు (52,000 అడుగులు) ఎక్కడం రేటు. [11] కార్డిట్-ఆధారిత బూస్టర్ రాకెట్లతో పాటు టేకాఫ్‌ల కోసం సహాయక పునర్వినియోగపరచలేని అండర్ క్యారేజ్ ఉపయోగించవచ్చు. అత్యవసర పరిస్థితుల్లో, మొత్తం క్యాబిన్ మొదట పైలట్‌కు తప్పించుకునే మార్గాలను అందించే సాధనంగా జెట్టిసన్ చేయబడి ఉండేది; దీన్ని అభివృద్ధి చేయడంలో పాల్గొన్న పని కారణంగా, దీనిని బదులుగా మరింత ప్రామాణిక ఎజెక్షన్ సీటు అమరిక ద్వారా భర్తీ చేశారు. [12] ప్రమాదకరమైన మరియు ఖరీదైనదిగా ఉండటానికి అసలు ఆ శక్తిలేని 'గ్లైడ్ హోమ్' విధానం సంస్థ త్వరగా గుర్తించింది; విమాన ప్రయాణానికి శక్తినిచ్చే ప్రయోజనాల కోసం వారు ద్వితీయ జెట్ ఇంజిన్ అనే భావనతో వైమానిక మంత్రిత్వ శాఖను సంప్రదించారు. ఈ భావనపై మంత్రిత్వ శాఖ ఉత్సాహంగా ఉంది; మే 1951 లో, ఆసక్తిగల అన్ని సంస్థలు ఈ అమరికను పరిశీలించమని కోరారు. [11] SR.53 ఒక సొగసైన విమానం, ఇది పదునైన నోస్, డెల్టా లాంటి రెక్క మరియు టి-టెయిల్. [13] ఇది సింగిల్ ఆర్మ్‌స్ట్రాంగ్ సిడ్లీ వైపర్ టర్బోజెట్ ఇంజిన్ మరియు డి హవిలాండ్ స్పెక్టర్ రాకెట్ ఇంజిన్ కలయికతో శక్తిని పొందింది, వీటిలో ఒకదానికొకటి వెనుక ఫ్యూజ్‌లేజ్‌పై ఒకదానిపై మరొకటి మౌంట్ చేయబడ్డాయి. [13] [12] SR.53 ను శక్తివంతం చేయడానికి సాండర్స్-రో మొదట వారి స్వంత రాకెట్ మోటారును అభివృద్ధి చేయాలని ప్రతిపాదించారు, మొదట స్పెక్టర్ లేదా స్క్రీమర్ యొక్క పనితీరుతో మొదట సంతోషించలేదు; ఏదేమైనా, ఇది గణనీయమైన అభివృద్ధి పనులను తీసుకుంటుందని గుర్తించబడింది. [12] అక్టోబర్ 1952 నాటికి, విమానం యొక్క ప్రాథమిక రూపురేఖలు ఖరారు చేయబడ్డాయి, అంతకుముందు స్లాట్డ్ ఫ్లాప్‌లతో ప్రతిపాదించిన కంబైన్డ్ ఫ్లాప్ మరియు ఐలెరాన్‌లను భర్తీ చేస్తూ, వైపర్ ఇంజిన్ పైకి మార్చబడింది మరియు విభజించబడినది కాకుండా స్ట్రెయిట్ జెట్ పైపుతో అమర్చబడి ఉంటుంది, టెయిల్‌ప్లేన్ కూడా ఫిన్ పైభాగంలో ఉన్నత స్థానానికి తరలించబడింది. [14] 30 అక్టోబర్ 1952 న, మూడు ప్రోటోటైప్‌లను పూర్తి చేయడానికి మంత్రిత్వ శాఖ నుండి ముందుకు సాగాలని కంపెనీ ఒక సూచనను అందుకుంది. [14] 12 డిసెంబర్ 1952 న, భావన యొక్క మరింత శుద్ధీకరణ నిర్వచించిన స్పెసిఫికేషన్ లేదా 337 విడుదలకు దారితీసింది. [15] నిర్వచించిన స్పెసిఫికేషన్ యొక్క మార్పులు ప్రధానంగా ఆయుధ మార్పుల చుట్టూ తిరుగుతున్నాయి, నీలిరంగు జే ఇన్ఫ్రారెడ్-గైడెడ్ ఎయిర్-టు-ఎయిర్ క్షిపణిని అవలంబిస్తాయి, ఇది మొదట 51-మిల్లీమీటర్ల (2 అంగుళాలు) రాకెట్ల యొక్క ఉపసంహరించుకునే బ్యాటరీని భర్తీ చేసింది. [16] [14] 1953 మొదటి నాలుగు నెలల్లో, సాండర్స్-రో రాయల్ ఎయిర్క్రాఫ్ట్ ఎస్టాబ్లిష్మెంట్ (RAE) యొక్క నిర్ణయం కారణంగా SR.53 యొక్క ఫ్యూజ్‌లేజ్, వింగ్ మరియు అండర్ క్యారేజ్ యొక్క నిర్మాణాత్మక పున es రూపకల్పన చేయవలసి వచ్చింది, రెక్కకు కంటే ఎక్కువ అన్హెడ్రల్ కోణం అవసరం మొదట దీని కోసం రూపొందించబడింది. [14] 5 మే 1953 న, SR.53 పై దృష్టి సారించే సరఫరా మంత్రిత్వ శాఖలో సలహా రూపకల్పన సమావేశం నిర్వహించబడింది; మూడు రోజుల తరువాత, మూడు ప్రోటోటైప్‌ల ఉత్పత్తికి అధికారిక ఒప్పందం వచ్చింది. [17] స్పెసిఫికేషన్‌ను తీర్చడానికి విమానం కోసం ఎంచుకోవడానికి సరైన ఇంధనం/మోటారుపై RAF మరియు మంత్రిత్వ శాఖలోని సందేహాల కారణంగా, ఇది సవరించిన స్పెసిఫికేషన్‌ను జారీ చేయాలని నిర్ణయించారు, తరువాత అభివృద్ధి ఒప్పందానికి A.V. రో, వారి స్వంత రాకెట్-శక్తితో పనిచేసే ఇంటర్‌సెప్టర్‌పై పనిని ప్రారంభించిన AVRO 720 గా నియమించబడ్డారు. ప్రతిపాదనలను టెండర్ చేసిన ఆరు కంపెనీలలో, రెండు అభివృద్ధి ఒప్పందాల కోసం ఎంపిక చేయబడ్డాయి: A.V. వారి AVRO 720 తో రో మరియు SR.53 తో సాండర్స్-రో. [15] [17] సాండర్స్-రో, SR.53 మనుగడ సాగించే అవకాశం ఉంటే, మూడు ప్రోటోటైప్‌లను నిర్మించడానికి కాంట్రాక్టు జారీ చేయబడిన తరువాత, మొదటి విమానానికి పిలుపునిచ్చిన షెడ్యూల్‌ను సెట్ చేసిన తరువాత, ఇది పోటీ ఉన్న అవ్రో 720 ను అధిగమించాల్సిన అవసరం ఉందని గుర్తించారు. జూలై 1954 లో, 1957 యొక్క అంచనా సేవా పరిచయం తేదీతో పాటు నిర్వహించబడుతుంది. [18] [19] ఏది ఏమయినప్పటికీ, విమానం యొక్క సంక్లిష్టతను పరిష్కరించడానికి ఇది చాలా సమయం ఇవ్వనందున ఇది చాలా ప్రతిష్టాత్మకమైనదని వుడ్ గమనించాడు, లేదా విడిగా ఉత్పత్తి చేయబడిన స్పెక్టర్ ఇంజిన్ సరఫరాలో ఆలస్యం కోసం ఇది గదిని ఉంచలేదు. [19] డిజైన్ యొక్క అంశాలతో పరిష్కరించబడని సమస్యలు వరుస ఎదురుదెబ్బలకు కారణమయ్యాయి, స్పెక్టర్ రాకెట్ ఇంజిన్ యొక్క గ్రౌండ్ పరీక్షల సమయంలో సంభవించే పేలుడు రూపంలో ఒక ముఖ్యమైన సంఘటనతో సహా. మొదటి SR.53 ప్రోటోటైప్ నిర్మాణం than హించిన దానికంటే ఎక్కువ సమయం పట్టింది, కొంతవరకు డి హవిలాండ్ సమయానికి స్పెక్టర్ ఇంజిన్‌ను పంపిణీ చేయడంలో సమస్యలు ఉన్నందున, సహాయక పరికరాలను వ్యవస్థాపించడం కూడా సమయం తీసుకుంటుంది. [20] దీని ప్రకారం, SR.53 యొక్క తొలి ఫ్లైట్ షెడ్యూల్ వెనుక మరింత మరియు మరింత వెనుకకు రావడం ప్రారంభమైంది. [15] [19] మొదటి విమాన తేదీని మొదట మార్చి 1955 వరకు, ఆపై 1957 వరకు సెట్ చేశారు. [21] ప్రత్యేకమైన సవాళ్లు హెచ్‌టిపి ఇంధనం ద్వారా ఎదురయ్యాయి, వీటిలో తగిన నిల్వ సంచుల అభివృద్ధి మరియు ఇంధన ప్రవాహం అనుపాతంతో సహా. [21] జనవరి 1954 లో, మంత్రిత్వ శాఖ తన ఆర్డర్‌ను మూడు SR.53 ప్రోటోటైప్‌ల నుండి రెండుకి తగ్గించింది, వీటిని సాండర్స్-రో యొక్క కౌస్ సౌకర్యం వద్ద పక్కపక్కనే నిర్మించారు. [22] పోటీ అవ్రో 720 తో అభివృద్ధి మరింత సజావుగా సాగింది; 1956 నాటికి, దాని నమూనా వాస్తవంగా పూర్తయింది మరియు వెనుకబడి ఉన్న SR.53 కంటే ఒక సంవత్సరం ముందు ఎగురుతూ ఉండే సామర్థ్యాన్ని కలిగి ఉంది. [23] సెప్టెంబర్ 1953 నాటికి, ఖర్చు తగ్గింపులను అమలు చేయవలసిన అవసరం కారణంగా ఈ విమానాలను అభివృద్ధి చేసే కార్యక్రమం పరిశీలనలో ఉంది; ఫలితంగా, అవ్రో 720 కోసం ఒప్పందం చివరికి రద్దు చేయబడింది. SR.53 కి ప్రాధాన్యత ఇవ్వడానికి ఒక కారణం ఏమిటంటే, విమానం అభివృద్ధి చెందుతున్నప్పటికీ, హైడ్రోజన్ పెరాక్సైడ్ను ఆక్సిడైజర్‌గా ఉపయోగించడం అవ్రో 720 యొక్క ద్రవ ఆక్సిజన్ వాడకం కంటే తక్కువ సమస్యాత్మకంగా భావించబడింది, ఇది అగ్ని ప్రమాదాన్ని కలిగించింది. [18] వుడ్ ప్రకారం, SR.53 ఉపయోగించినట్లుగా, HTP విధానానికి ప్రాధాన్యత ఉంది, రెండు వేర్వేరు ఇంధన కార్యక్రమాల ఆపరేషన్‌కు మద్దతు ఇవ్వడానికి ఇష్టపడకపోవటంతో పాటు. [22] ఏదేమైనా, ఈ కారణం యొక్క ప్రామాణికత AVRO SR.53 ఉపయోగించిన అదే ఇంజిన్ అయిన HTP మరియు స్పెక్టర్‌కు మారడానికి ప్రతిపాదిస్తున్నందున కొంతవరకు బలహీనపడింది. [24] రద్దును ప్రభావితం చేసిన మరో అంశం ఏమిటంటే, ప్రాజెక్టుకు మద్దతు ఇవ్వడానికి RAF యొక్క సంకోచం, దాని ప్రాధాన్యతపై ఏదైనా నిర్ణయం తీసుకోవటానికి ముందే విమాన మూల్యాంకనాలు నిర్వహించబడే వరకు ఈ సేవ వేచి ఉండాలని కోరుకుంది. [19] 1953 చివరలో, సాండర్స్-రో ఉత్పన్న రూపకల్పనపై పనిని ప్రారంభించింది, దీనిని SR.177 గా నియమించారు. SR.53 మరియు AVRO 720 లో ఆన్‌బోర్డ్ రాడార్ లేకపోవడాన్ని బ్రెన్నాన్ భావించాడు, ఇది స్పెసిఫికేషన్ యొక్క అవసరం లేనప్పటికీ ఇది ఒక ముఖ్యమైన లోపంగా ఉంది, పైలట్ తన స్వంత దృష్టి మరియు దిశపై ఆధారపడి ఉంటుంది నియంత్రణ. [[19] టర్బోజెట్ ఇంజిన్ వాడకంపై బ్రెన్నాన్ కూడా అసంతృప్తి చెందాడు; ఒక పెద్ద జెట్ ఇంజిన్ విమానం యొక్క స్థిరమైన సూపర్సోనిక్ క్రూజింగ్ వేగంతో సరిపోలాలని మరియు రాకెట్ మోటారును ప్రధానంగా అధిక పనితీరు గల, మలుపులు మరియు వేగవంతమైన త్వరణం కోసం ఉపయోగించాలని అతను నమ్మాడు. దీని ప్రకారం, SR.177 చాలా పెద్ద మరియు అధునాతన విమానం, ఇది SR.53 కు మరింత పరిధి మరియు మొత్తం ఉన్నతమైన పనితీరును అందిస్తుంది. [25] ఇది ఉపయోగకరమైన వాయుమార్గాన రాడార్‌ను మోయగలిగే పరిమాణంలో ఉంది, ఇది కొత్త ఫైటర్ పనిచేయడానికి ఉద్దేశించిన అధిక ఎత్తులో అంతరాయానికి బ్రెన్నాన్ అవసరమని భావించారు. కొత్త, పెద్ద విమానాలను రాయల్ నేవీ మరియు వెస్ట్ జర్మనీతో పాటు RAF కోసం సముద్ర ఉపయోగం కోసం ప్రత్యేక సంస్కరణలుగా అభివృద్ధి చేయాల్సి ఉంది. [26] సాండర్స్-రో SR.53 మరియు SR.177 రెండింటిలోనూ పనిచేశారు, రెండోది కొత్తగా ఏర్పడిన హై స్పీడ్ డెవలప్‌మెంట్ విభాగం ద్వారా పని చేస్తుంది. [27] అక్టోబర్ 1951 లో, సాండర్స్-రో డోర్సెట్‌లోని RAF హర్న్ వద్ద సౌకర్యాలను పొందాడు, SR.53 యొక్క పరీక్ష విమానాలకు సైట్ యొక్క ఉపయోగానికి మద్దతు ఇవ్వడానికి. [28] ఐల్ ఆఫ్ వైట్లో తగిన వైమానిక క్షేత్రాలు లేకపోవడం వల్ల ఈ కొలత అవసరం, ఇక్కడ కంపెనీ ఆధారంగా మరియు సాధారణంగా అభివృద్ధిని నిర్వహించింది. ఈ క్రమంలో, సంస్థ హర్న్ సైట్ వద్ద ఒక హెచ్‌టిపి స్టోరేజ్ ఫ్యాకల్టీని నిర్మించింది; ప్రత్యేక రేడియో సహాయాలు కూడా వ్యవస్థాపించబడ్డాయి మరియు ప్రారంభంలో ప్రత్యేకంగా మార్పు చెందిన గ్లోస్టర్ ఉల్కాపాతం ఉపయోగించి పరీక్షించబడ్డాయి, వీటిని సరఫరా మంత్రిత్వ శాఖ ఇచ్చింది. [29] ఫ్లయింగ్ ట్రయల్స్ బదులుగా RAF బోస్కోంబే వద్ద కేంద్రీకృతమై ఉన్నందున ఈ సెటప్ చివరికి ఉపయోగించబడదు. [30] 28 జూన్ 1956 న, పూర్తి చేసిన మొదటి నమూనా, XD145, RAF బోస్కోంబే వద్ద విమానం మరియు ఆయుధ ప్రయోగాత్మక స్థాపన ద్వారా అసెంబ్లీ కోసం పంపబడింది. [30] 16 జనవరి 1957 న, దాని స్పెక్టర్ ఇంజిన్ యొక్క మొదటి వ్యవస్థాపించిన గ్రౌండ్ రన్ జరిగింది; 16 ఏప్రిల్ 1957 న, దీని తరువాత దాని వైపర్ ఇంజిన్ యొక్క మొదటి వ్యవస్థాపించబడిన గ్రౌండ్ రన్ జరిగింది. 9 మే 1957 న, XD145 రకం యొక్క మొదటి గ్రౌండ్ టాక్సీ ట్రయల్ నిర్వహించింది. [30] 16 మే 1957 న, స్క్వాడ్రన్ నాయకుడు జాన్ బూత్ డిఎఫ్‌సి మొదటి టెస్ట్ ఫ్లైట్ కోసం XD145 యొక్క నియంత్రణలలో ఉన్నారు, రెండవ ప్రోటోటైప్ XD151 యొక్క తొలి విమానంతో, 6 డిసెంబర్ 1957 న. [15] [30] పరీక్ష ఫలితాలు "... ఎగరడానికి చాలా నిశ్శబ్దమైన మరియు చాలా ఆహ్లాదకరమైన విమానం, బాగా శ్రావ్యమైన నియంత్రణలతో". [8] రెండు ప్రోటోటైప్‌లు మొత్తం 56 టెస్ట్ విమానాలను ఎగరవేసాయి, మాక్ 1.33 వేగం పొందబడింది. [3] రే బోస్కోంబే డౌన్ వద్ద పరీక్ష చేస్తున్నప్పుడు, XD151 5 జూన్ 1958 న దాని 12 వ విమానంలో జరిగిన టేకాఫ్ సమయంలో కూలిపోయింది. రన్వే నుండి పరిగెత్తడం, విమానం ఒక కాంక్రీట్ అప్రోచ్ లైట్ ను తాకింది, ప్రభావంపై పేలింది మరియు దాని పైలట్, స్క్వాడ్రన్ నాయకుడు బూత్‌ను చంపింది. [31] [30] మిగిలిన ప్రోటోటైప్ ఎల్‌టి సిడిఆర్ పీటర్ లాంబ్ ఫ్లైట్ టెస్ట్ ప్రోగ్రామ్‌ను స్వాధీనం చేసుకోవడంతో ఎగురుతూనే ఉంది. [3] మొట్టమొదటి SR.53 ప్రసారానికి వెళ్ళే ముందు 1957, [2] అప్రసిద్ధ 1957 డిఫెన్స్ వైట్ పేపర్ బ్రిటిష్ ప్రభుత్వ విధానాన్ని వివరించే ఒక నెల తరువాత, క్షిపణి అభివృద్ధిపై దృష్టి కేంద్రీకరించడానికి పైలట్ చేసిన విమానాలను ఎక్కువగా వదిలివేయడానికి. అదే సమయంలో, SR.53 యొక్క ప్రారంభ రూపకల్పన నుండి ఆరు సంవత్సరాలలో జెట్ ఇంజిన్ అభివృద్ధి చాలా దూరం అభివృద్ధి చెందింది. రాడార్‌లో మెరుగుదలలు అంటే ఇన్కమింగ్ బాంబర్ ముప్పును చాలా ముందుగానే గుర్తించవచ్చని, SR.53 వంటి విమానం యొక్క అవసరం కనుమరుగైంది, మరియు ఈ ప్రాజెక్ట్ 29 జూలై 1960 న రద్దు చేయబడింది, మూడవ నమూనా (XD153 తో (XD153 ) ఎప్పుడూ నిర్మించబడలేదు. [3] మొట్టమొదటి SR.53 ప్రోటోటైప్, XD145, వోల్వర్‌హాంప్టన్ సమీపంలోని రాయల్ ఎయిర్ ఫోర్స్ మ్యూజియం కాస్ఫోర్డ్ వద్ద భద్రపరచబడింది. [32] 1912 నుండి బ్రిటిష్ ఫైటర్ నుండి వచ్చిన డేటా [33] సాధారణ లక్షణాలు పనితీరు ఆయుధాల సంబంధిత అభివృద్ధి విమానం పోల్చదగిన పాత్ర, కాన్ఫిగరేషన్ మరియు ERA సంబంధిత జాబితాలు</v>
      </c>
      <c r="E148" s="1" t="s">
        <v>3060</v>
      </c>
      <c r="F148" s="1" t="s">
        <v>1653</v>
      </c>
      <c r="G148" s="1" t="str">
        <f>IFERROR(__xludf.DUMMYFUNCTION("GOOGLETRANSLATE(F:F, ""en"", ""te"")"),"ఇంటర్‌సెప్టర్")</f>
        <v>ఇంటర్‌సెప్టర్</v>
      </c>
      <c r="L148" s="1" t="s">
        <v>3061</v>
      </c>
      <c r="M148" s="1" t="str">
        <f>IFERROR(__xludf.DUMMYFUNCTION("GOOGLETRANSLATE(L:L, ""en"", ""te"")"),"సాండర్స్-రో")</f>
        <v>సాండర్స్-రో</v>
      </c>
      <c r="N148" s="3" t="s">
        <v>3062</v>
      </c>
      <c r="O148" s="1" t="s">
        <v>3063</v>
      </c>
      <c r="P148" s="1" t="str">
        <f>IFERROR(__xludf.DUMMYFUNCTION("GOOGLETRANSLATE(O:O, ""en"", ""te"")"),"మారిస్ బ్రెన్నాన్ [1]")</f>
        <v>మారిస్ బ్రెన్నాన్ [1]</v>
      </c>
      <c r="Q148" s="1" t="s">
        <v>3064</v>
      </c>
      <c r="R148" s="4">
        <v>20956.0</v>
      </c>
      <c r="S148" s="1">
        <v>2.0</v>
      </c>
      <c r="T148" s="1" t="s">
        <v>3065</v>
      </c>
      <c r="U148" s="1" t="s">
        <v>3066</v>
      </c>
      <c r="V148" s="1">
        <v>1.0</v>
      </c>
      <c r="W148" s="1" t="s">
        <v>3067</v>
      </c>
      <c r="X148" s="1" t="s">
        <v>3068</v>
      </c>
      <c r="Y148" s="1" t="s">
        <v>2470</v>
      </c>
      <c r="Z148" s="1" t="s">
        <v>3069</v>
      </c>
      <c r="AF148" s="1" t="s">
        <v>3070</v>
      </c>
      <c r="AG148" s="1" t="s">
        <v>3071</v>
      </c>
      <c r="AH148" s="1" t="s">
        <v>3072</v>
      </c>
      <c r="AM148" s="1" t="s">
        <v>3073</v>
      </c>
      <c r="AX148" s="1" t="s">
        <v>3074</v>
      </c>
      <c r="AY148" s="1" t="str">
        <f>IFERROR(__xludf.DUMMYFUNCTION("GOOGLETRANSLATE(AX:AX, ""en"", ""te"")"),"1 × డి హవిలాండ్ స్పెక్టర్ లిక్విడ్-ఫ్యూల్డ్ రాకెట్ ఇంజిన్, 8,000 ఎల్బిఎఫ్ (36 కెఎన్) థ్రస్ట్")</f>
        <v>1 × డి హవిలాండ్ స్పెక్టర్ లిక్విడ్-ఫ్యూల్డ్ రాకెట్ ఇంజిన్, 8,000 ఎల్బిఎఫ్ (36 కెఎన్) థ్రస్ట్</v>
      </c>
      <c r="BB148" s="1" t="s">
        <v>3075</v>
      </c>
      <c r="BD148" s="1" t="s">
        <v>3076</v>
      </c>
      <c r="BF148" s="1" t="s">
        <v>964</v>
      </c>
      <c r="BG148" s="2" t="str">
        <f>IFERROR(__xludf.DUMMYFUNCTION("GOOGLETRANSLATE(BF:BF, ""en"", ""te"")"),"యునైటెడ్ కింగ్‌డమ్")</f>
        <v>యునైటెడ్ కింగ్‌డమ్</v>
      </c>
      <c r="BS148" s="1" t="s">
        <v>3077</v>
      </c>
      <c r="BU148" s="1" t="s">
        <v>684</v>
      </c>
      <c r="BV148" s="1" t="str">
        <f>IFERROR(__xludf.DUMMYFUNCTION("GOOGLETRANSLATE(BU:BU, ""en"", ""te"")"),"ప్రయోగాత్మక")</f>
        <v>ప్రయోగాత్మక</v>
      </c>
      <c r="BZ148" s="1" t="s">
        <v>3078</v>
      </c>
      <c r="CB148" s="1" t="s">
        <v>3079</v>
      </c>
      <c r="EC148" s="1">
        <v>0.52</v>
      </c>
      <c r="EK148" s="1" t="s">
        <v>3080</v>
      </c>
    </row>
    <row r="149">
      <c r="A149" s="1" t="s">
        <v>3081</v>
      </c>
      <c r="B149" s="1" t="str">
        <f>IFERROR(__xludf.DUMMYFUNCTION("GOOGLETRANSLATE(A:A, ""en"", ""te"")"),"కుయిపర్ ఎయిర్బోర్న్ అబ్జర్వేటరీ")</f>
        <v>కుయిపర్ ఎయిర్బోర్న్ అబ్జర్వేటరీ</v>
      </c>
      <c r="C149" s="1" t="s">
        <v>3082</v>
      </c>
      <c r="D149" s="1" t="str">
        <f>IFERROR(__xludf.DUMMYFUNCTION("GOOGLETRANSLATE(C:C, ""en"", ""te"")"),"గెరార్డ్ పి. పరిశీలన వేదిక అత్యంత సవరించిన లాక్‌హీడ్ సి -141 ఎ స్టార్‌లిఫ్టర్ జెట్ ట్రాన్స్‌పోర్ట్ ఎయిర్‌క్రాఫ్ట్ (S/N: 6110, రిజిస్ట్రేషన్: N714NA, [1] కాలికైన్: నాసా 714 [1]), 6,000 నాటికల్ మైళ్ళు (11,000 కిమీ) పరిధిలో ఉంది, ఇది సామర్థ్యం 48,000 అడుగుల "&amp;"(14 కి.మీ) వరకు ఎత్తులో పరిశోధన కార్యకలాపాలను నిర్వహించడం. కావో కాలిఫోర్నియాలోని సన్నీవేల్ సమీపంలోని నాస్ మోఫెట్ ఫీల్డ్‌లోని అమెస్ రీసెర్చ్ సెంటర్‌లో ఉంది. వాయుమార్గాన అబ్జర్వేటరీగా మార్చడానికి ముందు, ఇది సి -141 యొక్క సంభావ్య సివిల్ వెర్షన్ కోసం లాక్‌హీడ"&amp;"్ యొక్క ప్రదర్శనకారుడిగా పనిచేసింది. [3] ఇది 1974 లో మునుపటి విమానానికి బదులుగా ఆపరేషన్ ప్రారంభించినప్పటికీ, గెలీలియో అబ్జర్వేటరీ (1973 లో యు.ఎస్. నేవీ లాక్‌హీడ్ పి -3 సి ఓరియన్ పెట్రోల్ ఎయిర్‌క్రాఫ్ట్‌తో ఘర్షణలో నాశనం చేయబడిన గెలీలియో అబ్జర్వేటరీ (స్వయంగ"&amp;"ా కన్వర్టెడ్ కన్వైర్ 990 (ఎన్ 711NA) [4]), కావో మే 21, 1975 వరకు అంకితం కాలేదు. [5] కావో 41,000 నుండి 45,000 అడుగుల ఎత్తులో ఎగిరింది మరియు మొత్తం 1,417 సార్లు ఎగిరింది. [5] కావోలో 160 అడుగుల రెక్కలు ఉన్నాయి, 145 అడుగుల పొడవు, 39 అడుగుల ఎత్తులో ఉన్నాయి. ఒక"&amp;" సాధారణ సిబ్బందిలో ఇద్దరు పైలట్లు, ఫ్లైట్ ఇంజనీర్, మిషన్ సిబ్బంది మరియు విమాన బృందం ఉన్నారు, మరియు విమానం ఏడున్నర గంటల వరకు ఉండే మిషన్లకు స్థిరమైన వేదికను అందించింది. [5] కావో ఎక్కువగా మోఫెట్ ఫీల్డ్ నుండి బయలుదేరాడు, కానీ న్యూజిలాండ్, ఆస్ట్రేలియా, అమెరికన"&amp;"్ సమోవా, పనామా, జపాన్, గువామ్, బ్రెజిల్, ఈక్వెడార్, చిలీ, హ్యూస్టన్ (టెక్సాస్) మరియు హవాయి నుండి కూడా బయలుదేరాడు. [5] 1978 లో అమెరికన్ సమోవా నుండి బయలుదేరిన ఒక విమానంలో, అబ్జర్వేటరీ యొక్క రెండు ఇంజిన్లలో రెండు టేకాఫ్ తర్వాత విఫలమయ్యాయి, మరియు విమానం అస్థి"&amp;"రంగా మరియు పరికర శక్తి మూసివేయబడిన తరువాత, ఫ్లైట్ ఇంజనీర్ ల్యాండింగ్ గేర్‌ను మానవీయంగా తగ్గించాల్సి వచ్చింది. [5] కావో యొక్క టెలిస్కోప్ 36-అంగుళాల (91.5 సెం.మీ) ఎపర్చర్‌తో సాంప్రదాయిక కాసెగ్రెయిన్ రిఫ్లెక్టర్, ఇది ప్రధానంగా 1 నుండి 500 μm స్పెక్ట్రల్ పరిధ"&amp;"ిలో పరిశీలనల కోసం రూపొందించబడింది. దీని విమాన సామర్ధ్యం భూమి యొక్క వాతావరణంలో దాదాపు అన్ని నీటి ఆవిరి కంటే పెరగడానికి అనుమతించింది (పరారుణ రేడియేషన్ యొక్క పరిశీలనలను అనుమతిస్తుంది, ఇది భూ-ఆధారిత సౌకర్యాలను చేరుకోవడానికి ముందు నిరోధించబడుతుంది), అలాగే భూమి"&amp;" యొక్క ఉపరితలంపై దాదాపు ఏ బిందువుకు అయినా ప్రయాణం చేయండి పరిశీలన. 1977 లో యురేనస్ యొక్క రింగుల యొక్క మొదటి దృశ్యాలు మరియు 1988 లో ప్లూటోపై వాతావరణాన్ని ఖచ్చితమైన గుర్తింపుతో సహా కావో అనేక ప్రధాన ఆవిష్కరణలు చేసింది. నక్షత్ర నిర్మాణ ప్రాంతాలలో నీరు మరియు సే"&amp;"ంద్రీయ అణువుల మూలం మరియు పంపిణీని అధ్యయనం చేయడానికి కావో ఉపయోగించబడింది , మరియు నక్షత్రాల మధ్య విస్తారమైన ప్రదేశాలలో. కుయిపర్ ఖగోళ శాస్త్రవేత్తలు ఈ నక్షత్రాల చుట్టూ గ్రహ వ్యవస్థల ఏర్పాటుకు సంబంధించిన కొన్ని నక్షత్రాల చుట్టూ ఉన్న డిస్కులను కూడా అధ్యయనం చేశ"&amp;"ారు. ఇది 1995 లో మెర్క్యురీ గ్రహం యొక్క పరారుణ స్పెక్ట్రం కొలతలు తీసుకుంది. [6] మెర్క్యురీ యొక్క ఉపరితల శిలలలో క్వార్ట్జ్ లేదా ఆలివిన్ కనుగొనబడలేదు. [6] అంతరిక్షంలోకి లోతుగా పీరింగ్, కావో ఖగోళ శాస్త్రవేత్తలు మా గెలాక్సీ మరియు ఇతర గెలాక్సీల మధ్య నుండి శక్త"&amp;"ివంతమైన దూర-పరారుణ ఉద్గారాలను అధ్యయనం చేశారు. సూపర్నోవా ఎస్ఎన్ 1987 ఎ యొక్క భారీ ఫ్యూజన్ ప్రతిచర్యల నుండి ఐరన్, నికెల్ మరియు కోబాల్ట్ వంటి భారీ అంశాల ఏర్పాటును కావోలో ఉన్న శాస్త్రవేత్తలు గుర్తించారు. కావో 1995 లో రిటైర్ అయ్యాడు మరియు ఇది మోఫెట్ ఫీల్డ్‌లో "&amp;"చూడదగినది, అయినప్పటికీ ఇది ఎక్కువ కాదు. [2] బోయింగ్ 747 ఆధారిత 747 ఆధారిత వాయుమార్గాన అబ్జర్వేటరీ, పెద్ద ఎపర్చరు టెలిస్కోప్‌తో కూడిన స్ట్రాటో ఆవరణ అబ్జర్వేటరీ ఫర్ ఇన్ఫ్రారెడ్ ఖగోళ శాస్త్రం (సోఫియా). సోఫియా ఏప్రిల్ 26, 2007 న తన మొదటి టెస్ట్ ఫ్లైట్ పూర్తి "&amp;"చేసింది [7] మరియు దాని టెలిస్కోప్ మే 26, 2010 న మొదటి కాంతిని చూసింది. [8] ప్రారంభ ""రొటీన్"" సైన్స్ అబ్జర్వేషన్ విమానాలు డిసెంబర్ 2010 లో ప్రారంభమయ్యాయి [9] మరియు అబ్జర్వేటరీ సంవత్సరానికి 100 విమానాలతో పూర్తి సామర్థ్యంతో ఉంది. [10] [11]")</f>
        <v>గెరార్డ్ పి. పరిశీలన వేదిక అత్యంత సవరించిన లాక్‌హీడ్ సి -141 ఎ స్టార్‌లిఫ్టర్ జెట్ ట్రాన్స్‌పోర్ట్ ఎయిర్‌క్రాఫ్ట్ (S/N: 6110, రిజిస్ట్రేషన్: N714NA, [1] కాలికైన్: నాసా 714 [1]), 6,000 నాటికల్ మైళ్ళు (11,000 కిమీ) పరిధిలో ఉంది, ఇది సామర్థ్యం 48,000 అడుగుల (14 కి.మీ) వరకు ఎత్తులో పరిశోధన కార్యకలాపాలను నిర్వహించడం. కావో కాలిఫోర్నియాలోని సన్నీవేల్ సమీపంలోని నాస్ మోఫెట్ ఫీల్డ్‌లోని అమెస్ రీసెర్చ్ సెంటర్‌లో ఉంది. వాయుమార్గాన అబ్జర్వేటరీగా మార్చడానికి ముందు, ఇది సి -141 యొక్క సంభావ్య సివిల్ వెర్షన్ కోసం లాక్‌హీడ్ యొక్క ప్రదర్శనకారుడిగా పనిచేసింది. [3] ఇది 1974 లో మునుపటి విమానానికి బదులుగా ఆపరేషన్ ప్రారంభించినప్పటికీ, గెలీలియో అబ్జర్వేటరీ (1973 లో యు.ఎస్. నేవీ లాక్‌హీడ్ పి -3 సి ఓరియన్ పెట్రోల్ ఎయిర్‌క్రాఫ్ట్‌తో ఘర్షణలో నాశనం చేయబడిన గెలీలియో అబ్జర్వేటరీ (స్వయంగా కన్వర్టెడ్ కన్వైర్ 990 (ఎన్ 711NA) [4]), కావో మే 21, 1975 వరకు అంకితం కాలేదు. [5] కావో 41,000 నుండి 45,000 అడుగుల ఎత్తులో ఎగిరింది మరియు మొత్తం 1,417 సార్లు ఎగిరింది. [5] కావోలో 160 అడుగుల రెక్కలు ఉన్నాయి, 145 అడుగుల పొడవు, 39 అడుగుల ఎత్తులో ఉన్నాయి. ఒక సాధారణ సిబ్బందిలో ఇద్దరు పైలట్లు, ఫ్లైట్ ఇంజనీర్, మిషన్ సిబ్బంది మరియు విమాన బృందం ఉన్నారు, మరియు విమానం ఏడున్నర గంటల వరకు ఉండే మిషన్లకు స్థిరమైన వేదికను అందించింది. [5] కావో ఎక్కువగా మోఫెట్ ఫీల్డ్ నుండి బయలుదేరాడు, కానీ న్యూజిలాండ్, ఆస్ట్రేలియా, అమెరికన్ సమోవా, పనామా, జపాన్, గువామ్, బ్రెజిల్, ఈక్వెడార్, చిలీ, హ్యూస్టన్ (టెక్సాస్) మరియు హవాయి నుండి కూడా బయలుదేరాడు. [5] 1978 లో అమెరికన్ సమోవా నుండి బయలుదేరిన ఒక విమానంలో, అబ్జర్వేటరీ యొక్క రెండు ఇంజిన్లలో రెండు టేకాఫ్ తర్వాత విఫలమయ్యాయి, మరియు విమానం అస్థిరంగా మరియు పరికర శక్తి మూసివేయబడిన తరువాత, ఫ్లైట్ ఇంజనీర్ ల్యాండింగ్ గేర్‌ను మానవీయంగా తగ్గించాల్సి వచ్చింది. [5] కావో యొక్క టెలిస్కోప్ 36-అంగుళాల (91.5 సెం.మీ) ఎపర్చర్‌తో సాంప్రదాయిక కాసెగ్రెయిన్ రిఫ్లెక్టర్, ఇది ప్రధానంగా 1 నుండి 500 μm స్పెక్ట్రల్ పరిధిలో పరిశీలనల కోసం రూపొందించబడింది. దీని విమాన సామర్ధ్యం భూమి యొక్క వాతావరణంలో దాదాపు అన్ని నీటి ఆవిరి కంటే పెరగడానికి అనుమతించింది (పరారుణ రేడియేషన్ యొక్క పరిశీలనలను అనుమతిస్తుంది, ఇది భూ-ఆధారిత సౌకర్యాలను చేరుకోవడానికి ముందు నిరోధించబడుతుంది), అలాగే భూమి యొక్క ఉపరితలంపై దాదాపు ఏ బిందువుకు అయినా ప్రయాణం చేయండి పరిశీలన. 1977 లో యురేనస్ యొక్క రింగుల యొక్క మొదటి దృశ్యాలు మరియు 1988 లో ప్లూటోపై వాతావరణాన్ని ఖచ్చితమైన గుర్తింపుతో సహా కావో అనేక ప్రధాన ఆవిష్కరణలు చేసింది. నక్షత్ర నిర్మాణ ప్రాంతాలలో నీరు మరియు సేంద్రీయ అణువుల మూలం మరియు పంపిణీని అధ్యయనం చేయడానికి కావో ఉపయోగించబడింది , మరియు నక్షత్రాల మధ్య విస్తారమైన ప్రదేశాలలో. కుయిపర్ ఖగోళ శాస్త్రవేత్తలు ఈ నక్షత్రాల చుట్టూ గ్రహ వ్యవస్థల ఏర్పాటుకు సంబంధించిన కొన్ని నక్షత్రాల చుట్టూ ఉన్న డిస్కులను కూడా అధ్యయనం చేశారు. ఇది 1995 లో మెర్క్యురీ గ్రహం యొక్క పరారుణ స్పెక్ట్రం కొలతలు తీసుకుంది. [6] మెర్క్యురీ యొక్క ఉపరితల శిలలలో క్వార్ట్జ్ లేదా ఆలివిన్ కనుగొనబడలేదు. [6] అంతరిక్షంలోకి లోతుగా పీరింగ్, కావో ఖగోళ శాస్త్రవేత్తలు మా గెలాక్సీ మరియు ఇతర గెలాక్సీల మధ్య నుండి శక్తివంతమైన దూర-పరారుణ ఉద్గారాలను అధ్యయనం చేశారు. సూపర్నోవా ఎస్ఎన్ 1987 ఎ యొక్క భారీ ఫ్యూజన్ ప్రతిచర్యల నుండి ఐరన్, నికెల్ మరియు కోబాల్ట్ వంటి భారీ అంశాల ఏర్పాటును కావోలో ఉన్న శాస్త్రవేత్తలు గుర్తించారు. కావో 1995 లో రిటైర్ అయ్యాడు మరియు ఇది మోఫెట్ ఫీల్డ్‌లో చూడదగినది, అయినప్పటికీ ఇది ఎక్కువ కాదు. [2] బోయింగ్ 747 ఆధారిత 747 ఆధారిత వాయుమార్గాన అబ్జర్వేటరీ, పెద్ద ఎపర్చరు టెలిస్కోప్‌తో కూడిన స్ట్రాటో ఆవరణ అబ్జర్వేటరీ ఫర్ ఇన్ఫ్రారెడ్ ఖగోళ శాస్త్రం (సోఫియా). సోఫియా ఏప్రిల్ 26, 2007 న తన మొదటి టెస్ట్ ఫ్లైట్ పూర్తి చేసింది [7] మరియు దాని టెలిస్కోప్ మే 26, 2010 న మొదటి కాంతిని చూసింది. [8] ప్రారంభ "రొటీన్" సైన్స్ అబ్జర్వేషన్ విమానాలు డిసెంబర్ 2010 లో ప్రారంభమయ్యాయి [9] మరియు అబ్జర్వేటరీ సంవత్సరానికి 100 విమానాలతో పూర్తి సామర్థ్యంతో ఉంది. [10] [11]</v>
      </c>
      <c r="E149" s="1" t="s">
        <v>3083</v>
      </c>
      <c r="F149" s="1" t="s">
        <v>3084</v>
      </c>
      <c r="G149" s="1" t="str">
        <f>IFERROR(__xludf.DUMMYFUNCTION("GOOGLETRANSLATE(F:F, ""en"", ""te"")"),"వాయుమార్గాన అబ్జర్వేటరీ")</f>
        <v>వాయుమార్గాన అబ్జర్వేటరీ</v>
      </c>
      <c r="H149" s="1" t="s">
        <v>3085</v>
      </c>
      <c r="L149" s="1" t="s">
        <v>2546</v>
      </c>
      <c r="M149" s="1" t="str">
        <f>IFERROR(__xludf.DUMMYFUNCTION("GOOGLETRANSLATE(L:L, ""en"", ""te"")"),"నాసా")</f>
        <v>నాసా</v>
      </c>
      <c r="BG149" s="2"/>
      <c r="BI149" s="1" t="s">
        <v>3086</v>
      </c>
      <c r="BJ149" s="1" t="s">
        <v>3087</v>
      </c>
      <c r="BU149" s="1" t="s">
        <v>36</v>
      </c>
      <c r="BV149" s="1" t="str">
        <f>IFERROR(__xludf.DUMMYFUNCTION("GOOGLETRANSLATE(BU:BU, ""en"", ""te"")"),"రిటైర్డ్")</f>
        <v>రిటైర్డ్</v>
      </c>
      <c r="CG149" s="1" t="s">
        <v>3088</v>
      </c>
      <c r="CH149" s="1"/>
      <c r="CI149" s="1" t="s">
        <v>3089</v>
      </c>
      <c r="CJ149" s="1" t="s">
        <v>3090</v>
      </c>
      <c r="CK149" s="1" t="s">
        <v>3091</v>
      </c>
      <c r="CO149" s="1" t="s">
        <v>3092</v>
      </c>
      <c r="CP149" s="1"/>
      <c r="CQ149" s="1" t="s">
        <v>3093</v>
      </c>
      <c r="FF149" s="1" t="s">
        <v>3094</v>
      </c>
      <c r="FG149" s="1" t="s">
        <v>3095</v>
      </c>
      <c r="FH149" s="1" t="s">
        <v>2546</v>
      </c>
      <c r="FI149" s="3" t="s">
        <v>2547</v>
      </c>
      <c r="FJ149" s="1" t="s">
        <v>3096</v>
      </c>
      <c r="FK149" s="1" t="s">
        <v>2546</v>
      </c>
      <c r="FL149" s="1" t="s">
        <v>447</v>
      </c>
      <c r="FM149" s="1" t="s">
        <v>3097</v>
      </c>
      <c r="FN149" s="1" t="s">
        <v>3098</v>
      </c>
      <c r="FO149" s="1">
        <v>1995.0</v>
      </c>
      <c r="FP149" s="3" t="s">
        <v>3099</v>
      </c>
    </row>
    <row r="150">
      <c r="A150" s="1" t="s">
        <v>3100</v>
      </c>
      <c r="B150" s="1" t="str">
        <f>IFERROR(__xludf.DUMMYFUNCTION("GOOGLETRANSLATE(A:A, ""en"", ""te"")"),"కెనడైర్ సాబెర్")</f>
        <v>కెనడైర్ సాబెర్</v>
      </c>
      <c r="C150" s="1" t="s">
        <v>3101</v>
      </c>
      <c r="D150" s="1" t="str">
        <f>IFERROR(__xludf.DUMMYFUNCTION("GOOGLETRANSLATE(C:C, ""en"", ""te"")"),"కెనడైర్ సాబెర్ అనేది నార్త్ అమెరికన్ ఏవియేషన్ నుండి లైసెన్స్ కింద కెనడైర్ నిర్మించిన జెట్ ఫైటర్ విమానం. నార్త్ అమెరికన్ ఎఫ్ -86 సాబెర్ యొక్క వైవిధ్యం, ఇది 1958 వరకు ఉత్పత్తి చేయబడింది మరియు ప్రధానంగా రాయల్ కెనడియన్ వైమానిక దళం (ఆర్‌సిఎఎఫ్) చేత 1962 లో కెన"&amp;"డైర్ సిఎఫ్ -104 స్థానంలో ఉపయోగించబడింది. అనేక ఇతర వైమానిక దళాలు కూడా ఈ విమానం నడుపుతున్నాయి. విమానం యొక్క రెండు ప్రధాన ఉత్పత్తి పరుగులు ఉన్నాయి. మొదటిది, MK. 2 మరియు Mk. కేవలం 1,000 లోపు నిర్మించిన 4 లు, వారి యుఎస్ ప్రత్యర్ధులతో చాలా పోలి ఉంటాయి, ఇవి చిన్"&amp;"న వివరాలతో మాత్రమే విభిన్నంగా ఉన్నాయి. రెండవ పరుగు, MK. 5 లు మరియు MK. 6 యొక్క సారూప్య సంఖ్యలు, అసలు జనరల్ ఎలక్ట్రిక్ J47 ఇంజిన్‌ను స్థానికంగా రూపొందించిన మరింత శక్తివంతమైన అవ్రో కెనడా ఒరెండాతో భర్తీ చేస్తున్నప్పుడు మెరుగైన యుక్తి కోసం పెద్ద రెక్కలతో యుఎస"&amp;"్ సాబెర్ యొక్క తరువాతి సంస్కరణలపై రూపొందించబడ్డాయి. Mk. 6, ఒరెండా యొక్క మరింత శక్తివంతమైన సంస్కరణతో, అన్ని సాబర్‌లలో ఉత్తమమైనదిగా విస్తృతంగా పరిగణించబడుతుంది [ఎవరిచేత?]. ఫ్రంట్-లైన్ ఆపరేషన్లో కెనడైర్ సాబర్స్ యొక్క చివరిది పాకిస్తాన్లో ఉంది, దీని AIM-9 సైడ"&amp;"్‌విండర్ MK ని అమర్చారు. 1971 లో ఇండో-పాకిస్తాన్ యుద్ధంలో మోడల్స్ తమ వైమానిక దళానికి వెన్నెముకగా ఉన్నాయి. ఇవి క్షిపణులు లేని వారి భారతీయ ప్రత్యర్ధులపై అద్భుతమైన విజయ నిష్పత్తిని పెంచాయి. 1971 తరువాత ఇవి నెమ్మదిగా దశలవారీగా తొలగించబడ్డాయి, చివరి ఉదాహరణలు 1"&amp;"980 లో పోరాట సేవలను విడిచిపెట్టాయి. 1960 ల నాటికి చాలా ఇతర శక్తులలో అధిక-పనితీరు డిజైన్ల ద్వారా భర్తీ చేయబడినప్పటికీ, 1970 లలో ద్వితీయ పాత్రలలో పనిచేసిన చివరి-మోడల్ వెర్షన్లు. కొన్ని ఒరెండా-శక్తితో కూడిన ఉదాహరణలు ఇతర విజయాలకు ప్రసిద్ది చెందాయి. సింగిల్ MK"&amp;" చాలా ముఖ్యమైనది. 3, ఒరెండా ఫిట్ కోసం టెస్ట్-బెడ్, 1953 లో జాక్వెలిన్ కోక్రాన్ అనేక స్పీడ్ రికార్డులను సృష్టించడానికి ఉపయోగించింది, ధ్వని అవరోధాన్ని విచ్ఛిన్నం చేసిన మొదటి మహిళగా సహా. మరొకటి, మాజీ RCAF MK. [6] 1974 లో సేవను విడిచిపెట్టి, 1991 వరకు టెస్ట్ "&amp;"విమానాల కోసం బోయింగ్ చేజ్ విమానం అయ్యింది. ఈ తరువాతి విమానాలు చాలా ఇప్పుడు మ్యూజియమ్‌లలో భద్రపరచబడ్డాయి. 1948 లో, కెనడా ప్రభుత్వం కెనడార్, కెనడాలోని క్యూబెక్‌లోని మాంట్రియల్‌లో ఉత్పత్తి చేయడానికి కెనడైర్‌తో ఎఫ్ -86 సాబెర్‌తో ఆర్‌సిఎఫ్‌ను తిరిగి ఎక్విప్ చే"&amp;"యాలని నిర్ణయించింది. సాధన ధృవీకరణ కోసం 10 విమానాల ప్రారంభ బ్యాచ్ ఆర్డర్ చేయబడింది. కొరియా యుద్ధం దీనిని 100 విమానాల ఉత్పత్తి బ్యాచ్‌కు మార్చింది. కెనడైర్ నెమ్మదిగా దాని ఉత్పత్తి సదుపాయాన్ని ఇతర కెనడియన్ సరఫరాదారుల నుండి పొందిన సంబంధిత పరికరాలతో అన్ని భాగా"&amp;"లను తయారు చేయడానికి నిర్మించింది. కెనడైర్ సాబెర్‌కు ప్రాజెక్ట్ నంబర్ సిఎల్ -13 ఇచ్చింది. కెనడైర్ CL-13 సాబెర్ యొక్క ఆరు వెర్షన్లను ఉత్పత్తి చేసింది. ఏకైక సాబెర్ Mk.1 తప్పనిసరిగా నార్త్ అమెరికన్ సాబెర్ F-86A మాదిరిగానే ఉంది. ఇది 5,200 ఎల్బిఎఫ్ (23 కెఎన్) థ"&amp;"్రస్ట్ యొక్క సాధారణ ఎలక్ట్రిక్ జె 47-జిఇ -13 టర్బోజెట్ కలిగి ఉంది. సాబెర్ Mk.2 అదే ఇంజిన్‌ను కలిగి ఉంది, అయినప్పటికీ మొదటి 20 విమానాలు ఉత్పత్తి చేయబడిన తరువాత, ఉత్పత్తి పరుగులో మిగిలినవి శక్తి-సహాయక నియంత్రణలు మరియు ""ఆల్-ఎగిరే"" టెయిల్‌ప్లేన్ కలిగి ఉండటం"&amp;"లో వేరు చేయబడ్డాయి. కెనడియన్ సాబెర్లలో ఏకైక సాబెర్ MK 3 అవ్రో కెనడా ఒరెండా టర్బోజెట్ (6,000 ఎల్బిఎఫ్ (27 కెఎన్) థ్రస్ట్ తో ఒరెండా 3) ఉపయోగించిన మొదటిది. సాబెర్ MK.4 జనరల్ ఎలక్ట్రిక్ ఇంజిన్‌ను నిలుపుకుంది మరియు RAF కి ఉద్దేశించబడింది మరియు తరువాత ఇతర విదేశ"&amp;"ీ వైమానిక దళాలకు పంపబడింది. సాబెర్ MK.5 తదుపరి ఉత్పత్తి వెర్షన్, ఒరెండా 10 తో 6,500 ఎల్బిఎఫ్ (29 కెఎన్) థ్రస్ట్ కలిగి ఉంది. 7,440 ఎల్బిఎఫ్ (33 కెఎన్) తో ఒరెండా 14 కి మార్పు సాబెర్ ఎమ్కె 6 కి శక్తినిచ్చింది. కెనడైర్ (సాబెర్ #1815) చేత తయారు చేయబడిన చివరి స"&amp;"ాబెర్, పాకిస్తాన్ వైమానిక దళం విరాళంగా ఇచ్చిన తరువాత, ఇప్పుడు మానిటోబాలోని విన్నిపెగ్‌లోని వెస్ట్రన్ కెనడా ఏవియేషన్ మ్యూజియం (డబ్ల్యుసిఎఎమ్) లో శాశ్వత సేకరణలో భాగం. 1958 వరకు, మాంట్రియల్‌లోని కెనడైర్ ప్లాంట్‌లో మొత్తం 1,815 సిఎల్ -13 సాబర్‌లను నిర్మించారు"&amp;". కెనడైర్ సాబెర్ విమానం యొక్క రెండవ తరం, మరియు మొదట పరిమాణంలో నిర్మించబడింది, MK 2, 350 1952-1953 నుండి ఉత్పత్తి చేయబడింది. ఈ మెరుగైన విమానాలలో RCAF 290 ను అందుకుంది. 1952 మొదటి భాగంలో, మిగిలిన 60 Mk.2 లను కొరియా యుద్ధంలో ఉపయోగం కోసం యు.ఎస్. వైమానిక దళాని"&amp;"కి సరఫరా చేశారు. ఐరోపాలో నాటో యొక్క నంబర్ 1 ఎయిర్ డివిజన్‌తో ఎయిర్ డిఫెన్స్ పాత్రలో చాలా మంది RCAF MK.2 సాబర్స్ ఉపయోగించబడ్డాయి, ఇది అత్యుత్తమ డాగ్‌ఫైటర్ అని రుజువు చేసింది. మరికొందరు కెనడాలోని స్థావరాల వద్ద శిక్షణా పాత్రకు నియమించబడ్డారు. 1954 నుండి RCAF"&amp;" సేవలో సాబెర్ 5 చేత భర్తీ చేసిన తరువాత, కేవలం 210 మందికి పైగా సాబెర్ 2 లు UK లో సరిదిద్దబడ్డాయి మరియు సవరించబడ్డాయి మరియు గ్రీకు వైమానిక దళం మరియు టర్కిష్ వైమానిక దళాలకు సుమారు సమాన సంఖ్యలో సరఫరా చేయబడ్డాయి. [1] 1952 మధ్యలో, సాబెర్ MK.4 28 ఆగస్టు 1952 న ఎ"&amp;"గిరిన మొదటి వాటితో ఉత్పత్తిలోకి వచ్చింది. మెరుగైన ఎయిర్ కండిషనింగ్ మరియు గన్ సైట్‌తో సహా కొన్ని చిన్న నిర్మాణ మరియు వ్యవస్థల మార్పులు కాకుండా, MK 2 మరియు MK 4 ఒకేలా ఉన్నాయి . నిర్మించిన 438 MK 4 లలో, సుమారు 70 మందిని తాత్కాలికంగా RCAF ఉపయోగించారు, అన్ని ఉ"&amp;"దాహరణలు RAF కి పంపించబడ్డాయి. ఇతర సాబెర్ 4 లు నేరుగా పరస్పర సహాయ కార్యక్రమం కింద RAF కి వెళ్ళాయి, 11 RAF స్క్వాడ్రన్లను సన్నద్ధం చేశాయి. మెజారిటీ పశ్చిమ జర్మనీలో నాటోతో పనిచేసింది, ఇద్దరు స్క్వాడ్రన్లు యుకెలో RAF ఫైటర్ కమాండ్‌లో భాగంగా ఉన్నారు. సాబెర్ Mk."&amp;"4 1956 మధ్యకాలం వరకు RAF తో కలిసి హాకర్ వేటగాళ్ళు ఉన్నారు. ప్రాణాలతో బయటపడినవారికి UK లో సరిదిద్దబడింది, '6-3' వింగ్ సవరణలతో అమర్చారు మరియు USAF (ఈ విమానాలకు నిధులు సమకూర్చింది) కు అప్పగించారు, ఇది వాటిని ఇతర నాటో సభ్యులకు పంపింది, మెజారిటీ ఇటలీ మరియు యుగ"&amp;"ోస్లేవియాకు వెళుతుంది. 30 జూలై 1953 న, మొట్టమొదటి సాబెర్ MK.5 ఒరెండా 10 ఇంజిన్‌తో ప్రయాణించింది, ఇది మునుపటి వైవిధ్యాలపై స్పష్టమైన ఆరోహణ మరియు పైకప్పు ప్రయోజనాన్ని ఇచ్చింది. ఇతర MK 5 మెరుగుదలలలో కొత్త ఆక్సిజన్ వ్యవస్థ మరియు మెరుగైన యుక్తి మరియు తక్కువ-వేగ"&amp;" లక్షణాలు ఉన్నాయి, రెక్క తీగను ఆరు (15.2 సెం.మీ) రూట్ వద్ద మరియు మూడు అంగుళాలు. లంబ రెక్క కంచె. ఈ మార్పు, F-86F లో నార్త్ అమెరికన్ చేత ఉద్భవించింది, నాటకీయంగా మెరుగుపరచబడింది, అయినప్పటికీ స్లాట్డ్ లీడింగ్ ఎడ్జ్ కోల్పోవడం ల్యాండింగ్ వేగాన్ని పెంచింది మరియు"&amp;" తక్కువ వేగం నిర్వహణ గణనీయంగా తగ్గింది. కెనడైర్ 370 MK 5 లను నిర్మించింది, MK.2S ని భర్తీ చేయడానికి ఐరోపాలోని RCAF యొక్క ఎయిర్ డివిజన్ స్క్వాడ్రన్లలో ఉపయోగం కోసం మెజారిటీతో నియమించబడింది. మొత్తం 75 RCAF సాబెర్ 5 లు 1957 లో జర్మన్ లుఫ్ట్‌వాఫ్‌కు బదిలీ చేయబ"&amp;"డ్డాయి. కెనడైర్ సాబెర్ Mk.6 తుది వేరియంట్ మరియు ఇది ఇప్పటివరకు నిర్మించిన ""ఉత్తమ"" ప్రొడక్షన్ సాబెర్ గా పరిగణించబడింది. [2] దీనికి రెండు-దశల ఒరెండా ఇంజిన్ 7,275 ఎల్బి (3,302 కిలోల) స్టాటిక్ థ్రస్ట్ అభివృద్ధి చెందింది. దీని ఎత్తు పనితీరు మరియు ఆరోహణ రేటు "&amp;"MK 5 పై మెరుగుపరచబడింది మరియు వింగ్ లీడింగ్ ఎడ్జ్ స్లాట్ యొక్క పున in స్థాపన దీనికి అద్భుతమైన తక్కువ-వేగ లక్షణాలను ఇచ్చింది. మొదటి ఉత్పత్తి నమూనా 2 నవంబర్ 1954 న పూర్తయింది మరియు చివరికి 655 9 అక్టోబర్ 1958 న ఉత్పత్తిని ముగించింది. మొత్తం 390 MK 6 లు RCAF"&amp;" కి వెళ్ళాయి జర్మనీ మరియు ఫ్రాన్స్. మధ్య ఐరోపాలో 1950 లలో నాటోకు ప్రధాన వాయు బెదిరింపులు సోవియట్ మిగ్- ది మిగ్ -15, మిగ్ -17, మిగ్ -19 మరియు మిగ్ -21 యొక్క ప్రారంభ వైవిధ్యాలు. కొరియా యుద్ధ అనుభవం ఆధారంగా, MIG ముప్పుకు సమర్థవంతమైన వ్యతిరేకతను అందించడానికి "&amp;"MK 6 సాబెర్ యొక్క ఎంపిక తార్కికమని నిరూపించబడింది. నాటోపై కెనడా యొక్క నిబద్ధత ఏమిటంటే, నాలుగు స్థావరాల వద్ద ఉన్న 12 స్క్వాడ్రన్లను అందించడం - ఫ్రాన్స్‌లో రెండు (మార్విల్లే మరియు గ్రోస్టెన్క్విన్) మరియు పశ్చిమ జర్మనీలో రెండు (జ్వేబ్రికెన్ మరియు బాడెన్ సోలె"&amp;"ల్లిన్). ప్రారంభంలో, సహకారం సాబెర్ విమానాలను మాత్రమే కలిగి ఉంది; ఏదేమైనా, తరువాత ఒక రాత్రి మరియు ఆల్-వెదర్ ఫైటర్ సామర్థ్యాన్ని అందించడానికి రక్షణ ప్యాకేజీలో అవ్రో కెనడా సిఎఫ్ -100 విమానాలను చేర్చాలని నిర్ణయించారు. RCAF చేత సాబెర్ యొక్క ప్రధాన ఉపయోగం ఐరోపా"&amp;"లో ఉన్నప్పటికీ, వాటిని కెనడాలోని RCAF సహాయక పార్ట్ టైమ్ యూనిట్లు కూడా ఉపయోగించాయి, డి హవిలాండ్ వాంపైర్ జెట్స్ స్థానంలో ఉన్నాయి. టొరంటోకు సమీపంలో ఉన్న ఆర్‌సిఎఎఫ్ స్టేషన్ డౌన్‌స్వ్యూలో ఉన్న 400 ""సిటీ ఆఫ్ టొరంటో"" మరియు 411 ""కౌంటీ ఆఫ్ యార్క్"" స్క్వాడ్రన్ల"&amp;"ు, అలాగే 401 ""సిటీ ఆఫ్ వెస్ట్‌మౌంట్"" మరియు మాంట్రియల్‌కు సమీపంలో ఉన్న 438 ""సిటీ ఆఫ్ మాంట్రియల్"" స్క్వాడ్రన్స్ అమర్చారు సాబెర్ 5 లతో, వాంకోవర్ సమీపంలోని ఆర్‌సిఎఎఫ్ స్టేషన్ సీ ఐలాండ్‌లోని 442 ""సిటీ ఆఫ్ వాంకోవర్"" స్క్వాడ్రన్. ఆర్‌సిఎఎఫ్ డెలివరీలతో పాటు"&amp;", 225 కెనడైర్ ఎంకె 6 సాబర్‌లను పశ్చిమ జర్మన్ లుఫ్ట్‌వాఫ్‌కు ఎగుమతి చేశారు, ఆరు కొలంబియన్ వైమానిక దళానికి, 34 మంది దక్షిణాఫ్రికా వైమానిక దళానికి వెళ్లారు. జనవరి 1966 లో, జర్మనీ తన కెనడియన్ ఎమ్కె 6 సాబెర్లలో 90 ను ఇరాన్‌కు విక్రయించింది. ఈ విమానాలను త్వరగా "&amp;"పాకిస్తాన్‌కు బదిలీ చేశారు మరియు పాకిస్తాన్ వైమానిక దళం యొక్క ప్రధాన రోజు పోరాట యోధుడు అయ్యారు. కెనడైర్ సాబర్స్ వారు ఉద్యోగం చేసిన రెండు ప్రధాన విభేదాలలో ఆయా వైమానిక దళాలకు ప్రధానమైనవి: కొరియా యుద్ధం, ఇక్కడ ఎఫ్ -86 సాబర్స్ 6-1 కిల్ రికార్డును కలిగి ఉంది మ"&amp;"రియు 1971 లో ఇండో-పాకిస్తాన్ యుద్ధం. ఇండో-పాకిస్తాన్ యుద్ధంలో చిన్న ఫాలోలాండ్ గ్నాట్ దాని ప్రధాన ప్రత్యర్థి. 1971 చివరి నాటికి, పెద్ద, భారీ మరియు పాత సాబెర్‌కు గ్నాట్ నిరాశపరిచే ప్రత్యర్థి అని నిరూపించబడింది. రెండు యుద్ధాల సమయంలో దాని పోరాట చంపడం చాలావరకు"&amp;" సాబర్స్‌కు వ్యతిరేకంగా ఉన్నందున గ్నట్‌ను భారతీయ వైమానిక దళం ""సాబెర్ స్లేయర్"" గా సూచించింది. [3] [4] కెనడైర్ సాబెర్ MK 6 దాని యుగంలో ఉత్తమ డాగ్‌ఫైటర్‌గా విస్తృతంగా పరిగణించబడుతున్నప్పటికీ, [5] వ్యూహాలు నిలువు రంగంలో సాబెర్లను తీసుకోవటానికి గ్నాట్‌లను పి"&amp;"లుపునిచ్చాయి, ఇక్కడ సాబర్స్ ప్రతికూలతలో ఉన్నారు. అంతేకాక, గ్నాట్ తేలికైనది మరియు ఆకారంలో కాంపాక్ట్ అయినందున, చూడటం చాలా కష్టం, ముఖ్యంగా తక్కువ స్థాయిలో డాగ్‌ఫైట్స్ చాలావరకు జరిగాయి. [6] 1952 లో, జాక్వెలిన్ కోక్రాన్, అప్పుడు 47 సంవత్సరాల వయస్సులో, మహిళల కో"&amp;"సం వరల్డ్ స్పీడ్ రికార్డును సవాలు చేయాలని నిర్ణయించుకున్నాడు, తరువాత జాక్వెలిన్ ఆరియోల్ చేత నిర్వహించబడ్డాడు. ఆమె యు.ఎస్. వైమానిక దళం నుండి ఎఫ్ -86 ను అరువుగా తీసుకోవడానికి ప్రయత్నించింది, కాని నిరాకరించబడింది. కెనడియన్ రక్షణ మంత్రి అనుమతితో, ఆమె 19200, ఏ"&amp;"కైక సాబెర్ 3. కెనడైర్ ఈ ప్రయత్నం కోసం కాలిఫోర్నియాకు 16 మంది సహాయక బృందాన్ని పంపింది. 18 మే 1953 న, శ్రీమతి కోక్రాన్ 1,050.15 కిమీ/గం (652.5 mph) యొక్క కొత్త 100 కిమీ స్పీడ్ రికార్డును నెలకొల్పాడు. తరువాత జూన్ 3 న, ఆమె కొత్త 15 కిలోమీటర్ల క్లోజ్డ్ సర్క్యూ"&amp;"ట్ రికార్డును 1078 కిమీ/గం (670 mph) సెట్ చేసింది. ఆమె కాలిఫోర్నియాలో ఉన్నప్పుడు, ఆమె డైవ్‌లో గంటకు 1270 కిమీ/గంటకు మించిపోయింది, తద్వారా ధ్వని వేగాన్ని మించి మొదటి మహిళగా నిలిచింది. గోల్డెన్ హాక్స్ కెనడియన్ ఏరోబాటిక్ ఫ్లయింగ్ టీం, ఇది 1959 లో రాయల్ కెనడి"&amp;"యన్ వైమానిక దళం యొక్క 35 వ వార్షికోత్సవం మరియు కెనడియన్ ఫ్లైట్ యొక్క ""గోల్డెన్"" 50 వ వార్షికోత్సవాన్ని జరుపుకోవడానికి స్థాపించబడింది, ఇది 1909 లో AEA సిల్వర్ డార్ట్ తో ప్రారంభమైంది. ప్రారంభంలో, ఆరు విమానంలో జట్టు ఎగురుతున్న మెటాలిక్-గోల్డ్ కెనడైర్ సాబెర"&amp;"్ MK.5 లు, ఒక సంవత్సరం మాత్రమే ప్రదర్శన ఇస్తున్నట్లు was హించబడింది, కాని గోల్డెన్ హాక్స్ వారి సింగిల్ 63-షో సీజన్ తర్వాత బాగా ప్రాచుర్యం పొందింది, జట్టు విస్తరించింది. తరువాతి సంవత్సరంలో, మరొక విమానం జట్టుకు జోడించబడింది, రెండు సోలో జెట్‌లతో ఐదు-విమానం ప"&amp;"్రధాన నిర్మాణాన్ని అనుమతించింది. గోల్డెన్ హాక్స్ మరో మూడు సీజన్లలో ప్రదర్శనను కొనసాగించింది, 1961 లో 1961 లో MK 6 కి మార్చబడింది, అవి 7 ఫిబ్రవరి 1964 న రద్దు చేయబడే వరకు, ఉత్తర అమెరికా అంతటా మొత్తం 317 ప్రదర్శనలను ఎగురవేసాయి. [8] అర్జెంటీనా వైమానిక దళం కో"&amp;"సం కెనడైర్ ఎఫ్ -86 సాబెర్ 6 విమానం కోసం స్పెసిఫికేషన్ నుండి డేటా, రిపోర్ట్ నెం.")</f>
        <v>కెనడైర్ సాబెర్ అనేది నార్త్ అమెరికన్ ఏవియేషన్ నుండి లైసెన్స్ కింద కెనడైర్ నిర్మించిన జెట్ ఫైటర్ విమానం. నార్త్ అమెరికన్ ఎఫ్ -86 సాబెర్ యొక్క వైవిధ్యం, ఇది 1958 వరకు ఉత్పత్తి చేయబడింది మరియు ప్రధానంగా రాయల్ కెనడియన్ వైమానిక దళం (ఆర్‌సిఎఎఫ్) చేత 1962 లో కెనడైర్ సిఎఫ్ -104 స్థానంలో ఉపయోగించబడింది. అనేక ఇతర వైమానిక దళాలు కూడా ఈ విమానం నడుపుతున్నాయి. విమానం యొక్క రెండు ప్రధాన ఉత్పత్తి పరుగులు ఉన్నాయి. మొదటిది, MK. 2 మరియు Mk. కేవలం 1,000 లోపు నిర్మించిన 4 లు, వారి యుఎస్ ప్రత్యర్ధులతో చాలా పోలి ఉంటాయి, ఇవి చిన్న వివరాలతో మాత్రమే విభిన్నంగా ఉన్నాయి. రెండవ పరుగు, MK. 5 లు మరియు MK. 6 యొక్క సారూప్య సంఖ్యలు, అసలు జనరల్ ఎలక్ట్రిక్ J47 ఇంజిన్‌ను స్థానికంగా రూపొందించిన మరింత శక్తివంతమైన అవ్రో కెనడా ఒరెండాతో భర్తీ చేస్తున్నప్పుడు మెరుగైన యుక్తి కోసం పెద్ద రెక్కలతో యుఎస్ సాబెర్ యొక్క తరువాతి సంస్కరణలపై రూపొందించబడ్డాయి. Mk. 6, ఒరెండా యొక్క మరింత శక్తివంతమైన సంస్కరణతో, అన్ని సాబర్‌లలో ఉత్తమమైనదిగా విస్తృతంగా పరిగణించబడుతుంది [ఎవరిచేత?]. ఫ్రంట్-లైన్ ఆపరేషన్లో కెనడైర్ సాబర్స్ యొక్క చివరిది పాకిస్తాన్లో ఉంది, దీని AIM-9 సైడ్‌విండర్ MK ని అమర్చారు. 1971 లో ఇండో-పాకిస్తాన్ యుద్ధంలో మోడల్స్ తమ వైమానిక దళానికి వెన్నెముకగా ఉన్నాయి. ఇవి క్షిపణులు లేని వారి భారతీయ ప్రత్యర్ధులపై అద్భుతమైన విజయ నిష్పత్తిని పెంచాయి. 1971 తరువాత ఇవి నెమ్మదిగా దశలవారీగా తొలగించబడ్డాయి, చివరి ఉదాహరణలు 1980 లో పోరాట సేవలను విడిచిపెట్టాయి. 1960 ల నాటికి చాలా ఇతర శక్తులలో అధిక-పనితీరు డిజైన్ల ద్వారా భర్తీ చేయబడినప్పటికీ, 1970 లలో ద్వితీయ పాత్రలలో పనిచేసిన చివరి-మోడల్ వెర్షన్లు. కొన్ని ఒరెండా-శక్తితో కూడిన ఉదాహరణలు ఇతర విజయాలకు ప్రసిద్ది చెందాయి. సింగిల్ MK చాలా ముఖ్యమైనది. 3, ఒరెండా ఫిట్ కోసం టెస్ట్-బెడ్, 1953 లో జాక్వెలిన్ కోక్రాన్ అనేక స్పీడ్ రికార్డులను సృష్టించడానికి ఉపయోగించింది, ధ్వని అవరోధాన్ని విచ్ఛిన్నం చేసిన మొదటి మహిళగా సహా. మరొకటి, మాజీ RCAF MK. [6] 1974 లో సేవను విడిచిపెట్టి, 1991 వరకు టెస్ట్ విమానాల కోసం బోయింగ్ చేజ్ విమానం అయ్యింది. ఈ తరువాతి విమానాలు చాలా ఇప్పుడు మ్యూజియమ్‌లలో భద్రపరచబడ్డాయి. 1948 లో, కెనడా ప్రభుత్వం కెనడార్, కెనడాలోని క్యూబెక్‌లోని మాంట్రియల్‌లో ఉత్పత్తి చేయడానికి కెనడైర్‌తో ఎఫ్ -86 సాబెర్‌తో ఆర్‌సిఎఫ్‌ను తిరిగి ఎక్విప్ చేయాలని నిర్ణయించింది. సాధన ధృవీకరణ కోసం 10 విమానాల ప్రారంభ బ్యాచ్ ఆర్డర్ చేయబడింది. కొరియా యుద్ధం దీనిని 100 విమానాల ఉత్పత్తి బ్యాచ్‌కు మార్చింది. కెనడైర్ నెమ్మదిగా దాని ఉత్పత్తి సదుపాయాన్ని ఇతర కెనడియన్ సరఫరాదారుల నుండి పొందిన సంబంధిత పరికరాలతో అన్ని భాగాలను తయారు చేయడానికి నిర్మించింది. కెనడైర్ సాబెర్‌కు ప్రాజెక్ట్ నంబర్ సిఎల్ -13 ఇచ్చింది. కెనడైర్ CL-13 సాబెర్ యొక్క ఆరు వెర్షన్లను ఉత్పత్తి చేసింది. ఏకైక సాబెర్ Mk.1 తప్పనిసరిగా నార్త్ అమెరికన్ సాబెర్ F-86A మాదిరిగానే ఉంది. ఇది 5,200 ఎల్బిఎఫ్ (23 కెఎన్) థ్రస్ట్ యొక్క సాధారణ ఎలక్ట్రిక్ జె 47-జిఇ -13 టర్బోజెట్ కలిగి ఉంది. సాబెర్ Mk.2 అదే ఇంజిన్‌ను కలిగి ఉంది, అయినప్పటికీ మొదటి 20 విమానాలు ఉత్పత్తి చేయబడిన తరువాత, ఉత్పత్తి పరుగులో మిగిలినవి శక్తి-సహాయక నియంత్రణలు మరియు "ఆల్-ఎగిరే" టెయిల్‌ప్లేన్ కలిగి ఉండటంలో వేరు చేయబడ్డాయి. కెనడియన్ సాబెర్లలో ఏకైక సాబెర్ MK 3 అవ్రో కెనడా ఒరెండా టర్బోజెట్ (6,000 ఎల్బిఎఫ్ (27 కెఎన్) థ్రస్ట్ తో ఒరెండా 3) ఉపయోగించిన మొదటిది. సాబెర్ MK.4 జనరల్ ఎలక్ట్రిక్ ఇంజిన్‌ను నిలుపుకుంది మరియు RAF కి ఉద్దేశించబడింది మరియు తరువాత ఇతర విదేశీ వైమానిక దళాలకు పంపబడింది. సాబెర్ MK.5 తదుపరి ఉత్పత్తి వెర్షన్, ఒరెండా 10 తో 6,500 ఎల్బిఎఫ్ (29 కెఎన్) థ్రస్ట్ కలిగి ఉంది. 7,440 ఎల్బిఎఫ్ (33 కెఎన్) తో ఒరెండా 14 కి మార్పు సాబెర్ ఎమ్కె 6 కి శక్తినిచ్చింది. కెనడైర్ (సాబెర్ #1815) చేత తయారు చేయబడిన చివరి సాబెర్, పాకిస్తాన్ వైమానిక దళం విరాళంగా ఇచ్చిన తరువాత, ఇప్పుడు మానిటోబాలోని విన్నిపెగ్‌లోని వెస్ట్రన్ కెనడా ఏవియేషన్ మ్యూజియం (డబ్ల్యుసిఎఎమ్) లో శాశ్వత సేకరణలో భాగం. 1958 వరకు, మాంట్రియల్‌లోని కెనడైర్ ప్లాంట్‌లో మొత్తం 1,815 సిఎల్ -13 సాబర్‌లను నిర్మించారు. కెనడైర్ సాబెర్ విమానం యొక్క రెండవ తరం, మరియు మొదట పరిమాణంలో నిర్మించబడింది, MK 2, 350 1952-1953 నుండి ఉత్పత్తి చేయబడింది. ఈ మెరుగైన విమానాలలో RCAF 290 ను అందుకుంది. 1952 మొదటి భాగంలో, మిగిలిన 60 Mk.2 లను కొరియా యుద్ధంలో ఉపయోగం కోసం యు.ఎస్. వైమానిక దళానికి సరఫరా చేశారు. ఐరోపాలో నాటో యొక్క నంబర్ 1 ఎయిర్ డివిజన్‌తో ఎయిర్ డిఫెన్స్ పాత్రలో చాలా మంది RCAF MK.2 సాబర్స్ ఉపయోగించబడ్డాయి, ఇది అత్యుత్తమ డాగ్‌ఫైటర్ అని రుజువు చేసింది. మరికొందరు కెనడాలోని స్థావరాల వద్ద శిక్షణా పాత్రకు నియమించబడ్డారు. 1954 నుండి RCAF సేవలో సాబెర్ 5 చేత భర్తీ చేసిన తరువాత, కేవలం 210 మందికి పైగా సాబెర్ 2 లు UK లో సరిదిద్దబడ్డాయి మరియు సవరించబడ్డాయి మరియు గ్రీకు వైమానిక దళం మరియు టర్కిష్ వైమానిక దళాలకు సుమారు సమాన సంఖ్యలో సరఫరా చేయబడ్డాయి. [1] 1952 మధ్యలో, సాబెర్ MK.4 28 ఆగస్టు 1952 న ఎగిరిన మొదటి వాటితో ఉత్పత్తిలోకి వచ్చింది. మెరుగైన ఎయిర్ కండిషనింగ్ మరియు గన్ సైట్‌తో సహా కొన్ని చిన్న నిర్మాణ మరియు వ్యవస్థల మార్పులు కాకుండా, MK 2 మరియు MK 4 ఒకేలా ఉన్నాయి . నిర్మించిన 438 MK 4 లలో, సుమారు 70 మందిని తాత్కాలికంగా RCAF ఉపయోగించారు, అన్ని ఉదాహరణలు RAF కి పంపించబడ్డాయి. ఇతర సాబెర్ 4 లు నేరుగా పరస్పర సహాయ కార్యక్రమం కింద RAF కి వెళ్ళాయి, 11 RAF స్క్వాడ్రన్లను సన్నద్ధం చేశాయి. మెజారిటీ పశ్చిమ జర్మనీలో నాటోతో పనిచేసింది, ఇద్దరు స్క్వాడ్రన్లు యుకెలో RAF ఫైటర్ కమాండ్‌లో భాగంగా ఉన్నారు. సాబెర్ Mk.4 1956 మధ్యకాలం వరకు RAF తో కలిసి హాకర్ వేటగాళ్ళు ఉన్నారు. ప్రాణాలతో బయటపడినవారికి UK లో సరిదిద్దబడింది, '6-3' వింగ్ సవరణలతో అమర్చారు మరియు USAF (ఈ విమానాలకు నిధులు సమకూర్చింది) కు అప్పగించారు, ఇది వాటిని ఇతర నాటో సభ్యులకు పంపింది, మెజారిటీ ఇటలీ మరియు యుగోస్లేవియాకు వెళుతుంది. 30 జూలై 1953 న, మొట్టమొదటి సాబెర్ MK.5 ఒరెండా 10 ఇంజిన్‌తో ప్రయాణించింది, ఇది మునుపటి వైవిధ్యాలపై స్పష్టమైన ఆరోహణ మరియు పైకప్పు ప్రయోజనాన్ని ఇచ్చింది. ఇతర MK 5 మెరుగుదలలలో కొత్త ఆక్సిజన్ వ్యవస్థ మరియు మెరుగైన యుక్తి మరియు తక్కువ-వేగ లక్షణాలు ఉన్నాయి, రెక్క తీగను ఆరు (15.2 సెం.మీ) రూట్ వద్ద మరియు మూడు అంగుళాలు. లంబ రెక్క కంచె. ఈ మార్పు, F-86F లో నార్త్ అమెరికన్ చేత ఉద్భవించింది, నాటకీయంగా మెరుగుపరచబడింది, అయినప్పటికీ స్లాట్డ్ లీడింగ్ ఎడ్జ్ కోల్పోవడం ల్యాండింగ్ వేగాన్ని పెంచింది మరియు తక్కువ వేగం నిర్వహణ గణనీయంగా తగ్గింది. కెనడైర్ 370 MK 5 లను నిర్మించింది, MK.2S ని భర్తీ చేయడానికి ఐరోపాలోని RCAF యొక్క ఎయిర్ డివిజన్ స్క్వాడ్రన్లలో ఉపయోగం కోసం మెజారిటీతో నియమించబడింది. మొత్తం 75 RCAF సాబెర్ 5 లు 1957 లో జర్మన్ లుఫ్ట్‌వాఫ్‌కు బదిలీ చేయబడ్డాయి. కెనడైర్ సాబెర్ Mk.6 తుది వేరియంట్ మరియు ఇది ఇప్పటివరకు నిర్మించిన "ఉత్తమ" ప్రొడక్షన్ సాబెర్ గా పరిగణించబడింది. [2] దీనికి రెండు-దశల ఒరెండా ఇంజిన్ 7,275 ఎల్బి (3,302 కిలోల) స్టాటిక్ థ్రస్ట్ అభివృద్ధి చెందింది. దీని ఎత్తు పనితీరు మరియు ఆరోహణ రేటు MK 5 పై మెరుగుపరచబడింది మరియు వింగ్ లీడింగ్ ఎడ్జ్ స్లాట్ యొక్క పున in స్థాపన దీనికి అద్భుతమైన తక్కువ-వేగ లక్షణాలను ఇచ్చింది. మొదటి ఉత్పత్తి నమూనా 2 నవంబర్ 1954 న పూర్తయింది మరియు చివరికి 655 9 అక్టోబర్ 1958 న ఉత్పత్తిని ముగించింది. మొత్తం 390 MK 6 లు RCAF కి వెళ్ళాయి జర్మనీ మరియు ఫ్రాన్స్. మధ్య ఐరోపాలో 1950 లలో నాటోకు ప్రధాన వాయు బెదిరింపులు సోవియట్ మిగ్- ది మిగ్ -15, మిగ్ -17, మిగ్ -19 మరియు మిగ్ -21 యొక్క ప్రారంభ వైవిధ్యాలు. కొరియా యుద్ధ అనుభవం ఆధారంగా, MIG ముప్పుకు సమర్థవంతమైన వ్యతిరేకతను అందించడానికి MK 6 సాబెర్ యొక్క ఎంపిక తార్కికమని నిరూపించబడింది. నాటోపై కెనడా యొక్క నిబద్ధత ఏమిటంటే, నాలుగు స్థావరాల వద్ద ఉన్న 12 స్క్వాడ్రన్లను అందించడం - ఫ్రాన్స్‌లో రెండు (మార్విల్లే మరియు గ్రోస్టెన్క్విన్) మరియు పశ్చిమ జర్మనీలో రెండు (జ్వేబ్రికెన్ మరియు బాడెన్ సోలెల్లిన్). ప్రారంభంలో, సహకారం సాబెర్ విమానాలను మాత్రమే కలిగి ఉంది; ఏదేమైనా, తరువాత ఒక రాత్రి మరియు ఆల్-వెదర్ ఫైటర్ సామర్థ్యాన్ని అందించడానికి రక్షణ ప్యాకేజీలో అవ్రో కెనడా సిఎఫ్ -100 విమానాలను చేర్చాలని నిర్ణయించారు. RCAF చేత సాబెర్ యొక్క ప్రధాన ఉపయోగం ఐరోపాలో ఉన్నప్పటికీ, వాటిని కెనడాలోని RCAF సహాయక పార్ట్ టైమ్ యూనిట్లు కూడా ఉపయోగించాయి, డి హవిలాండ్ వాంపైర్ జెట్స్ స్థానంలో ఉన్నాయి. టొరంటోకు సమీపంలో ఉన్న ఆర్‌సిఎఎఫ్ స్టేషన్ డౌన్‌స్వ్యూలో ఉన్న 400 "సిటీ ఆఫ్ టొరంటో" మరియు 411 "కౌంటీ ఆఫ్ యార్క్" స్క్వాడ్రన్లు, అలాగే 401 "సిటీ ఆఫ్ వెస్ట్‌మౌంట్" మరియు మాంట్రియల్‌కు సమీపంలో ఉన్న 438 "సిటీ ఆఫ్ మాంట్రియల్" స్క్వాడ్రన్స్ అమర్చారు సాబెర్ 5 లతో, వాంకోవర్ సమీపంలోని ఆర్‌సిఎఎఫ్ స్టేషన్ సీ ఐలాండ్‌లోని 442 "సిటీ ఆఫ్ వాంకోవర్" స్క్వాడ్రన్. ఆర్‌సిఎఎఫ్ డెలివరీలతో పాటు, 225 కెనడైర్ ఎంకె 6 సాబర్‌లను పశ్చిమ జర్మన్ లుఫ్ట్‌వాఫ్‌కు ఎగుమతి చేశారు, ఆరు కొలంబియన్ వైమానిక దళానికి, 34 మంది దక్షిణాఫ్రికా వైమానిక దళానికి వెళ్లారు. జనవరి 1966 లో, జర్మనీ తన కెనడియన్ ఎమ్కె 6 సాబెర్లలో 90 ను ఇరాన్‌కు విక్రయించింది. ఈ విమానాలను త్వరగా పాకిస్తాన్‌కు బదిలీ చేశారు మరియు పాకిస్తాన్ వైమానిక దళం యొక్క ప్రధాన రోజు పోరాట యోధుడు అయ్యారు. కెనడైర్ సాబర్స్ వారు ఉద్యోగం చేసిన రెండు ప్రధాన విభేదాలలో ఆయా వైమానిక దళాలకు ప్రధానమైనవి: కొరియా యుద్ధం, ఇక్కడ ఎఫ్ -86 సాబర్స్ 6-1 కిల్ రికార్డును కలిగి ఉంది మరియు 1971 లో ఇండో-పాకిస్తాన్ యుద్ధం. ఇండో-పాకిస్తాన్ యుద్ధంలో చిన్న ఫాలోలాండ్ గ్నాట్ దాని ప్రధాన ప్రత్యర్థి. 1971 చివరి నాటికి, పెద్ద, భారీ మరియు పాత సాబెర్‌కు గ్నాట్ నిరాశపరిచే ప్రత్యర్థి అని నిరూపించబడింది. రెండు యుద్ధాల సమయంలో దాని పోరాట చంపడం చాలావరకు సాబర్స్‌కు వ్యతిరేకంగా ఉన్నందున గ్నట్‌ను భారతీయ వైమానిక దళం "సాబెర్ స్లేయర్" గా సూచించింది. [3] [4] కెనడైర్ సాబెర్ MK 6 దాని యుగంలో ఉత్తమ డాగ్‌ఫైటర్‌గా విస్తృతంగా పరిగణించబడుతున్నప్పటికీ, [5] వ్యూహాలు నిలువు రంగంలో సాబెర్లను తీసుకోవటానికి గ్నాట్‌లను పిలుపునిచ్చాయి, ఇక్కడ సాబర్స్ ప్రతికూలతలో ఉన్నారు. అంతేకాక, గ్నాట్ తేలికైనది మరియు ఆకారంలో కాంపాక్ట్ అయినందున, చూడటం చాలా కష్టం, ముఖ్యంగా తక్కువ స్థాయిలో డాగ్‌ఫైట్స్ చాలావరకు జరిగాయి. [6] 1952 లో, జాక్వెలిన్ కోక్రాన్, అప్పుడు 47 సంవత్సరాల వయస్సులో, మహిళల కోసం వరల్డ్ స్పీడ్ రికార్డును సవాలు చేయాలని నిర్ణయించుకున్నాడు, తరువాత జాక్వెలిన్ ఆరియోల్ చేత నిర్వహించబడ్డాడు. ఆమె యు.ఎస్. వైమానిక దళం నుండి ఎఫ్ -86 ను అరువుగా తీసుకోవడానికి ప్రయత్నించింది, కాని నిరాకరించబడింది. కెనడియన్ రక్షణ మంత్రి అనుమతితో, ఆమె 19200, ఏకైక సాబెర్ 3. కెనడైర్ ఈ ప్రయత్నం కోసం కాలిఫోర్నియాకు 16 మంది సహాయక బృందాన్ని పంపింది. 18 మే 1953 న, శ్రీమతి కోక్రాన్ 1,050.15 కిమీ/గం (652.5 mph) యొక్క కొత్త 100 కిమీ స్పీడ్ రికార్డును నెలకొల్పాడు. తరువాత జూన్ 3 న, ఆమె కొత్త 15 కిలోమీటర్ల క్లోజ్డ్ సర్క్యూట్ రికార్డును 1078 కిమీ/గం (670 mph) సెట్ చేసింది. ఆమె కాలిఫోర్నియాలో ఉన్నప్పుడు, ఆమె డైవ్‌లో గంటకు 1270 కిమీ/గంటకు మించిపోయింది, తద్వారా ధ్వని వేగాన్ని మించి మొదటి మహిళగా నిలిచింది. గోల్డెన్ హాక్స్ కెనడియన్ ఏరోబాటిక్ ఫ్లయింగ్ టీం, ఇది 1959 లో రాయల్ కెనడియన్ వైమానిక దళం యొక్క 35 వ వార్షికోత్సవం మరియు కెనడియన్ ఫ్లైట్ యొక్క "గోల్డెన్" 50 వ వార్షికోత్సవాన్ని జరుపుకోవడానికి స్థాపించబడింది, ఇది 1909 లో AEA సిల్వర్ డార్ట్ తో ప్రారంభమైంది. ప్రారంభంలో, ఆరు విమానంలో జట్టు ఎగురుతున్న మెటాలిక్-గోల్డ్ కెనడైర్ సాబెర్ MK.5 లు, ఒక సంవత్సరం మాత్రమే ప్రదర్శన ఇస్తున్నట్లు was హించబడింది, కాని గోల్డెన్ హాక్స్ వారి సింగిల్ 63-షో సీజన్ తర్వాత బాగా ప్రాచుర్యం పొందింది, జట్టు విస్తరించింది. తరువాతి సంవత్సరంలో, మరొక విమానం జట్టుకు జోడించబడింది, రెండు సోలో జెట్‌లతో ఐదు-విమానం ప్రధాన నిర్మాణాన్ని అనుమతించింది. గోల్డెన్ హాక్స్ మరో మూడు సీజన్లలో ప్రదర్శనను కొనసాగించింది, 1961 లో 1961 లో MK 6 కి మార్చబడింది, అవి 7 ఫిబ్రవరి 1964 న రద్దు చేయబడే వరకు, ఉత్తర అమెరికా అంతటా మొత్తం 317 ప్రదర్శనలను ఎగురవేసాయి. [8] అర్జెంటీనా వైమానిక దళం కోసం కెనడైర్ ఎఫ్ -86 సాబెర్ 6 విమానం కోసం స్పెసిఫికేషన్ నుండి డేటా, రిపోర్ట్ నెం.</v>
      </c>
      <c r="E150" s="1" t="s">
        <v>3102</v>
      </c>
      <c r="F150" s="1" t="s">
        <v>421</v>
      </c>
      <c r="G150" s="1" t="str">
        <f>IFERROR(__xludf.DUMMYFUNCTION("GOOGLETRANSLATE(F:F, ""en"", ""te"")"),"యుద్ధ")</f>
        <v>యుద్ధ</v>
      </c>
      <c r="I150" s="1" t="s">
        <v>1083</v>
      </c>
      <c r="J150" s="1" t="str">
        <f>IFERROR(__xludf.DUMMYFUNCTION("GOOGLETRANSLATE(I:I, ""en"", ""te"")"),"కెనడా")</f>
        <v>కెనడా</v>
      </c>
      <c r="K150" s="3" t="s">
        <v>1084</v>
      </c>
      <c r="L150" s="1" t="s">
        <v>3103</v>
      </c>
      <c r="M150" s="1" t="str">
        <f>IFERROR(__xludf.DUMMYFUNCTION("GOOGLETRANSLATE(L:L, ""en"", ""te"")"),"కెనడైర్")</f>
        <v>కెనడైర్</v>
      </c>
      <c r="N150" s="3" t="s">
        <v>3104</v>
      </c>
      <c r="R150" s="4">
        <v>18484.0</v>
      </c>
      <c r="S150" s="8">
        <v>1815.0</v>
      </c>
      <c r="T150" s="1" t="s">
        <v>3105</v>
      </c>
      <c r="V150" s="1" t="s">
        <v>819</v>
      </c>
      <c r="W150" s="1" t="s">
        <v>3106</v>
      </c>
      <c r="X150" s="1" t="s">
        <v>3107</v>
      </c>
      <c r="Y150" s="1" t="s">
        <v>3108</v>
      </c>
      <c r="Z150" s="1" t="s">
        <v>3109</v>
      </c>
      <c r="AF150" s="1" t="s">
        <v>3110</v>
      </c>
      <c r="AG150" s="1" t="s">
        <v>3111</v>
      </c>
      <c r="AH150" s="1" t="s">
        <v>3112</v>
      </c>
      <c r="AM150" s="1" t="s">
        <v>3113</v>
      </c>
      <c r="AO150" s="1">
        <v>1950.0</v>
      </c>
      <c r="AQ150" s="1" t="s">
        <v>3114</v>
      </c>
      <c r="AS150" s="1" t="s">
        <v>3115</v>
      </c>
      <c r="AT150" s="1"/>
      <c r="AU150" s="1" t="s">
        <v>3116</v>
      </c>
      <c r="AX150" s="1" t="s">
        <v>3117</v>
      </c>
      <c r="AY150" s="1" t="str">
        <f>IFERROR(__xludf.DUMMYFUNCTION("GOOGLETRANSLATE(AX:AX, ""en"", ""te"")"),"1 × అవ్రో కెనడా ఒరెండా 14 టర్బోజెట్, 7,275 ఎల్బిఎఫ్ (32.36 కెఎన్) థ్రస్ట్")</f>
        <v>1 × అవ్రో కెనడా ఒరెండా 14 టర్బోజెట్, 7,275 ఎల్బిఎఫ్ (32.36 కెఎన్) థ్రస్ట్</v>
      </c>
      <c r="BB150" s="1" t="s">
        <v>3118</v>
      </c>
      <c r="BD150" s="1" t="s">
        <v>3119</v>
      </c>
      <c r="BG150" s="2"/>
      <c r="BI150" s="1" t="s">
        <v>3120</v>
      </c>
      <c r="BJ150" s="1" t="s">
        <v>3121</v>
      </c>
      <c r="BR150" s="1" t="s">
        <v>3122</v>
      </c>
      <c r="BS150" s="1" t="s">
        <v>3123</v>
      </c>
      <c r="BT150" s="1" t="s">
        <v>3124</v>
      </c>
      <c r="BW150" s="1" t="s">
        <v>3125</v>
      </c>
      <c r="BX150" s="1"/>
      <c r="BY150" s="1" t="s">
        <v>3126</v>
      </c>
      <c r="CC150" s="1" t="s">
        <v>3127</v>
      </c>
      <c r="CD150" s="1" t="str">
        <f>IFERROR(__xludf.DUMMYFUNCTION("GOOGLETRANSLATE(CC:CC, ""en"", ""te"")"),"(12.7 మిమీ) M3 బ్రౌనింగ్ మెషిన్ గన్స్ (మొత్తం 1,600 రౌండ్లు) లో 6 x 0.50")</f>
        <v>(12.7 మిమీ) M3 బ్రౌనింగ్ మెషిన్ గన్స్ (మొత్తం 1,600 రౌండ్లు) లో 6 x 0.50</v>
      </c>
      <c r="CE150" s="1" t="s">
        <v>3128</v>
      </c>
      <c r="CF150" s="1" t="str">
        <f>IFERROR(__xludf.DUMMYFUNCTION("GOOGLETRANSLATE(CE:CE, ""en"", ""te"")"),"నాలుగు బాహ్య హార్డ్ పాయింట్లపై 5,300 ఎల్బి (2,400 కిలోలు) పేలోడ్, బాంబులు సాధారణంగా బయటి రెండు పైలాన్లపై అమర్చబడతాయి, ఎందుకంటే లోపలి జతలు తడి-ప్లంబెడ్ పైలాన్లు 2 200 యుఎస్ గాల్‌కు (760 ఎల్; 170 ఎల్; 170 ఎల్; 170 ఇంప్ గల్) డ్రాప్ ట్యాంకులు ఉపయోగకరమైన పరిధి"&amp;". అనేక రకాల బాంబులను తీసుకెళ్లవచ్చు (మాక్స్ స్టాండర్డ్ లోడౌట్ 2 1,000 ఎల్బి (450 కిలోల) బాంబులు మరియు 2 డ్రాప్ ట్యాంకులు), నాపామ్ బాంబ్ డబ్బాలు మరియు వ్యూహాత్మక అణ్వాయుధాన్ని కలిగి ఉంటుంది.")</f>
        <v>నాలుగు బాహ్య హార్డ్ పాయింట్లపై 5,300 ఎల్బి (2,400 కిలోలు) పేలోడ్, బాంబులు సాధారణంగా బయటి రెండు పైలాన్లపై అమర్చబడతాయి, ఎందుకంటే లోపలి జతలు తడి-ప్లంబెడ్ పైలాన్లు 2 200 యుఎస్ గాల్‌కు (760 ఎల్; 170 ఎల్; 170 ఎల్; 170 ఇంప్ గల్) డ్రాప్ ట్యాంకులు ఉపయోగకరమైన పరిధి. అనేక రకాల బాంబులను తీసుకెళ్లవచ్చు (మాక్స్ స్టాండర్డ్ లోడౌట్ 2 1,000 ఎల్బి (450 కిలోల) బాంబులు మరియు 2 డ్రాప్ ట్యాంకులు), నాపామ్ బాంబ్ డబ్బాలు మరియు వ్యూహాత్మక అణ్వాయుధాన్ని కలిగి ఉంటుంది.</v>
      </c>
      <c r="DK150" s="1" t="s">
        <v>3129</v>
      </c>
      <c r="EC150" s="1">
        <v>0.414</v>
      </c>
      <c r="EK150" s="1" t="s">
        <v>3130</v>
      </c>
      <c r="FQ150" s="1" t="s">
        <v>3131</v>
      </c>
    </row>
    <row r="151">
      <c r="A151" s="1" t="s">
        <v>3132</v>
      </c>
      <c r="B151" s="1" t="str">
        <f>IFERROR(__xludf.DUMMYFUNCTION("GOOGLETRANSLATE(A:A, ""en"", ""te"")"),"కాప్రోని ps.1")</f>
        <v>కాప్రోని ps.1</v>
      </c>
      <c r="C151" s="1" t="s">
        <v>3133</v>
      </c>
      <c r="D151" s="1" t="str">
        <f>IFERROR(__xludf.DUMMYFUNCTION("GOOGLETRANSLATE(C:C, ""en"", ""te"")"),"కాప్రోని Ps.1, పల్లవిసినో PS-1 మరియు కాప్రోని CA.303 అని కూడా పిలుస్తారు, ఇది ఇటాలియన్ నాలుగు-సీట్ల స్పోర్ట్స్ ప్లేన్, ఇది 1934, యూరోపియన్ టూరింగ్ ప్లేన్ ఛాంపియన్‌షిప్‌లను ఛాలెంజ్ 1934 లో పోటీ చేయడానికి ప్రత్యేకంగా రూపొందించబడింది మరియు నిర్మించబడింది. [1"&amp;"] Ps.1 ను 1933 లో కాప్రోనికి తరలించిన తరువాత బ్రెడా యొక్క మాజీ డిజైనర్ సిజేర్ పల్లవిసినో రూపొందించారు. రిజిస్ట్రేషన్లు ఇ-ఫ్రాన్ మరియు ఐ-మెలో ఇచ్చిన Ps.1 యొక్క రెండు ప్రోటోటైప్‌లు మాత్రమే నిర్మించబడ్డాయి. కాప్రోని Ps.1 లోహ నిర్మాణం యొక్క నాలుగు-సీట్ల క్యాబ"&amp;"ిన్ విమానం, కాంటిలివర్ మోనోప్లేన్ తక్కువ రెక్కలు ఉన్నాయి. స్టీల్-ఫ్రేమ్డ్ ఫ్యూజ్‌లేజ్ ఫాబ్రిక్‌తో కప్పబడి ఉంది, సింగిల్-స్పార్డ్ ట్రాపెజోయిడల్ ప్లాన్‌ఫార్మ్ మడత రెక్కలు ఉక్కు నిర్మాణం యొక్క చిట్కాలను కలిగి ఉన్నాయి. క్యాబిన్ ముందు రెండు వైపుల సీట్లను ద్వంద"&amp;"్వ నియంత్రణలతో, మరియు వెనుక భాగంలో రెండు సీట్లు, సాధారణ బహుళ-భాగాల పందిరి క్రింద ఉంది. వెనుక స్కిడ్‌తో ముడుచుకునే సాంప్రదాయిక ల్యాండింగ్ గేర్ ఉపసంహరించబడినప్పుడు రెక్క యొక్క దిగువ ఉపరితలం నుండి మెయిన్‌వీల్స్‌తో అమర్చారు. రేడియల్ ఇంజిన్ ఫ్యూజ్‌లేజ్ ముక్కుక"&amp;"ు అమర్చబడి, కౌలింగ్ చేత కప్పబడి, రెండు బ్లేడెడ్ ప్రొపెల్లర్‌ను నడుపుతుంది. [1] ఇంధనాన్ని 160-లీటర్ ఇంధన ట్యాంక్‌లో ఉంచారు. అర్మాండో ఫ్రాంకోయిస్ మరియు ఉగో విన్సెంజీలు ఎగిరిన ఛాలెంజ్ 1934 పోటీలో రెండు విమానాలు పాల్గొన్నాయి. సాంకేతిక మూల్యాంకనంలో, పిఎస్ -1 మ"&amp;"ెసెర్స్చ్మిట్ బిఎఫ్ 108 వెనుక రెండవ స్థానంలో నిలిచింది (పిఎస్ -1 మరియు బిఎఫ్ 108 మాత్రమే ముడుచుకునే ల్యాండింగ్ గేర్‌తో సవాలు విమానం). పోటీకి కొద్దిసేపటి ముందు మాత్రమే విమానం పూర్తయింది, కాబట్టి వారి పైలట్లకు శిక్షణ కోసం తక్కువ సమయం ఉంది. ఒక చిన్న ల్యాండిం"&amp;"గ్ విచారణలో, విన్సెంజీ తన ఇంజిన్ మరియు ప్రొపెల్లర్‌ను దెబ్బతీశాడు మరియు అతను ఉపసంహరించుకోవలసి వచ్చింది. అర్మాండో ఫ్రాంకోయిస్ 18 వ స్థానంలో పోటీని పూర్తి చేశాడు (34 ప్రారంభ మరియు 19 ఫినిషింగ్ సిబ్బందికి). [2] రెండవ Ps.1, ఐ-మెలో, 1930 ల చివరలో పునర్నిర్మించ"&amp;"బడింది మరియు రిజిస్ట్రేషన్ I-AGUU ఇచ్చిన కాప్రోని ca.166 ను పున es రూపకల్పన చేసింది. పోల్చదగిన పాత్ర, కాన్ఫిగరేషన్ మరియు ERA యొక్క సాధారణ లక్షణాల పనితీరు విమానం నుండి డేటా")</f>
        <v>కాప్రోని Ps.1, పల్లవిసినో PS-1 మరియు కాప్రోని CA.303 అని కూడా పిలుస్తారు, ఇది ఇటాలియన్ నాలుగు-సీట్ల స్పోర్ట్స్ ప్లేన్, ఇది 1934, యూరోపియన్ టూరింగ్ ప్లేన్ ఛాంపియన్‌షిప్‌లను ఛాలెంజ్ 1934 లో పోటీ చేయడానికి ప్రత్యేకంగా రూపొందించబడింది మరియు నిర్మించబడింది. [1] Ps.1 ను 1933 లో కాప్రోనికి తరలించిన తరువాత బ్రెడా యొక్క మాజీ డిజైనర్ సిజేర్ పల్లవిసినో రూపొందించారు. రిజిస్ట్రేషన్లు ఇ-ఫ్రాన్ మరియు ఐ-మెలో ఇచ్చిన Ps.1 యొక్క రెండు ప్రోటోటైప్‌లు మాత్రమే నిర్మించబడ్డాయి. కాప్రోని Ps.1 లోహ నిర్మాణం యొక్క నాలుగు-సీట్ల క్యాబిన్ విమానం, కాంటిలివర్ మోనోప్లేన్ తక్కువ రెక్కలు ఉన్నాయి. స్టీల్-ఫ్రేమ్డ్ ఫ్యూజ్‌లేజ్ ఫాబ్రిక్‌తో కప్పబడి ఉంది, సింగిల్-స్పార్డ్ ట్రాపెజోయిడల్ ప్లాన్‌ఫార్మ్ మడత రెక్కలు ఉక్కు నిర్మాణం యొక్క చిట్కాలను కలిగి ఉన్నాయి. క్యాబిన్ ముందు రెండు వైపుల సీట్లను ద్వంద్వ నియంత్రణలతో, మరియు వెనుక భాగంలో రెండు సీట్లు, సాధారణ బహుళ-భాగాల పందిరి క్రింద ఉంది. వెనుక స్కిడ్‌తో ముడుచుకునే సాంప్రదాయిక ల్యాండింగ్ గేర్ ఉపసంహరించబడినప్పుడు రెక్క యొక్క దిగువ ఉపరితలం నుండి మెయిన్‌వీల్స్‌తో అమర్చారు. రేడియల్ ఇంజిన్ ఫ్యూజ్‌లేజ్ ముక్కుకు అమర్చబడి, కౌలింగ్ చేత కప్పబడి, రెండు బ్లేడెడ్ ప్రొపెల్లర్‌ను నడుపుతుంది. [1] ఇంధనాన్ని 160-లీటర్ ఇంధన ట్యాంక్‌లో ఉంచారు. అర్మాండో ఫ్రాంకోయిస్ మరియు ఉగో విన్సెంజీలు ఎగిరిన ఛాలెంజ్ 1934 పోటీలో రెండు విమానాలు పాల్గొన్నాయి. సాంకేతిక మూల్యాంకనంలో, పిఎస్ -1 మెసెర్స్చ్మిట్ బిఎఫ్ 108 వెనుక రెండవ స్థానంలో నిలిచింది (పిఎస్ -1 మరియు బిఎఫ్ 108 మాత్రమే ముడుచుకునే ల్యాండింగ్ గేర్‌తో సవాలు విమానం). పోటీకి కొద్దిసేపటి ముందు మాత్రమే విమానం పూర్తయింది, కాబట్టి వారి పైలట్లకు శిక్షణ కోసం తక్కువ సమయం ఉంది. ఒక చిన్న ల్యాండింగ్ విచారణలో, విన్సెంజీ తన ఇంజిన్ మరియు ప్రొపెల్లర్‌ను దెబ్బతీశాడు మరియు అతను ఉపసంహరించుకోవలసి వచ్చింది. అర్మాండో ఫ్రాంకోయిస్ 18 వ స్థానంలో పోటీని పూర్తి చేశాడు (34 ప్రారంభ మరియు 19 ఫినిషింగ్ సిబ్బందికి). [2] రెండవ Ps.1, ఐ-మెలో, 1930 ల చివరలో పునర్నిర్మించబడింది మరియు రిజిస్ట్రేషన్ I-AGUU ఇచ్చిన కాప్రోని ca.166 ను పున es రూపకల్పన చేసింది. పోల్చదగిన పాత్ర, కాన్ఫిగరేషన్ మరియు ERA యొక్క సాధారణ లక్షణాల పనితీరు విమానం నుండి డేటా</v>
      </c>
      <c r="E151" s="1" t="s">
        <v>3134</v>
      </c>
      <c r="F151" s="1" t="s">
        <v>3135</v>
      </c>
      <c r="G151" s="1" t="str">
        <f>IFERROR(__xludf.DUMMYFUNCTION("GOOGLETRANSLATE(F:F, ""en"", ""te"")"),"స్పోర్ట్స్ ప్లేన్")</f>
        <v>స్పోర్ట్స్ ప్లేన్</v>
      </c>
      <c r="L151" s="1" t="s">
        <v>3136</v>
      </c>
      <c r="M151" s="1" t="str">
        <f>IFERROR(__xludf.DUMMYFUNCTION("GOOGLETRANSLATE(L:L, ""en"", ""te"")"),"కాప్రోని")</f>
        <v>కాప్రోని</v>
      </c>
      <c r="N151" s="3" t="s">
        <v>3137</v>
      </c>
      <c r="R151" s="1">
        <v>1934.0</v>
      </c>
      <c r="S151" s="1">
        <v>2.0</v>
      </c>
      <c r="V151" s="1" t="s">
        <v>3138</v>
      </c>
      <c r="W151" s="1" t="s">
        <v>3139</v>
      </c>
      <c r="X151" s="1" t="s">
        <v>3140</v>
      </c>
      <c r="Y151" s="1" t="s">
        <v>3141</v>
      </c>
      <c r="Z151" s="1" t="s">
        <v>3142</v>
      </c>
      <c r="AG151" s="1" t="s">
        <v>3143</v>
      </c>
      <c r="AH151" s="1" t="s">
        <v>3144</v>
      </c>
      <c r="AM151" s="1" t="s">
        <v>3145</v>
      </c>
      <c r="AV151" s="1" t="s">
        <v>3146</v>
      </c>
      <c r="AW151" s="1" t="s">
        <v>3147</v>
      </c>
      <c r="AX151" s="1" t="s">
        <v>3148</v>
      </c>
      <c r="AY151" s="1" t="str">
        <f>IFERROR(__xludf.DUMMYFUNCTION("GOOGLETRANSLATE(AX:AX, ""en"", ""te"")"),"1 × ఫియట్ A.70 ఎయిర్-కూల్డ్ 7-సిలిండర్ రేడియల్ ఇంజిన్, 147 kW (197 HP)")</f>
        <v>1 × ఫియట్ A.70 ఎయిర్-కూల్డ్ 7-సిలిండర్ రేడియల్ ఇంజిన్, 147 kW (197 HP)</v>
      </c>
      <c r="BB151" s="1" t="s">
        <v>3149</v>
      </c>
      <c r="BC151" s="1" t="s">
        <v>1205</v>
      </c>
      <c r="BD151" s="1" t="s">
        <v>3150</v>
      </c>
      <c r="BE151" s="1" t="s">
        <v>3151</v>
      </c>
      <c r="BF151" s="1" t="s">
        <v>3152</v>
      </c>
      <c r="BG151" s="2" t="str">
        <f>IFERROR(__xludf.DUMMYFUNCTION("GOOGLETRANSLATE(BF:BF, ""en"", ""te"")"),"ఇటలీ")</f>
        <v>ఇటలీ</v>
      </c>
      <c r="BR151" s="1" t="s">
        <v>1798</v>
      </c>
      <c r="BT151" s="1" t="s">
        <v>378</v>
      </c>
      <c r="BW151" s="1">
        <v>1934.0</v>
      </c>
      <c r="CB151" s="1" t="s">
        <v>3153</v>
      </c>
    </row>
    <row r="152">
      <c r="A152" s="1" t="s">
        <v>3154</v>
      </c>
      <c r="B152" s="1" t="str">
        <f>IFERROR(__xludf.DUMMYFUNCTION("GOOGLETRANSLATE(A:A, ""en"", ""te"")"),"Tupolev tu-244")</f>
        <v>Tupolev tu-244</v>
      </c>
      <c r="C152" s="1" t="s">
        <v>3155</v>
      </c>
      <c r="D152" s="1" t="str">
        <f>IFERROR(__xludf.DUMMYFUNCTION("GOOGLETRANSLATE(C:C, ""en"", ""te"")"),"టుపోలేవ్ TU-244 అనేది ప్రతిపాదిత సూపర్సోనిక్ ట్రాన్స్‌పోర్ట్ (SST) విమానం, ఇది TU-144 నుండి అభివృద్ధి చేయబడింది. ఇది 10,000 కిమీ (6,200 మైళ్ళు) వరకు విమాన దూరాలను ప్రారంభించడానికి క్రయోజెనిక్ ఇంధనం వంటి నవల లక్షణాలను అమలు చేసింది మరియు 300 మంది ప్రయాణీకుల"&amp;"ను తీసుకువెళ్ళేది. ఈ ప్రాజెక్ట్ 1993 లో రద్దు చేయబడింది. ముసాయిదా పని 1979 లో ప్రారంభమైంది, మరియు 1993 లో ప్రాజెక్ట్ ముగిసినప్పుడు, వివరణ సమయంలో ఇప్పటికే గణనీయమైన పురోగతి సాధించింది. ప్రత్యేకంగా, మాక్ 2 పరిధిలో గాలి నిరోధకత మాక్ 0,9 వేగంతో ప్రయాణించే సాంప"&amp;"్రదాయ ప్రయాణీకుల విమానాల కంటే 50% మాత్రమే ఎక్కువ. దాదాపు వృత్తాకార ఫ్యూజ్‌లేజ్ (3.9 M [12.8 అడుగులు] వెడల్పు, 4.1 M [13.5 అడుగుల ఎత్తు) మరియు రెక్కల యూనిట్ టైటానియం-కంపోజిట్ పదార్థాల యొక్క పెద్ద ఎత్తున ఉండేవి. ఇంజిన్లు కుజ్నెట్సోవ్ NK-321 టర్బోఫాన్ యొక్క "&amp;"అధిక పనితీరు హైడ్రోజన్-ఇంధన సంస్కరణలు, ఇవి TU-160 తో కూడా ఉపయోగించబడతాయి. TU-160 నుండి సర్దుబాటు చేయగల గాలి తీసుకోవడం ర్యాంప్‌లు చేర్చబడి ఉండవచ్చు. అంచనా వేసిన ప్రయాణీకుల సామర్థ్యం 311. ఫ్లై-బై-వైర్ విమాన నియంత్రణ కోసం ఉద్దేశించబడింది. టిల్టింగ్ ముక్కును "&amp;"ఉపయోగించకుండా, వీడియో కెమెరాలు సిబ్బందికి ల్యాండింగ్లకు అవసరమైన వీక్షణను అందించాలి. [సైటేషన్ అవసరం] సాధారణ లక్షణాల నుండి డేటా పోల్చదగిన పాత్ర, కాన్ఫిగరేషన్ మరియు యుగం యొక్క పనితీరు సంబంధిత అభివృద్ధి విమానం ఈ విమానయాన సంబంధిత వ్యాసం ఒక స్టబ్. వికీపీడియా వి"&amp;"స్తరించడం ద్వారా మీరు సహాయపడవచ్చు.")</f>
        <v>టుపోలేవ్ TU-244 అనేది ప్రతిపాదిత సూపర్సోనిక్ ట్రాన్స్‌పోర్ట్ (SST) విమానం, ఇది TU-144 నుండి అభివృద్ధి చేయబడింది. ఇది 10,000 కిమీ (6,200 మైళ్ళు) వరకు విమాన దూరాలను ప్రారంభించడానికి క్రయోజెనిక్ ఇంధనం వంటి నవల లక్షణాలను అమలు చేసింది మరియు 300 మంది ప్రయాణీకులను తీసుకువెళ్ళేది. ఈ ప్రాజెక్ట్ 1993 లో రద్దు చేయబడింది. ముసాయిదా పని 1979 లో ప్రారంభమైంది, మరియు 1993 లో ప్రాజెక్ట్ ముగిసినప్పుడు, వివరణ సమయంలో ఇప్పటికే గణనీయమైన పురోగతి సాధించింది. ప్రత్యేకంగా, మాక్ 2 పరిధిలో గాలి నిరోధకత మాక్ 0,9 వేగంతో ప్రయాణించే సాంప్రదాయ ప్రయాణీకుల విమానాల కంటే 50% మాత్రమే ఎక్కువ. దాదాపు వృత్తాకార ఫ్యూజ్‌లేజ్ (3.9 M [12.8 అడుగులు] వెడల్పు, 4.1 M [13.5 అడుగుల ఎత్తు) మరియు రెక్కల యూనిట్ టైటానియం-కంపోజిట్ పదార్థాల యొక్క పెద్ద ఎత్తున ఉండేవి. ఇంజిన్లు కుజ్నెట్సోవ్ NK-321 టర్బోఫాన్ యొక్క అధిక పనితీరు హైడ్రోజన్-ఇంధన సంస్కరణలు, ఇవి TU-160 తో కూడా ఉపయోగించబడతాయి. TU-160 నుండి సర్దుబాటు చేయగల గాలి తీసుకోవడం ర్యాంప్‌లు చేర్చబడి ఉండవచ్చు. అంచనా వేసిన ప్రయాణీకుల సామర్థ్యం 311. ఫ్లై-బై-వైర్ విమాన నియంత్రణ కోసం ఉద్దేశించబడింది. టిల్టింగ్ ముక్కును ఉపయోగించకుండా, వీడియో కెమెరాలు సిబ్బందికి ల్యాండింగ్లకు అవసరమైన వీక్షణను అందించాలి. [సైటేషన్ అవసరం] సాధారణ లక్షణాల నుండి డేటా పోల్చదగిన పాత్ర, కాన్ఫిగరేషన్ మరియు యుగం యొక్క పనితీరు సంబంధిత అభివృద్ధి విమానం ఈ విమానయాన సంబంధిత వ్యాసం ఒక స్టబ్. వికీపీడియా విస్తరించడం ద్వారా మీరు సహాయపడవచ్చు.</v>
      </c>
      <c r="E152" s="1" t="s">
        <v>3156</v>
      </c>
      <c r="F152" s="1" t="s">
        <v>3157</v>
      </c>
      <c r="G152" s="1" t="str">
        <f>IFERROR(__xludf.DUMMYFUNCTION("GOOGLETRANSLATE(F:F, ""en"", ""te"")"),"సూపర్సోనిక్ రవాణా")</f>
        <v>సూపర్సోనిక్ రవాణా</v>
      </c>
      <c r="H152" s="1" t="s">
        <v>3158</v>
      </c>
      <c r="L152" s="1" t="s">
        <v>1364</v>
      </c>
      <c r="M152" s="1" t="str">
        <f>IFERROR(__xludf.DUMMYFUNCTION("GOOGLETRANSLATE(L:L, ""en"", ""te"")"),"Tupolev")</f>
        <v>Tupolev</v>
      </c>
      <c r="N152" s="3" t="s">
        <v>1365</v>
      </c>
      <c r="O152" s="1" t="s">
        <v>1364</v>
      </c>
      <c r="P152" s="1" t="str">
        <f>IFERROR(__xludf.DUMMYFUNCTION("GOOGLETRANSLATE(O:O, ""en"", ""te"")"),"Tupolev")</f>
        <v>Tupolev</v>
      </c>
      <c r="Q152" s="3" t="s">
        <v>1365</v>
      </c>
      <c r="V152" s="1" t="s">
        <v>3159</v>
      </c>
      <c r="W152" s="1" t="s">
        <v>3160</v>
      </c>
      <c r="X152" s="1" t="s">
        <v>3161</v>
      </c>
      <c r="Y152" s="1" t="s">
        <v>3162</v>
      </c>
      <c r="Z152" s="1" t="s">
        <v>3163</v>
      </c>
      <c r="AG152" s="1" t="s">
        <v>3164</v>
      </c>
      <c r="AV152" s="1" t="s">
        <v>3165</v>
      </c>
      <c r="AW152" s="1" t="s">
        <v>3166</v>
      </c>
      <c r="AX152" s="1" t="s">
        <v>3167</v>
      </c>
      <c r="AY152" s="1" t="str">
        <f>IFERROR(__xludf.DUMMYFUNCTION("GOOGLETRANSLATE(AX:AX, ""en"", ""te"")"),"4 × kuznetsov nk-321 ఆఫ్టర్ బర్నింగ్ టర్బోఫాన్ ఇంజన్లు, 323.73 kN (72,780 lbf) తరువాత.")</f>
        <v>4 × kuznetsov nk-321 ఆఫ్టర్ బర్నింగ్ టర్బోఫాన్ ఇంజన్లు, 323.73 kN (72,780 lbf) తరువాత.</v>
      </c>
      <c r="BC152" s="1" t="s">
        <v>3168</v>
      </c>
      <c r="BD152" s="1" t="s">
        <v>3169</v>
      </c>
      <c r="BG152" s="2"/>
      <c r="BI152" s="1" t="s">
        <v>3170</v>
      </c>
      <c r="BJ152" s="1" t="s">
        <v>3171</v>
      </c>
      <c r="BT152" s="1" t="s">
        <v>3172</v>
      </c>
      <c r="BU152" s="1" t="s">
        <v>958</v>
      </c>
      <c r="BV152" s="1" t="str">
        <f>IFERROR(__xludf.DUMMYFUNCTION("GOOGLETRANSLATE(BU:BU, ""en"", ""te"")"),"రద్దు")</f>
        <v>రద్దు</v>
      </c>
      <c r="BX152" s="1"/>
      <c r="BY152" s="1" t="s">
        <v>3173</v>
      </c>
    </row>
    <row r="153">
      <c r="A153" s="1" t="s">
        <v>3174</v>
      </c>
      <c r="B153" s="1" t="str">
        <f>IFERROR(__xludf.DUMMYFUNCTION("GOOGLETRANSLATE(A:A, ""en"", ""te"")"),"DFS క్రానిచ్")</f>
        <v>DFS క్రానిచ్</v>
      </c>
      <c r="C153" s="1" t="s">
        <v>3175</v>
      </c>
      <c r="D153" s="1" t="str">
        <f>IFERROR(__xludf.DUMMYFUNCTION("GOOGLETRANSLATE(C:C, ""en"", ""te"")"),"DFS క్రానిచ్ ఒక రకమైన జర్మన్ గ్లైడర్. దీనిని డ్యూయిష్ ఫోర్స్చుంగ్సన్‌స్టాల్ట్ ఫర్ సెగెల్ఫ్‌లగ్ (డిఎఫ్‌ఎస్) కోసం హన్స్ జాకబ్స్ అభివృద్ధి చేశారు. మన్హీమ్‌లోని కార్ల్ ష్వేయర్ ఎజి యొక్క విమాన విభాగంలో క్రానిచ్ (క్రేన్) యొక్క సిరీస్ ఉత్పత్తి జరిగింది. రెండు-సీ"&amp;"ట్ల దాని వెర్షన్ 2 లో, 1935 నుండి 1939 వరకు జర్మనీలో విస్తృతంగా నిర్మించిన రెండు-సీట్ల గ్లైడర్. అనేక వందల ఉదాహరణలు నిర్మించబడ్డాయి; ఖచ్చితమైన సంఖ్యలు తెలియదు. 11 అక్టోబర్ 1940 న క్రానిచ్‌లోని ఎరిక్ క్లోక్నర్ 11,460 మీ (37598 అడుగులు) గ్లైడర్‌లో రికార్డు ఎ"&amp;"త్తును సాధించాడు. ఇది యుద్ధకాలంలో సంభవించినందున, ఆల్టిట్యూడ్ రికార్డ్ మిత్రరాజ్యాల ఆక్రమణ శక్తులచే గుర్తించబడలేదు, మరియు 1990 ల చివరలో క్లాక్నర్ ఫెడిరేషన్ ఏరోనటిక్ ఇంటర్నేషనల్ (FAI) చేత అధికారిక గుర్తింపును పొందారు. [1] సియెర్రా నెవాడాలో ఇదే విధమైన శాస్త్"&amp;"రీయ కార్యక్రమంలో అమెరికన్ బిల్ ఇవాన్స్ విమాన ప్రయాణం చేసిన పదేళ్ల తర్వాత ఈ రికార్డు ఎత్తుకు మించిపోయింది. 1942 లో, 30 క్రానిచ్‌లను నోర్కేపింగ్‌లోని స్వీడిష్ తయారీదారు ఎబి ఫ్లైగ్‌ప్లాన్ నిర్మించారు మరియు శిక్షణా ప్రయోజనాల కోసం స్వీడిష్ వైమానిక దళానికి పంపి"&amp;"ణీ చేశారు. ఈ యంత్రాలకు మిలిటరీ హోదా ఫ్లైగ్ప్లాన్ SE 103 ఇవ్వబడింది. 1950 మరియు 1952 మధ్య 50 మంది క్రానిచ్ II యొక్క కొద్దిగా సవరించిన కాపీ యొక్క ఉదాహరణలు పోలాండ్‌లో నిర్మించబడ్డాయి, దీనిని SZD-C żuraw అని పిలుస్తారు (పోలిష్ = ""క్రేన్"" లో żuraw ఈజ్ క్రాని"&amp;"చ్). 1947-48 10 ఉదాహరణల మధ్య మరియు 1957 వరకు, 17 క్రానిచ్ II యొక్క కొంచెం సవరించిన కాపీని యుగోస్లేవియాలో నిర్మించారు, వారు జర్మన్లు ​​వదిలిపెట్టిన రెండు యుద్ధ ట్రోఫీని కూడా మరమ్మతులు చేశారు. వాటిని ఉట్వా ždral లిబిస్ žerjav (ždral-žerjav సెర్బియన్ మరియు స"&amp;"్లోవేనియన్ = ""క్రేన్"" లో క్రానిచ్ అని పిలుస్తారు. యుద్ధం తరువాత, జాకబ్స్ క్రానిచ్ III ను రూపొందించారు, ఇది దాని పూర్వీకుల నుండి చాలా భిన్నమైన కొత్త అభివృద్ధి. ఇది బ్రెమెన్‌లోని ఫోకే-వుల్ఫ్ ఎయిర్‌క్రాఫ్ట్ ఫ్యాక్టరీలో అభివృద్ధి చేయబడింది మరియు ఉత్పత్తి చే"&amp;"యబడింది. మొదటి ఫ్లైట్ 1 మే 1952 న, హన్నా రీట్ష్ పైలట్ చేయబడింది. ముప్పై ఏడు నిర్మించారు. ప్రపంచంలోని సెయిల్ ప్లానెస్ నుండి డేటా: డై సెగెల్ఫ్లుగ్జ్యూజ్ డెర్ వెల్ట్: లెస్ ప్లానర్స్ డు మోండే [2] సాధారణ లక్షణాల పనితీరు")</f>
        <v>DFS క్రానిచ్ ఒక రకమైన జర్మన్ గ్లైడర్. దీనిని డ్యూయిష్ ఫోర్స్చుంగ్సన్‌స్టాల్ట్ ఫర్ సెగెల్ఫ్‌లగ్ (డిఎఫ్‌ఎస్) కోసం హన్స్ జాకబ్స్ అభివృద్ధి చేశారు. మన్హీమ్‌లోని కార్ల్ ష్వేయర్ ఎజి యొక్క విమాన విభాగంలో క్రానిచ్ (క్రేన్) యొక్క సిరీస్ ఉత్పత్తి జరిగింది. రెండు-సీట్ల దాని వెర్షన్ 2 లో, 1935 నుండి 1939 వరకు జర్మనీలో విస్తృతంగా నిర్మించిన రెండు-సీట్ల గ్లైడర్. అనేక వందల ఉదాహరణలు నిర్మించబడ్డాయి; ఖచ్చితమైన సంఖ్యలు తెలియదు. 11 అక్టోబర్ 1940 న క్రానిచ్‌లోని ఎరిక్ క్లోక్నర్ 11,460 మీ (37598 అడుగులు) గ్లైడర్‌లో రికార్డు ఎత్తును సాధించాడు. ఇది యుద్ధకాలంలో సంభవించినందున, ఆల్టిట్యూడ్ రికార్డ్ మిత్రరాజ్యాల ఆక్రమణ శక్తులచే గుర్తించబడలేదు, మరియు 1990 ల చివరలో క్లాక్నర్ ఫెడిరేషన్ ఏరోనటిక్ ఇంటర్నేషనల్ (FAI) చేత అధికారిక గుర్తింపును పొందారు. [1] సియెర్రా నెవాడాలో ఇదే విధమైన శాస్త్రీయ కార్యక్రమంలో అమెరికన్ బిల్ ఇవాన్స్ విమాన ప్రయాణం చేసిన పదేళ్ల తర్వాత ఈ రికార్డు ఎత్తుకు మించిపోయింది. 1942 లో, 30 క్రానిచ్‌లను నోర్కేపింగ్‌లోని స్వీడిష్ తయారీదారు ఎబి ఫ్లైగ్‌ప్లాన్ నిర్మించారు మరియు శిక్షణా ప్రయోజనాల కోసం స్వీడిష్ వైమానిక దళానికి పంపిణీ చేశారు. ఈ యంత్రాలకు మిలిటరీ హోదా ఫ్లైగ్ప్లాన్ SE 103 ఇవ్వబడింది. 1950 మరియు 1952 మధ్య 50 మంది క్రానిచ్ II యొక్క కొద్దిగా సవరించిన కాపీ యొక్క ఉదాహరణలు పోలాండ్‌లో నిర్మించబడ్డాయి, దీనిని SZD-C żuraw అని పిలుస్తారు (పోలిష్ = "క్రేన్" లో żuraw ఈజ్ క్రానిచ్). 1947-48 10 ఉదాహరణల మధ్య మరియు 1957 వరకు, 17 క్రానిచ్ II యొక్క కొంచెం సవరించిన కాపీని యుగోస్లేవియాలో నిర్మించారు, వారు జర్మన్లు ​​వదిలిపెట్టిన రెండు యుద్ధ ట్రోఫీని కూడా మరమ్మతులు చేశారు. వాటిని ఉట్వా ždral లిబిస్ žerjav (ždral-žerjav సెర్బియన్ మరియు స్లోవేనియన్ = "క్రేన్" లో క్రానిచ్ అని పిలుస్తారు. యుద్ధం తరువాత, జాకబ్స్ క్రానిచ్ III ను రూపొందించారు, ఇది దాని పూర్వీకుల నుండి చాలా భిన్నమైన కొత్త అభివృద్ధి. ఇది బ్రెమెన్‌లోని ఫోకే-వుల్ఫ్ ఎయిర్‌క్రాఫ్ట్ ఫ్యాక్టరీలో అభివృద్ధి చేయబడింది మరియు ఉత్పత్తి చేయబడింది. మొదటి ఫ్లైట్ 1 మే 1952 న, హన్నా రీట్ష్ పైలట్ చేయబడింది. ముప్పై ఏడు నిర్మించారు. ప్రపంచంలోని సెయిల్ ప్లానెస్ నుండి డేటా: డై సెగెల్ఫ్లుగ్జ్యూజ్ డెర్ వెల్ట్: లెస్ ప్లానర్స్ డు మోండే [2] సాధారణ లక్షణాల పనితీరు</v>
      </c>
      <c r="E153" s="1" t="s">
        <v>3176</v>
      </c>
      <c r="F153" s="1" t="s">
        <v>3177</v>
      </c>
      <c r="G153" s="1" t="str">
        <f>IFERROR(__xludf.DUMMYFUNCTION("GOOGLETRANSLATE(F:F, ""en"", ""te"")"),"రెండు-సీట్ల సెయిల్ ప్లేన్")</f>
        <v>రెండు-సీట్ల సెయిల్ ప్లేన్</v>
      </c>
      <c r="L153" s="1" t="s">
        <v>3178</v>
      </c>
      <c r="M153" s="1" t="str">
        <f>IFERROR(__xludf.DUMMYFUNCTION("GOOGLETRANSLATE(L:L, ""en"", ""te"")"),"కార్ల్ ష్వేయర్ AG (ప్రాధమిక తయారీదారు)")</f>
        <v>కార్ల్ ష్వేయర్ AG (ప్రాధమిక తయారీదారు)</v>
      </c>
      <c r="N153" s="1" t="s">
        <v>3179</v>
      </c>
      <c r="O153" s="1" t="s">
        <v>3180</v>
      </c>
      <c r="P153" s="1" t="str">
        <f>IFERROR(__xludf.DUMMYFUNCTION("GOOGLETRANSLATE(O:O, ""en"", ""te"")"),"DFS కోసం హన్స్ జాకబ్స్")</f>
        <v>DFS కోసం హన్స్ జాకబ్స్</v>
      </c>
      <c r="Q153" s="1" t="s">
        <v>3181</v>
      </c>
      <c r="R153" s="1">
        <v>1935.0</v>
      </c>
      <c r="T153" s="1" t="s">
        <v>3182</v>
      </c>
      <c r="U153" s="1" t="s">
        <v>3183</v>
      </c>
      <c r="V153" s="1">
        <v>2.0</v>
      </c>
      <c r="W153" s="1" t="s">
        <v>3184</v>
      </c>
      <c r="X153" s="1" t="s">
        <v>3185</v>
      </c>
      <c r="Z153" s="1" t="s">
        <v>3186</v>
      </c>
      <c r="AE153" s="1">
        <v>14.3</v>
      </c>
      <c r="AF153" s="1" t="s">
        <v>3187</v>
      </c>
      <c r="AG153" s="1" t="s">
        <v>3188</v>
      </c>
      <c r="AI153" s="1" t="s">
        <v>2817</v>
      </c>
      <c r="AK153" s="1" t="s">
        <v>3189</v>
      </c>
      <c r="AL153" s="1" t="s">
        <v>3190</v>
      </c>
      <c r="AM153" s="1" t="s">
        <v>3191</v>
      </c>
      <c r="BG153" s="2"/>
      <c r="BX153" s="1"/>
      <c r="BY153" s="1" t="s">
        <v>1975</v>
      </c>
      <c r="FR153" s="1" t="s">
        <v>3192</v>
      </c>
      <c r="FS153" s="1" t="s">
        <v>3193</v>
      </c>
      <c r="FT153" s="1" t="s">
        <v>3194</v>
      </c>
    </row>
    <row r="154">
      <c r="A154" s="1" t="s">
        <v>3195</v>
      </c>
      <c r="B154" s="1" t="str">
        <f>IFERROR(__xludf.DUMMYFUNCTION("GOOGLETRANSLATE(A:A, ""en"", ""te"")"),"మైల్స్ M.20")</f>
        <v>మైల్స్ M.20</v>
      </c>
      <c r="C154" s="1" t="s">
        <v>3196</v>
      </c>
      <c r="D154" s="1" t="str">
        <f>IFERROR(__xludf.DUMMYFUNCTION("GOOGLETRANSLATE(C:C, ""en"", ""te"")"),"మైల్స్ M.20 1940 లో మైల్స్ విమానాలచే అభివృద్ధి చేయబడిన రెండవ ప్రపంచ యుద్ధ బ్రిటిష్ ఫైటర్. ఇది రాయల్ వైమానిక దళం యొక్క స్పిట్ ఫైర్స్ మరియు తుఫానులకు సరళమైన మరియు శీఘ్ర-నిర్మిత ""అత్యవసర పోరాట యోధుడు"" ప్రత్యామ్నాయంగా రూపొందించబడింది. యునైటెడ్ కింగ్‌డమ్‌లో "&amp;"జర్మన్ దండయాత్రలో బాంబు దాడి. బ్రిటిష్ నగరాల వైపు బ్రిటన్ యుద్ధం తరువాత జర్మన్ బాంబు దాడుల తరువాత బ్లిట్జ్ అని పిలవబడే కారణంగా, బ్రిటిష్ ఫైటర్ తయారీ యొక్క చెదరగొట్టడంతో, లుఫ్ట్‌వాఫ్ఫ్ అసలు స్పైట్‌ఫైర్ మరియు హరికేన్ కర్మాగారాలపై బాంబు దాడి చేయడం వల్ల ఉత్పత"&amp;"్తిని తీవ్రంగా ప్రభావితం చేయలేదు. , కాబట్టి M.20 అనవసరంగా నిరూపించబడింది మరియు డిజైన్ కొనసాగించబడలేదు. సెప్టెంబర్ 1939 లో రెండవ ప్రపంచ యుద్ధం ప్రారంభమైనప్పుడు, మైల్స్ విమానం RAF యొక్క స్పిట్‌ఫైర్స్ మరియు హరికేన్స్‌కు అనుబంధంగా ఒకే ఇంజిన్ ఫైటర్‌పై పని ప్రా"&amp;"రంభించింది. డిజైన్ యొక్క చెక్క మాక్-అప్, M20/1, ఎయిర్ కోసం రాష్ట్ర కార్యదర్శి సర్ కింగ్స్లీ వుడ్ చేత తనిఖీ చేయబడింది, కాని ఎటువంటి ఉత్తర్వులు పాటించలేదు. [1] జూలై 1940 లో బ్రిటన్ యుద్ధం ప్రారంభమైన తరువాత, రాయల్ వైమానిక దళం యోధుల కొరతను ఎదుర్కొంది. లుఫ్ట్‌"&amp;"వాఫే ముప్పును తీర్చడానికి, వైమానిక మంత్రిత్వ శాఖ మైళ్ళ దూరంలో సరళంగా నిర్మించగలిగే ఫైటర్‌ను స్పెసిఫికేషన్ F.19/40 కు రూపొందించడానికి నియమించింది. ఇది మైల్స్ M.20/2 గా మారింది. తొమ్మిది వారాలు మరియు రెండు రోజుల తరువాత మొదటి నమూనా ఎగిరింది. [2] [1] ఉత్పత్తి"&amp;" సమయాన్ని తగ్గించడానికి. స్థిర అండర్ క్యారేజ్ ఫ్రీడ్ స్పేస్ మరియు పేలోడ్ పన్నెండు .303 బ్రౌనింగ్ మెషిన్ గన్స్ మరియు 5000 రౌండ్లు, మరియు 154 ఇంపీరియల్ గ్యాలన్లు (700 లీటర్లు) ఇంధనం (హాకర్ హరికేన్ మరియు సూపర్మారిన్ స్పిట్‌ఫైర్ యొక్క డబుల్ రేంజ్ మరియు మందుగు"&amp;"ండు సామగ్రి). [3] మెరుగైన 360-డిగ్రీ దృష్టి కోసం M.20 బబుల్ పందిరితో అమర్చారు. సరళత, వేగం మరియు అందుబాటులో ఉన్న భాగాలను తిరిగి ఉపయోగించడాన్ని నొక్కిచెప్పే డిజైన్ ఫిలాసఫీకి అనుగుణంగా, ఇంజిన్ మెర్లిన్-శక్తితో కూడిన అవ్రో లాంకాస్టర్స్ మరియు బ్రిస్టల్ బ్యూఫైట"&amp;"ర్స్ పై ఉపయోగించిన వాటికి సమానమైన రోల్స్ రాయిస్ మెర్లిన్ XX ""పవర్ ఎగ్"". ఇది బ్రిటన్ యొక్క రెండు ఫ్రంట్‌లైన్ యోధుల మధ్య పడిపోయిన విమాన ప్రదర్శనను ఇచ్చింది. మొదటి ప్రోటోటైప్ మొదట 15 సెప్టెంబర్ 1940 న ప్రయాణించింది, [4] మరియు సైనిక సీరియల్ నంబర్ AX834 కింద"&amp;" A &amp; AEE వద్ద స్పెసిఫికేషన్ F.19/40 కి వ్యతిరేకంగా పరీక్షించబడింది. హరికేన్ వంటి ఎనిమిది .303 బ్రౌనింగ్ మెషిన్ గన్‌లతో సాయుధమై, M.20 ప్రోటోటైప్ హరికేన్ కంటే వేగంగా ఉంది, కాని అప్పుడు ఉత్పత్తిలో స్పిట్‌ఫైర్ రకాల కంటే నెమ్మదిగా ఉంది, కానీ ఎక్కువ మందుగుండు స"&amp;"ామగ్రిని కలిగి ఉంది మరియు రెండింటి కంటే ఎక్కువ పరిధిని కలిగి ఉంది. బ్రిటన్పై లుఫ్ట్‌వాఫ్ఫ్ ఓడిపోయిన తర్వాత, M.20 యొక్క అవసరం అదృశ్యమైంది మరియు ఉత్పత్తిలోకి ప్రవేశించకుండా డిజైన్ వదిలివేయబడింది. మొదటి నమూనా వుడ్లీ వద్ద స్క్రాప్ చేయబడింది. రెండవ నమూనా, U-02"&amp;"28 (తరువాత DR616) ఒక ఫ్లీట్ ఎయిర్ ఆర్మ్ షిప్‌బోర్డ్ ఫైటర్ కోసం N.1/41 స్పెసిఫికేషన్ కోసం నిర్మించబడింది, వీటిలో అరెస్టర్ హుక్ మరియు కాటాపుల్ట్ లాంచ్ పాయింట్లు ఉన్నాయి. ఇది మొదట 8 ఏప్రిల్ 1941 న ప్రయాణించింది. [5] ఈ వేరియంట్‌ను కాటాపుల్ట్ ఎయిర్‌క్రాఫ్ట్ మర"&amp;"్చంట్ షిప్స్ ప్రారంభించవచ్చు, దీనికి ఫ్లైట్ డెక్స్ లేవు, కాబట్టి విమానం వారి మిషన్ తర్వాత తొలగించబడాలి మరియు దీనిని సులభతరం చేయడానికి అండర్ క్యారేజీని జెట్టిసన్ చేయవచ్చు. ఏదేమైనా, వాడుకలో లేని తుఫానులు ఈ పాత్రను పూరించడానికి సవరించబడ్డాయి, ఇది M.20 యొక్క "&amp;"షిప్‌బోర్డ్ వేరియంట్‌ను అనవసరంగా చేసింది. పర్యవసానంగా, ఈ నమూనా కూడా రద్దు చేయబడింది. టెస్ట్ పైలట్ ఎరిక్ బ్రౌన్ జనవరి 1942 లో ఈ విమానాన్ని ఎగరేశాడు. ""ప్రదర్శనలో ఆశ్చర్యకరంగా నిప్పీ అయినప్పటికీ, మార్ట్‌లెట్, హరికేన్ లేదా స్పిట్‌ఫైర్‌తో యుక్తిలో సరిపోలలేదు"&amp;""" అని అతను నివేదించాడు. [6] దీనికి మార్ట్‌లెట్ యొక్క అద్భుతమైన డెక్ ల్యాండింగ్ లక్షణాలు కూడా లేవు. ఖాతాలు M.20 యొక్క పనితీరును బ్రిటన్ విమానాల యుద్ధంతో పోల్చాయి. M.20 (20,400 అడుగుల (6,200 మీ) వద్ద 345 mph (555 km/h)) రెండు-స్పీడ్ సూపర్ఛార్జర్‌తో రోల్స్ "&amp;"రాయిస్ మెర్లిన్ XX చేత శక్తినిచ్చింది. అదే ఇంజిన్‌తో కూడిన హరికేన్ IIB 22,000 అడుగులు (6,700 మీ) వద్ద 342 mph (550 km/h) చేసింది. ఇదే విధమైన మెర్లిన్ 45 చేత శక్తినిచ్చే స్పిట్‌ఫైర్ MK.VC, 13,000 అడుగులు (4,000 మీ) వద్ద 374 mph (602 km/h) చేసింది. స్పిట్‌ఫ"&amp;"ైర్ రెండు 20 మిమీ (0.79 అంగుళాలు) ఫిరంగులు మరియు నాలుగు .303 (7.7 మిమీ) మెషిన్ గన్‌లతో సాయుధమైంది. మిగతా రెండు విమానాలు (7.7 మిమీ) మెషిన్ గన్లలో ఎనిమిది .303 తో సాయుధమయ్యాయి. [7] 1912 నుండి బ్రిటిష్ ఫైటర్ నుండి వచ్చిన డేటా, [8] 1925 నుండి మైళ్ల విమానం [9]"&amp;" సాధారణ లక్షణాలు పనితీరు ఆయుధాల సంబంధిత అభివృద్ధి విమానం పోల్చదగిన పాత్ర, కాన్ఫిగరేషన్ మరియు ERA సంబంధిత జాబితాలు")</f>
        <v>మైల్స్ M.20 1940 లో మైల్స్ విమానాలచే అభివృద్ధి చేయబడిన రెండవ ప్రపంచ యుద్ధ బ్రిటిష్ ఫైటర్. ఇది రాయల్ వైమానిక దళం యొక్క స్పిట్ ఫైర్స్ మరియు తుఫానులకు సరళమైన మరియు శీఘ్ర-నిర్మిత "అత్యవసర పోరాట యోధుడు" ప్రత్యామ్నాయంగా రూపొందించబడింది. యునైటెడ్ కింగ్‌డమ్‌లో జర్మన్ దండయాత్రలో బాంబు దాడి. బ్రిటిష్ నగరాల వైపు బ్రిటన్ యుద్ధం తరువాత జర్మన్ బాంబు దాడుల తరువాత బ్లిట్జ్ అని పిలవబడే కారణంగా, బ్రిటిష్ ఫైటర్ తయారీ యొక్క చెదరగొట్టడంతో, లుఫ్ట్‌వాఫ్ఫ్ అసలు స్పైట్‌ఫైర్ మరియు హరికేన్ కర్మాగారాలపై బాంబు దాడి చేయడం వల్ల ఉత్పత్తిని తీవ్రంగా ప్రభావితం చేయలేదు. , కాబట్టి M.20 అనవసరంగా నిరూపించబడింది మరియు డిజైన్ కొనసాగించబడలేదు. సెప్టెంబర్ 1939 లో రెండవ ప్రపంచ యుద్ధం ప్రారంభమైనప్పుడు, మైల్స్ విమానం RAF యొక్క స్పిట్‌ఫైర్స్ మరియు హరికేన్స్‌కు అనుబంధంగా ఒకే ఇంజిన్ ఫైటర్‌పై పని ప్రారంభించింది. డిజైన్ యొక్క చెక్క మాక్-అప్, M20/1, ఎయిర్ కోసం రాష్ట్ర కార్యదర్శి సర్ కింగ్స్లీ వుడ్ చేత తనిఖీ చేయబడింది, కాని ఎటువంటి ఉత్తర్వులు పాటించలేదు. [1] జూలై 1940 లో బ్రిటన్ యుద్ధం ప్రారంభమైన తరువాత, రాయల్ వైమానిక దళం యోధుల కొరతను ఎదుర్కొంది. లుఫ్ట్‌వాఫే ముప్పును తీర్చడానికి, వైమానిక మంత్రిత్వ శాఖ మైళ్ళ దూరంలో సరళంగా నిర్మించగలిగే ఫైటర్‌ను స్పెసిఫికేషన్ F.19/40 కు రూపొందించడానికి నియమించింది. ఇది మైల్స్ M.20/2 గా మారింది. తొమ్మిది వారాలు మరియు రెండు రోజుల తరువాత మొదటి నమూనా ఎగిరింది. [2] [1] ఉత్పత్తి సమయాన్ని తగ్గించడానికి. స్థిర అండర్ క్యారేజ్ ఫ్రీడ్ స్పేస్ మరియు పేలోడ్ పన్నెండు .303 బ్రౌనింగ్ మెషిన్ గన్స్ మరియు 5000 రౌండ్లు, మరియు 154 ఇంపీరియల్ గ్యాలన్లు (700 లీటర్లు) ఇంధనం (హాకర్ హరికేన్ మరియు సూపర్మారిన్ స్పిట్‌ఫైర్ యొక్క డబుల్ రేంజ్ మరియు మందుగుండు సామగ్రి). [3] మెరుగైన 360-డిగ్రీ దృష్టి కోసం M.20 బబుల్ పందిరితో అమర్చారు. సరళత, వేగం మరియు అందుబాటులో ఉన్న భాగాలను తిరిగి ఉపయోగించడాన్ని నొక్కిచెప్పే డిజైన్ ఫిలాసఫీకి అనుగుణంగా, ఇంజిన్ మెర్లిన్-శక్తితో కూడిన అవ్రో లాంకాస్టర్స్ మరియు బ్రిస్టల్ బ్యూఫైటర్స్ పై ఉపయోగించిన వాటికి సమానమైన రోల్స్ రాయిస్ మెర్లిన్ XX "పవర్ ఎగ్". ఇది బ్రిటన్ యొక్క రెండు ఫ్రంట్‌లైన్ యోధుల మధ్య పడిపోయిన విమాన ప్రదర్శనను ఇచ్చింది. మొదటి ప్రోటోటైప్ మొదట 15 సెప్టెంబర్ 1940 న ప్రయాణించింది, [4] మరియు సైనిక సీరియల్ నంబర్ AX834 కింద A &amp; AEE వద్ద స్పెసిఫికేషన్ F.19/40 కి వ్యతిరేకంగా పరీక్షించబడింది. హరికేన్ వంటి ఎనిమిది .303 బ్రౌనింగ్ మెషిన్ గన్‌లతో సాయుధమై, M.20 ప్రోటోటైప్ హరికేన్ కంటే వేగంగా ఉంది, కాని అప్పుడు ఉత్పత్తిలో స్పిట్‌ఫైర్ రకాల కంటే నెమ్మదిగా ఉంది, కానీ ఎక్కువ మందుగుండు సామగ్రిని కలిగి ఉంది మరియు రెండింటి కంటే ఎక్కువ పరిధిని కలిగి ఉంది. బ్రిటన్పై లుఫ్ట్‌వాఫ్ఫ్ ఓడిపోయిన తర్వాత, M.20 యొక్క అవసరం అదృశ్యమైంది మరియు ఉత్పత్తిలోకి ప్రవేశించకుండా డిజైన్ వదిలివేయబడింది. మొదటి నమూనా వుడ్లీ వద్ద స్క్రాప్ చేయబడింది. రెండవ నమూనా, U-0228 (తరువాత DR616) ఒక ఫ్లీట్ ఎయిర్ ఆర్మ్ షిప్‌బోర్డ్ ఫైటర్ కోసం N.1/41 స్పెసిఫికేషన్ కోసం నిర్మించబడింది, వీటిలో అరెస్టర్ హుక్ మరియు కాటాపుల్ట్ లాంచ్ పాయింట్లు ఉన్నాయి. ఇది మొదట 8 ఏప్రిల్ 1941 న ప్రయాణించింది. [5] ఈ వేరియంట్‌ను కాటాపుల్ట్ ఎయిర్‌క్రాఫ్ట్ మర్చంట్ షిప్స్ ప్రారంభించవచ్చు, దీనికి ఫ్లైట్ డెక్స్ లేవు, కాబట్టి విమానం వారి మిషన్ తర్వాత తొలగించబడాలి మరియు దీనిని సులభతరం చేయడానికి అండర్ క్యారేజీని జెట్టిసన్ చేయవచ్చు. ఏదేమైనా, వాడుకలో లేని తుఫానులు ఈ పాత్రను పూరించడానికి సవరించబడ్డాయి, ఇది M.20 యొక్క షిప్‌బోర్డ్ వేరియంట్‌ను అనవసరంగా చేసింది. పర్యవసానంగా, ఈ నమూనా కూడా రద్దు చేయబడింది. టెస్ట్ పైలట్ ఎరిక్ బ్రౌన్ జనవరి 1942 లో ఈ విమానాన్ని ఎగరేశాడు. "ప్రదర్శనలో ఆశ్చర్యకరంగా నిప్పీ అయినప్పటికీ, మార్ట్‌లెట్, హరికేన్ లేదా స్పిట్‌ఫైర్‌తో యుక్తిలో సరిపోలలేదు" అని అతను నివేదించాడు. [6] దీనికి మార్ట్‌లెట్ యొక్క అద్భుతమైన డెక్ ల్యాండింగ్ లక్షణాలు కూడా లేవు. ఖాతాలు M.20 యొక్క పనితీరును బ్రిటన్ విమానాల యుద్ధంతో పోల్చాయి. M.20 (20,400 అడుగుల (6,200 మీ) వద్ద 345 mph (555 km/h)) రెండు-స్పీడ్ సూపర్ఛార్జర్‌తో రోల్స్ రాయిస్ మెర్లిన్ XX చేత శక్తినిచ్చింది. అదే ఇంజిన్‌తో కూడిన హరికేన్ IIB 22,000 అడుగులు (6,700 మీ) వద్ద 342 mph (550 km/h) చేసింది. ఇదే విధమైన మెర్లిన్ 45 చేత శక్తినిచ్చే స్పిట్‌ఫైర్ MK.VC, 13,000 అడుగులు (4,000 మీ) వద్ద 374 mph (602 km/h) చేసింది. స్పిట్‌ఫైర్ రెండు 20 మిమీ (0.79 అంగుళాలు) ఫిరంగులు మరియు నాలుగు .303 (7.7 మిమీ) మెషిన్ గన్‌లతో సాయుధమైంది. మిగతా రెండు విమానాలు (7.7 మిమీ) మెషిన్ గన్లలో ఎనిమిది .303 తో సాయుధమయ్యాయి. [7] 1912 నుండి బ్రిటిష్ ఫైటర్ నుండి వచ్చిన డేటా, [8] 1925 నుండి మైళ్ల విమానం [9] సాధారణ లక్షణాలు పనితీరు ఆయుధాల సంబంధిత అభివృద్ధి విమానం పోల్చదగిన పాత్ర, కాన్ఫిగరేషన్ మరియు ERA సంబంధిత జాబితాలు</v>
      </c>
      <c r="E154" s="1" t="s">
        <v>3197</v>
      </c>
      <c r="F154" s="1" t="s">
        <v>3198</v>
      </c>
      <c r="G154" s="1" t="str">
        <f>IFERROR(__xludf.DUMMYFUNCTION("GOOGLETRANSLATE(F:F, ""en"", ""te"")"),"తేలికపాటి ఫైటర్")</f>
        <v>తేలికపాటి ఫైటర్</v>
      </c>
      <c r="L154" s="1" t="s">
        <v>1164</v>
      </c>
      <c r="M154" s="1" t="str">
        <f>IFERROR(__xludf.DUMMYFUNCTION("GOOGLETRANSLATE(L:L, ""en"", ""te"")"),"మైల్స్ విమానం")</f>
        <v>మైల్స్ విమానం</v>
      </c>
      <c r="N154" s="1" t="s">
        <v>1165</v>
      </c>
      <c r="O154" s="1" t="s">
        <v>3199</v>
      </c>
      <c r="P154" s="1" t="str">
        <f>IFERROR(__xludf.DUMMYFUNCTION("GOOGLETRANSLATE(O:O, ""en"", ""te"")"),"వాల్టర్ జి. కాప్లీ")</f>
        <v>వాల్టర్ జి. కాప్లీ</v>
      </c>
      <c r="R154" s="4">
        <v>14869.0</v>
      </c>
      <c r="S154" s="1" t="s">
        <v>3200</v>
      </c>
      <c r="V154" s="1" t="s">
        <v>819</v>
      </c>
      <c r="W154" s="1" t="s">
        <v>3201</v>
      </c>
      <c r="X154" s="1" t="s">
        <v>3202</v>
      </c>
      <c r="Y154" s="1" t="s">
        <v>3203</v>
      </c>
      <c r="Z154" s="1" t="s">
        <v>3204</v>
      </c>
      <c r="AF154" s="1" t="s">
        <v>247</v>
      </c>
      <c r="AG154" s="1" t="s">
        <v>3205</v>
      </c>
      <c r="AM154" s="1" t="s">
        <v>3206</v>
      </c>
      <c r="AW154" s="1" t="s">
        <v>3207</v>
      </c>
      <c r="AX154" s="1" t="s">
        <v>3208</v>
      </c>
      <c r="AY154" s="1" t="str">
        <f>IFERROR(__xludf.DUMMYFUNCTION("GOOGLETRANSLATE(AX:AX, ""en"", ""te"")"),"1 × రోల్స్ రాయిస్ మెర్లిన్ XX V-12 లిక్విడ్-కూల్డ్ పిస్టన్ ఇంజిన్, 3,000 RPM వద్ద 1,260 HP (940 kW)")</f>
        <v>1 × రోల్స్ రాయిస్ మెర్లిన్ XX V-12 లిక్విడ్-కూల్డ్ పిస్టన్ ఇంజిన్, 3,000 RPM వద్ద 1,260 HP (940 kW)</v>
      </c>
      <c r="AZ154" s="1" t="s">
        <v>3209</v>
      </c>
      <c r="BA154" s="1" t="str">
        <f>IFERROR(__xludf.DUMMYFUNCTION("GOOGLETRANSLATE(AZ:AZ, ""en"", ""te"")"),"3-బ్లేడెడ్ రోటోల్ స్థిరమైన-స్పీడ్ ప్రొపెల్లర్")</f>
        <v>3-బ్లేడెడ్ రోటోల్ స్థిరమైన-స్పీడ్ ప్రొపెల్లర్</v>
      </c>
      <c r="BB154" s="1" t="s">
        <v>3210</v>
      </c>
      <c r="BD154" s="1" t="s">
        <v>3211</v>
      </c>
      <c r="BF154" s="1" t="s">
        <v>3212</v>
      </c>
      <c r="BG154" s="2" t="str">
        <f>IFERROR(__xludf.DUMMYFUNCTION("GOOGLETRANSLATE(BF:BF, ""en"", ""te"")"),"రాయల్ వైమానిక దళం (ట్రయల్స్ మాత్రమే)")</f>
        <v>రాయల్ వైమానిక దళం (ట్రయల్స్ మాత్రమే)</v>
      </c>
      <c r="BH154" s="1" t="s">
        <v>3213</v>
      </c>
      <c r="BI154" s="1" t="s">
        <v>1181</v>
      </c>
      <c r="BJ154" s="1" t="s">
        <v>1182</v>
      </c>
      <c r="BR154" s="1" t="s">
        <v>3214</v>
      </c>
      <c r="BS154" s="1" t="s">
        <v>3215</v>
      </c>
      <c r="BT154" s="1" t="s">
        <v>3216</v>
      </c>
      <c r="BX154" s="1"/>
      <c r="BY154" s="1" t="s">
        <v>3217</v>
      </c>
      <c r="BZ154" s="1" t="s">
        <v>3218</v>
      </c>
      <c r="CB154" s="1" t="s">
        <v>3219</v>
      </c>
      <c r="CC154" s="1" t="s">
        <v>3220</v>
      </c>
      <c r="CD154" s="1" t="str">
        <f>IFERROR(__xludf.DUMMYFUNCTION("GOOGLETRANSLATE(CC:CC, ""en"", ""te"")"),"8 × .303 (7.7 మిమీ) బ్రౌనింగ్ మెషిన్ గన్స్")</f>
        <v>8 × .303 (7.7 మిమీ) బ్రౌనింగ్ మెషిన్ గన్స్</v>
      </c>
      <c r="DP154" s="1" t="s">
        <v>3221</v>
      </c>
      <c r="DQ154" s="1" t="s">
        <v>3222</v>
      </c>
      <c r="FU154" s="1" t="s">
        <v>3223</v>
      </c>
    </row>
    <row r="155">
      <c r="A155" s="1" t="s">
        <v>3224</v>
      </c>
      <c r="B155" s="1" t="str">
        <f>IFERROR(__xludf.DUMMYFUNCTION("GOOGLETRANSLATE(A:A, ""en"", ""te"")"),"Dfs habicht")</f>
        <v>Dfs habicht</v>
      </c>
      <c r="C155" s="1" t="s">
        <v>3225</v>
      </c>
      <c r="D155" s="1" t="str">
        <f>IFERROR(__xludf.DUMMYFUNCTION("GOOGLETRANSLATE(C:C, ""en"", ""te"")"),"DFS హేబిచ్ట్ (జర్మన్: ""హాక్"") అనేది అపరిమిత ఏరోబాటిక్ సెయిల్ ప్లేన్, దీనిని 1936 లో హన్స్ జాకబ్స్ రూపొందించారు, డ్యూయిష్ ఫోర్స్చుంగ్సన్స్టాల్ట్ ఫర్ సెగెల్ఫ్లగ్ అందించిన మద్దతుతో. 1936 నాటి ఒలింపిక్ క్రీడలకు నాలుగు విమానాలు అందుబాటులో ఉంచబడ్డాయి, ఇక్కడ హ"&amp;"ేబిచ్ట్ యొక్క విన్యాసాలు మరియు అక్షరాలా ఒలింపిక్ స్టేడియం లోపల ప్రేక్షకులను ఆకర్షించాయి. హన్నా రీట్ష్‌తో సహా పైలట్లు హాబిచ్ట్ యొక్క విమాన లక్షణాలను ప్రశంసించారు. ఒహియోలోని క్లీవ్‌ల్యాండ్‌లోని 1938 జాతీయ ఎయిర్ రేసులతో సహా యుద్ధానికి ముందు ఇది విదేశాలలో అనే"&amp;"క ఎయిర్‌షోలలో పాల్గొంది. పైలట్లు మెసెర్స్చ్మిట్ మి 163 కోమెట్ రాకెట్-శక్తితో కూడిన ఫైటర్. ట్రైనీలలో హిట్లర్ యూత్ గ్లైడర్ పాఠశాలల విద్యార్థులు ఉన్నారు. ME 163 దాని మొత్తం రాకెట్ ఇంధనాన్ని ఉపయోగించడానికి రూపొందించబడింది, ఇది ఫాస్ట్ గ్లైడర్‌గా భూమికి తిరిగి "&amp;"రాకముందు సుమారు 10,000 మీటర్లు (33,000 అడుగులు) పోరాట ఎత్తును చేరుకోవడానికి. అందువల్ల ట్రైనీలు ఒక స్టమ్మెల్-హాబిచ్ట్ మీద ప్రారంభమయ్యారు, దీనిలో అసలు 14 మీటర్లు (46 అడుగులు) వింగ్స్పాన్, 8 మీటర్లు (26 అడుగులు) వింగ్స్పాన్ కలిగి ఉన్నవారికి సవరించబడింది, మరి"&amp;"యు మరొకరు 6 మీటర్లు (20 అడుగులు) రెక్కలు కలిగి ఉన్నారు. చిన్న రెక్కలు ME 163 నిర్వహణ లక్షణాలను దగ్గరగా అనుకరిస్తాయి. [2] రెండవ ప్రపంచ యుద్ధం II నుండి బయటపడింది. పారిస్‌లోని మ్యూసీ డి ఎల్ ఎయిర్ ఎట్ డి ఎల్ ఎస్పేస్‌లో ప్రసిద్ధ ఫ్రెంచ్ ఏరోబాటిక్ పైలట్ మార్సెల"&amp;"్ డోరెట్ ఎగిరిన ఒక క్రాఫ్ట్ ఉంది. మరొకటి, రిజిస్ట్రేషన్ డి -8002 తో, దక్షిణ జర్మనీలో హాంగర్ పతనం ద్వారా నాశనం అయ్యే వరకు అది నిల్వ చేయబడింది. ఈ అసలు ఉదాహరణలతో పాటు, టార్క్ హవా కురుము 1945-1946లో హబిచ్ట్ యొక్క ఆరు రివర్స్-ఇంజనీరింగ్ కాపీలను THK-3 గా తయారు "&amp;"చేశారు. డిజైన్ డాక్యుమెంటేషన్‌ను తిరిగి పొందటానికి సుదీర్ఘమైన మరియు రోగి పరిశోధనల తరువాత, జోసెఫ్ కుర్జ్ మరియు ఓల్డ్‌టైమర్ సెగెల్ఫ్‌లగ్‌క్లబ్ వాసర్కుప్పే యొక్క ఇతర సభ్యులు సరికొత్త హేబిచ్ట్‌ను నిర్మించారు. విస్తరించిన ఎగ్జిబిషన్ కెరీర్ తరువాత, ఈ ఉదాహరణ, D-"&amp;"8002 గా కూడా నమోదు చేయబడింది, వాస్సెర్కుప్పే క్లబ్ యొక్క ఎయిర్ఫీల్డ్ నుండి ఎగురుతుంది. మరో వాయువ్య హేబిచ్ట్‌ను జాన్ కుటుంబం నిర్మించింది మరియు మొదట 2001 లో ప్రయాణించారు. అప్పటి నుండి, పైలట్ క్రిస్టోఫ్ జాహ్న్ చేతిలో, ఇది అనేక ఎయిర్ షోలలో ఏరోబాటిక్స్ ప్రదర్"&amp;"శనలను అందించింది. సాధారణ లక్షణాల పనితీరు")</f>
        <v>DFS హేబిచ్ట్ (జర్మన్: "హాక్") అనేది అపరిమిత ఏరోబాటిక్ సెయిల్ ప్లేన్, దీనిని 1936 లో హన్స్ జాకబ్స్ రూపొందించారు, డ్యూయిష్ ఫోర్స్చుంగ్సన్స్టాల్ట్ ఫర్ సెగెల్ఫ్లగ్ అందించిన మద్దతుతో. 1936 నాటి ఒలింపిక్ క్రీడలకు నాలుగు విమానాలు అందుబాటులో ఉంచబడ్డాయి, ఇక్కడ హేబిచ్ట్ యొక్క విన్యాసాలు మరియు అక్షరాలా ఒలింపిక్ స్టేడియం లోపల ప్రేక్షకులను ఆకర్షించాయి. హన్నా రీట్ష్‌తో సహా పైలట్లు హాబిచ్ట్ యొక్క విమాన లక్షణాలను ప్రశంసించారు. ఒహియోలోని క్లీవ్‌ల్యాండ్‌లోని 1938 జాతీయ ఎయిర్ రేసులతో సహా యుద్ధానికి ముందు ఇది విదేశాలలో అనేక ఎయిర్‌షోలలో పాల్గొంది. పైలట్లు మెసెర్స్చ్మిట్ మి 163 కోమెట్ రాకెట్-శక్తితో కూడిన ఫైటర్. ట్రైనీలలో హిట్లర్ యూత్ గ్లైడర్ పాఠశాలల విద్యార్థులు ఉన్నారు. ME 163 దాని మొత్తం రాకెట్ ఇంధనాన్ని ఉపయోగించడానికి రూపొందించబడింది, ఇది ఫాస్ట్ గ్లైడర్‌గా భూమికి తిరిగి రాకముందు సుమారు 10,000 మీటర్లు (33,000 అడుగులు) పోరాట ఎత్తును చేరుకోవడానికి. అందువల్ల ట్రైనీలు ఒక స్టమ్మెల్-హాబిచ్ట్ మీద ప్రారంభమయ్యారు, దీనిలో అసలు 14 మీటర్లు (46 అడుగులు) వింగ్స్పాన్, 8 మీటర్లు (26 అడుగులు) వింగ్స్పాన్ కలిగి ఉన్నవారికి సవరించబడింది, మరియు మరొకరు 6 మీటర్లు (20 అడుగులు) రెక్కలు కలిగి ఉన్నారు. చిన్న రెక్కలు ME 163 నిర్వహణ లక్షణాలను దగ్గరగా అనుకరిస్తాయి. [2] రెండవ ప్రపంచ యుద్ధం II నుండి బయటపడింది. పారిస్‌లోని మ్యూసీ డి ఎల్ ఎయిర్ ఎట్ డి ఎల్ ఎస్పేస్‌లో ప్రసిద్ధ ఫ్రెంచ్ ఏరోబాటిక్ పైలట్ మార్సెల్ డోరెట్ ఎగిరిన ఒక క్రాఫ్ట్ ఉంది. మరొకటి, రిజిస్ట్రేషన్ డి -8002 తో, దక్షిణ జర్మనీలో హాంగర్ పతనం ద్వారా నాశనం అయ్యే వరకు అది నిల్వ చేయబడింది. ఈ అసలు ఉదాహరణలతో పాటు, టార్క్ హవా కురుము 1945-1946లో హబిచ్ట్ యొక్క ఆరు రివర్స్-ఇంజనీరింగ్ కాపీలను THK-3 గా తయారు చేశారు. డిజైన్ డాక్యుమెంటేషన్‌ను తిరిగి పొందటానికి సుదీర్ఘమైన మరియు రోగి పరిశోధనల తరువాత, జోసెఫ్ కుర్జ్ మరియు ఓల్డ్‌టైమర్ సెగెల్ఫ్‌లగ్‌క్లబ్ వాసర్కుప్పే యొక్క ఇతర సభ్యులు సరికొత్త హేబిచ్ట్‌ను నిర్మించారు. విస్తరించిన ఎగ్జిబిషన్ కెరీర్ తరువాత, ఈ ఉదాహరణ, D-8002 గా కూడా నమోదు చేయబడింది, వాస్సెర్కుప్పే క్లబ్ యొక్క ఎయిర్ఫీల్డ్ నుండి ఎగురుతుంది. మరో వాయువ్య హేబిచ్ట్‌ను జాన్ కుటుంబం నిర్మించింది మరియు మొదట 2001 లో ప్రయాణించారు. అప్పటి నుండి, పైలట్ క్రిస్టోఫ్ జాహ్న్ చేతిలో, ఇది అనేక ఎయిర్ షోలలో ఏరోబాటిక్స్ ప్రదర్శనలను అందించింది. సాధారణ లక్షణాల పనితీరు</v>
      </c>
      <c r="E155" s="1" t="s">
        <v>3226</v>
      </c>
      <c r="F155" s="1" t="s">
        <v>2990</v>
      </c>
      <c r="G155" s="1" t="str">
        <f>IFERROR(__xludf.DUMMYFUNCTION("GOOGLETRANSLATE(F:F, ""en"", ""te"")"),"ఏరోబాటిక్ సెయిల్ ప్లేన్")</f>
        <v>ఏరోబాటిక్ సెయిల్ ప్లేన్</v>
      </c>
      <c r="L155" s="1" t="s">
        <v>3227</v>
      </c>
      <c r="M155" s="1" t="str">
        <f>IFERROR(__xludf.DUMMYFUNCTION("GOOGLETRANSLATE(L:L, ""en"", ""te"")"),"Dfs")</f>
        <v>Dfs</v>
      </c>
      <c r="N155" s="3" t="s">
        <v>3228</v>
      </c>
      <c r="O155" s="1" t="s">
        <v>3229</v>
      </c>
      <c r="P155" s="1" t="str">
        <f>IFERROR(__xludf.DUMMYFUNCTION("GOOGLETRANSLATE(O:O, ""en"", ""te"")"),"హన్స్ జాకబ్స్")</f>
        <v>హన్స్ జాకబ్స్</v>
      </c>
      <c r="Q155" s="1" t="s">
        <v>3230</v>
      </c>
      <c r="R155" s="1">
        <v>1936.0</v>
      </c>
      <c r="V155" s="1" t="s">
        <v>2549</v>
      </c>
      <c r="W155" s="1" t="s">
        <v>3231</v>
      </c>
      <c r="X155" s="1" t="s">
        <v>3232</v>
      </c>
      <c r="Z155" s="1" t="s">
        <v>3233</v>
      </c>
      <c r="AE155" s="1">
        <v>11.7</v>
      </c>
      <c r="AG155" s="1" t="s">
        <v>3234</v>
      </c>
      <c r="AH155" s="1" t="s">
        <v>3235</v>
      </c>
      <c r="AK155" s="1">
        <v>21.0</v>
      </c>
      <c r="AL155" s="1" t="s">
        <v>3236</v>
      </c>
      <c r="BB155" s="1" t="s">
        <v>3237</v>
      </c>
      <c r="BG155" s="2"/>
    </row>
    <row r="156">
      <c r="A156" s="1" t="s">
        <v>3238</v>
      </c>
      <c r="B156" s="1" t="str">
        <f>IFERROR(__xludf.DUMMYFUNCTION("GOOGLETRANSLATE(A:A, ""en"", ""te"")"),"LVG C.II")</f>
        <v>LVG C.II</v>
      </c>
      <c r="C156" s="1" t="s">
        <v>3239</v>
      </c>
      <c r="D156" s="1" t="str">
        <f>IFERROR(__xludf.DUMMYFUNCTION("GOOGLETRANSLATE(C:C, ""en"", ""te"")"),"LVG C.II అనేది 1910 ల జర్మన్ రెండు-సీట్ల నిఘా బైప్‌లాన్. C.II LVG B.I నుండి అభివృద్ధి చేయబడింది, పైలట్ మరియు పరిశీలకుడి స్థానాలు తిరగబడ్డాయి, వెనుక భాగంలో రింగ్-మౌంటెడ్ మెషిన్ గన్ జోడించబడ్డాయి. బరువు పెరగడానికి పెద్ద ఇంజిన్, బెంజ్ BZ.III అవసరం. C.II ప్రవ"&amp;"ేశపెట్టడానికి ముందు కొన్ని C.I లు నిర్మించబడ్డాయి. ఇది నిర్మాణ మెరుగుదలలు మరియు మరింత శక్తివంతమైన ఇంజిన్‌ను కలిగి ఉంది. [1] 28 నవంబర్ 1916 న విక్టోరియా స్టేషన్ సమీపంలో ఆరు బాంబులు పడిపోయినప్పుడు, లండన్ బాంబు దాడి చేసిన మొదటి స్థిర-వింగ్ విమానం C.IV. [1] ."&amp;" (1997). ప్రోస్పెరో బుక్స్. .mw-parser-output cite.citation {ఫాంట్-స్టైల్: వారసత్వంగా; పదం-ర్యాప్: బ్రేక్-వర్డ్} .mw-parser- అవుట్పుట్ .citation q {quots: ""\"" """" \ """" """" """" """" } .MW-PARSER-అవుట్పుట్ .సిటేషన్: టార్గెట్ {నేపథ్య-రంగు: RGBA (0,127"&amp;",255,0.133)}. ఉచిత {నేపథ్యం: లీనియర్-గ్రేడియంట్ (పారదర్శక, పారదర్శక), url (""// అప్‌లోడ్ .mw-Parser- అవుట్పుట్ .ID- లాక్-పరిమిత A, .MW- పార్సర్-అవుట్పుట్ .ID-LOCK- రిజిస్ట్రేషన్ A, .MW-PARSER- అవుట్పుట్ .cs1 .సిటేషన్ .cs1-lock- రిజిస్ట్రేషన్ A {నేపథ్యం: ల"&amp;"ీనియర్-గ్రేడియంట్ (పారదర్శక, పారదర్శక), URL (""// అప్‌లోడ్ . ), url (""// అప్‌లోడ్ ER/9PX NO- రిపీట్} .MW-PARSER-అవుట్పుట్ .CS1-WS-ICON A {నేపథ్యం: లీనియర్-గ్రేడియంట్ (పారదర్శక, పారదర్శక), URL (""// అప్‌లోడ్ . అవుట్పుట్ .cs1-hidden-error {display: ఏదీ లేద"&amp;"ు; రంగు:#D33} .mw-Parser-output .cs1-visible-irerror {రంగు:#D33} .mw-Parser-output .cs1-Maint {display: none; రంగు:#3A3; మార్జిన్-ఎడమ: 0.3EM} .MW- పార్సర్-అవుట్పుట్ .సిఎస్ 1-ఫార్మాట్ {ఫాంట్-సైజ్: 95%}. .MW-PARSER-OUTPUT .CS1- కెర్న్-రైట్ {పాడింగ్-రైట్: 0."&amp;"2EM} .MW-PARSER- అవుట్పుట్ .citation .mw-selllink {font-weight: weritit సంబంధిత జాబితాలు")</f>
        <v>LVG C.II అనేది 1910 ల జర్మన్ రెండు-సీట్ల నిఘా బైప్‌లాన్. C.II LVG B.I నుండి అభివృద్ధి చేయబడింది, పైలట్ మరియు పరిశీలకుడి స్థానాలు తిరగబడ్డాయి, వెనుక భాగంలో రింగ్-మౌంటెడ్ మెషిన్ గన్ జోడించబడ్డాయి. బరువు పెరగడానికి పెద్ద ఇంజిన్, బెంజ్ BZ.III అవసరం. C.II ప్రవేశపెట్టడానికి ముందు కొన్ని C.I లు నిర్మించబడ్డాయి. ఇది నిర్మాణ మెరుగుదలలు మరియు మరింత శక్తివంతమైన ఇంజిన్‌ను కలిగి ఉంది. [1] 28 నవంబర్ 1916 న విక్టోరియా స్టేషన్ సమీపంలో ఆరు బాంబులు పడిపోయినప్పుడు, లండన్ బాంబు దాడి చేసిన మొదటి స్థిర-వింగ్ విమానం C.IV. [1] . (1997). ప్రోస్పెరో బుక్స్. .mw-parser-output cite.citation {ఫాంట్-స్టైల్: వారసత్వంగా; పదం-ర్యాప్: బ్రేక్-వర్డ్} .mw-parser- అవుట్పుట్ .citation q {quots: "\" "" \ "" "" "" "" } .MW-PARSER-అవుట్పుట్ .సిటేషన్: టార్గెట్ {నేపథ్య-రంగు: RGBA (0,127,255,0.133)}. ఉచిత {నేపథ్యం: లీనియర్-గ్రేడియంట్ (పారదర్శక, పారదర్శక), url ("// అప్‌లోడ్ .mw-Parser- అవుట్పుట్ .ID- లాక్-పరిమిత A, .MW- పార్సర్-అవుట్పుట్ .ID-LOCK- రిజిస్ట్రేషన్ A, .MW-PARSER- అవుట్పుట్ .cs1 .సిటేషన్ .cs1-lock- రిజిస్ట్రేషన్ A {నేపథ్యం: లీనియర్-గ్రేడియంట్ (పారదర్శక, పారదర్శక), URL ("// అప్‌లోడ్ . ), url ("// అప్‌లోడ్ ER/9PX NO- రిపీట్} .MW-PARSER-అవుట్పుట్ .CS1-WS-ICON A {నేపథ్యం: లీనియర్-గ్రేడియంట్ (పారదర్శక, పారదర్శక), URL ("// అప్‌లోడ్ . అవుట్పుట్ .cs1-hidden-error {display: ఏదీ లేదు; రంగు:#D33} .mw-Parser-output .cs1-visible-irerror {రంగు:#D33} .mw-Parser-output .cs1-Maint {display: none; రంగు:#3A3; మార్జిన్-ఎడమ: 0.3EM} .MW- పార్సర్-అవుట్పుట్ .సిఎస్ 1-ఫార్మాట్ {ఫాంట్-సైజ్: 95%}. .MW-PARSER-OUTPUT .CS1- కెర్న్-రైట్ {పాడింగ్-రైట్: 0.2EM} .MW-PARSER- అవుట్పుట్ .citation .mw-selllink {font-weight: weritit సంబంధిత జాబితాలు</v>
      </c>
      <c r="E156" s="1" t="s">
        <v>3240</v>
      </c>
      <c r="F156" s="1" t="s">
        <v>3241</v>
      </c>
      <c r="G156" s="1" t="str">
        <f>IFERROR(__xludf.DUMMYFUNCTION("GOOGLETRANSLATE(F:F, ""en"", ""te"")"),"నిఘా/తేలికపాటి బాంబర్")</f>
        <v>నిఘా/తేలికపాటి బాంబర్</v>
      </c>
      <c r="I156" s="1" t="s">
        <v>185</v>
      </c>
      <c r="J156" s="1" t="str">
        <f>IFERROR(__xludf.DUMMYFUNCTION("GOOGLETRANSLATE(I:I, ""en"", ""te"")"),"జర్మనీ")</f>
        <v>జర్మనీ</v>
      </c>
      <c r="L156" s="1" t="s">
        <v>3242</v>
      </c>
      <c r="M156" s="1" t="str">
        <f>IFERROR(__xludf.DUMMYFUNCTION("GOOGLETRANSLATE(L:L, ""en"", ""te"")"),"Luft-verkehrs-gesellschaft")</f>
        <v>Luft-verkehrs-gesellschaft</v>
      </c>
      <c r="N156" s="3" t="s">
        <v>3243</v>
      </c>
      <c r="S156" s="1" t="s">
        <v>3244</v>
      </c>
      <c r="T156" s="1" t="s">
        <v>3245</v>
      </c>
      <c r="V156" s="1">
        <v>2.0</v>
      </c>
      <c r="W156" s="1" t="s">
        <v>3246</v>
      </c>
      <c r="X156" s="1" t="s">
        <v>3247</v>
      </c>
      <c r="Y156" s="1" t="s">
        <v>3248</v>
      </c>
      <c r="Z156" s="1" t="s">
        <v>3249</v>
      </c>
      <c r="AG156" s="1" t="s">
        <v>3250</v>
      </c>
      <c r="AH156" s="1" t="s">
        <v>3251</v>
      </c>
      <c r="AO156" s="1" t="s">
        <v>3252</v>
      </c>
      <c r="AV156" s="1">
        <v>2.0</v>
      </c>
      <c r="AX156" s="1" t="s">
        <v>3253</v>
      </c>
      <c r="AY156" s="1" t="str">
        <f>IFERROR(__xludf.DUMMYFUNCTION("GOOGLETRANSLATE(AX:AX, ""en"", ""te"")"),"1 × మెర్సిడెస్ D.III, 119 kW (160 HP)")</f>
        <v>1 × మెర్సిడెస్ D.III, 119 kW (160 HP)</v>
      </c>
      <c r="BB156" s="1" t="s">
        <v>3254</v>
      </c>
      <c r="BD156" s="1" t="s">
        <v>3255</v>
      </c>
      <c r="BF156" s="1" t="s">
        <v>2748</v>
      </c>
      <c r="BG156" s="2" t="str">
        <f>IFERROR(__xludf.DUMMYFUNCTION("GOOGLETRANSLATE(BF:BF, ""en"", ""te"")"),"Luftstreitkräfte")</f>
        <v>Luftstreitkräfte</v>
      </c>
      <c r="BH156" s="1" t="s">
        <v>2749</v>
      </c>
      <c r="BI156" s="1" t="s">
        <v>3256</v>
      </c>
      <c r="BJ156" s="1" t="s">
        <v>3257</v>
      </c>
      <c r="BT156" s="1" t="s">
        <v>3258</v>
      </c>
      <c r="BZ156" s="1" t="s">
        <v>2260</v>
      </c>
    </row>
    <row r="157">
      <c r="A157" s="1" t="s">
        <v>3259</v>
      </c>
      <c r="B157" s="1" t="str">
        <f>IFERROR(__xludf.DUMMYFUNCTION("GOOGLETRANSLATE(A:A, ""en"", ""te"")"),"ఎయిర్‌స్పీడ్ వైస్రాయ్")</f>
        <v>ఎయిర్‌స్పీడ్ వైస్రాయ్</v>
      </c>
      <c r="C157" s="1" t="s">
        <v>3260</v>
      </c>
      <c r="D157" s="1" t="str">
        <f>IFERROR(__xludf.DUMMYFUNCTION("GOOGLETRANSLATE(C:C, ""en"", ""te"")"),"ఎయిర్‌స్పీడ్ AS.8 వైస్రాయ్ ఎయిర్‌స్పీడ్ యొక్క బ్రిటిష్ రేసింగ్ వెర్షన్. పోర్ట్స్మౌత్ వద్ద ఎయిర్‌స్పీడ్ (1934) లిమిటెడ్ నిర్మించిన ఎన్‌వాయ్. ఇంగ్లాండ్-ఆస్ట్రేలియా మాక్రోబర్ట్‌సన్ ఎయిర్ రేస్‌లో పాల్గొనడానికి కెప్టెన్ టి. నెవిల్లే స్టాక్ మరియు సిడ్నీ లూయిస్ "&amp;"టర్నర్ కోసం ఆర్డర్ చేయడానికి వైస్రాయ్ నిర్మించబడింది. రిజిస్టర్డ్ జి-ఎసిఎంయు అనే ఒక విమానం మాత్రమే నిర్మించబడింది. వైస్రాయ్ సవరించిన ఎయిర్‌స్పీడ్ రాయబారి. మార్పులు ఉన్నాయి: ఎయిర్‌స్పీడ్ వైస్రాయ్ ఇంగ్లాండ్‌లోని RAF మిల్డెన్‌హాల్ నుండి రేసును ప్రారంభించింది"&amp;", కాని మెయిన్‌వీల్ బ్రేక్‌లతో సహా అనేక విశ్వసనీయత సమస్యల తరువాత, ఇది ఏథెన్స్ వద్ద రేసు నుండి ఉపసంహరించబడింది. పైలట్లు కొనసాగడం సురక్షితం కాదని తేల్చిచెప్పారు మరియు వారు బహుశా రేసును పూర్తి చేయలేరు. చట్టపరమైన చర్యల యొక్క తీవ్రమైన సమితి జరిగింది, పైలట్లు, ఈ"&amp;" విమానం, బహుళ సమస్యలతో చుట్టుముట్టబడి, ""నిజంగా సిద్ధంగా లేదు"" అని ఫిర్యాదు చేశారు. ఎయిర్‌స్పీడ్ ఈ చర్యకు పోటీ పడింది, చివరికి విమానం వాపసు లేకుండా వారికి తిరిగి ఇవ్వబడింది. ఈ విమానం పోర్ట్స్మౌత్కు తిరిగి వచ్చింది మరియు తరువాత జూలై 1936 వరకు దీనిని ఫ్రెం"&amp;"చ్ ఆందోళన, SFTA చేత విక్రయించేది మరియు స్పానిష్ అంతర్యుద్ధానికి వెళ్ళే మార్గంలో ఫ్రాన్స్‌కు బయలుదేరింది. స్పానిష్ రిపబ్లికన్ వైమానిక దళంతో వైస్రాయ్ సేవకు సంబంధించిన డాక్యుమెంటేషన్ స్కెచి. విమానం ఒక బాంబర్‌గా మార్చడం మరియు ఛాయాచిత్రాలు కొత్త గుర్తులను అందు"&amp;"కున్నాయని మరియు ఎయిర్‌బేస్ వద్ద ఉంచబడిందని ఛాయాచిత్రాలు సూచిస్తున్నాయి, అయితే మరింత సమాచారం దాని వాస్తవ సేవకు అందుబాటులో లేదు. [1] 1919 వాల్యూమ్ 1 నుండి బ్రిటిష్ సివిల్ ఎయిర్క్రాఫ్ట్ నుండి డేటా [2] సాధారణ లక్షణాల పనితీరు")</f>
        <v>ఎయిర్‌స్పీడ్ AS.8 వైస్రాయ్ ఎయిర్‌స్పీడ్ యొక్క బ్రిటిష్ రేసింగ్ వెర్షన్. పోర్ట్స్మౌత్ వద్ద ఎయిర్‌స్పీడ్ (1934) లిమిటెడ్ నిర్మించిన ఎన్‌వాయ్. ఇంగ్లాండ్-ఆస్ట్రేలియా మాక్రోబర్ట్‌సన్ ఎయిర్ రేస్‌లో పాల్గొనడానికి కెప్టెన్ టి. నెవిల్లే స్టాక్ మరియు సిడ్నీ లూయిస్ టర్నర్ కోసం ఆర్డర్ చేయడానికి వైస్రాయ్ నిర్మించబడింది. రిజిస్టర్డ్ జి-ఎసిఎంయు అనే ఒక విమానం మాత్రమే నిర్మించబడింది. వైస్రాయ్ సవరించిన ఎయిర్‌స్పీడ్ రాయబారి. మార్పులు ఉన్నాయి: ఎయిర్‌స్పీడ్ వైస్రాయ్ ఇంగ్లాండ్‌లోని RAF మిల్డెన్‌హాల్ నుండి రేసును ప్రారంభించింది, కాని మెయిన్‌వీల్ బ్రేక్‌లతో సహా అనేక విశ్వసనీయత సమస్యల తరువాత, ఇది ఏథెన్స్ వద్ద రేసు నుండి ఉపసంహరించబడింది. పైలట్లు కొనసాగడం సురక్షితం కాదని తేల్చిచెప్పారు మరియు వారు బహుశా రేసును పూర్తి చేయలేరు. చట్టపరమైన చర్యల యొక్క తీవ్రమైన సమితి జరిగింది, పైలట్లు, ఈ విమానం, బహుళ సమస్యలతో చుట్టుముట్టబడి, "నిజంగా సిద్ధంగా లేదు" అని ఫిర్యాదు చేశారు. ఎయిర్‌స్పీడ్ ఈ చర్యకు పోటీ పడింది, చివరికి విమానం వాపసు లేకుండా వారికి తిరిగి ఇవ్వబడింది. ఈ విమానం పోర్ట్స్మౌత్కు తిరిగి వచ్చింది మరియు తరువాత జూలై 1936 వరకు దీనిని ఫ్రెంచ్ ఆందోళన, SFTA చేత విక్రయించేది మరియు స్పానిష్ అంతర్యుద్ధానికి వెళ్ళే మార్గంలో ఫ్రాన్స్‌కు బయలుదేరింది. స్పానిష్ రిపబ్లికన్ వైమానిక దళంతో వైస్రాయ్ సేవకు సంబంధించిన డాక్యుమెంటేషన్ స్కెచి. విమానం ఒక బాంబర్‌గా మార్చడం మరియు ఛాయాచిత్రాలు కొత్త గుర్తులను అందుకున్నాయని మరియు ఎయిర్‌బేస్ వద్ద ఉంచబడిందని ఛాయాచిత్రాలు సూచిస్తున్నాయి, అయితే మరింత సమాచారం దాని వాస్తవ సేవకు అందుబాటులో లేదు. [1] 1919 వాల్యూమ్ 1 నుండి బ్రిటిష్ సివిల్ ఎయిర్క్రాఫ్ట్ నుండి డేటా [2] సాధారణ లక్షణాల పనితీరు</v>
      </c>
      <c r="E157" s="1" t="s">
        <v>3261</v>
      </c>
      <c r="F157" s="1" t="s">
        <v>3262</v>
      </c>
      <c r="G157" s="1" t="str">
        <f>IFERROR(__xludf.DUMMYFUNCTION("GOOGLETRANSLATE(F:F, ""en"", ""te"")"),"రేసింగ్ మోనోప్లేన్")</f>
        <v>రేసింగ్ మోనోప్లేన్</v>
      </c>
      <c r="L157" s="1" t="s">
        <v>3263</v>
      </c>
      <c r="M157" s="1" t="str">
        <f>IFERROR(__xludf.DUMMYFUNCTION("GOOGLETRANSLATE(L:L, ""en"", ""te"")"),"ఎయిర్‌స్పీడ్ (1934) లిమిటెడ్")</f>
        <v>ఎయిర్‌స్పీడ్ (1934) లిమిటెడ్</v>
      </c>
      <c r="N157" s="1" t="s">
        <v>3264</v>
      </c>
      <c r="O157" s="1" t="s">
        <v>3265</v>
      </c>
      <c r="P157" s="1" t="str">
        <f>IFERROR(__xludf.DUMMYFUNCTION("GOOGLETRANSLATE(O:O, ""en"", ""te"")"),"NS. నార్వే / హెస్సెల్ టిల్ట్‌మన్")</f>
        <v>NS. నార్వే / హెస్సెల్ టిల్ట్‌మన్</v>
      </c>
      <c r="Q157" s="1" t="s">
        <v>3266</v>
      </c>
      <c r="R157" s="1">
        <v>1934.0</v>
      </c>
      <c r="S157" s="1">
        <v>1.0</v>
      </c>
      <c r="V157" s="1" t="s">
        <v>3267</v>
      </c>
      <c r="W157" s="1" t="s">
        <v>3268</v>
      </c>
      <c r="X157" s="1" t="s">
        <v>3269</v>
      </c>
      <c r="Y157" s="1" t="s">
        <v>1734</v>
      </c>
      <c r="Z157" s="1" t="s">
        <v>3270</v>
      </c>
      <c r="AG157" s="1" t="s">
        <v>2289</v>
      </c>
      <c r="AH157" s="1" t="s">
        <v>3271</v>
      </c>
      <c r="AO157" s="1">
        <v>1934.0</v>
      </c>
      <c r="AX157" s="1" t="s">
        <v>3272</v>
      </c>
      <c r="AY157" s="1" t="str">
        <f>IFERROR(__xludf.DUMMYFUNCTION("GOOGLETRANSLATE(AX:AX, ""en"", ""te"")"),"2 × ఆర్మ్‌స్ట్రాంగ్ సిడ్లీ చిరుత VI సూపర్ఛార్జ్డ్ రేడియల్ పిస్టన్ ఇంజిన్, 290 హెచ్‌పి (220 కిలోవాట్)")</f>
        <v>2 × ఆర్మ్‌స్ట్రాంగ్ సిడ్లీ చిరుత VI సూపర్ఛార్జ్డ్ రేడియల్ పిస్టన్ ఇంజిన్, 290 హెచ్‌పి (220 కిలోవాట్)</v>
      </c>
      <c r="BB157" s="1" t="s">
        <v>3273</v>
      </c>
      <c r="BC157" s="1" t="s">
        <v>1881</v>
      </c>
      <c r="BG157" s="2"/>
      <c r="BI157" s="1" t="s">
        <v>3274</v>
      </c>
      <c r="BJ157" s="1" t="s">
        <v>3275</v>
      </c>
      <c r="BS157" s="1" t="s">
        <v>2341</v>
      </c>
      <c r="BT157" s="1" t="s">
        <v>3276</v>
      </c>
      <c r="BU157" s="1" t="s">
        <v>3277</v>
      </c>
      <c r="BV157" s="1" t="str">
        <f>IFERROR(__xludf.DUMMYFUNCTION("GOOGLETRANSLATE(BU:BU, ""en"", ""te"")"),"తెలియదు")</f>
        <v>తెలియదు</v>
      </c>
      <c r="BW157" s="1">
        <v>1934.0</v>
      </c>
    </row>
    <row r="158">
      <c r="A158" s="1" t="s">
        <v>3278</v>
      </c>
      <c r="B158" s="1" t="str">
        <f>IFERROR(__xludf.DUMMYFUNCTION("GOOGLETRANSLATE(A:A, ""en"", ""te"")"),"ఫీసెలర్ ఫై 333")</f>
        <v>ఫీసెలర్ ఫై 333</v>
      </c>
      <c r="C158" s="1" t="s">
        <v>3279</v>
      </c>
      <c r="D158" s="1" t="str">
        <f>IFERROR(__xludf.DUMMYFUNCTION("GOOGLETRANSLATE(C:C, ""en"", ""te"")"),"ఫైసెలర్ FI 333 అనేది 1942 లో ఫీయిసెలర్ అభివృద్ధి చేసిన ప్రోటోటైప్ రవాణా విమానం, మరియు లుఫ్ట్‌వాఫ్ మద్దతు ఉంది. [1] ఈ విమానం సరుకును తీసుకెళ్లడానికి వివిధ పరిమాణాల వేరు చేయగలిగిన పాడ్లను ఉపయోగించడం, ఇది భూమిపై వేగంగా తిరగడానికి వీలు కల్పించే వ్యవస్థ. [1] ప"&amp;"ొడవైన, స్థిరమైన అండర్ క్యారేజీలో స్వతంత్రంగా మొలకెత్తిన చక్రాలు ఉన్నాయి. [1] రెండు 750 కిలోవాట్ల (1,000 హెచ్‌పి) బిఎమ్‌డబ్ల్యూ బ్రామో 323 డి రేడియల్ ఇంజన్లు అందించబడ్డాయి. [2] మూడు ప్రోటోటైప్‌లు నిర్మించబడిందని నమ్ముతారు. [1] [2] పోల్చదగిన పాత్ర, కాన్ఫిగర"&amp;"ేషన్ మరియు ERA యొక్క సాధారణ లక్షణాల పనితీరు విమానం నుండి డేటా")</f>
        <v>ఫైసెలర్ FI 333 అనేది 1942 లో ఫీయిసెలర్ అభివృద్ధి చేసిన ప్రోటోటైప్ రవాణా విమానం, మరియు లుఫ్ట్‌వాఫ్ మద్దతు ఉంది. [1] ఈ విమానం సరుకును తీసుకెళ్లడానికి వివిధ పరిమాణాల వేరు చేయగలిగిన పాడ్లను ఉపయోగించడం, ఇది భూమిపై వేగంగా తిరగడానికి వీలు కల్పించే వ్యవస్థ. [1] పొడవైన, స్థిరమైన అండర్ క్యారేజీలో స్వతంత్రంగా మొలకెత్తిన చక్రాలు ఉన్నాయి. [1] రెండు 750 కిలోవాట్ల (1,000 హెచ్‌పి) బిఎమ్‌డబ్ల్యూ బ్రామో 323 డి రేడియల్ ఇంజన్లు అందించబడ్డాయి. [2] మూడు ప్రోటోటైప్‌లు నిర్మించబడిందని నమ్ముతారు. [1] [2] పోల్చదగిన పాత్ర, కాన్ఫిగరేషన్ మరియు ERA యొక్క సాధారణ లక్షణాల పనితీరు విమానం నుండి డేటా</v>
      </c>
      <c r="E158" s="1" t="s">
        <v>3280</v>
      </c>
      <c r="F158" s="1" t="s">
        <v>3281</v>
      </c>
      <c r="G158" s="1" t="str">
        <f>IFERROR(__xludf.DUMMYFUNCTION("GOOGLETRANSLATE(F:F, ""en"", ""te"")"),"రవాణా")</f>
        <v>రవాణా</v>
      </c>
      <c r="I158" s="1" t="s">
        <v>3282</v>
      </c>
      <c r="J158" s="1" t="str">
        <f>IFERROR(__xludf.DUMMYFUNCTION("GOOGLETRANSLATE(I:I, ""en"", ""te"")"),"నాజీ జర్మనీ")</f>
        <v>నాజీ జర్మనీ</v>
      </c>
      <c r="L158" s="1" t="s">
        <v>2697</v>
      </c>
      <c r="M158" s="1" t="str">
        <f>IFERROR(__xludf.DUMMYFUNCTION("GOOGLETRANSLATE(L:L, ""en"", ""te"")"),"ఫీజిలర్")</f>
        <v>ఫీజిలర్</v>
      </c>
      <c r="N158" s="3" t="s">
        <v>2698</v>
      </c>
      <c r="S158" s="1">
        <v>3.0</v>
      </c>
      <c r="V158" s="1">
        <v>2.0</v>
      </c>
      <c r="W158" s="1" t="s">
        <v>3283</v>
      </c>
      <c r="X158" s="1" t="s">
        <v>3284</v>
      </c>
      <c r="Y158" s="1" t="s">
        <v>3285</v>
      </c>
      <c r="AG158" s="1" t="s">
        <v>3286</v>
      </c>
      <c r="AH158" s="1" t="s">
        <v>3287</v>
      </c>
      <c r="AX158" s="1" t="s">
        <v>3288</v>
      </c>
      <c r="AY158" s="1" t="str">
        <f>IFERROR(__xludf.DUMMYFUNCTION("GOOGLETRANSLATE(AX:AX, ""en"", ""te"")"),"2 × BMW BRAMO 323D తొమ్మిది-సిలిండర్ రేడియల్ ఇంజిన్, 750 kW (1,000 HP) ఒక్కొక్కటి")</f>
        <v>2 × BMW BRAMO 323D తొమ్మిది-సిలిండర్ రేడియల్ ఇంజిన్, 750 kW (1,000 HP) ఒక్కొక్కటి</v>
      </c>
      <c r="BB158" s="1" t="s">
        <v>3289</v>
      </c>
      <c r="BF158" s="1" t="s">
        <v>573</v>
      </c>
      <c r="BG158" s="2" t="str">
        <f>IFERROR(__xludf.DUMMYFUNCTION("GOOGLETRANSLATE(BF:BF, ""en"", ""te"")"),"లుఫ్ట్‌వాఫ్")</f>
        <v>లుఫ్ట్‌వాఫ్</v>
      </c>
      <c r="BH158" s="3" t="s">
        <v>574</v>
      </c>
      <c r="BR158" s="1" t="s">
        <v>3290</v>
      </c>
      <c r="BT158" s="1" t="s">
        <v>3291</v>
      </c>
      <c r="BU158" s="1" t="s">
        <v>958</v>
      </c>
      <c r="BV158" s="1" t="str">
        <f>IFERROR(__xludf.DUMMYFUNCTION("GOOGLETRANSLATE(BU:BU, ""en"", ""te"")"),"రద్దు")</f>
        <v>రద్దు</v>
      </c>
      <c r="BX158" s="1"/>
      <c r="BY158" s="1" t="s">
        <v>3292</v>
      </c>
    </row>
    <row r="159">
      <c r="A159" s="1" t="s">
        <v>3293</v>
      </c>
      <c r="B159" s="1" t="str">
        <f>IFERROR(__xludf.DUMMYFUNCTION("GOOGLETRANSLATE(A:A, ""en"", ""te"")"),"సుఖోయి టి -60 ఎస్")</f>
        <v>సుఖోయి టి -60 ఎస్</v>
      </c>
      <c r="C159" s="1" t="s">
        <v>3294</v>
      </c>
      <c r="D159" s="1" t="str">
        <f>IFERROR(__xludf.DUMMYFUNCTION("GOOGLETRANSLATE(C:C, ""en"", ""te"")"),"సుఖోయ్ టి -60 లు TU-22M3 కోసం 1980 ల స్థానంలో ఉన్న సోవియట్. సూపర్సోనిక్ ఇంటర్మీడియట్ రేంజ్ బాంబర్ డ్రాయింగ్ బోర్డును దాటలేదు. ఈ విమానం యొక్క సాంకేతిక లక్షణాల గురించి చాలా తక్కువ సమాచారం అందుబాటులో ఉంది, ఇది సుఖోయ్ డిజైన్ బ్యూరో చేత వర్గీకరించబడింది. టి -6"&amp;"0 లలో వేరియబుల్ జ్యామితి వింగ్, ఫ్లాట్ లిఫ్టింగ్ ఫ్యూజ్‌లేజ్ మరియు రెండు ఇంజన్లు ఉన్నాయి, వీటిలో రెండు డైమెన్షనల్ థ్రస్ట్ వెక్టరింగ్ నాజిల్ ఉంటుంది. ఈ ఆయుధాలు ఆరు KH-101 క్రూయిజ్ క్షిపణులతో పాటు AS-15 మరియు AS-16 క్షిపణులు, ఫ్రీ-ఫాల్ అణ్వాయుధాలు మరియు ఖచ్"&amp;"చితమైన మార్గదర్శక సాంప్రదాయిక ఆయుధాలను చేర్చడం. ఈ ప్రాజెక్టును మొట్టమొదట 1984 లో సుఖోయ్ ప్రారంభించింది, కాని 1990 ల ప్రారంభంలో రద్దు చేయబడింది. బాంబర్ సోవియట్ వైమానిక దళంలో TU-22M ను భర్తీ చేసింది. [1] [2] బదులుగా, సుఖోయ్ మరింత సాంప్రదాయిక విధానాన్ని తీసు"&amp;"కుందని నిర్ణయించుకున్నాడు మరియు TU-22M కి బదులుగా SU-34 ను అభివృద్ధి చేశాడు. మూలం [3] పోల్చదగిన పాత్ర, కాన్ఫిగరేషన్ మరియు ERA సంబంధిత జాబితాల విమానం")</f>
        <v>సుఖోయ్ టి -60 లు TU-22M3 కోసం 1980 ల స్థానంలో ఉన్న సోవియట్. సూపర్సోనిక్ ఇంటర్మీడియట్ రేంజ్ బాంబర్ డ్రాయింగ్ బోర్డును దాటలేదు. ఈ విమానం యొక్క సాంకేతిక లక్షణాల గురించి చాలా తక్కువ సమాచారం అందుబాటులో ఉంది, ఇది సుఖోయ్ డిజైన్ బ్యూరో చేత వర్గీకరించబడింది. టి -60 లలో వేరియబుల్ జ్యామితి వింగ్, ఫ్లాట్ లిఫ్టింగ్ ఫ్యూజ్‌లేజ్ మరియు రెండు ఇంజన్లు ఉన్నాయి, వీటిలో రెండు డైమెన్షనల్ థ్రస్ట్ వెక్టరింగ్ నాజిల్ ఉంటుంది. ఈ ఆయుధాలు ఆరు KH-101 క్రూయిజ్ క్షిపణులతో పాటు AS-15 మరియు AS-16 క్షిపణులు, ఫ్రీ-ఫాల్ అణ్వాయుధాలు మరియు ఖచ్చితమైన మార్గదర్శక సాంప్రదాయిక ఆయుధాలను చేర్చడం. ఈ ప్రాజెక్టును మొట్టమొదట 1984 లో సుఖోయ్ ప్రారంభించింది, కాని 1990 ల ప్రారంభంలో రద్దు చేయబడింది. బాంబర్ సోవియట్ వైమానిక దళంలో TU-22M ను భర్తీ చేసింది. [1] [2] బదులుగా, సుఖోయ్ మరింత సాంప్రదాయిక విధానాన్ని తీసుకుందని నిర్ణయించుకున్నాడు మరియు TU-22M కి బదులుగా SU-34 ను అభివృద్ధి చేశాడు. మూలం [3] పోల్చదగిన పాత్ర, కాన్ఫిగరేషన్ మరియు ERA సంబంధిత జాబితాల విమానం</v>
      </c>
      <c r="E159" s="1" t="s">
        <v>3295</v>
      </c>
      <c r="F159" s="1" t="s">
        <v>3296</v>
      </c>
      <c r="G159" s="1" t="str">
        <f>IFERROR(__xludf.DUMMYFUNCTION("GOOGLETRANSLATE(F:F, ""en"", ""te"")"),"ఇంటర్మీడియట్ బాంబర్")</f>
        <v>ఇంటర్మీడియట్ బాంబర్</v>
      </c>
      <c r="L159" s="1" t="s">
        <v>3297</v>
      </c>
      <c r="M159" s="1" t="str">
        <f>IFERROR(__xludf.DUMMYFUNCTION("GOOGLETRANSLATE(L:L, ""en"", ""te"")"),"సుఖోయి")</f>
        <v>సుఖోయి</v>
      </c>
      <c r="N159" s="3" t="s">
        <v>3298</v>
      </c>
      <c r="BG159" s="2"/>
      <c r="BU159" s="1" t="s">
        <v>3299</v>
      </c>
      <c r="BV159" s="1" t="str">
        <f>IFERROR(__xludf.DUMMYFUNCTION("GOOGLETRANSLATE(BU:BU, ""en"", ""te"")"),"రద్దు చేసిన ప్రాజెక్ట్")</f>
        <v>రద్దు చేసిన ప్రాజెక్ట్</v>
      </c>
    </row>
    <row r="160">
      <c r="A160" s="1" t="s">
        <v>3300</v>
      </c>
      <c r="B160" s="1" t="str">
        <f>IFERROR(__xludf.DUMMYFUNCTION("GOOGLETRANSLATE(A:A, ""en"", ""te"")"),"హఫెలి DH-5")</f>
        <v>హఫెలి DH-5</v>
      </c>
      <c r="C160" s="1" t="s">
        <v>3301</v>
      </c>
      <c r="D160" s="1" t="str">
        <f>IFERROR(__xludf.DUMMYFUNCTION("GOOGLETRANSLATE(C:C, ""en"", ""te"")"),"హఫెలి డిహెచ్ -5 అనేది 1910 ల స్విస్ రెండు-సీట్ల నిఘా విమానం, ఇది స్విట్జర్లాండ్‌లోని థన్ వద్ద ఫెడరల్ కన్స్ట్రక్షన్ వర్క్స్ (ఈడ్జెనోసిస్చే కన్స్ట్రక్ట్రూర్క్‌స్టేట్, కె + డబ్ల్యూ) విమాన విభాగం నిర్మించింది. హఫెలి DH-5 అనేది ఆగస్టు హఫెలి రూపొందించిన రెండు-స"&amp;"ీట్ల నిఘా విమానం. ఇది కలప మరియు ఫాబ్రిక్ నిర్మాణం యొక్క సింగిల్-బే బైప్లేన్. ఈ విమానం స్విస్ లోకోమోటివ్ మరియు మెషిన్ వర్క్స్ చేత ఉత్పత్తి చేయబడిన 180 హెచ్‌పి (134 కిలోవాట్ల) ఎల్‌ఎఫ్‌డబ్ల్యు ఐ ఇంజిన్ ద్వారా శక్తినిచ్చింది. ప్రోటోటైప్ యొక్క పరీక్ష ఎగురుతూ మ"&amp;"ార్చి 1919 మరియు 39 లో ప్రారంభమైంది. కొన్ని విమానాలు తరువాత హ్యాండ్లీ పేజీ స్లాట్లతో సవరించబడ్డాయి. 20 విమానాల రెండవ బ్యాచ్ 200 హెచ్‌పి (149 కిలోవాట్ల) ఎల్‌ఎఫ్‌డబ్ల్యు II ఇంజిన్‌తో శక్తినిచ్చింది. DH-5A ని నియమించబడిన 20 విమానాల యొక్క మరో బ్యాచ్ LFW III ఇ"&amp;"ంజిన్‌ను ఉపయోగించింది. DH-5 1922 లో సేవలోకి ప్రవేశించింది మరియు 1940 వరకు సేవ నుండి ఉపసంహరించుకోలేదు. ఇలస్ట్రేటెడ్ ఎన్సైక్లోపీడియా ఆఫ్ ఎయిర్క్రాఫ్ట్ (పార్ట్ వర్క్ 1982-1985) [1] సాధారణ లక్షణాల పనితీరు ఆయుధాల నుండి డేటా")</f>
        <v>హఫెలి డిహెచ్ -5 అనేది 1910 ల స్విస్ రెండు-సీట్ల నిఘా విమానం, ఇది స్విట్జర్లాండ్‌లోని థన్ వద్ద ఫెడరల్ కన్స్ట్రక్షన్ వర్క్స్ (ఈడ్జెనోసిస్చే కన్స్ట్రక్ట్రూర్క్‌స్టేట్, కె + డబ్ల్యూ) విమాన విభాగం నిర్మించింది. హఫెలి DH-5 అనేది ఆగస్టు హఫెలి రూపొందించిన రెండు-సీట్ల నిఘా విమానం. ఇది కలప మరియు ఫాబ్రిక్ నిర్మాణం యొక్క సింగిల్-బే బైప్లేన్. ఈ విమానం స్విస్ లోకోమోటివ్ మరియు మెషిన్ వర్క్స్ చేత ఉత్పత్తి చేయబడిన 180 హెచ్‌పి (134 కిలోవాట్ల) ఎల్‌ఎఫ్‌డబ్ల్యు ఐ ఇంజిన్ ద్వారా శక్తినిచ్చింది. ప్రోటోటైప్ యొక్క పరీక్ష ఎగురుతూ మార్చి 1919 మరియు 39 లో ప్రారంభమైంది. కొన్ని విమానాలు తరువాత హ్యాండ్లీ పేజీ స్లాట్లతో సవరించబడ్డాయి. 20 విమానాల రెండవ బ్యాచ్ 200 హెచ్‌పి (149 కిలోవాట్ల) ఎల్‌ఎఫ్‌డబ్ల్యు II ఇంజిన్‌తో శక్తినిచ్చింది. DH-5A ని నియమించబడిన 20 విమానాల యొక్క మరో బ్యాచ్ LFW III ఇంజిన్‌ను ఉపయోగించింది. DH-5 1922 లో సేవలోకి ప్రవేశించింది మరియు 1940 వరకు సేవ నుండి ఉపసంహరించుకోలేదు. ఇలస్ట్రేటెడ్ ఎన్సైక్లోపీడియా ఆఫ్ ఎయిర్క్రాఫ్ట్ (పార్ట్ వర్క్ 1982-1985) [1] సాధారణ లక్షణాల పనితీరు ఆయుధాల నుండి డేటా</v>
      </c>
      <c r="E160" s="1" t="s">
        <v>3302</v>
      </c>
      <c r="F160" s="1" t="s">
        <v>3303</v>
      </c>
      <c r="G160" s="1" t="str">
        <f>IFERROR(__xludf.DUMMYFUNCTION("GOOGLETRANSLATE(F:F, ""en"", ""te"")"),"నిఘా బిప్‌లేన్")</f>
        <v>నిఘా బిప్‌లేన్</v>
      </c>
      <c r="L160" s="1" t="s">
        <v>3304</v>
      </c>
      <c r="M160" s="1" t="str">
        <f>IFERROR(__xludf.DUMMYFUNCTION("GOOGLETRANSLATE(L:L, ""en"", ""te"")"),"K + w")</f>
        <v>K + w</v>
      </c>
      <c r="N160" s="1" t="s">
        <v>3305</v>
      </c>
      <c r="O160" s="1" t="s">
        <v>3306</v>
      </c>
      <c r="P160" s="1" t="str">
        <f>IFERROR(__xludf.DUMMYFUNCTION("GOOGLETRANSLATE(O:O, ""en"", ""te"")"),"ఆగస్టు హఫెలి")</f>
        <v>ఆగస్టు హఫెలి</v>
      </c>
      <c r="R160" s="1">
        <v>1919.0</v>
      </c>
      <c r="S160" s="1">
        <v>80.0</v>
      </c>
      <c r="T160" s="1" t="s">
        <v>3307</v>
      </c>
      <c r="V160" s="1">
        <v>2.0</v>
      </c>
      <c r="W160" s="1" t="s">
        <v>3308</v>
      </c>
      <c r="X160" s="1" t="s">
        <v>3309</v>
      </c>
      <c r="Y160" s="1" t="s">
        <v>403</v>
      </c>
      <c r="Z160" s="1" t="s">
        <v>3310</v>
      </c>
      <c r="AG160" s="1" t="s">
        <v>3311</v>
      </c>
      <c r="AH160" s="1" t="s">
        <v>3312</v>
      </c>
      <c r="AO160" s="1">
        <v>1922.0</v>
      </c>
      <c r="AQ160" s="1">
        <v>1940.0</v>
      </c>
      <c r="AX160" s="1" t="s">
        <v>3313</v>
      </c>
      <c r="AY160" s="1" t="str">
        <f>IFERROR(__xludf.DUMMYFUNCTION("GOOGLETRANSLATE(AX:AX, ""en"", ""te"")"),"1 × LFW III V-8 వాటర్-కూల్డ్ పిస్టన్ ఇంజిన్, 160 kW (220 HP)")</f>
        <v>1 × LFW III V-8 వాటర్-కూల్డ్ పిస్టన్ ఇంజిన్, 160 kW (220 HP)</v>
      </c>
      <c r="AZ160" s="1" t="s">
        <v>297</v>
      </c>
      <c r="BA160" s="1" t="str">
        <f>IFERROR(__xludf.DUMMYFUNCTION("GOOGLETRANSLATE(AZ:AZ, ""en"", ""te"")"),"2-బ్లేడెడ్ ఫిక్స్‌డ్-పిచ్ ప్రొపెల్లర్")</f>
        <v>2-బ్లేడెడ్ ఫిక్స్‌డ్-పిచ్ ప్రొపెల్లర్</v>
      </c>
      <c r="BB160" s="1" t="s">
        <v>1601</v>
      </c>
      <c r="BD160" s="1" t="s">
        <v>3314</v>
      </c>
      <c r="BF160" s="1" t="s">
        <v>2412</v>
      </c>
      <c r="BG160" s="2" t="str">
        <f>IFERROR(__xludf.DUMMYFUNCTION("GOOGLETRANSLATE(BF:BF, ""en"", ""te"")"),"స్విస్ వైమానిక దళం")</f>
        <v>స్విస్ వైమానిక దళం</v>
      </c>
      <c r="BH160" s="1" t="s">
        <v>2413</v>
      </c>
      <c r="BT160" s="1" t="s">
        <v>3315</v>
      </c>
    </row>
    <row r="161">
      <c r="A161" s="1" t="s">
        <v>3316</v>
      </c>
      <c r="B161" s="1" t="str">
        <f>IFERROR(__xludf.DUMMYFUNCTION("GOOGLETRANSLATE(A:A, ""en"", ""te"")"),"హీంకెల్ లెర్చే")</f>
        <v>హీంకెల్ లెర్చే</v>
      </c>
      <c r="C161" s="1" t="s">
        <v>3317</v>
      </c>
      <c r="D161" s="1" t="str">
        <f>IFERROR(__xludf.DUMMYFUNCTION("GOOGLETRANSLATE(C:C, ""en"", ""te"")"),"హీంకెల్ లెర్చే (ఇంగ్లీష్: లార్క్) 1944 మరియు 1945 లో జర్మన్ ఎయిర్క్రాఫ్ట్ డిజైనర్ హీంకెల్ చేసిన ప్రాజెక్ట్ అధ్యయనాల పేరు, విప్లవాత్మక VTOL ఫైటర్ మరియు గ్రౌండ్-అటాక్ విమానాల కోసం. లెర్చే ప్రారంభ కోలియోప్టర్ డిజైన్. ఇది బయలుదేరి, దాని తోకపై కూర్చుని, సాంప్ర"&amp;"దాయిక విమానం వలె అడ్డంగా ఎగురుతుంది. పైలట్ ముక్కులో పడుకుంటాడు. చాలా విశేషమేమిటంటే, ఇది డోనట్ ఆకారంలో, తొమ్మిది వైపుల వార్షిక వింగ్‌లో ఉన్న రెండు కాంట్రా-రొటేటింగ్ ప్రొపెల్లర్లతో శక్తిని పొందుతుంది. చాలా ఫ్యూచరిస్టిక్ డిజైన్ 1944 నుండి అభివృద్ధి చేయబడింది"&amp;" మరియు మార్చి 1945 లో ముగిసింది. ఒక వార్షిక విభాగం యొక్క ఏరోడైనమిక్ సూత్రాలు ప్రాథమికంగా మంచివి, అయితే ఈ ప్రతిపాదన పరిష్కరించని తయారీ మరియు నియంత్రణ సమస్యల యొక్క మొత్తం హోస్ట్‌ను ఎదుర్కొంది, ఇది ప్రాజెక్టును చాలా అసాధ్యంగా చేసింది, చివరి యుద్ధ నాజీ జర్మనీ"&amp;" యొక్క భౌతిక కొరత లేకుండా. [1] సాధారణ లక్షణాల నుండి డేటా పోల్చదగిన పాత్ర, కాన్ఫిగరేషన్ మరియు ERA సంబంధిత జాబితాల పనితీరు ఆయుధ విమానం")</f>
        <v>హీంకెల్ లెర్చే (ఇంగ్లీష్: లార్క్) 1944 మరియు 1945 లో జర్మన్ ఎయిర్క్రాఫ్ట్ డిజైనర్ హీంకెల్ చేసిన ప్రాజెక్ట్ అధ్యయనాల పేరు, విప్లవాత్మక VTOL ఫైటర్ మరియు గ్రౌండ్-అటాక్ విమానాల కోసం. లెర్చే ప్రారంభ కోలియోప్టర్ డిజైన్. ఇది బయలుదేరి, దాని తోకపై కూర్చుని, సాంప్రదాయిక విమానం వలె అడ్డంగా ఎగురుతుంది. పైలట్ ముక్కులో పడుకుంటాడు. చాలా విశేషమేమిటంటే, ఇది డోనట్ ఆకారంలో, తొమ్మిది వైపుల వార్షిక వింగ్‌లో ఉన్న రెండు కాంట్రా-రొటేటింగ్ ప్రొపెల్లర్లతో శక్తిని పొందుతుంది. చాలా ఫ్యూచరిస్టిక్ డిజైన్ 1944 నుండి అభివృద్ధి చేయబడింది మరియు మార్చి 1945 లో ముగిసింది. ఒక వార్షిక విభాగం యొక్క ఏరోడైనమిక్ సూత్రాలు ప్రాథమికంగా మంచివి, అయితే ఈ ప్రతిపాదన పరిష్కరించని తయారీ మరియు నియంత్రణ సమస్యల యొక్క మొత్తం హోస్ట్‌ను ఎదుర్కొంది, ఇది ప్రాజెక్టును చాలా అసాధ్యంగా చేసింది, చివరి యుద్ధ నాజీ జర్మనీ యొక్క భౌతిక కొరత లేకుండా. [1] సాధారణ లక్షణాల నుండి డేటా పోల్చదగిన పాత్ర, కాన్ఫిగరేషన్ మరియు ERA సంబంధిత జాబితాల పనితీరు ఆయుధ విమానం</v>
      </c>
      <c r="E161" s="1" t="s">
        <v>3318</v>
      </c>
      <c r="F161" s="1" t="s">
        <v>3319</v>
      </c>
      <c r="G161" s="1" t="str">
        <f>IFERROR(__xludf.DUMMYFUNCTION("GOOGLETRANSLATE(F:F, ""en"", ""te"")"),"తోక-సిట్టర్ ఫైటర్")</f>
        <v>తోక-సిట్టర్ ఫైటర్</v>
      </c>
      <c r="H161" s="1" t="s">
        <v>3320</v>
      </c>
      <c r="I161" s="1" t="s">
        <v>185</v>
      </c>
      <c r="J161" s="1" t="str">
        <f>IFERROR(__xludf.DUMMYFUNCTION("GOOGLETRANSLATE(I:I, ""en"", ""te"")"),"జర్మనీ")</f>
        <v>జర్మనీ</v>
      </c>
      <c r="L161" s="1" t="s">
        <v>560</v>
      </c>
      <c r="M161" s="1" t="str">
        <f>IFERROR(__xludf.DUMMYFUNCTION("GOOGLETRANSLATE(L:L, ""en"", ""te"")"),"హీంకెల్")</f>
        <v>హీంకెల్</v>
      </c>
      <c r="N161" s="3" t="s">
        <v>561</v>
      </c>
      <c r="O161" s="1" t="s">
        <v>560</v>
      </c>
      <c r="P161" s="1" t="str">
        <f>IFERROR(__xludf.DUMMYFUNCTION("GOOGLETRANSLATE(O:O, ""en"", ""te"")"),"హీంకెల్")</f>
        <v>హీంకెల్</v>
      </c>
      <c r="Q161" s="3" t="s">
        <v>561</v>
      </c>
      <c r="V161" s="1">
        <v>1.0</v>
      </c>
      <c r="W161" s="1" t="s">
        <v>3321</v>
      </c>
      <c r="X161" s="1" t="s">
        <v>3322</v>
      </c>
      <c r="Z161" s="1" t="s">
        <v>3323</v>
      </c>
      <c r="AG161" s="1" t="s">
        <v>3324</v>
      </c>
      <c r="AH161" s="1" t="s">
        <v>3325</v>
      </c>
      <c r="AI161" s="1" t="s">
        <v>3326</v>
      </c>
      <c r="AX161" s="1" t="s">
        <v>3327</v>
      </c>
      <c r="AY161" s="1" t="str">
        <f>IFERROR(__xludf.DUMMYFUNCTION("GOOGLETRANSLATE(AX:AX, ""en"", ""te"")"),"2 × డైమ్లెర్-బెంజ్ డిబి 605 డి వి -12 లిక్విడ్-కూల్డ్ డైరెక్ట్ ఇంధన-ఇంజెక్ట్ పిస్టన్ ఇంజన్లు 2,000 పిఎస్ (1,500 కిలోవాట్ ).")</f>
        <v>2 × డైమ్లెర్-బెంజ్ డిబి 605 డి వి -12 లిక్విడ్-కూల్డ్ డైరెక్ట్ ఇంధన-ఇంజెక్ట్ పిస్టన్ ఇంజన్లు 2,000 పిఎస్ (1,500 కిలోవాట్ ).</v>
      </c>
      <c r="BB161" s="1" t="s">
        <v>1618</v>
      </c>
      <c r="BC161" s="1" t="s">
        <v>3328</v>
      </c>
      <c r="BD161" s="1" t="s">
        <v>3329</v>
      </c>
      <c r="BG161" s="2"/>
      <c r="BS161" s="1" t="s">
        <v>3330</v>
      </c>
      <c r="BU161" s="1" t="s">
        <v>3331</v>
      </c>
      <c r="BV161" s="1" t="str">
        <f>IFERROR(__xludf.DUMMYFUNCTION("GOOGLETRANSLATE(BU:BU, ""en"", ""te"")"),"పేపర్ ప్రాజెక్ట్ మాత్రమే, ఎప్పుడూ నిర్మించబడలేదు")</f>
        <v>పేపర్ ప్రాజెక్ట్ మాత్రమే, ఎప్పుడూ నిర్మించబడలేదు</v>
      </c>
      <c r="CC161" s="1" t="s">
        <v>3332</v>
      </c>
      <c r="CD161" s="1" t="str">
        <f>IFERROR(__xludf.DUMMYFUNCTION("GOOGLETRANSLATE(CC:CC, ""en"", ""te"")"),"2 × 30 మిమీ (1.18 అంగుళ) MK 108 ఫిరంగి")</f>
        <v>2 × 30 మిమీ (1.18 అంగుళ) MK 108 ఫిరంగి</v>
      </c>
      <c r="EK161" s="1" t="s">
        <v>3333</v>
      </c>
    </row>
    <row r="162">
      <c r="A162" s="1" t="s">
        <v>3334</v>
      </c>
      <c r="B162" s="1" t="str">
        <f>IFERROR(__xludf.DUMMYFUNCTION("GOOGLETRANSLATE(A:A, ""en"", ""te"")"),"నకాజిమా ఎ 2 ఎన్")</f>
        <v>నకాజిమా ఎ 2 ఎన్</v>
      </c>
      <c r="C162" s="1" t="s">
        <v>3335</v>
      </c>
      <c r="D162" s="1" t="str">
        <f>IFERROR(__xludf.DUMMYFUNCTION("GOOGLETRANSLATE(C:C, ""en"", ""te"")"),"నకాజిమా ఎ 2 ఎన్ లేదా నేవీ టైప్ 90 క్యారియర్ ఫైటర్ 1930 లలో జపనీస్ క్యారియర్-బర్న్ ఫైటర్. ఇది మిశ్రమ నిర్మాణం యొక్క సింగిల్-ఇంజిన్ బిప్‌లేన్, స్థిర టెయిల్‌వీల్ అండర్ క్యారేజ్. A2N ను మొదట ఇంపీరియల్ జపనీస్ నేవీ కోసం నకాజిమా ఒక ప్రైవేట్ వెంచర్‌గా అభివృద్ధి చ"&amp;"ేశారు. ఇది బోయింగ్ మోడల్ 69 మరియు బోయింగ్ మోడల్ 100 పై ఆధారపడింది, రెండింటికీ వరుసగా 1928 మరియు 1929 లో దిగుమతి చేయబడిన ఉదాహరణలు. తకావో యోషిడా డిజైన్ బృందానికి నాయకత్వం వహించారు మరియు నేవీ అంగీకారం కోసం నేవీ టైప్ 90 క్యారియర్ ఫైటర్ అనే రెండు ప్రోటోటైప్‌లు"&amp;" డిసెంబర్ 1929 నాటికి సిద్ధంగా ఉన్నాయి. [1] బ్రిస్టల్ బృహస్పతి VI ఇంజిన్లచే ఆధారితమైనవి, ఇవి తిరస్కరించబడ్డాయి, నకాజిమా A1N పై గణనీయమైన మెరుగుదల అందిస్తున్నట్లు పరిగణించబడలేదు. [2] జింగో కురిహారా ఒక పెద్ద పున es రూపకల్పనను నిర్వహించింది మరియు మరొక నమూనా, "&amp;"A2N1, 432 kW (579 HP) నకాజిమా కోటోబుకి 2 తో శక్తితో మే 1931 లో పూర్తయింది. ఈ రకాన్ని ఏప్రిల్ 1932 లో నావికాదళం స్వీకరించారు. [2] రెండు-సీట్ల శిక్షకుడు, A3N3-1 (నేవీ టైప్ 90 ట్రైనింగ్ ఫైటర్) తరువాత నేవీ టైప్ 90 క్యారియర్ ఫైటర్ నుండి అభివృద్ధి చేయబడింది మరి"&amp;"యు వీటిలో 66 1936 మరియు 1939 మధ్య నిర్మించబడ్డాయి. [2] 1932 లో, మినోరు జెండా నావికాదళ విమానయానాన్ని ప్రోత్సహించడానికి మరియు ఈ రకమైన ప్రయాణించడానికి ""జెండా యొక్క ఫ్లయింగ్ సర్కస్"" అని పిలువబడే విమాన ప్రదర్శన బృందాన్ని ఏర్పాటు చేసింది. నేవీ టైప్ 90 క్యారియ"&amp;"ర్-ఆధారిత ఫైటర్ హ్షో, కాగా మరియు రైజో నుండి ఎగిరింది. [3] ఈ విమాన వాహక నౌక యొక్క ఎయిర్-కాంబాట్ యూనిట్ల కోసం రెండవ చైనా-జపనీస్ యుద్ధ-రెండవ ప్రపంచ యుద్ధం యొక్క మొదటి వాయు యుద్ధాలుగా మారతాయి, [4] A2N ఫైటర్ పైలట్ అకియో మాట్సుబా కాగా నుండి, జపనీస్ ట్రూప్‌కు మద"&amp;"్దతుగా ఎయిర్-కవర్ ఎగురుతూ ఆగష్టు 16, 1937 న షాంఘై యుద్ధంలో, షాంఘైలోని జపనీస్ దళాలకు వ్యతిరేకంగా దాడి మిషన్‌లో చైనా వైమానిక దళం డగ్లస్ O-2M ని కాల్చివేసింది. [5] A2NS ను త్వరలో A4NS మరియు A5MS ఫైటర్స్ పూర్తిగా అధిగమించాయి. జపనీస్ విమానం నుండి డేటా, 1910-19"&amp;"41, [2] పూర్తి బుక్ ఆఫ్ ఫైటర్స్ [6] సాధారణ లక్షణాలు పనితీరు ఆయుధాల సంబంధిత అభివృద్ధి విమానం పోల్చదగిన పాత్ర, కాన్ఫిగరేషన్ మరియు ERA సంబంధిత జాబితాలు 2 హైఫనేటెడ్ వెనుకంజలో ఉన్న లేఖ (-J, -K, -ll , -N లేదా -s) ద్వితీయ పాత్ర కోసం సవరించిన డిజైన్‌ను సూచిస్తుంద"&amp;"ి")</f>
        <v>నకాజిమా ఎ 2 ఎన్ లేదా నేవీ టైప్ 90 క్యారియర్ ఫైటర్ 1930 లలో జపనీస్ క్యారియర్-బర్న్ ఫైటర్. ఇది మిశ్రమ నిర్మాణం యొక్క సింగిల్-ఇంజిన్ బిప్‌లేన్, స్థిర టెయిల్‌వీల్ అండర్ క్యారేజ్. A2N ను మొదట ఇంపీరియల్ జపనీస్ నేవీ కోసం నకాజిమా ఒక ప్రైవేట్ వెంచర్‌గా అభివృద్ధి చేశారు. ఇది బోయింగ్ మోడల్ 69 మరియు బోయింగ్ మోడల్ 100 పై ఆధారపడింది, రెండింటికీ వరుసగా 1928 మరియు 1929 లో దిగుమతి చేయబడిన ఉదాహరణలు. తకావో యోషిడా డిజైన్ బృందానికి నాయకత్వం వహించారు మరియు నేవీ అంగీకారం కోసం నేవీ టైప్ 90 క్యారియర్ ఫైటర్ అనే రెండు ప్రోటోటైప్‌లు డిసెంబర్ 1929 నాటికి సిద్ధంగా ఉన్నాయి. [1] బ్రిస్టల్ బృహస్పతి VI ఇంజిన్లచే ఆధారితమైనవి, ఇవి తిరస్కరించబడ్డాయి, నకాజిమా A1N పై గణనీయమైన మెరుగుదల అందిస్తున్నట్లు పరిగణించబడలేదు. [2] జింగో కురిహారా ఒక పెద్ద పున es రూపకల్పనను నిర్వహించింది మరియు మరొక నమూనా, A2N1, 432 kW (579 HP) నకాజిమా కోటోబుకి 2 తో శక్తితో మే 1931 లో పూర్తయింది. ఈ రకాన్ని ఏప్రిల్ 1932 లో నావికాదళం స్వీకరించారు. [2] రెండు-సీట్ల శిక్షకుడు, A3N3-1 (నేవీ టైప్ 90 ట్రైనింగ్ ఫైటర్) తరువాత నేవీ టైప్ 90 క్యారియర్ ఫైటర్ నుండి అభివృద్ధి చేయబడింది మరియు వీటిలో 66 1936 మరియు 1939 మధ్య నిర్మించబడ్డాయి. [2] 1932 లో, మినోరు జెండా నావికాదళ విమానయానాన్ని ప్రోత్సహించడానికి మరియు ఈ రకమైన ప్రయాణించడానికి "జెండా యొక్క ఫ్లయింగ్ సర్కస్" అని పిలువబడే విమాన ప్రదర్శన బృందాన్ని ఏర్పాటు చేసింది. నేవీ టైప్ 90 క్యారియర్-ఆధారిత ఫైటర్ హ్షో, కాగా మరియు రైజో నుండి ఎగిరింది. [3] ఈ విమాన వాహక నౌక యొక్క ఎయిర్-కాంబాట్ యూనిట్ల కోసం రెండవ చైనా-జపనీస్ యుద్ధ-రెండవ ప్రపంచ యుద్ధం యొక్క మొదటి వాయు యుద్ధాలుగా మారతాయి, [4] A2N ఫైటర్ పైలట్ అకియో మాట్సుబా కాగా నుండి, జపనీస్ ట్రూప్‌కు మద్దతుగా ఎయిర్-కవర్ ఎగురుతూ ఆగష్టు 16, 1937 న షాంఘై యుద్ధంలో, షాంఘైలోని జపనీస్ దళాలకు వ్యతిరేకంగా దాడి మిషన్‌లో చైనా వైమానిక దళం డగ్లస్ O-2M ని కాల్చివేసింది. [5] A2NS ను త్వరలో A4NS మరియు A5MS ఫైటర్స్ పూర్తిగా అధిగమించాయి. జపనీస్ విమానం నుండి డేటా, 1910-1941, [2] పూర్తి బుక్ ఆఫ్ ఫైటర్స్ [6] సాధారణ లక్షణాలు పనితీరు ఆయుధాల సంబంధిత అభివృద్ధి విమానం పోల్చదగిన పాత్ర, కాన్ఫిగరేషన్ మరియు ERA సంబంధిత జాబితాలు 2 హైఫనేటెడ్ వెనుకంజలో ఉన్న లేఖ (-J, -K, -ll , -N లేదా -s) ద్వితీయ పాత్ర కోసం సవరించిన డిజైన్‌ను సూచిస్తుంది</v>
      </c>
      <c r="E162" s="1" t="s">
        <v>3336</v>
      </c>
      <c r="F162" s="1" t="s">
        <v>3337</v>
      </c>
      <c r="G162" s="1" t="str">
        <f>IFERROR(__xludf.DUMMYFUNCTION("GOOGLETRANSLATE(F:F, ""en"", ""te"")"),"క్యారియర్-బర్న్ ఫైటర్")</f>
        <v>క్యారియర్-బర్న్ ఫైటర్</v>
      </c>
      <c r="H162" s="1" t="s">
        <v>3338</v>
      </c>
      <c r="L162" s="1" t="s">
        <v>364</v>
      </c>
      <c r="M162" s="1" t="str">
        <f>IFERROR(__xludf.DUMMYFUNCTION("GOOGLETRANSLATE(L:L, ""en"", ""te"")"),"నకాజిమా ఎయిర్క్రాఫ్ట్ కంపెనీ")</f>
        <v>నకాజిమా ఎయిర్క్రాఫ్ట్ కంపెనీ</v>
      </c>
      <c r="N162" s="1" t="s">
        <v>365</v>
      </c>
      <c r="O162" s="1" t="s">
        <v>3339</v>
      </c>
      <c r="P162" s="1" t="str">
        <f>IFERROR(__xludf.DUMMYFUNCTION("GOOGLETRANSLATE(O:O, ""en"", ""te"")"),"తకావో యోషిడా")</f>
        <v>తకావో యోషిడా</v>
      </c>
      <c r="R162" s="1">
        <v>1929.0</v>
      </c>
      <c r="S162" s="1" t="s">
        <v>3340</v>
      </c>
      <c r="T162" s="1" t="s">
        <v>3341</v>
      </c>
      <c r="V162" s="1">
        <v>1.0</v>
      </c>
      <c r="W162" s="1" t="s">
        <v>3342</v>
      </c>
      <c r="X162" s="1" t="s">
        <v>3343</v>
      </c>
      <c r="Y162" s="1" t="s">
        <v>3344</v>
      </c>
      <c r="Z162" s="1" t="s">
        <v>3345</v>
      </c>
      <c r="AG162" s="1" t="s">
        <v>3346</v>
      </c>
      <c r="AH162" s="1" t="s">
        <v>846</v>
      </c>
      <c r="AM162" s="1" t="s">
        <v>3347</v>
      </c>
      <c r="AO162" s="1">
        <v>1932.0</v>
      </c>
      <c r="AX162" s="1" t="s">
        <v>3348</v>
      </c>
      <c r="AY162" s="1" t="str">
        <f>IFERROR(__xludf.DUMMYFUNCTION("GOOGLETRANSLATE(AX:AX, ""en"", ""te"")"),"1 × నకాజిమా కోటోబుకి 2 9-సిలిండర్ ఎయిర్-కూల్డ్ రేడియల్ పిస్టన్ ఇంజిన్ 343–433 కిలోవాట్ (460–580 హెచ్‌పి)")</f>
        <v>1 × నకాజిమా కోటోబుకి 2 9-సిలిండర్ ఎయిర్-కూల్డ్ రేడియల్ పిస్టన్ ఇంజిన్ 343–433 కిలోవాట్ (460–580 హెచ్‌పి)</v>
      </c>
      <c r="AZ162" s="1" t="s">
        <v>3349</v>
      </c>
      <c r="BA162" s="1" t="str">
        <f>IFERROR(__xludf.DUMMYFUNCTION("GOOGLETRANSLATE(AZ:AZ, ""en"", ""te"")"),"2-బ్లేడెడ్ హామిల్టన్ స్టాండర్డ్ ఫిక్స్‌డ్-పిచ్ మెటల్ ప్రొపెల్లర్")</f>
        <v>2-బ్లేడెడ్ హామిల్టన్ స్టాండర్డ్ ఫిక్స్‌డ్-పిచ్ మెటల్ ప్రొపెల్లర్</v>
      </c>
      <c r="BB162" s="1" t="s">
        <v>3350</v>
      </c>
      <c r="BC162" s="1" t="s">
        <v>3351</v>
      </c>
      <c r="BD162" s="1" t="s">
        <v>658</v>
      </c>
      <c r="BE162" s="1" t="s">
        <v>3352</v>
      </c>
      <c r="BF162" s="1" t="s">
        <v>3353</v>
      </c>
      <c r="BG162" s="2" t="str">
        <f>IFERROR(__xludf.DUMMYFUNCTION("GOOGLETRANSLATE(BF:BF, ""en"", ""te"")"),"ఇంపీరియల్ జపనీస్ నేవీ")</f>
        <v>ఇంపీరియల్ జపనీస్ నేవీ</v>
      </c>
      <c r="BH162" s="1" t="s">
        <v>3354</v>
      </c>
      <c r="BT162" s="1" t="s">
        <v>3355</v>
      </c>
      <c r="BW162" s="1" t="s">
        <v>3356</v>
      </c>
      <c r="BZ162" s="1" t="s">
        <v>3357</v>
      </c>
      <c r="CB162" s="1" t="s">
        <v>3358</v>
      </c>
      <c r="CC162" s="1" t="s">
        <v>3359</v>
      </c>
      <c r="CD162" s="1" t="str">
        <f>IFERROR(__xludf.DUMMYFUNCTION("GOOGLETRANSLATE(CC:CC, ""en"", ""te"")"),"2 × 7.7 మిమీ (0.303 అంగుళాలు) మెషిన్ గన్స్")</f>
        <v>2 × 7.7 మిమీ (0.303 అంగుళాలు) మెషిన్ గన్స్</v>
      </c>
    </row>
    <row r="163">
      <c r="A163" s="1" t="s">
        <v>3360</v>
      </c>
      <c r="B163" s="1" t="str">
        <f>IFERROR(__xludf.DUMMYFUNCTION("GOOGLETRANSLATE(A:A, ""en"", ""te"")"),"ఆర్మ్‌స్ట్రాంగ్ విట్‌వర్త్ F.K.10")</f>
        <v>ఆర్మ్‌స్ట్రాంగ్ విట్‌వర్త్ F.K.10</v>
      </c>
      <c r="C163" s="1" t="s">
        <v>3361</v>
      </c>
      <c r="D163" s="1" t="str">
        <f>IFERROR(__xludf.DUMMYFUNCTION("GOOGLETRANSLATE(C:C, ""en"", ""te"")"),"ఆర్మ్‌స్ట్రాంగ్ విట్‌వర్త్ F.K.10 మొదటి ప్రపంచ యుద్ధంలో ఆర్మ్‌స్ట్రాంగ్ విట్‌వర్త్ నిర్మించిన బ్రిటిష్ రెండు-సీట్ల క్వాడ్రప్లేన్ (అనగా, నాలుగు వింగ్) ఫైటర్ విమానం. రాయల్ ఫ్లయింగ్ కార్ప్స్ మరియు రాయల్ నావల్ ఎయిర్ సర్వీస్ కోసం దీనిని తక్కువ సంఖ్యలో ఆదేశించి"&amp;"నప్పటికీ, ఇది కార్యాచరణగా ఉపయోగించబడలేదు. ఉత్పత్తిని చేరుకున్న కొన్ని క్వాడ్రప్లేన్ విమానాలలో ఇది ఒకటి. F.K.10 ను 1916 లో ఫ్రెడెరిక్ కూల్హోవెన్ రూపొందించారు, [1] ఆర్మ్‌స్ట్రాంగ్ విట్‌వర్త్ విమానం యొక్క చీఫ్ డిజైనర్ సింగిల్-ఇంజిన్ టూ-సీట్ల ఫైటర్‌గా. కూల్హో"&amp;"వెన్ నవల క్వాడ్రప్లేన్ లేఅవుట్ను ఎంచుకున్నాడు, దీనిని P.B.29E మరియు సూపర్ మేరిన్ నైట్హాక్ యాంటీ-జెప్పెలిన్ విమానం మరియు సమకాలీన వైట్ క్వాడ్రప్లేన్ స్కౌట్ కోసం పెంబర్టన్-బిల్లింగ్ (తరువాత సూపర్ మెరైన్ అని పిలుస్తారు) కూడా ఉపయోగించారు. అదే సమయంలో, సోప్విత్ "&amp;"విజయవంతమైన సోప్విత్ ట్రిప్లేన్ ఫైటర్‌ను నిర్మిస్తున్నాడు. మొట్టమొదటి నమూనా, F.K.9 [2] 1916 వేసవిలో నిర్మించబడింది మరియు మొదట 110 HP (80 kW) క్లెగెట్ 9Z రోటరీ ఇంజిన్ చేత శక్తినిస్తుంది. ఇది నిస్సార ఫ్యూజ్‌లేజ్‌ను కలిగి ఉంది, రెక్కలు ప్లాంక్ లాంటి ఇంటర్‌ప్ల"&amp;"ేన్ స్ట్రట్‌లతో చేరారు, [3] సోప్‌విత్ ట్రిప్లేన్ ఉపయోగించిన మాదిరిగానే. 1916 చివరలో సెంట్రల్ ఫ్లయింగ్ స్కూల్లో మూల్యాంకనం తరువాత, సవరించిన సంస్కరణ, F.K.10 కోసం 50 కోసం ఉత్పత్తి క్రమాన్ని RFC ఉంచింది. [2] ఉత్పత్తి F.K.10 లో కొత్త, లోతైన ఫ్యూజ్‌లేజ్ మరియు క"&amp;"ొత్త తోకను కలిగి ఉంది, కాని F.K.9 యొక్క వింగ్ ప్లాన్‌ఫార్మ్‌ను కలిగి ఉంది. F.K.10 సోప్విత్ 1½ స్ట్రట్టర్‌కు నాసిరకం పనితీరును చూపించింది, ఇది ఇప్పటికే విజయవంతమైన రెండు-సీట్ల ఫైటర్‌గా సేవలో ఉంది, మరియు ఐదు మాత్రమే RFC ఆర్డర్‌తో నిర్మించబడ్డాయి, మరో మూడు RN"&amp;"A ల కోసం నిర్మించబడ్డాయి. [2] అవి కార్యాచరణగా ఉపయోగించబడలేదు మరియు డిజైన్ మరింత అభివృద్ధి చేయబడలేదు. [4] మొదటి ప్రపంచ యుద్ధం యొక్క యుద్ధ విమానాల నుండి డేటా, ఫైటర్స్ వాల్యూమ్ వన్, గ్రేట్ బ్రిటన్.")</f>
        <v>ఆర్మ్‌స్ట్రాంగ్ విట్‌వర్త్ F.K.10 మొదటి ప్రపంచ యుద్ధంలో ఆర్మ్‌స్ట్రాంగ్ విట్‌వర్త్ నిర్మించిన బ్రిటిష్ రెండు-సీట్ల క్వాడ్రప్లేన్ (అనగా, నాలుగు వింగ్) ఫైటర్ విమానం. రాయల్ ఫ్లయింగ్ కార్ప్స్ మరియు రాయల్ నావల్ ఎయిర్ సర్వీస్ కోసం దీనిని తక్కువ సంఖ్యలో ఆదేశించినప్పటికీ, ఇది కార్యాచరణగా ఉపయోగించబడలేదు. ఉత్పత్తిని చేరుకున్న కొన్ని క్వాడ్రప్లేన్ విమానాలలో ఇది ఒకటి. F.K.10 ను 1916 లో ఫ్రెడెరిక్ కూల్హోవెన్ రూపొందించారు, [1] ఆర్మ్‌స్ట్రాంగ్ విట్‌వర్త్ విమానం యొక్క చీఫ్ డిజైనర్ సింగిల్-ఇంజిన్ టూ-సీట్ల ఫైటర్‌గా. కూల్హోవెన్ నవల క్వాడ్రప్లేన్ లేఅవుట్ను ఎంచుకున్నాడు, దీనిని P.B.29E మరియు సూపర్ మేరిన్ నైట్హాక్ యాంటీ-జెప్పెలిన్ విమానం మరియు సమకాలీన వైట్ క్వాడ్రప్లేన్ స్కౌట్ కోసం పెంబర్టన్-బిల్లింగ్ (తరువాత సూపర్ మెరైన్ అని పిలుస్తారు) కూడా ఉపయోగించారు. అదే సమయంలో, సోప్విత్ విజయవంతమైన సోప్విత్ ట్రిప్లేన్ ఫైటర్‌ను నిర్మిస్తున్నాడు. మొట్టమొదటి నమూనా, F.K.9 [2] 1916 వేసవిలో నిర్మించబడింది మరియు మొదట 110 HP (80 kW) క్లెగెట్ 9Z రోటరీ ఇంజిన్ చేత శక్తినిస్తుంది. ఇది నిస్సార ఫ్యూజ్‌లేజ్‌ను కలిగి ఉంది, రెక్కలు ప్లాంక్ లాంటి ఇంటర్‌ప్లేన్ స్ట్రట్‌లతో చేరారు, [3] సోప్‌విత్ ట్రిప్లేన్ ఉపయోగించిన మాదిరిగానే. 1916 చివరలో సెంట్రల్ ఫ్లయింగ్ స్కూల్లో మూల్యాంకనం తరువాత, సవరించిన సంస్కరణ, F.K.10 కోసం 50 కోసం ఉత్పత్తి క్రమాన్ని RFC ఉంచింది. [2] ఉత్పత్తి F.K.10 లో కొత్త, లోతైన ఫ్యూజ్‌లేజ్ మరియు కొత్త తోకను కలిగి ఉంది, కాని F.K.9 యొక్క వింగ్ ప్లాన్‌ఫార్మ్‌ను కలిగి ఉంది. F.K.10 సోప్విత్ 1½ స్ట్రట్టర్‌కు నాసిరకం పనితీరును చూపించింది, ఇది ఇప్పటికే విజయవంతమైన రెండు-సీట్ల ఫైటర్‌గా సేవలో ఉంది, మరియు ఐదు మాత్రమే RFC ఆర్డర్‌తో నిర్మించబడ్డాయి, మరో మూడు RNA ల కోసం నిర్మించబడ్డాయి. [2] అవి కార్యాచరణగా ఉపయోగించబడలేదు మరియు డిజైన్ మరింత అభివృద్ధి చేయబడలేదు. [4] మొదటి ప్రపంచ యుద్ధం యొక్క యుద్ధ విమానాల నుండి డేటా, ఫైటర్స్ వాల్యూమ్ వన్, గ్రేట్ బ్రిటన్.</v>
      </c>
      <c r="E163" s="1" t="s">
        <v>3362</v>
      </c>
      <c r="F163" s="1" t="s">
        <v>421</v>
      </c>
      <c r="G163" s="1" t="str">
        <f>IFERROR(__xludf.DUMMYFUNCTION("GOOGLETRANSLATE(F:F, ""en"", ""te"")"),"యుద్ధ")</f>
        <v>యుద్ధ</v>
      </c>
      <c r="H163" s="3" t="s">
        <v>754</v>
      </c>
      <c r="L163" s="1" t="s">
        <v>3363</v>
      </c>
      <c r="M163" s="1" t="str">
        <f>IFERROR(__xludf.DUMMYFUNCTION("GOOGLETRANSLATE(L:L, ""en"", ""te"")"),"ఆర్మ్‌స్ట్రాంగ్ విట్‌వర్త్")</f>
        <v>ఆర్మ్‌స్ట్రాంగ్ విట్‌వర్త్</v>
      </c>
      <c r="N163" s="1" t="s">
        <v>3364</v>
      </c>
      <c r="O163" s="1" t="s">
        <v>3365</v>
      </c>
      <c r="P163" s="1" t="str">
        <f>IFERROR(__xludf.DUMMYFUNCTION("GOOGLETRANSLATE(O:O, ""en"", ""te"")"),"ఫ్రెడరిక్ కూల్హోవెన్")</f>
        <v>ఫ్రెడరిక్ కూల్హోవెన్</v>
      </c>
      <c r="Q163" s="1" t="s">
        <v>3366</v>
      </c>
      <c r="R163" s="1">
        <v>1916.0</v>
      </c>
      <c r="S163" s="1" t="s">
        <v>3367</v>
      </c>
      <c r="T163" s="1" t="s">
        <v>3368</v>
      </c>
      <c r="V163" s="1" t="s">
        <v>1039</v>
      </c>
      <c r="W163" s="1" t="s">
        <v>3369</v>
      </c>
      <c r="X163" s="1" t="s">
        <v>3370</v>
      </c>
      <c r="Y163" s="1" t="s">
        <v>2489</v>
      </c>
      <c r="Z163" s="1" t="s">
        <v>3371</v>
      </c>
      <c r="AG163" s="1" t="s">
        <v>3372</v>
      </c>
      <c r="AH163" s="1" t="s">
        <v>3373</v>
      </c>
      <c r="AX163" s="1" t="s">
        <v>3374</v>
      </c>
      <c r="AY163" s="1" t="str">
        <f>IFERROR(__xludf.DUMMYFUNCTION("GOOGLETRANSLATE(AX:AX, ""en"", ""te"")"),"1 × మతాధికారి 9 బి తొమ్మిది సిలిండర్ రోటరీ ఇంజిన్, 130 హెచ్‌పి (97 కిలోవాట్)")</f>
        <v>1 × మతాధికారి 9 బి తొమ్మిది సిలిండర్ రోటరీ ఇంజిన్, 130 హెచ్‌పి (97 కిలోవాట్)</v>
      </c>
      <c r="BB163" s="1" t="s">
        <v>3375</v>
      </c>
      <c r="BD163" s="1" t="s">
        <v>1099</v>
      </c>
      <c r="BG163" s="2"/>
      <c r="BZ163" s="1" t="s">
        <v>3376</v>
      </c>
      <c r="CB163" s="1" t="s">
        <v>3377</v>
      </c>
      <c r="CC163" s="1" t="s">
        <v>3378</v>
      </c>
      <c r="CD163" s="1" t="str">
        <f>IFERROR(__xludf.DUMMYFUNCTION("GOOGLETRANSLATE(CC:CC, ""en"", ""te"")"),"1 × స్థిర, ఫార్వర్డ్-ఫైరింగ్ .303 (7.7 మిమీ) విక్కర్స్ మెషిన్ గన్ మరియు 1 × .303 (7.7 మిమీ) లూయిస్ గన్ అబ్జర్వర్ యొక్క కాక్‌పిట్‌లో")</f>
        <v>1 × స్థిర, ఫార్వర్డ్-ఫైరింగ్ .303 (7.7 మిమీ) విక్కర్స్ మెషిన్ గన్ మరియు 1 × .303 (7.7 మిమీ) లూయిస్ గన్ అబ్జర్వర్ యొక్క కాక్‌పిట్‌లో</v>
      </c>
    </row>
    <row r="164">
      <c r="A164" s="1" t="s">
        <v>3379</v>
      </c>
      <c r="B164" s="1" t="str">
        <f>IFERROR(__xludf.DUMMYFUNCTION("GOOGLETRANSLATE(A:A, ""en"", ""te"")"),"గుప్పీంగెన్ గో 9")</f>
        <v>గుప్పీంగెన్ గో 9</v>
      </c>
      <c r="C164" s="1" t="s">
        <v>3380</v>
      </c>
      <c r="D164" s="1" t="str">
        <f>IFERROR(__xludf.DUMMYFUNCTION("GOOGLETRANSLATE(C:C, ""en"", ""te"")"),"గుప్పీంగెన్ గో 9 అనేది జర్మన్ పరిశోధనా విమానం, ఇది ఇంజిన్‌కు దూరంగా ఉన్న పషర్ ప్రొపెల్లర్‌ను ఉపయోగించి విమానం శక్తినిచ్చే ప్రాక్టికాలిటీలను పరిశోధించడానికి నిర్మించబడింది మరియు పొడవైన డ్రైవ్‌షాఫ్ట్ ద్వారా మారిపోయింది. 1937 లో, క్లాడియస్ డోర్నియర్ వేగాన్ని"&amp;" పెంచే ప్రయత్నంలో అదనపు ఇంజన్లు మరియు ప్రొపెల్లర్లను ఒక విమానానికి జోడించడం కూడా ఎక్కువ డ్రాగ్ యొక్క జరిమానాను ఆకర్షిస్తుందని గమనించాడు, ప్రత్యేకించి రెక్కలపై అమర్చిన నాసెల్లెస్ లోపల రెండు లేదా అంతకంటే ఎక్కువ ఇంజిన్లను ఉంచేటప్పుడు. ఒక విమానం వెనుక భాగంలో "&amp;"రెండవ ప్రొపెల్లర్‌ను మౌంట్ చేయడం ద్వారా ఈ జరిమానాను తగ్గించవచ్చని ఆయన వాదించారు. తోక-భారీగా నివారించడానికి, ఇంజిన్ దాని కంటే చాలా ముందు అమర్చాలి. డోర్నియర్ ఈ ఆలోచనకు పేటెంట్ ఇచ్చాడు మరియు దానిని అంచనా వేయడానికి ఒక పరీక్ష విమానాన్ని నియమించాడు. ఈ విమానం డా"&amp;"క్టర్ ఉల్రిచ్ హట్టెర్ చేత డోర్నియర్ DO 17 యొక్క ఫ్యూజ్‌లేజ్ మరియు వింగ్ ప్యానెల్‌ల యొక్క 40% పరిమాణ, స్కేల్-డౌన్ వెర్షన్‌గా ట్విన్-ఇంజిన్ నాసెల్లెస్ లేకుండా రూపొందించబడింది మరియు Schempp- హర్త్ నిర్మించారు. ఎయిర్‌ఫ్రేమ్ పూర్తిగా కలపతో ఉంది మరియు ముడుచుకున"&amp;"ే ట్రైసైకిల్ ల్యాండింగ్ గేర్‌ను ఉపయోగించింది-అటువంటి అమరికను ఉపయోగించడానికి ప్రారంభమైన హీంకెల్-నిర్మిత జర్మన్ ఎయిర్‌ఫ్రేమ్ డిజైన్లలో ఒకటి. రెక్కల దగ్గర ఫ్యూజ్‌లేజ్ లోపల అమర్చిన హిర్త్ హెచ్‌ఎం 60 విలోమ, ఎయిర్-కూల్డ్ ఇన్లైన్ నాలుగు సిలిండర్ల ఇంజన్ ద్వారా శక"&amp;"్తిని సరఫరా చేశారు. ఇంజిన్ సంస్థాపన కాకుండా, విమానం యొక్క అసాధారణమైన ఇతర అసాధారణ లక్షణం దాని సరికొత్త, పూర్తి నాలుగు-ఉపరితల క్రూసిఫార్మ్ తోక, ఇందులో డోర్సల్ ఉపరితలానికి సమానమైన పెద్ద వెంట్రల్ ఫిన్/చుక్కాని యూనిట్ ఉంది. ఈ ఫిన్ వెంట్రల్ ఫిన్ యొక్క దిగువ చిట"&amp;"్కా నుండి పొడుచుకు వచ్చిన ఒక చిన్న అనుబంధ టెయిల్‌వీల్‌ను కలిగి ఉంది, ఇది వెనుక-మౌంటెడ్, నాలుగు-బ్లేడ్ ప్రొపెల్లర్‌ను టేకాఫ్ మరియు ల్యాండింగ్ సమయంలో భూమికి వ్యతిరేకంగా టెయిల్‌స్ట్రైక్ నష్టానికి దూరంగా ఉంచడానికి సహాయపడుతుంది. గో 9 సివిల్ రిజిస్ట్రేషన్ D-EBY"&amp;"W ను కలిగి ఉంది. ప్రారంభంలో పైకి లేచి, విమాన పరీక్షలు జూన్ 1941 లో ప్రారంభమయ్యాయి, కాని తరువాత విమానాలు దాని స్వంత శక్తితో పనిచేస్తాయి. ఈ డిజైన్ డోర్నియర్ యొక్క ఆలోచనలను ధృవీకరించింది, మరియు అతను ముందు మరియు వెనుక భాగంలో ప్రొపెల్లర్లతో అధిక-పనితీరు గల విమ"&amp;"ానాన్ని నిర్మించాలనే తన అసలు ప్రణాళికతో ముందుకు వెళ్ళాడు, డోర్నియర్ డూ 335 ను ఉత్పత్తి చేస్తాడు. చివరికి Gö 9 యొక్క విధి తెలియదు. డై డ్యూయిష్ లుఫ్‌ట్రూస్టంగ్ నుండి డేటా 1933-1945 వాల్యూమ్ 1-AEG-డోర్నియర్ [1] సాధారణ లక్షణాలు పనితీరు విమానం పోల్చదగిన పాత్ర,"&amp;" కాన్ఫిగరేషన్ మరియు ERA సంబంధిత జాబితాలు")</f>
        <v>గుప్పీంగెన్ గో 9 అనేది జర్మన్ పరిశోధనా విమానం, ఇది ఇంజిన్‌కు దూరంగా ఉన్న పషర్ ప్రొపెల్లర్‌ను ఉపయోగించి విమానం శక్తినిచ్చే ప్రాక్టికాలిటీలను పరిశోధించడానికి నిర్మించబడింది మరియు పొడవైన డ్రైవ్‌షాఫ్ట్ ద్వారా మారిపోయింది. 1937 లో, క్లాడియస్ డోర్నియర్ వేగాన్ని పెంచే ప్రయత్నంలో అదనపు ఇంజన్లు మరియు ప్రొపెల్లర్లను ఒక విమానానికి జోడించడం కూడా ఎక్కువ డ్రాగ్ యొక్క జరిమానాను ఆకర్షిస్తుందని గమనించాడు, ప్రత్యేకించి రెక్కలపై అమర్చిన నాసెల్లెస్ లోపల రెండు లేదా అంతకంటే ఎక్కువ ఇంజిన్లను ఉంచేటప్పుడు. ఒక విమానం వెనుక భాగంలో రెండవ ప్రొపెల్లర్‌ను మౌంట్ చేయడం ద్వారా ఈ జరిమానాను తగ్గించవచ్చని ఆయన వాదించారు. తోక-భారీగా నివారించడానికి, ఇంజిన్ దాని కంటే చాలా ముందు అమర్చాలి. డోర్నియర్ ఈ ఆలోచనకు పేటెంట్ ఇచ్చాడు మరియు దానిని అంచనా వేయడానికి ఒక పరీక్ష విమానాన్ని నియమించాడు. ఈ విమానం డాక్టర్ ఉల్రిచ్ హట్టెర్ చేత డోర్నియర్ DO 17 యొక్క ఫ్యూజ్‌లేజ్ మరియు వింగ్ ప్యానెల్‌ల యొక్క 40% పరిమాణ, స్కేల్-డౌన్ వెర్షన్‌గా ట్విన్-ఇంజిన్ నాసెల్లెస్ లేకుండా రూపొందించబడింది మరియు Schempp- హర్త్ నిర్మించారు. ఎయిర్‌ఫ్రేమ్ పూర్తిగా కలపతో ఉంది మరియు ముడుచుకునే ట్రైసైకిల్ ల్యాండింగ్ గేర్‌ను ఉపయోగించింది-అటువంటి అమరికను ఉపయోగించడానికి ప్రారంభమైన హీంకెల్-నిర్మిత జర్మన్ ఎయిర్‌ఫ్రేమ్ డిజైన్లలో ఒకటి. రెక్కల దగ్గర ఫ్యూజ్‌లేజ్ లోపల అమర్చిన హిర్త్ హెచ్‌ఎం 60 విలోమ, ఎయిర్-కూల్డ్ ఇన్లైన్ నాలుగు సిలిండర్ల ఇంజన్ ద్వారా శక్తిని సరఫరా చేశారు. ఇంజిన్ సంస్థాపన కాకుండా, విమానం యొక్క అసాధారణమైన ఇతర అసాధారణ లక్షణం దాని సరికొత్త, పూర్తి నాలుగు-ఉపరితల క్రూసిఫార్మ్ తోక, ఇందులో డోర్సల్ ఉపరితలానికి సమానమైన పెద్ద వెంట్రల్ ఫిన్/చుక్కాని యూనిట్ ఉంది. ఈ ఫిన్ వెంట్రల్ ఫిన్ యొక్క దిగువ చిట్కా నుండి పొడుచుకు వచ్చిన ఒక చిన్న అనుబంధ టెయిల్‌వీల్‌ను కలిగి ఉంది, ఇది వెనుక-మౌంటెడ్, నాలుగు-బ్లేడ్ ప్రొపెల్లర్‌ను టేకాఫ్ మరియు ల్యాండింగ్ సమయంలో భూమికి వ్యతిరేకంగా టెయిల్‌స్ట్రైక్ నష్టానికి దూరంగా ఉంచడానికి సహాయపడుతుంది. గో 9 సివిల్ రిజిస్ట్రేషన్ D-EBYW ను కలిగి ఉంది. ప్రారంభంలో పైకి లేచి, విమాన పరీక్షలు జూన్ 1941 లో ప్రారంభమయ్యాయి, కాని తరువాత విమానాలు దాని స్వంత శక్తితో పనిచేస్తాయి. ఈ డిజైన్ డోర్నియర్ యొక్క ఆలోచనలను ధృవీకరించింది, మరియు అతను ముందు మరియు వెనుక భాగంలో ప్రొపెల్లర్లతో అధిక-పనితీరు గల విమానాన్ని నిర్మించాలనే తన అసలు ప్రణాళికతో ముందుకు వెళ్ళాడు, డోర్నియర్ డూ 335 ను ఉత్పత్తి చేస్తాడు. చివరికి Gö 9 యొక్క విధి తెలియదు. డై డ్యూయిష్ లుఫ్‌ట్రూస్టంగ్ నుండి డేటా 1933-1945 వాల్యూమ్ 1-AEG-డోర్నియర్ [1] సాధారణ లక్షణాలు పనితీరు విమానం పోల్చదగిన పాత్ర, కాన్ఫిగరేషన్ మరియు ERA సంబంధిత జాబితాలు</v>
      </c>
      <c r="E164" s="1" t="s">
        <v>3381</v>
      </c>
      <c r="F164" s="1" t="s">
        <v>3382</v>
      </c>
      <c r="G164" s="1" t="str">
        <f>IFERROR(__xludf.DUMMYFUNCTION("GOOGLETRANSLATE(F:F, ""en"", ""te"")"),"పరిశోధన విమానం")</f>
        <v>పరిశోధన విమానం</v>
      </c>
      <c r="I164" s="1" t="s">
        <v>3282</v>
      </c>
      <c r="J164" s="1" t="str">
        <f>IFERROR(__xludf.DUMMYFUNCTION("GOOGLETRANSLATE(I:I, ""en"", ""te"")"),"నాజీ జర్మనీ")</f>
        <v>నాజీ జర్మనీ</v>
      </c>
      <c r="K164" s="1" t="s">
        <v>3383</v>
      </c>
      <c r="L164" s="1" t="s">
        <v>2174</v>
      </c>
      <c r="M164" s="1" t="str">
        <f>IFERROR(__xludf.DUMMYFUNCTION("GOOGLETRANSLATE(L:L, ""en"", ""te"")"),"Schempp- హర్త్")</f>
        <v>Schempp- హర్త్</v>
      </c>
      <c r="N164" s="3" t="s">
        <v>2175</v>
      </c>
      <c r="O164" s="1" t="s">
        <v>3384</v>
      </c>
      <c r="P164" s="1" t="str">
        <f>IFERROR(__xludf.DUMMYFUNCTION("GOOGLETRANSLATE(O:O, ""en"", ""te"")"),"ఉల్రిచ్ హట్టర్")</f>
        <v>ఉల్రిచ్ హట్టర్</v>
      </c>
      <c r="R164" s="1">
        <v>1941.0</v>
      </c>
      <c r="S164" s="1">
        <v>1.0</v>
      </c>
      <c r="V164" s="1">
        <v>1.0</v>
      </c>
      <c r="W164" s="1" t="s">
        <v>3385</v>
      </c>
      <c r="X164" s="1" t="s">
        <v>1540</v>
      </c>
      <c r="AH164" s="1" t="s">
        <v>3386</v>
      </c>
      <c r="AX164" s="1" t="s">
        <v>3387</v>
      </c>
      <c r="AY164" s="1" t="str">
        <f>IFERROR(__xludf.DUMMYFUNCTION("GOOGLETRANSLATE(AX:AX, ""en"", ""te"")"),"1 × హిర్త్ HM 60 4-సిల్. విలోమ ఎయిర్-కూల్డ్ ఇన్-లైన్ పిస్టన్ ఇంజిన్, 60 కిలోవాట్ (80 హెచ్‌పి)")</f>
        <v>1 × హిర్త్ HM 60 4-సిల్. విలోమ ఎయిర్-కూల్డ్ ఇన్-లైన్ పిస్టన్ ఇంజిన్, 60 కిలోవాట్ (80 హెచ్‌పి)</v>
      </c>
      <c r="AZ164" s="1" t="s">
        <v>3388</v>
      </c>
      <c r="BA164" s="1" t="str">
        <f>IFERROR(__xludf.DUMMYFUNCTION("GOOGLETRANSLATE(AZ:AZ, ""en"", ""te"")"),"4-బ్లేడెడ్ పషర్ ప్రొపెల్లర్ పొడిగింపు షాఫ్ట్ ద్వారా తిరిగారు")</f>
        <v>4-బ్లేడెడ్ పషర్ ప్రొపెల్లర్ పొడిగింపు షాఫ్ట్ ద్వారా తిరిగారు</v>
      </c>
      <c r="BB164" s="1" t="s">
        <v>2184</v>
      </c>
      <c r="BG164" s="2"/>
      <c r="BI164" s="1" t="s">
        <v>3389</v>
      </c>
      <c r="BJ164" s="1" t="s">
        <v>3390</v>
      </c>
    </row>
    <row r="165">
      <c r="A165" s="1" t="s">
        <v>3391</v>
      </c>
      <c r="B165" s="1" t="str">
        <f>IFERROR(__xludf.DUMMYFUNCTION("GOOGLETRANSLATE(A:A, ""en"", ""te"")"),"యోకోసుకా B4Y")</f>
        <v>యోకోసుకా B4Y</v>
      </c>
      <c r="C165" s="1" t="s">
        <v>3392</v>
      </c>
      <c r="D165" s="1" t="str">
        <f>IFERROR(__xludf.DUMMYFUNCTION("GOOGLETRANSLATE(C:C, ""en"", ""te"")"),"యోకోసుకా బి 4 వై, (నేవీ టైప్ 96 క్యారియర్ అటాక్ బాంబర్), క్యారియర్ టార్పెడో బాంబర్‌ను ఇంపీరియల్ జపనీస్ నేవీ ఎయిర్ సర్వీస్ 1936 నుండి 1943 వరకు ఉపయోగించారు. బి 4 వై మిత్సుబిషి బి 2 ఎమ్ 2 ను భర్తీ చేసింది మరియు ఇది ఇంపీరియల్ జపనీస్ నేవీ కార్యాచరణతో ఉపయోగించ"&amp;"ిన చివరి బిప్‌లేన్ బాంబు. అనుబంధ రిపోర్టింగ్ పేరు ""జీన్"". 1932 లో, ఇంపీరియల్ జపనీస్ నేవీ కొత్త క్యారియర్-బార్న్ అటాక్ విమానానికి ఒక అవసరాన్ని జారీ చేసింది. ఐచి, మిత్సుబిషి మరియు నకాజిమా ఈ అవసరానికి స్పందించారు మరియు ప్రతి ఒక్కరూ ఒక నమూనాను నిర్మించారు. "&amp;"ఈ విమానాలు ఏవీ సంతృప్తికరంగా పరిగణించబడలేదు, మరియు ఈ సేవ 1934 లో 9-షి, కొత్త అవసరం, 9-షి, వాడుకలో లేని యోకోసుకా B3Y ని భర్తీ చేయడానికి మరింత సమర్థవంతమైన విమానానికి జారీ చేయబడింది. B4Y ను యోకోసుకాలోని మొదటి నావికాదళ ఎయిర్ టెక్నికల్ ఆర్సెనల్ వద్ద సనా కవాసాక"&amp;"ి రూపొందించారు. మధ్యంతర రకంగా మాత్రమే పరిగణించబడుతున్న నేవీ మిత్సుబిషి A5M మోనోప్లేన్ ఫైటర్‌తో పోల్చదగిన పనితీరును టార్పెడో బాంబర్ అందించింది. ఫలితం స్థిర ల్యాండింగ్ గేర్‌తో కూడిన బిప్‌లేన్ మరియు లోహ లేదా ఫాబ్రిక్ చర్మంతో ఆల్-మెటల్ నిర్మాణం. అభివృద్ధి మరి"&amp;"యు ఉత్పత్తిని వేగవంతం చేయడానికి, B4Y కవానిషి E7K నుండి రెక్కలను ఉపయోగించుకుంది. B4Y1 ఎయిర్-కూల్డ్ ఇంజిన్‌ను ఉపయోగించుకునే మొట్టమొదటి నేవీ క్యారియర్ దాడి విమానం, ఎందుకంటే నకాజిమా హికారి 2 రేడియల్ ఇంజిన్‌తో అమర్చిన ప్రోటోటైప్ దాని ప్రత్యర్థుల కంటే మెరుగ్గా "&amp;"పనిచేసింది. [1] ముగ్గురు సిబ్బంది రెండు కాక్‌పిట్‌లను ఆక్రమించారు. ఓపెన్ ఫ్రంట్ కాక్‌పిట్‌లోని పైలట్ మరియు మిగతా ఇద్దరు సిబ్బంది (నావిగేటర్ మరియు రేడియో ఆపరేటర్/గన్నర్), పరివేష్టిత వెనుక కాక్‌పిట్‌లో. 12 డిసెంబర్ 1937 న, అమెరికా నేవీ గన్‌బోట్ పనేపై జపనీస్"&amp;" దాడిలో పనాయ్ సంఘటనలో 3 బి 4 వై 1 లు పాల్గొన్నాయి, ఆమె నాన్జింగ్ వెలుపల యాంగ్జీ నదిలో లంగరు వేయబడింది. ప్రధానంగా క్యారియర్-ఆధారిత విమానంగా ఉపయోగించినప్పటికీ, B4Y1 ను ఈ సందర్భంగా భూమి ఆధారిత బాంబర్‌గా కూడా ఉపయోగించారు. 1940 లో, నకాజిమా B5N B4Y1 ను ప్రాధమిక"&amp;" క్యారియర్ అటాక్ విమానం గా మార్చింది, అయినప్పటికీ B4Y1 ఒక అధునాతన శిక్షకుడిగా సేవలో ఉంది, మరియు 1943 వరకు హేషో మరియు యునియా నుండి ఎగిరింది. దాని స్థానంలో, B4Y1 రెండవ సినో- సమయంలో ఎగిరింది జపనీస్ యుద్ధం మరియు జూన్ 1942 లో మిడ్‌వే యుద్ధంలో పనిచేశారు, అక్కడ "&amp;"వారిలో ఎనిమిది మందిని హెషో నుండి నిర్వహించారు. [2] 5 జూన్ 1942 న బర్నింగ్ హిరీ యొక్క ఛాయాచిత్రాలను తీసిన హేషా నుండి వచ్చిన ఈ విమానాలలో ఇది ఒకటి. [3] B4Y1 ను విమానం క్యారియర్లు అకాగి, హషో, కాగా, రైజో, సోరి, మరియు యునియా, అలాగే 13 వ మరియు 15 వ కోకటాయ్ (ఎయిర"&amp;"్ గ్రూపులు) నుండి నిర్వహించారు. [4] పసిఫిక్ యుద్ధం యొక్క జపనీస్ విమానం నుండి డేటా [4] సాధారణ లక్షణాలు పనితీరు ఆయుధాలు 2 హైఫనేటెడ్ వెనుకంజలో ఉన్న లేఖ (-J, -K, -L, -N లేదా -S) ద్వితీయ పాత్ర కోసం సవరించిన డిజైన్‌ను సూచిస్తుంది")</f>
        <v>యోకోసుకా బి 4 వై, (నేవీ టైప్ 96 క్యారియర్ అటాక్ బాంబర్), క్యారియర్ టార్పెడో బాంబర్‌ను ఇంపీరియల్ జపనీస్ నేవీ ఎయిర్ సర్వీస్ 1936 నుండి 1943 వరకు ఉపయోగించారు. బి 4 వై మిత్సుబిషి బి 2 ఎమ్ 2 ను భర్తీ చేసింది మరియు ఇది ఇంపీరియల్ జపనీస్ నేవీ కార్యాచరణతో ఉపయోగించిన చివరి బిప్‌లేన్ బాంబు. అనుబంధ రిపోర్టింగ్ పేరు "జీన్". 1932 లో, ఇంపీరియల్ జపనీస్ నేవీ కొత్త క్యారియర్-బార్న్ అటాక్ విమానానికి ఒక అవసరాన్ని జారీ చేసింది. ఐచి, మిత్సుబిషి మరియు నకాజిమా ఈ అవసరానికి స్పందించారు మరియు ప్రతి ఒక్కరూ ఒక నమూనాను నిర్మించారు. ఈ విమానాలు ఏవీ సంతృప్తికరంగా పరిగణించబడలేదు, మరియు ఈ సేవ 1934 లో 9-షి, కొత్త అవసరం, 9-షి, వాడుకలో లేని యోకోసుకా B3Y ని భర్తీ చేయడానికి మరింత సమర్థవంతమైన విమానానికి జారీ చేయబడింది. B4Y ను యోకోసుకాలోని మొదటి నావికాదళ ఎయిర్ టెక్నికల్ ఆర్సెనల్ వద్ద సనా కవాసాకి రూపొందించారు. మధ్యంతర రకంగా మాత్రమే పరిగణించబడుతున్న నేవీ మిత్సుబిషి A5M మోనోప్లేన్ ఫైటర్‌తో పోల్చదగిన పనితీరును టార్పెడో బాంబర్ అందించింది. ఫలితం స్థిర ల్యాండింగ్ గేర్‌తో కూడిన బిప్‌లేన్ మరియు లోహ లేదా ఫాబ్రిక్ చర్మంతో ఆల్-మెటల్ నిర్మాణం. అభివృద్ధి మరియు ఉత్పత్తిని వేగవంతం చేయడానికి, B4Y కవానిషి E7K నుండి రెక్కలను ఉపయోగించుకుంది. B4Y1 ఎయిర్-కూల్డ్ ఇంజిన్‌ను ఉపయోగించుకునే మొట్టమొదటి నేవీ క్యారియర్ దాడి విమానం, ఎందుకంటే నకాజిమా హికారి 2 రేడియల్ ఇంజిన్‌తో అమర్చిన ప్రోటోటైప్ దాని ప్రత్యర్థుల కంటే మెరుగ్గా పనిచేసింది. [1] ముగ్గురు సిబ్బంది రెండు కాక్‌పిట్‌లను ఆక్రమించారు. ఓపెన్ ఫ్రంట్ కాక్‌పిట్‌లోని పైలట్ మరియు మిగతా ఇద్దరు సిబ్బంది (నావిగేటర్ మరియు రేడియో ఆపరేటర్/గన్నర్), పరివేష్టిత వెనుక కాక్‌పిట్‌లో. 12 డిసెంబర్ 1937 న, అమెరికా నేవీ గన్‌బోట్ పనేపై జపనీస్ దాడిలో పనాయ్ సంఘటనలో 3 బి 4 వై 1 లు పాల్గొన్నాయి, ఆమె నాన్జింగ్ వెలుపల యాంగ్జీ నదిలో లంగరు వేయబడింది. ప్రధానంగా క్యారియర్-ఆధారిత విమానంగా ఉపయోగించినప్పటికీ, B4Y1 ను ఈ సందర్భంగా భూమి ఆధారిత బాంబర్‌గా కూడా ఉపయోగించారు. 1940 లో, నకాజిమా B5N B4Y1 ను ప్రాధమిక క్యారియర్ అటాక్ విమానం గా మార్చింది, అయినప్పటికీ B4Y1 ఒక అధునాతన శిక్షకుడిగా సేవలో ఉంది, మరియు 1943 వరకు హేషో మరియు యునియా నుండి ఎగిరింది. దాని స్థానంలో, B4Y1 రెండవ సినో- సమయంలో ఎగిరింది జపనీస్ యుద్ధం మరియు జూన్ 1942 లో మిడ్‌వే యుద్ధంలో పనిచేశారు, అక్కడ వారిలో ఎనిమిది మందిని హెషో నుండి నిర్వహించారు. [2] 5 జూన్ 1942 న బర్నింగ్ హిరీ యొక్క ఛాయాచిత్రాలను తీసిన హేషా నుండి వచ్చిన ఈ విమానాలలో ఇది ఒకటి. [3] B4Y1 ను విమానం క్యారియర్లు అకాగి, హషో, కాగా, రైజో, సోరి, మరియు యునియా, అలాగే 13 వ మరియు 15 వ కోకటాయ్ (ఎయిర్ గ్రూపులు) నుండి నిర్వహించారు. [4] పసిఫిక్ యుద్ధం యొక్క జపనీస్ విమానం నుండి డేటా [4] సాధారణ లక్షణాలు పనితీరు ఆయుధాలు 2 హైఫనేటెడ్ వెనుకంజలో ఉన్న లేఖ (-J, -K, -L, -N లేదా -S) ద్వితీయ పాత్ర కోసం సవరించిన డిజైన్‌ను సూచిస్తుంది</v>
      </c>
      <c r="E165" s="1" t="s">
        <v>3393</v>
      </c>
      <c r="F165" s="1" t="s">
        <v>3394</v>
      </c>
      <c r="G165" s="1" t="str">
        <f>IFERROR(__xludf.DUMMYFUNCTION("GOOGLETRANSLATE(F:F, ""en"", ""te"")"),"టార్పెడో బాంబర్")</f>
        <v>టార్పెడో బాంబర్</v>
      </c>
      <c r="H165" s="1" t="s">
        <v>3395</v>
      </c>
      <c r="L165" s="1" t="s">
        <v>3396</v>
      </c>
      <c r="M165" s="1" t="str">
        <f>IFERROR(__xludf.DUMMYFUNCTION("GOOGLETRANSLATE(L:L, ""en"", ""te"")"),"యోకోసుకా")</f>
        <v>యోకోసుకా</v>
      </c>
      <c r="N165" s="3" t="s">
        <v>3397</v>
      </c>
      <c r="R165" s="1">
        <v>1935.0</v>
      </c>
      <c r="S165" s="1">
        <v>205.0</v>
      </c>
      <c r="T165" s="1" t="s">
        <v>216</v>
      </c>
      <c r="V165" s="1" t="s">
        <v>3398</v>
      </c>
      <c r="W165" s="1" t="s">
        <v>3399</v>
      </c>
      <c r="X165" s="1" t="s">
        <v>1971</v>
      </c>
      <c r="Y165" s="1" t="s">
        <v>3400</v>
      </c>
      <c r="Z165" s="1" t="s">
        <v>3401</v>
      </c>
      <c r="AG165" s="1" t="s">
        <v>3402</v>
      </c>
      <c r="AH165" s="1" t="s">
        <v>3403</v>
      </c>
      <c r="AM165" s="1" t="s">
        <v>3404</v>
      </c>
      <c r="AN165" s="3" t="s">
        <v>351</v>
      </c>
      <c r="AO165" s="1">
        <v>1936.0</v>
      </c>
      <c r="AP165" s="3" t="s">
        <v>224</v>
      </c>
      <c r="AQ165" s="1">
        <v>1943.0</v>
      </c>
      <c r="AR165" s="3" t="s">
        <v>3405</v>
      </c>
      <c r="AX165" s="1" t="s">
        <v>3406</v>
      </c>
      <c r="AY165" s="1" t="str">
        <f>IFERROR(__xludf.DUMMYFUNCTION("GOOGLETRANSLATE(AX:AX, ""en"", ""te"")"),"1 × నకాజిమా హికారి 2 9-సిలిండర్ ఎయిర్-కూల్డ్ రేడియల్ పిస్టన్ ఇంజిన్, టేకాఫ్ కోసం 630 కిలోవాట్ (840 హెచ్‌పి)")</f>
        <v>1 × నకాజిమా హికారి 2 9-సిలిండర్ ఎయిర్-కూల్డ్ రేడియల్ పిస్టన్ ఇంజిన్, టేకాఫ్ కోసం 630 కిలోవాట్ (840 హెచ్‌పి)</v>
      </c>
      <c r="AZ165" s="1" t="s">
        <v>297</v>
      </c>
      <c r="BA165" s="1" t="str">
        <f>IFERROR(__xludf.DUMMYFUNCTION("GOOGLETRANSLATE(AZ:AZ, ""en"", ""te"")"),"2-బ్లేడెడ్ ఫిక్స్‌డ్-పిచ్ ప్రొపెల్లర్")</f>
        <v>2-బ్లేడెడ్ ఫిక్స్‌డ్-పిచ్ ప్రొపెల్లర్</v>
      </c>
      <c r="BB165" s="1" t="s">
        <v>3407</v>
      </c>
      <c r="BD165" s="1" t="s">
        <v>856</v>
      </c>
      <c r="BE165" s="1" t="s">
        <v>3408</v>
      </c>
      <c r="BG165" s="2"/>
      <c r="BT165" s="1" t="s">
        <v>3409</v>
      </c>
      <c r="CB165" s="1" t="s">
        <v>3410</v>
      </c>
      <c r="CC165" s="1" t="s">
        <v>3411</v>
      </c>
      <c r="CD165" s="1" t="str">
        <f>IFERROR(__xludf.DUMMYFUNCTION("GOOGLETRANSLATE(CC:CC, ""en"", ""te"")"),"1 × సరళంగా అమర్చిన, వెనుక వైపున ఉన్న 7.7 మిమీ (0.303 అంగుళాలు) టైప్ 92 మెషిన్ గన్")</f>
        <v>1 × సరళంగా అమర్చిన, వెనుక వైపున ఉన్న 7.7 మిమీ (0.303 అంగుళాలు) టైప్ 92 మెషిన్ గన్</v>
      </c>
      <c r="CE165" s="1" t="s">
        <v>3412</v>
      </c>
      <c r="CF165" s="1" t="str">
        <f>IFERROR(__xludf.DUMMYFUNCTION("GOOGLETRANSLATE(CE:CE, ""en"", ""te"")"),"1 × 800 కిలోలు (1,764 పౌండ్లు) టార్పెడో, లేదా 500 కిలోలు (1,102 పౌండ్లు) బాంబులు")</f>
        <v>1 × 800 కిలోలు (1,764 పౌండ్లు) టార్పెడో, లేదా 500 కిలోలు (1,102 పౌండ్లు) బాంబులు</v>
      </c>
    </row>
    <row r="166">
      <c r="A166" s="1" t="s">
        <v>3413</v>
      </c>
      <c r="B166" s="1" t="str">
        <f>IFERROR(__xludf.DUMMYFUNCTION("GOOGLETRANSLATE(A:A, ""en"", ""te"")"),"గ్రోబ్ జి 115")</f>
        <v>గ్రోబ్ జి 115</v>
      </c>
      <c r="C166" s="1" t="s">
        <v>3414</v>
      </c>
      <c r="D166" s="1" t="str">
        <f>IFERROR(__xludf.DUMMYFUNCTION("GOOGLETRANSLATE(C:C, ""en"", ""te"")"),"గ్రోబ్ జి 115 అనేది సాధారణ విమానయాన స్థిర-వింగ్ విమానం, దీనిని ప్రధానంగా విమాన శిక్షణ కోసం ఉపయోగిస్తారు. దీనిని జర్మనీలో గ్రోబ్ ఎయిర్క్రాఫ్ట్ నిర్మించింది (జనవరి 2009 కి ముందు గ్రోబ్ ఏరోస్పేస్). 3-బ్లేడ్ వేరియబుల్ పిచ్ ప్రొపెల్లర్‌తో E వేరియంట్ ఫిన్నిష్ వ"&amp;"ైమానిక దళంతో సేవలో ఉంది, [1] రాయల్ నేవీ మరియు ఆర్మీ ఎయిర్ కార్ప్స్ ఫర్ ఫ్లయింగ్ గ్రేడింగ్ (EFT ప్రీ-ఎఫ్ఎఫ్టి ఫ్లయింగ్ కోర్సు) మరియు రాయల్ వైమానిక దళంలో భాగం నం 6 ఫ్లయింగ్ ట్రైనింగ్ స్కూల్ (6 ఎఫ్స్), ఇది యూనివర్శిటీ ఎయిర్ స్క్వాడ్రన్లకు ఎగురుతుంది మరియు రా"&amp;"యల్ ఎయిర్ ఫోర్స్ ఎయిర్ క్యాడెట్ల క్యాడెట్స్‌కు ఎయిర్ ఎక్స్‌పీరియన్స్ విమానాలను అందిస్తుంది. [2] 2020 నాటికి, ట్యూటర్ ఇప్పటికీ కొన్ని ప్రాథమిక ఫ్లయింగ్ శిక్షణ (3 అడుగుల) కోసం RAF చేత ఉపయోగించబడుతోంది, కానీ దాని స్థానంలో, ప్రిఫెక్ట్ T1 కు అనుకూలంగా దశలవారీగ"&amp;"ా ఉంటుంది. ఈ విమానం కార్బన్ మిశ్రమ పదార్థాలతో నిర్మించబడింది. ప్రధాన ఫ్యూజ్‌లేజ్ మరియు ప్రతి వింగ్ స్పార్ ఒకే ముక్క. ఇది స్పాటెడ్ వీల్స్ తో స్థిరమైన (మొలకెత్తిన ఉక్కు) ట్రైసైకిల్ అండర్ క్యారేజ్, 180 హెచ్‌పి ఇంజిన్‌ను కలిగి ఉన్న ఒక చిన్న ముక్కు మరియు 3-బ్ల"&amp;"ేడెడ్ వేరియబుల్-పిచ్ ప్రొపెల్లర్‌ను కలిగి ఉంది. మునుపటి డిజైన్‌తో సమస్యలను అనుసరించి కొత్త MT ప్రొపెల్లర్‌తో ఈ విమానం 2013 లో తిరిగి ధృవీకరించబడింది. ఏరోబాటిక్స్ సమయంలో సరళతను మెరుగుపరచడానికి విలోమ చమురు వ్యవస్థ కూడా పున es రూపకల్పన చేయబడింది. కాక్‌పిట్‌ల"&amp;"ో విస్తృత పందిరి వంపు మరియు వెన్నెముక ఉన్నాయి. ఫార్వర్డ్ దృశ్యమానత మంచిది. పక్కపక్కనే సీట్లు పరిష్కరించబడతాయి మరియు పైలట్ సీటింగ్ కుషన్లతో పాటు చుక్కాని బార్ సర్దుబాటుతో సర్దుబాటు చేయబడుతుంది. రెక్కలు చదరపు చిట్కాలతో దెబ్బతింటాయి మరియు సామ్రాజ్యం ఒక పెద్ద"&amp;" ఫిన్ మరియు చుక్కాని కలిగి ఉంటుంది, ఒక దీర్ఘచతురస్రాకార టెయిల్‌ప్లేన్‌తో చదరపు చిట్కాలతో ఫ్యూజ్‌లేజ్ మధ్య-సెట్ ఉంటుంది. ప్రారంభ గ్రోబ్ జి 115 మరియు జి 115 ఎ మోడళ్లలో నిటారుగా ఉన్న ఫిన్ మరియు చుక్కాని ఉన్నాయి, మరియు ప్రధానంగా జర్మనీ, యునైటెడ్ కింగ్‌డమ్ మరి"&amp;"యు అనేక ఇతర దేశాలలో పౌర విమాన క్లబ్‌లకు విక్రయించబడ్డాయి. ఈ విమానం ప్రాథమిక ఏరోబాటిక్ విన్యాసాలను కలిగి ఉంటుంది ( +6g మరియు −3g కు పరిమితం). గ్రోబ్ హెరాన్ మొదట రాయల్ నేవీ కొనుగోలు చేసింది. దాని ఉపయోగం తరువాత ఐదు టేసైడ్ ఏవియేషన్ కొనుగోలు చేసింది. ఉనికిలో ర"&amp;"ికార్డ్ చేసిన ఆరు హెరోన్లు మాత్రమే ఉన్నాయి; రెండు (విక్రయించబడాలి) టేసైడ్ ఏవియేషన్, ముగ్గురు ప్రైవేటు యాజమాన్యంలో మరియు జర్మనీలో ఒకటి. ఒకటి ప్రమాదం తరువాత వ్రాసినట్లు నివేదించబడింది. [సైటేషన్ అవసరం] రాయల్ ఎయిర్ ఫోర్స్ యూనివర్శిటీ ఎయిర్ స్క్వాడ్రన్స్ (యుఎఎ"&amp;"స్) మరియు ఎయిర్ ఎక్స్‌పీరియన్స్ విమానాలు (ఎఇఎఫ్‌లు) నుండి స్కాటిష్ ఏవియేషన్ బుల్డాగ్ టి .1 పదవీ విరమణతో, కొత్త వ్యవస్థను ఉంచారు UAS మరియు AEF ఎగిరే పనుల కోసం. విమానాలను ప్రైవేట్ పరిశ్రమ యాజమాన్యంలో కలిగి ఉంది, రక్షణ మంత్రిత్వ శాఖ (MOD) కు ఒప్పందం కుదుర్చు"&amp;"కుంది. ఈ పని కోసం ఎంచుకున్న విమానం GROB 115E, మోడ్ చేత ట్యూటర్ T1 గా నియమించబడినది. ట్యూటర్ ఫ్లీట్ ఒక పౌర సంస్థ బాబ్‌కాక్ యాజమాన్యంలో ఉంది మరియు నిర్వహిస్తుంది మరియు బ్రిటిష్ పౌర రిజిస్ట్రేషన్లను ప్రైవేట్ ఫైనాన్స్ ఇనిషియేటివ్ (పిఎఫ్‌ఐ) పథకం కింద కలిగి ఉంద"&amp;"ి, ఇది బ్లూ ఫ్లాషెస్ మరియు యుకె మిలిటరీ ఎయిర్‌క్రాఫ్ట్ రౌంటెల్‌లతో మొత్తం తెలుపు రంగును చిత్రించారు. రాయల్ నేవీ, ఆర్మీ మరియు ఆర్మీ జాయింట్ 3 ఫ్లయింగ్ ట్రైనింగ్ స్కూల్, 703 నావల్ ఎయిర్ స్క్వాడ్రన్, 674 స్క్వాడ్రన్ ఆర్మీ ఎయిర్ కార్ప్స్ మరియు 57 RAF రిజర్వ్ "&amp;"స్క్వాడ్రన్, 2018 లో టర్బోప్రాప్ ట్రైనర్, GROB G120TP ప్రిఫెక్ట్ చేత భర్తీ చేయబడటానికి ముందు. వివిధ పైప్‌లైన్ల కోసం కొన్ని 3 అడుగుల EFT శిక్షణ ఇప్పటికీ RAF విట్టరింగ్ వద్ద 16SQN లో ట్యూటర్‌పై కొనసాగుతోంది. 2005 వరకు విశ్వవిద్యాలయ విద్యార్థులకు EFT ను అంది"&amp;"ంచడానికి UASS చేత ట్యూటర్‌ను ఉపయోగించారు, చాలామంది RAF చేత స్పాన్సర్ చేశారు. 2006 నుండి, UAS విద్యార్థులకు ఇకపై EFT బోధించబడదు; వారు EFT మాదిరిగానే అవాంఛనీయమైన ఫ్లయింగ్ సిలబస్‌ను అనుసరిస్తారు, కానీ 36 గంటల కోర్సు మరియు మెరిట్‌పై మరింత అధునాతన శిక్షణకు పుర"&amp;"ోగతి సాధించే అవకాశం ఉంది. ఈ ట్యూటర్‌ను AIF లు ఎయిర్ ట్రైనింగ్ కార్ప్స్ (ATC) మరియు కంబైన్డ్ క్యాడెట్ ఫోర్స్ (CCF) యొక్క క్యాడెట్‌లకు ఎగిరే అనుభవాన్ని అందించడానికి ఉపయోగిస్తారు, శతాబ్దం ప్రారంభంలో ఈ పాత్రలలో బుల్డాగ్‌ను భర్తీ చేస్తుంది. ట్యూటర్‌ను స్వీకరిం"&amp;"చిన తుది AEF 2001 లో మెర్సీసైడ్‌లోని RAF వుడ్వాలే వద్ద ఉన్న 10 AEF. 10 AEF కూడా యాదృచ్ఛికంగా 1996 లో బుల్డాగ్ను స్వీకరించిన చివరి AEF, చిప్‌మంక్ స్థానంలో ఉంది. ఐదు ట్యూటర్ టి 1 లను RNAS యెయోవిల్టన్ వద్ద ట్రైనీ పైలట్ గ్రేడింగ్ కోసం రాయల్ నేవీ యొక్క ఫ్లీట్ "&amp;"ఎయిర్ ఆర్మ్ యొక్క 727 నావికాదళ ఎయిర్ స్క్వాడ్రన్ నిర్వహిస్తున్నారు. [3] 2009 లో కొంతమంది ట్యూటర్ స్క్వాడ్రన్లు కొత్త మెరుగైన ఏవియానిక్స్ (EA) ట్యూటర్లను స్వీకరించడం ప్రారంభించారు, నవీకరించబడిన మరియు మెరుగైన ఇన్స్ట్రుమెంట్ ప్యానెల్‌తో, గార్మిన్ GNS 430W GP"&amp;"S వ్యవస్థ, డిజిటల్ HSI మరియు డిజిటల్ ఇంజన్ పరికరాలను కలిగి ఉంది. [సైటేషన్ అవసరం] ఈ విమానాలు సమానంగా ఉంటాయి ప్రామాణిక ట్యూటర్స్, కొత్త GPS వ్యవస్థ మరియు కాక్‌పిట్ సవరణల కోసం అదనపు VHF ఏరియల్ మినహా. [9] [సైటేషన్ అవసరం] నుండి డేటా పోల్చదగిన పాత్ర, కాన్ఫిగరేష"&amp;"న్ మరియు ERA సంబంధిత జాబితాల సాధారణ లక్షణాల పనితీరు విమానం")</f>
        <v>గ్రోబ్ జి 115 అనేది సాధారణ విమానయాన స్థిర-వింగ్ విమానం, దీనిని ప్రధానంగా విమాన శిక్షణ కోసం ఉపయోగిస్తారు. దీనిని జర్మనీలో గ్రోబ్ ఎయిర్క్రాఫ్ట్ నిర్మించింది (జనవరి 2009 కి ముందు గ్రోబ్ ఏరోస్పేస్). 3-బ్లేడ్ వేరియబుల్ పిచ్ ప్రొపెల్లర్‌తో E వేరియంట్ ఫిన్నిష్ వైమానిక దళంతో సేవలో ఉంది, [1] రాయల్ నేవీ మరియు ఆర్మీ ఎయిర్ కార్ప్స్ ఫర్ ఫ్లయింగ్ గ్రేడింగ్ (EFT ప్రీ-ఎఫ్ఎఫ్టి ఫ్లయింగ్ కోర్సు) మరియు రాయల్ వైమానిక దళంలో భాగం నం 6 ఫ్లయింగ్ ట్రైనింగ్ స్కూల్ (6 ఎఫ్స్), ఇది యూనివర్శిటీ ఎయిర్ స్క్వాడ్రన్లకు ఎగురుతుంది మరియు రాయల్ ఎయిర్ ఫోర్స్ ఎయిర్ క్యాడెట్ల క్యాడెట్స్‌కు ఎయిర్ ఎక్స్‌పీరియన్స్ విమానాలను అందిస్తుంది. [2] 2020 నాటికి, ట్యూటర్ ఇప్పటికీ కొన్ని ప్రాథమిక ఫ్లయింగ్ శిక్షణ (3 అడుగుల) కోసం RAF చేత ఉపయోగించబడుతోంది, కానీ దాని స్థానంలో, ప్రిఫెక్ట్ T1 కు అనుకూలంగా దశలవారీగా ఉంటుంది. ఈ విమానం కార్బన్ మిశ్రమ పదార్థాలతో నిర్మించబడింది. ప్రధాన ఫ్యూజ్‌లేజ్ మరియు ప్రతి వింగ్ స్పార్ ఒకే ముక్క. ఇది స్పాటెడ్ వీల్స్ తో స్థిరమైన (మొలకెత్తిన ఉక్కు) ట్రైసైకిల్ అండర్ క్యారేజ్, 180 హెచ్‌పి ఇంజిన్‌ను కలిగి ఉన్న ఒక చిన్న ముక్కు మరియు 3-బ్లేడెడ్ వేరియబుల్-పిచ్ ప్రొపెల్లర్‌ను కలిగి ఉంది. మునుపటి డిజైన్‌తో సమస్యలను అనుసరించి కొత్త MT ప్రొపెల్లర్‌తో ఈ విమానం 2013 లో తిరిగి ధృవీకరించబడింది. ఏరోబాటిక్స్ సమయంలో సరళతను మెరుగుపరచడానికి విలోమ చమురు వ్యవస్థ కూడా పున es రూపకల్పన చేయబడింది. కాక్‌పిట్‌లో విస్తృత పందిరి వంపు మరియు వెన్నెముక ఉన్నాయి. ఫార్వర్డ్ దృశ్యమానత మంచిది. పక్కపక్కనే సీట్లు పరిష్కరించబడతాయి మరియు పైలట్ సీటింగ్ కుషన్లతో పాటు చుక్కాని బార్ సర్దుబాటుతో సర్దుబాటు చేయబడుతుంది. రెక్కలు చదరపు చిట్కాలతో దెబ్బతింటాయి మరియు సామ్రాజ్యం ఒక పెద్ద ఫిన్ మరియు చుక్కాని కలిగి ఉంటుంది, ఒక దీర్ఘచతురస్రాకార టెయిల్‌ప్లేన్‌తో చదరపు చిట్కాలతో ఫ్యూజ్‌లేజ్ మధ్య-సెట్ ఉంటుంది. ప్రారంభ గ్రోబ్ జి 115 మరియు జి 115 ఎ మోడళ్లలో నిటారుగా ఉన్న ఫిన్ మరియు చుక్కాని ఉన్నాయి, మరియు ప్రధానంగా జర్మనీ, యునైటెడ్ కింగ్‌డమ్ మరియు అనేక ఇతర దేశాలలో పౌర విమాన క్లబ్‌లకు విక్రయించబడ్డాయి. ఈ విమానం ప్రాథమిక ఏరోబాటిక్ విన్యాసాలను కలిగి ఉంటుంది ( +6g మరియు −3g కు పరిమితం). గ్రోబ్ హెరాన్ మొదట రాయల్ నేవీ కొనుగోలు చేసింది. దాని ఉపయోగం తరువాత ఐదు టేసైడ్ ఏవియేషన్ కొనుగోలు చేసింది. ఉనికిలో రికార్డ్ చేసిన ఆరు హెరోన్లు మాత్రమే ఉన్నాయి; రెండు (విక్రయించబడాలి) టేసైడ్ ఏవియేషన్, ముగ్గురు ప్రైవేటు యాజమాన్యంలో మరియు జర్మనీలో ఒకటి. ఒకటి ప్రమాదం తరువాత వ్రాసినట్లు నివేదించబడింది. [సైటేషన్ అవసరం] రాయల్ ఎయిర్ ఫోర్స్ యూనివర్శిటీ ఎయిర్ స్క్వాడ్రన్స్ (యుఎఎస్) మరియు ఎయిర్ ఎక్స్‌పీరియన్స్ విమానాలు (ఎఇఎఫ్‌లు) నుండి స్కాటిష్ ఏవియేషన్ బుల్డాగ్ టి .1 పదవీ విరమణతో, కొత్త వ్యవస్థను ఉంచారు UAS మరియు AEF ఎగిరే పనుల కోసం. విమానాలను ప్రైవేట్ పరిశ్రమ యాజమాన్యంలో కలిగి ఉంది, రక్షణ మంత్రిత్వ శాఖ (MOD) కు ఒప్పందం కుదుర్చుకుంది. ఈ పని కోసం ఎంచుకున్న విమానం GROB 115E, మోడ్ చేత ట్యూటర్ T1 గా నియమించబడినది. ట్యూటర్ ఫ్లీట్ ఒక పౌర సంస్థ బాబ్‌కాక్ యాజమాన్యంలో ఉంది మరియు నిర్వహిస్తుంది మరియు బ్రిటిష్ పౌర రిజిస్ట్రేషన్లను ప్రైవేట్ ఫైనాన్స్ ఇనిషియేటివ్ (పిఎఫ్‌ఐ) పథకం కింద కలిగి ఉంది, ఇది బ్లూ ఫ్లాషెస్ మరియు యుకె మిలిటరీ ఎయిర్‌క్రాఫ్ట్ రౌంటెల్‌లతో మొత్తం తెలుపు రంగును చిత్రించారు. రాయల్ నేవీ, ఆర్మీ మరియు ఆర్మీ జాయింట్ 3 ఫ్లయింగ్ ట్రైనింగ్ స్కూల్, 703 నావల్ ఎయిర్ స్క్వాడ్రన్, 674 స్క్వాడ్రన్ ఆర్మీ ఎయిర్ కార్ప్స్ మరియు 57 RAF రిజర్వ్ స్క్వాడ్రన్, 2018 లో టర్బోప్రాప్ ట్రైనర్, GROB G120TP ప్రిఫెక్ట్ చేత భర్తీ చేయబడటానికి ముందు. వివిధ పైప్‌లైన్ల కోసం కొన్ని 3 అడుగుల EFT శిక్షణ ఇప్పటికీ RAF విట్టరింగ్ వద్ద 16SQN లో ట్యూటర్‌పై కొనసాగుతోంది. 2005 వరకు విశ్వవిద్యాలయ విద్యార్థులకు EFT ను అందించడానికి UASS చేత ట్యూటర్‌ను ఉపయోగించారు, చాలామంది RAF చేత స్పాన్సర్ చేశారు. 2006 నుండి, UAS విద్యార్థులకు ఇకపై EFT బోధించబడదు; వారు EFT మాదిరిగానే అవాంఛనీయమైన ఫ్లయింగ్ సిలబస్‌ను అనుసరిస్తారు, కానీ 36 గంటల కోర్సు మరియు మెరిట్‌పై మరింత అధునాతన శిక్షణకు పురోగతి సాధించే అవకాశం ఉంది. ఈ ట్యూటర్‌ను AIF లు ఎయిర్ ట్రైనింగ్ కార్ప్స్ (ATC) మరియు కంబైన్డ్ క్యాడెట్ ఫోర్స్ (CCF) యొక్క క్యాడెట్‌లకు ఎగిరే అనుభవాన్ని అందించడానికి ఉపయోగిస్తారు, శతాబ్దం ప్రారంభంలో ఈ పాత్రలలో బుల్డాగ్‌ను భర్తీ చేస్తుంది. ట్యూటర్‌ను స్వీకరించిన తుది AEF 2001 లో మెర్సీసైడ్‌లోని RAF వుడ్వాలే వద్ద ఉన్న 10 AEF. 10 AEF కూడా యాదృచ్ఛికంగా 1996 లో బుల్డాగ్ను స్వీకరించిన చివరి AEF, చిప్‌మంక్ స్థానంలో ఉంది. ఐదు ట్యూటర్ టి 1 లను RNAS యెయోవిల్టన్ వద్ద ట్రైనీ పైలట్ గ్రేడింగ్ కోసం రాయల్ నేవీ యొక్క ఫ్లీట్ ఎయిర్ ఆర్మ్ యొక్క 727 నావికాదళ ఎయిర్ స్క్వాడ్రన్ నిర్వహిస్తున్నారు. [3] 2009 లో కొంతమంది ట్యూటర్ స్క్వాడ్రన్లు కొత్త మెరుగైన ఏవియానిక్స్ (EA) ట్యూటర్లను స్వీకరించడం ప్రారంభించారు, నవీకరించబడిన మరియు మెరుగైన ఇన్స్ట్రుమెంట్ ప్యానెల్‌తో, గార్మిన్ GNS 430W GPS వ్యవస్థ, డిజిటల్ HSI మరియు డిజిటల్ ఇంజన్ పరికరాలను కలిగి ఉంది. [సైటేషన్ అవసరం] ఈ విమానాలు సమానంగా ఉంటాయి ప్రామాణిక ట్యూటర్స్, కొత్త GPS వ్యవస్థ మరియు కాక్‌పిట్ సవరణల కోసం అదనపు VHF ఏరియల్ మినహా. [9] [సైటేషన్ అవసరం] నుండి డేటా పోల్చదగిన పాత్ర, కాన్ఫిగరేషన్ మరియు ERA సంబంధిత జాబితాల సాధారణ లక్షణాల పనితీరు విమానం</v>
      </c>
      <c r="E166" s="1" t="s">
        <v>3415</v>
      </c>
      <c r="F166" s="1" t="s">
        <v>3416</v>
      </c>
      <c r="G166" s="1" t="str">
        <f>IFERROR(__xludf.DUMMYFUNCTION("GOOGLETRANSLATE(F:F, ""en"", ""te"")"),"ప్రాథమిక శిక్షకుడు")</f>
        <v>ప్రాథమిక శిక్షకుడు</v>
      </c>
      <c r="L166" s="1" t="s">
        <v>2781</v>
      </c>
      <c r="M166" s="1" t="str">
        <f>IFERROR(__xludf.DUMMYFUNCTION("GOOGLETRANSLATE(L:L, ""en"", ""te"")"),"గ్రోబ్ విమానం")</f>
        <v>గ్రోబ్ విమానం</v>
      </c>
      <c r="N166" s="1" t="s">
        <v>2782</v>
      </c>
      <c r="R166" s="5">
        <v>31352.0</v>
      </c>
      <c r="V166" s="1">
        <v>2.0</v>
      </c>
      <c r="W166" s="1" t="s">
        <v>3417</v>
      </c>
      <c r="X166" s="1" t="s">
        <v>722</v>
      </c>
      <c r="Y166" s="1" t="s">
        <v>2860</v>
      </c>
      <c r="Z166" s="1" t="s">
        <v>3418</v>
      </c>
      <c r="AF166" s="1" t="s">
        <v>3419</v>
      </c>
      <c r="AG166" s="1" t="s">
        <v>3420</v>
      </c>
      <c r="AI166" s="1" t="s">
        <v>3421</v>
      </c>
      <c r="AJ166" s="1" t="s">
        <v>3422</v>
      </c>
      <c r="AM166" s="1" t="s">
        <v>3423</v>
      </c>
      <c r="AO166" s="1">
        <v>1999.0</v>
      </c>
      <c r="AS166" s="1" t="s">
        <v>3424</v>
      </c>
      <c r="AT166" s="1"/>
      <c r="AU166" s="1" t="s">
        <v>3425</v>
      </c>
      <c r="AW166" s="1" t="s">
        <v>3426</v>
      </c>
      <c r="AX166" s="1" t="s">
        <v>3427</v>
      </c>
      <c r="AY166" s="1" t="str">
        <f>IFERROR(__xludf.DUMMYFUNCTION("GOOGLETRANSLATE(AX:AX, ""en"", ""te"")"),"1 × లైమింగ్ AEIO-360-B1F/B 4-సిలిండర్ ఎయిర్-కూల్డ్ అడ్డంగా-ప్రతిపాదించిన పిస్టన్ ఇంజిన్, 139 kW (186 HP)")</f>
        <v>1 × లైమింగ్ AEIO-360-B1F/B 4-సిలిండర్ ఎయిర్-కూల్డ్ అడ్డంగా-ప్రతిపాదించిన పిస్టన్ ఇంజిన్, 139 kW (186 HP)</v>
      </c>
      <c r="AZ166" s="1" t="s">
        <v>1857</v>
      </c>
      <c r="BA166" s="1" t="str">
        <f>IFERROR(__xludf.DUMMYFUNCTION("GOOGLETRANSLATE(AZ:AZ, ""en"", ""te"")"),"3-బ్లేడెడ్ వేరియబుల్-పిచ్ ప్రొపెల్లర్")</f>
        <v>3-బ్లేడెడ్ వేరియబుల్-పిచ్ ప్రొపెల్లర్</v>
      </c>
      <c r="BC166" s="1" t="s">
        <v>1256</v>
      </c>
      <c r="BD166" s="1" t="s">
        <v>3428</v>
      </c>
      <c r="BE166" s="1" t="s">
        <v>3429</v>
      </c>
      <c r="BG166" s="2"/>
      <c r="BR166" s="1" t="s">
        <v>3430</v>
      </c>
      <c r="BS166" s="1" t="s">
        <v>3431</v>
      </c>
      <c r="BT166" s="1" t="s">
        <v>3432</v>
      </c>
      <c r="BU166" s="1" t="s">
        <v>796</v>
      </c>
      <c r="BV166" s="1" t="str">
        <f>IFERROR(__xludf.DUMMYFUNCTION("GOOGLETRANSLATE(BU:BU, ""en"", ""te"")"),"క్రియాశీల")</f>
        <v>క్రియాశీల</v>
      </c>
      <c r="BW166" s="1" t="s">
        <v>3433</v>
      </c>
      <c r="BX166" s="1"/>
      <c r="BY166" s="1" t="s">
        <v>3434</v>
      </c>
    </row>
    <row r="167">
      <c r="A167" s="1" t="s">
        <v>3435</v>
      </c>
      <c r="B167" s="1" t="str">
        <f>IFERROR(__xludf.DUMMYFUNCTION("GOOGLETRANSLATE(A:A, ""en"", ""te"")"),"వేట H.126")</f>
        <v>వేట H.126</v>
      </c>
      <c r="C167" s="1" t="s">
        <v>3436</v>
      </c>
      <c r="D167" s="1" t="str">
        <f>IFERROR(__xludf.DUMMYFUNCTION("GOOGLETRANSLATE(C:C, ""en"", ""te"")"),"వేట H.126 అనేది బ్రిటిష్ ఏవియేషన్ కంపెనీ హంటింగ్ విమానాలచే రూపొందించబడిన మరియు నిర్మించిన ఒక ప్రయోగాత్మక విమానం. ఎగిరిన ఫ్లాప్‌ల పనితీరును పరీక్షించడానికి ఈ విమానం అభివృద్ధి చేయబడింది, వీటిని బ్రిటన్లో సాధారణంగా ""జెట్ ఫ్లాప్స్"" అని పిలుస్తారు, ఆ సమయంలో,"&amp;" అవి సాపేక్షంగా తెలియని నాణ్యత, అందువల్ల విమానయాన మంత్రిత్వ శాఖ స్పెసిఫికేషన్ జారీ చేసిన స్పెసిఫికేషన్ ER.189D తగినది పరిశోధనా విమానం అభివృద్ధి చేయబడుతుంది. 1959 లో, వేట విమానాలను ఎంపిక చేశారు, ఒక జత విమానాలను నిర్మించడానికి ఒక ఒప్పందం లభించింది. మొదటి వి"&amp;"మానం, సీరియల్ నంబర్ XN714, 1962 మధ్యలో పూర్తయింది మరియు ప్రారంభ గ్రౌండ్ టెస్టింగ్ సంవత్సరం చివరి భాగంలో ప్రారంభమైంది. ఈ విమానం 26 మార్చి 1963 న తన తొలి విమానాలను ప్రదర్శించింది. ఒకే విమానం మాత్రమే పూర్తయింది, రెండవది మధ్య-కన్స్ట్రక్షన్ రద్దు చేయబడింది. ప్"&amp;"రాథమిక విమానాలు పూర్తయిన తరువాత, XN714 ను రే బెడ్‌ఫోర్డ్‌లోని రాయల్ ఎయిర్‌క్రాఫ్ట్ ఎస్టాబ్లిష్మెంట్ యొక్క ఏరోడైనమిక్స్ ఫ్లైట్ వద్ద వంద పరీక్ష విమానాలను నిర్వహించడానికి ఉపయోగించబడింది, వీటిలో చివరిది 1967 లో ప్రదర్శించబడింది. XN714 1969 లో అమెరికాకు రవాణా "&amp;"చేయబడింది, అక్కడ అది అక్కడ నాసా చేత విండ్ టన్నెల్ పరీక్షకు గురైంది; UK కి తిరిగి వచ్చిన తరువాత, ఈ విమానం 1972 లో అధికారికంగా ఉపసంహరించబడింది. ప్రస్తుతం, సంరక్షించబడిన విమానం రాయల్ ఎయిర్ ఫోర్స్ మ్యూజియం కాస్ఫోర్డ్ వద్ద స్థిరమైన ప్రదర్శనలో ఉంది. 1940 ల చివర"&amp;"లో, నేషనల్ గ్యాస్ టర్బైన్ స్థాపన (ఎన్‌జిటిఇ), రాయల్ ఎయిర్‌క్రాఫ్ట్ ఎస్టాబ్లిష్మెంట్ (RAE) మరియు వివిధ విమానాల తయారీదారులతో సహా బహుళ బ్రిటిష్ పరిశోధనా సంస్థలు ఇటీవల ఎగిరిన ఫ్లాప్‌ల యొక్క ఆవిష్కరణ యొక్క సంభావ్య అనువర్తనాలపై ఆసక్తి కనబరిచాయి, లేదా అవి ఉన్నాయ"&amp;"ి బ్రిటన్లో పిలుస్తారు, ""జెట్ ఫ్లాప్స్"". [1] ఈ పని నుండి, జెట్ ఫ్లాప్‌ల యొక్క ప్రధాన ప్రయోజనం విమానాల కోసం గణనీయంగా తక్కువ టేకాఫ్ మరియు ల్యాండింగ్ వేగం అని గుర్తించబడింది. 1951 లో, జెట్ ఫ్లాప్ యొక్క సూత్రాన్ని NGTE విజయవంతంగా పేటెంట్ చేసింది. [1] ""జెట్"&amp;" ఫ్లాప్ సూత్రాన్ని"" ఎక్కువగా అన్వేషించడానికి మరియు ధృవీకరించడానికి, విమానయాన మంత్రిత్వ శాఖ స్పెసిఫికేషన్ ER.189D ని జారీ చేసింది, ఇది పూర్తి స్థాయి పరిశోధన చేయడానికి ప్రత్యేకమైన ప్రయోజన-నిర్మిత విమానం అభివృద్ధికి పిలుపునిచ్చింది. [1] 1959 లో, వేట విమానాల"&amp;"ను ఒక జత విమానాలను నిర్మించడానికి ఒక ఒప్పందం కుదిరింది. ఏవియేషన్ పీరియాడికల్ ఫ్లైట్ ఇంటర్నేషనల్ ప్రకారం, స్పెసిఫికేషన్‌కు ప్రతిస్పందించడానికి విమానం వేటాడే నిర్ణయానికి కారణం హాట్-గ్యాస్ డక్టింగ్ సిస్టమ్స్ యొక్క ఆపరేషన్‌లో సంస్థ యొక్క ప్రస్తుత అనుభవం, దాని"&amp;" మునుపటి పరిశోధన కార్యకలాపాల ద్వారా హెలికాప్టర్లలోకి ప్రవేశించింది. [2] H.126 యొక్క తయారీ 1962 వేసవిలో పూర్తయింది, అదే సంవత్సరం ఆగస్టులో అధికారికంగా రూపొందించబడింది. లూటాన్ విమానాశ్రయంలో పరిమిత టాక్సీయింగ్ ట్రయల్స్ పూర్తి చేసిన తరువాత, ఈ విమానం కూల్చివేయబ"&amp;"డి, రోడ్ ద్వారా రే బెడ్‌ఫోర్డ్‌కు రవాణా చేయబడింది, అక్కడ అది తిరిగి కలపబడింది మరియు విమానానికి సిద్ధంగా ఉంది. [2] వేట H.126 చాలా అసాధారణమైన విమానం; ఫ్లైట్ ప్రకారం, అభివృద్ధి ""అనేక ఏరోడైనమిక్, థర్మోడైనమిక్ మరియు నిర్మాణాత్మక సమస్యలను కలిగి ఉంది ... వేడి వ"&amp;"ాయువుల డక్టింగ్, లిఫ్ట్ గుణకంలో ఇంత పెద్ద వైవిధ్యంతో సంభవించే ట్రిమ్ యొక్క పెద్ద మార్పులు మరియు నియంత్రణ జెట్‌ల మధ్య పరస్పర సంబంధం ... మరియు సాంప్రదాయిక ఎలివేటర్ మరియు చుక్కాని నియంత్రణలు "". [1] అయినప్పటికీ, విమానం యొక్క అనేక అంశాలు, దాని స్థిర నోస్‌వీల్"&amp;" అండర్ క్యారేజ్ వంటివి సాంప్రదాయంగా ఉన్నాయి. అనవసరమైన సంక్లిష్టతను నివారించడానికి ఉద్దేశపూర్వక ప్రయత్నం జరిగింది, పాక్షికంగా జెట్ ఫ్లాప్ కాన్సెప్ట్ యొక్క పరీక్ష అనేక నిర్వహించదగిన దశలలో నిర్వహించబడాలని భావించినందున. [1] కాక్‌పిట్ ఇంజిన్ కంపార్ట్మెంట్ పైన "&amp;"నేరుగా ఉంది. ఆక్సిజన్ ఉపకరణం మరియు మార్టిన్-బేకర్-నిర్మిత ఎజెక్షన్ సీటుతో అమర్చబడి, కాక్‌పిట్ అన్‌ప్రెజరైజ్ చేయబడలేదు. [1] పరీక్షా విమానంగా ఉపయోగించడం వల్ల, ఇది విస్తృతమైన పరీక్షా పరికరాలతో తయారు చేయబడింది, వెనుక ఫ్యూజ్‌లేజ్ స్థలం చాలావరకు ఇన్స్ట్రుమెంటేష"&amp;"న్, సెన్సార్లు మరియు రికార్డింగ్ పరికరాలచే ఆక్రమించబడింది; ప్రత్యేకించి, ఉష్ణ సమస్యల కారణంగా, ఎయిర్ఫ్రేమ్ అంతటా వివిధ ప్రదేశాలలో విస్తృతమైన ఉష్ణోగ్రత పర్యవేక్షణ జరిగింది. [3] విమాన నియంత్రణలు, ప్రధానంగా కంట్రోల్ కాలమ్ మరియు చుక్కాని పెడల్స్, సాంప్రదాయిక న"&amp;"ియంత్రణ ఉపరితలాలు మరియు విమానం యొక్క తోకలో ఉన్న జెట్ నాజిల్స్ రెండింటినీ నిర్వహిస్తున్నాయి, తరువాతి పిచ్ మరియు యా రెండింటినీ నియంత్రిస్తుంది. రోల్‌ను నియంత్రించే వింగ్‌టిప్ నాజిల్స్ ఆటో-స్టెబిలైజర్ సిస్టమ్ చేత నిర్వహించబడుతున్నాయి. వేరియబుల్-యాక్షన్ టెయిల"&amp;"్‌ప్లేన్ హైడ్రాలిక్ యాక్చువేట్ మరియు టెయిల్ యూనిట్ యొక్క ప్రభావవంతమైన కాంబర్‌ను మార్చడానికి ఎలివేటర్లతో నేరుగా అనుసంధానించబడింది. ఐలెరాన్లు పూర్తి-స్పాన్ జెట్ ఫ్లాప్‌ను అందించగలిగాయి. [1] H.126 ఒకే బ్రిస్టల్ ఓర్ఫియస్ టర్బోజెట్ ఇంజిన్ చేత శక్తిని పొందింది."&amp;" [1] అన్ని ఇంజిన్ థ్రస్ట్ నిలువు పంపిణీ మానిఫోల్డ్‌కు గురైంది, వీటిలో పైభాగంలో ప్రతి వైపు మూడు నాళాలు వింగ్‌లోకి మొత్తం ఎనిమిది ఫిష్‌టెయిల్స్‌కు చేరుకోవడానికి దారితీశాయి, దీని నుండి ఎగ్జాస్ట్ ఫ్లాప్స్ మరియు ఐలెరాన్స్ రెండింటి యొక్క పూర్తి వ్యవధిలో నిర్దేశ"&amp;"ించబడుతుంది ; రెక్క నాళాలలో ఒకటి రెక్క చిట్కా వద్ద రోల్-జెట్ నాజిల్‌ను కూడా సరఫరా చేస్తుంది. మానిఫోల్డ్ యొక్క బేస్ అదనపు విభజించబడిన వాహికను కలిగి ఉంది, ఇది ఫ్యూజ్‌లేజ్‌కు ఇరువైపులా వెనుకకు నడిచింది, ఇది రెక్కలోని ఫిష్‌టెయిల్స్‌ను భర్తీ చేయడానికి అదనపు థ్"&amp;"రస్ట్‌ను అందిస్తుంది; ఈ రెండు జెట్ నాజిల్లను పైలట్-నియంత్రిత స్పాయిలర్లతో అమర్చవచ్చు. [1] మానిఫోల్డ్ నుండి వచ్చిన మరో వాహిక తోక యూనిట్‌లో ఉన్న పిచ్ మరియు యా కంట్రోల్ నాజిల్‌లను, అలాగే పిచ్-ట్రిమ్ నాజిల్ కోసం మరొక వాహికను సరఫరా చేస్తుంది. విస్తృతమైన డక్టిం"&amp;"గ్ వేడి వాయువులను సురక్షితంగా కలిగి ఉండటానికి జాగ్రత్తగా ఇన్సులేషన్ మరియు వేడి-కవచం అవసరం; అయినప్పటికీ, సాంప్రదాయ తేలికపాటి మిశ్రమాలు ప్రధాన నిర్మాణంలో విస్తృతంగా ఉపయోగించబడ్డాయి, కొన్ని క్లిష్టమైన పాయింట్ల కోసం సేవ్ చేయండి. [1] ఫ్యూజ్‌లేజ్ సాంప్రదాయిక ఒత"&amp;"్తిడితో కూడిన-చర్మం నిర్మాణంలో ఉంది, ఈ నిర్మాణం రేఖాంశ సభ్యులు మరియు నిలువు ఫ్రేమ్‌ల మిశ్రమం, రెక్కలు, అండర్ క్యారేజ్ మరియు ఇంజిన్ మౌంటు వంటి ముఖ్య రంగాల వద్ద బలోపేతం చేయబడింది. [1] విమానం యొక్క భుజం-స్థాయి విభాగంలో స్ట్రట్‌ల సమితిని కలిగి ఉంది, ఇది మద్దత"&amp;"ు కోసం కాదు, ఎగిరిన ఫ్లాప్‌లలో ఉపయోగించిన సంపీడన గాలికి పైపింగ్ అందించడానికి. మెయిన్‌ప్లేన్లు రెండు-స్పేర్ నిర్మాణ విధానాన్ని ఉపయోగించాయి, వీటిని ఒకే స్ట్రట్ మద్దతు ఇస్తుంది మరియు ఫ్యూజ్‌లేజ్‌కు పిన్-జాయింట్‌ల ద్వారా జతచేయబడుతుంది; రెక్క మరియు స్ట్రట్ జోడ"&amp;"ింపులు రెండూ రెండు ప్రత్యామ్నాయ డైహెడ్రల్ కోణాలను (4 ° లేదా 8 °) సులభతరం చేయడానికి రూపొందించబడ్డాయి. ప్రతి ఐలెరాన్ ఐదు అతుకులు కలిగి ఉంటుంది, అయితే శీతలీకరణ గాలి ప్రముఖ మరియు వెనుకంజలో ఉన్న అంచులలో స్లాట్ల ద్వారా కూడా ప్రసారం చేయబడింది; ఫ్లాప్స్ ఇలాంటి ని"&amp;"ర్మాణంలో ఉన్నాయి. రెండు-స్పేర్ టెయిల్‌ప్లేన్ దాని వెనుక స్పార్ వద్ద పైవట్ చేయబడింది, అయితే నాలుగు ఎలివేటర్ అతుకులు వెనుక స్పార్‌కు జతచేయబడ్డాయి. [1] వెనుక నియంత్రణ ఉపరితలాలు గ్లోస్టర్ జావెలిన్‌లోని మాదిరిగానే చాలా చిన్న త్రిభుజాకార టి-తోకను కలిగి ఉంటాయి. "&amp;"జెట్ ఫ్లాప్ వ్యవస్థలో రెక్క యొక్క వెనుకంజలో ఉన్న పదహారు నాజిల్స్ శ్రేణిని కలిగి ఉంది, వీటిని ఇంజిన్ యొక్క హాట్ ఎగ్జాస్ట్ వాయువులలో సగం తినిపించింది. తక్కువ వేగంతో కంట్రోల్ థ్రస్ట్‌ను అందించడానికి ఒక చిన్న మొత్తాన్ని, సుమారు 10%, రెక్క చిట్కాలపై చిన్న నాజి"&amp;"ల్‌లలోకి తినిపించారు. ఇదే విధమైన కారణాల వల్ల ఇదే విధమైన వ్యవస్థ తరువాత హాకర్ సిడ్లీ హారియర్‌పై ఉపయోగించబడింది. ఇది ఫార్వర్డ్ థ్రస్ట్ కోసం తక్కువ శక్తిని మిగిల్చింది, మరియు విమానం తక్కువ వేగంతో పరిమితం చేయబడింది, కానీ టేకాఫ్ వేగం కేవలం 32 mph (51 కిమీ/గం) "&amp;"మాత్రమే, చాలా తేలికపాటి విమానాలు సరిపోలికకు ఇబ్బంది కలిగిస్తాయి. [సైటేషన్ అవసరం] మార్చి 26 న 1963, మొదటి వేట H.126, సీరియల్ నంబర్ XN714 యొక్క తొలి విమానం సంభవించింది. [4] రే బెడ్‌ఫోర్డ్ (ప్రస్తుతం బెడ్‌ఫోర్డ్ ఏరోడ్రోమ్ నుండి ఎగిరింది, దీనిని ఎస్. బి. ఆలివ"&amp;"ర్, వేట విమానాల చీఫ్ టెస్ట్ పైలట్ చేత పైలట్ చేశారు. ఈ ఫ్లైట్ తర్వాత కొద్దిసేపటికే మాట్లాడుతూ, ఆలివర్ ""ఇది ఒక ఖచ్చితమైన, నో-స్నాగ్స్ ఫ్లైట్ ... ఈ విమానం నుండి తీసివేయడం ఒక అని పేర్కొన్నాడు పూర్తిగా క్రొత్త సంచలనం; ఇది నేలమీద తేలుతుంది, ఆపై మీరు లిఫ్ట్ లాగ"&amp;"ా పైకి వెళతారు. ""[2] XN714 కి ముందు దాని యజమానులకు అధికారికంగా పంపిణీ చేయబడటం, విమానయాన మంత్రిత్వ శాఖ, వేటను నిర్వహించడానికి చాలా నెలలు విమానాన్ని నిర్వహించింది ప్రాథమిక ఎగిరే. [2] ఇది కాక్‌పిట్ ముందు ముక్కుపై మాట్ బ్లాక్ యాంటీ-గ్లేర్ ప్రాంతంతో మొత్తం పస"&amp;"ుపు రంగులో పెయింట్ చేయబడింది. రెండవ విమానం XN719 ఎప్పుడూ పూర్తి కాలేదు మరియు చివరికి రద్దు చేయబడింది. రే యొక్క టెస్ట్ ఫ్లైట్ ప్రోగ్రామ్ 1963 మధ్య జరిగింది. మరియు 1967, ఈ సమయంలో ఈ భావనపై విలువైన డేటా 100 వేర్వేరు సోర్టీలలో సేకరించింది. 1969 లో, ఈ విమానం అమ"&amp;"ెరికాకు రవాణా చేయబడింది, అక్కడ ఇది నాసా చేత తదుపరి పరీక్షకు గురైంది; తరువాత ఇది మే 1970 లో బ్రిటన్కు తిరిగి వచ్చింది. చాలా సంవత్సరాలు, మరింత పరిశోధన కోసం విమానం అవసరమైతే అది నిల్వలో ఉంది; సెప్టెంబర్ 1972 లో, ఇది అధికారికంగా RAF రికార్డుల నుండి ""ఛార్జ్ ఆఫ"&amp;"్"" చేయబడింది. [సైటేషన్ అవసరం] 1974 లో, ఈ విమానం RAF మ్యూజియంకు బదిలీ చేయబడింది; అప్పటి నుండి ఇది స్టాటిక్ డిస్ప్లేలో వెళ్ళింది. [5] ఫోలాండ్ గ్నాట్ నుండి ఒక ఓర్ఫియస్ ఇంజిన్ డోనాల్డ్ కాంప్‌బెల్ వద్దకు రుణాలు ఇచ్చినప్పుడు, అతని వాటర్-స్పీడ్ రికార్డ్ హైడ్రోప"&amp;"్లేన్ బ్లూబర్డ్ కోసం, రోటాక్స్ ఎయిర్ స్టార్టర్, ప్రెజర్ బాటిల్స్ మరియు రెండవ H.126 కోసం ఉద్దేశించిన గ్రౌండ్ APU బ్లూబర్డ్ జట్టు చేత 'అరువుగా' ఉన్నాయి. 5] జేన్ యొక్క పాకెట్ బుక్ ఆఫ్ రీసెర్చ్ మరియు ప్రయోగాత్మక విమానాల నుండి డేటా [6] సాధారణ లక్షణాలు పనితీరు "&amp;"సంబంధిత జాబితాలు")</f>
        <v>వేట H.126 అనేది బ్రిటిష్ ఏవియేషన్ కంపెనీ హంటింగ్ విమానాలచే రూపొందించబడిన మరియు నిర్మించిన ఒక ప్రయోగాత్మక విమానం. ఎగిరిన ఫ్లాప్‌ల పనితీరును పరీక్షించడానికి ఈ విమానం అభివృద్ధి చేయబడింది, వీటిని బ్రిటన్లో సాధారణంగా "జెట్ ఫ్లాప్స్" అని పిలుస్తారు, ఆ సమయంలో, అవి సాపేక్షంగా తెలియని నాణ్యత, అందువల్ల విమానయాన మంత్రిత్వ శాఖ స్పెసిఫికేషన్ జారీ చేసిన స్పెసిఫికేషన్ ER.189D తగినది పరిశోధనా విమానం అభివృద్ధి చేయబడుతుంది. 1959 లో, వేట విమానాలను ఎంపిక చేశారు, ఒక జత విమానాలను నిర్మించడానికి ఒక ఒప్పందం లభించింది. మొదటి విమానం, సీరియల్ నంబర్ XN714, 1962 మధ్యలో పూర్తయింది మరియు ప్రారంభ గ్రౌండ్ టెస్టింగ్ సంవత్సరం చివరి భాగంలో ప్రారంభమైంది. ఈ విమానం 26 మార్చి 1963 న తన తొలి విమానాలను ప్రదర్శించింది. ఒకే విమానం మాత్రమే పూర్తయింది, రెండవది మధ్య-కన్స్ట్రక్షన్ రద్దు చేయబడింది. ప్రాథమిక విమానాలు పూర్తయిన తరువాత, XN714 ను రే బెడ్‌ఫోర్డ్‌లోని రాయల్ ఎయిర్‌క్రాఫ్ట్ ఎస్టాబ్లిష్మెంట్ యొక్క ఏరోడైనమిక్స్ ఫ్లైట్ వద్ద వంద పరీక్ష విమానాలను నిర్వహించడానికి ఉపయోగించబడింది, వీటిలో చివరిది 1967 లో ప్రదర్శించబడింది. XN714 1969 లో అమెరికాకు రవాణా చేయబడింది, అక్కడ అది అక్కడ నాసా చేత విండ్ టన్నెల్ పరీక్షకు గురైంది; UK కి తిరిగి వచ్చిన తరువాత, ఈ విమానం 1972 లో అధికారికంగా ఉపసంహరించబడింది. ప్రస్తుతం, సంరక్షించబడిన విమానం రాయల్ ఎయిర్ ఫోర్స్ మ్యూజియం కాస్ఫోర్డ్ వద్ద స్థిరమైన ప్రదర్శనలో ఉంది. 1940 ల చివరలో, నేషనల్ గ్యాస్ టర్బైన్ స్థాపన (ఎన్‌జిటిఇ), రాయల్ ఎయిర్‌క్రాఫ్ట్ ఎస్టాబ్లిష్మెంట్ (RAE) మరియు వివిధ విమానాల తయారీదారులతో సహా బహుళ బ్రిటిష్ పరిశోధనా సంస్థలు ఇటీవల ఎగిరిన ఫ్లాప్‌ల యొక్క ఆవిష్కరణ యొక్క సంభావ్య అనువర్తనాలపై ఆసక్తి కనబరిచాయి, లేదా అవి ఉన్నాయి బ్రిటన్లో పిలుస్తారు, "జెట్ ఫ్లాప్స్". [1] ఈ పని నుండి, జెట్ ఫ్లాప్‌ల యొక్క ప్రధాన ప్రయోజనం విమానాల కోసం గణనీయంగా తక్కువ టేకాఫ్ మరియు ల్యాండింగ్ వేగం అని గుర్తించబడింది. 1951 లో, జెట్ ఫ్లాప్ యొక్క సూత్రాన్ని NGTE విజయవంతంగా పేటెంట్ చేసింది. [1] "జెట్ ఫ్లాప్ సూత్రాన్ని" ఎక్కువగా అన్వేషించడానికి మరియు ధృవీకరించడానికి, విమానయాన మంత్రిత్వ శాఖ స్పెసిఫికేషన్ ER.189D ని జారీ చేసింది, ఇది పూర్తి స్థాయి పరిశోధన చేయడానికి ప్రత్యేకమైన ప్రయోజన-నిర్మిత విమానం అభివృద్ధికి పిలుపునిచ్చింది. [1] 1959 లో, వేట విమానాలను ఒక జత విమానాలను నిర్మించడానికి ఒక ఒప్పందం కుదిరింది. ఏవియేషన్ పీరియాడికల్ ఫ్లైట్ ఇంటర్నేషనల్ ప్రకారం, స్పెసిఫికేషన్‌కు ప్రతిస్పందించడానికి విమానం వేటాడే నిర్ణయానికి కారణం హాట్-గ్యాస్ డక్టింగ్ సిస్టమ్స్ యొక్క ఆపరేషన్‌లో సంస్థ యొక్క ప్రస్తుత అనుభవం, దాని మునుపటి పరిశోధన కార్యకలాపాల ద్వారా హెలికాప్టర్లలోకి ప్రవేశించింది. [2] H.126 యొక్క తయారీ 1962 వేసవిలో పూర్తయింది, అదే సంవత్సరం ఆగస్టులో అధికారికంగా రూపొందించబడింది. లూటాన్ విమానాశ్రయంలో పరిమిత టాక్సీయింగ్ ట్రయల్స్ పూర్తి చేసిన తరువాత, ఈ విమానం కూల్చివేయబడి, రోడ్ ద్వారా రే బెడ్‌ఫోర్డ్‌కు రవాణా చేయబడింది, అక్కడ అది తిరిగి కలపబడింది మరియు విమానానికి సిద్ధంగా ఉంది. [2] వేట H.126 చాలా అసాధారణమైన విమానం; ఫ్లైట్ ప్రకారం, అభివృద్ధి "అనేక ఏరోడైనమిక్, థర్మోడైనమిక్ మరియు నిర్మాణాత్మక సమస్యలను కలిగి ఉంది ... వేడి వాయువుల డక్టింగ్, లిఫ్ట్ గుణకంలో ఇంత పెద్ద వైవిధ్యంతో సంభవించే ట్రిమ్ యొక్క పెద్ద మార్పులు మరియు నియంత్రణ జెట్‌ల మధ్య పరస్పర సంబంధం ... మరియు సాంప్రదాయిక ఎలివేటర్ మరియు చుక్కాని నియంత్రణలు ". [1] అయినప్పటికీ, విమానం యొక్క అనేక అంశాలు, దాని స్థిర నోస్‌వీల్ అండర్ క్యారేజ్ వంటివి సాంప్రదాయంగా ఉన్నాయి. అనవసరమైన సంక్లిష్టతను నివారించడానికి ఉద్దేశపూర్వక ప్రయత్నం జరిగింది, పాక్షికంగా జెట్ ఫ్లాప్ కాన్సెప్ట్ యొక్క పరీక్ష అనేక నిర్వహించదగిన దశలలో నిర్వహించబడాలని భావించినందున. [1] కాక్‌పిట్ ఇంజిన్ కంపార్ట్మెంట్ పైన నేరుగా ఉంది. ఆక్సిజన్ ఉపకరణం మరియు మార్టిన్-బేకర్-నిర్మిత ఎజెక్షన్ సీటుతో అమర్చబడి, కాక్‌పిట్ అన్‌ప్రెజరైజ్ చేయబడలేదు. [1] పరీక్షా విమానంగా ఉపయోగించడం వల్ల, ఇది విస్తృతమైన పరీక్షా పరికరాలతో తయారు చేయబడింది, వెనుక ఫ్యూజ్‌లేజ్ స్థలం చాలావరకు ఇన్స్ట్రుమెంటేషన్, సెన్సార్లు మరియు రికార్డింగ్ పరికరాలచే ఆక్రమించబడింది; ప్రత్యేకించి, ఉష్ణ సమస్యల కారణంగా, ఎయిర్ఫ్రేమ్ అంతటా వివిధ ప్రదేశాలలో విస్తృతమైన ఉష్ణోగ్రత పర్యవేక్షణ జరిగింది. [3] విమాన నియంత్రణలు, ప్రధానంగా కంట్రోల్ కాలమ్ మరియు చుక్కాని పెడల్స్, సాంప్రదాయిక నియంత్రణ ఉపరితలాలు మరియు విమానం యొక్క తోకలో ఉన్న జెట్ నాజిల్స్ రెండింటినీ నిర్వహిస్తున్నాయి, తరువాతి పిచ్ మరియు యా రెండింటినీ నియంత్రిస్తుంది. రోల్‌ను నియంత్రించే వింగ్‌టిప్ నాజిల్స్ ఆటో-స్టెబిలైజర్ సిస్టమ్ చేత నిర్వహించబడుతున్నాయి. వేరియబుల్-యాక్షన్ టెయిల్‌ప్లేన్ హైడ్రాలిక్ యాక్చువేట్ మరియు టెయిల్ యూనిట్ యొక్క ప్రభావవంతమైన కాంబర్‌ను మార్చడానికి ఎలివేటర్లతో నేరుగా అనుసంధానించబడింది. ఐలెరాన్లు పూర్తి-స్పాన్ జెట్ ఫ్లాప్‌ను అందించగలిగాయి. [1] H.126 ఒకే బ్రిస్టల్ ఓర్ఫియస్ టర్బోజెట్ ఇంజిన్ చేత శక్తిని పొందింది. [1] అన్ని ఇంజిన్ థ్రస్ట్ నిలువు పంపిణీ మానిఫోల్డ్‌కు గురైంది, వీటిలో పైభాగంలో ప్రతి వైపు మూడు నాళాలు వింగ్‌లోకి మొత్తం ఎనిమిది ఫిష్‌టెయిల్స్‌కు చేరుకోవడానికి దారితీశాయి, దీని నుండి ఎగ్జాస్ట్ ఫ్లాప్స్ మరియు ఐలెరాన్స్ రెండింటి యొక్క పూర్తి వ్యవధిలో నిర్దేశించబడుతుంది ; రెక్క నాళాలలో ఒకటి రెక్క చిట్కా వద్ద రోల్-జెట్ నాజిల్‌ను కూడా సరఫరా చేస్తుంది. మానిఫోల్డ్ యొక్క బేస్ అదనపు విభజించబడిన వాహికను కలిగి ఉంది, ఇది ఫ్యూజ్‌లేజ్‌కు ఇరువైపులా వెనుకకు నడిచింది, ఇది రెక్కలోని ఫిష్‌టెయిల్స్‌ను భర్తీ చేయడానికి అదనపు థ్రస్ట్‌ను అందిస్తుంది; ఈ రెండు జెట్ నాజిల్లను పైలట్-నియంత్రిత స్పాయిలర్లతో అమర్చవచ్చు. [1] మానిఫోల్డ్ నుండి వచ్చిన మరో వాహిక తోక యూనిట్‌లో ఉన్న పిచ్ మరియు యా కంట్రోల్ నాజిల్‌లను, అలాగే పిచ్-ట్రిమ్ నాజిల్ కోసం మరొక వాహికను సరఫరా చేస్తుంది. విస్తృతమైన డక్టింగ్ వేడి వాయువులను సురక్షితంగా కలిగి ఉండటానికి జాగ్రత్తగా ఇన్సులేషన్ మరియు వేడి-కవచం అవసరం; అయినప్పటికీ, సాంప్రదాయ తేలికపాటి మిశ్రమాలు ప్రధాన నిర్మాణంలో విస్తృతంగా ఉపయోగించబడ్డాయి, కొన్ని క్లిష్టమైన పాయింట్ల కోసం సేవ్ చేయండి. [1] ఫ్యూజ్‌లేజ్ సాంప్రదాయిక ఒత్తిడితో కూడిన-చర్మం నిర్మాణంలో ఉంది, ఈ నిర్మాణం రేఖాంశ సభ్యులు మరియు నిలువు ఫ్రేమ్‌ల మిశ్రమం, రెక్కలు, అండర్ క్యారేజ్ మరియు ఇంజిన్ మౌంటు వంటి ముఖ్య రంగాల వద్ద బలోపేతం చేయబడింది. [1] విమానం యొక్క భుజం-స్థాయి విభాగంలో స్ట్రట్‌ల సమితిని కలిగి ఉంది, ఇది మద్దతు కోసం కాదు, ఎగిరిన ఫ్లాప్‌లలో ఉపయోగించిన సంపీడన గాలికి పైపింగ్ అందించడానికి. మెయిన్‌ప్లేన్లు రెండు-స్పేర్ నిర్మాణ విధానాన్ని ఉపయోగించాయి, వీటిని ఒకే స్ట్రట్ మద్దతు ఇస్తుంది మరియు ఫ్యూజ్‌లేజ్‌కు పిన్-జాయింట్‌ల ద్వారా జతచేయబడుతుంది; రెక్క మరియు స్ట్రట్ జోడింపులు రెండూ రెండు ప్రత్యామ్నాయ డైహెడ్రల్ కోణాలను (4 ° లేదా 8 °) సులభతరం చేయడానికి రూపొందించబడ్డాయి. ప్రతి ఐలెరాన్ ఐదు అతుకులు కలిగి ఉంటుంది, అయితే శీతలీకరణ గాలి ప్రముఖ మరియు వెనుకంజలో ఉన్న అంచులలో స్లాట్ల ద్వారా కూడా ప్రసారం చేయబడింది; ఫ్లాప్స్ ఇలాంటి నిర్మాణంలో ఉన్నాయి. రెండు-స్పేర్ టెయిల్‌ప్లేన్ దాని వెనుక స్పార్ వద్ద పైవట్ చేయబడింది, అయితే నాలుగు ఎలివేటర్ అతుకులు వెనుక స్పార్‌కు జతచేయబడ్డాయి. [1] వెనుక నియంత్రణ ఉపరితలాలు గ్లోస్టర్ జావెలిన్‌లోని మాదిరిగానే చాలా చిన్న త్రిభుజాకార టి-తోకను కలిగి ఉంటాయి. జెట్ ఫ్లాప్ వ్యవస్థలో రెక్క యొక్క వెనుకంజలో ఉన్న పదహారు నాజిల్స్ శ్రేణిని కలిగి ఉంది, వీటిని ఇంజిన్ యొక్క హాట్ ఎగ్జాస్ట్ వాయువులలో సగం తినిపించింది. తక్కువ వేగంతో కంట్రోల్ థ్రస్ట్‌ను అందించడానికి ఒక చిన్న మొత్తాన్ని, సుమారు 10%, రెక్క చిట్కాలపై చిన్న నాజిల్‌లలోకి తినిపించారు. ఇదే విధమైన కారణాల వల్ల ఇదే విధమైన వ్యవస్థ తరువాత హాకర్ సిడ్లీ హారియర్‌పై ఉపయోగించబడింది. ఇది ఫార్వర్డ్ థ్రస్ట్ కోసం తక్కువ శక్తిని మిగిల్చింది, మరియు విమానం తక్కువ వేగంతో పరిమితం చేయబడింది, కానీ టేకాఫ్ వేగం కేవలం 32 mph (51 కిమీ/గం) మాత్రమే, చాలా తేలికపాటి విమానాలు సరిపోలికకు ఇబ్బంది కలిగిస్తాయి. [సైటేషన్ అవసరం] మార్చి 26 న 1963, మొదటి వేట H.126, సీరియల్ నంబర్ XN714 యొక్క తొలి విమానం సంభవించింది. [4] రే బెడ్‌ఫోర్డ్ (ప్రస్తుతం బెడ్‌ఫోర్డ్ ఏరోడ్రోమ్ నుండి ఎగిరింది, దీనిని ఎస్. బి. ఆలివర్, వేట విమానాల చీఫ్ టెస్ట్ పైలట్ చేత పైలట్ చేశారు. ఈ ఫ్లైట్ తర్వాత కొద్దిసేపటికే మాట్లాడుతూ, ఆలివర్ "ఇది ఒక ఖచ్చితమైన, నో-స్నాగ్స్ ఫ్లైట్ ... ఈ విమానం నుండి తీసివేయడం ఒక అని పేర్కొన్నాడు పూర్తిగా క్రొత్త సంచలనం; ఇది నేలమీద తేలుతుంది, ఆపై మీరు లిఫ్ట్ లాగా పైకి వెళతారు. "[2] XN714 కి ముందు దాని యజమానులకు అధికారికంగా పంపిణీ చేయబడటం, విమానయాన మంత్రిత్వ శాఖ, వేటను నిర్వహించడానికి చాలా నెలలు విమానాన్ని నిర్వహించింది ప్రాథమిక ఎగిరే. [2] ఇది కాక్‌పిట్ ముందు ముక్కుపై మాట్ బ్లాక్ యాంటీ-గ్లేర్ ప్రాంతంతో మొత్తం పసుపు రంగులో పెయింట్ చేయబడింది. రెండవ విమానం XN719 ఎప్పుడూ పూర్తి కాలేదు మరియు చివరికి రద్దు చేయబడింది. రే యొక్క టెస్ట్ ఫ్లైట్ ప్రోగ్రామ్ 1963 మధ్య జరిగింది. మరియు 1967, ఈ సమయంలో ఈ భావనపై విలువైన డేటా 100 వేర్వేరు సోర్టీలలో సేకరించింది. 1969 లో, ఈ విమానం అమెరికాకు రవాణా చేయబడింది, అక్కడ ఇది నాసా చేత తదుపరి పరీక్షకు గురైంది; తరువాత ఇది మే 1970 లో బ్రిటన్కు తిరిగి వచ్చింది. చాలా సంవత్సరాలు, మరింత పరిశోధన కోసం విమానం అవసరమైతే అది నిల్వలో ఉంది; సెప్టెంబర్ 1972 లో, ఇది అధికారికంగా RAF రికార్డుల నుండి "ఛార్జ్ ఆఫ్" చేయబడింది. [సైటేషన్ అవసరం] 1974 లో, ఈ విమానం RAF మ్యూజియంకు బదిలీ చేయబడింది; అప్పటి నుండి ఇది స్టాటిక్ డిస్ప్లేలో వెళ్ళింది. [5] ఫోలాండ్ గ్నాట్ నుండి ఒక ఓర్ఫియస్ ఇంజిన్ డోనాల్డ్ కాంప్‌బెల్ వద్దకు రుణాలు ఇచ్చినప్పుడు, అతని వాటర్-స్పీడ్ రికార్డ్ హైడ్రోప్లేన్ బ్లూబర్డ్ కోసం, రోటాక్స్ ఎయిర్ స్టార్టర్, ప్రెజర్ బాటిల్స్ మరియు రెండవ H.126 కోసం ఉద్దేశించిన గ్రౌండ్ APU బ్లూబర్డ్ జట్టు చేత 'అరువుగా' ఉన్నాయి. 5] జేన్ యొక్క పాకెట్ బుక్ ఆఫ్ రీసెర్చ్ మరియు ప్రయోగాత్మక విమానాల నుండి డేటా [6] సాధారణ లక్షణాలు పనితీరు సంబంధిత జాబితాలు</v>
      </c>
      <c r="E167" s="1" t="s">
        <v>3437</v>
      </c>
      <c r="F167" s="1" t="s">
        <v>3438</v>
      </c>
      <c r="G167" s="1" t="str">
        <f>IFERROR(__xludf.DUMMYFUNCTION("GOOGLETRANSLATE(F:F, ""en"", ""te"")"),"పరిశోధన విమానం")</f>
        <v>పరిశోధన విమానం</v>
      </c>
      <c r="H167" s="1" t="s">
        <v>3439</v>
      </c>
      <c r="I167" s="1" t="s">
        <v>964</v>
      </c>
      <c r="J167" s="1" t="str">
        <f>IFERROR(__xludf.DUMMYFUNCTION("GOOGLETRANSLATE(I:I, ""en"", ""te"")"),"యునైటెడ్ కింగ్‌డమ్")</f>
        <v>యునైటెడ్ కింగ్‌డమ్</v>
      </c>
      <c r="L167" s="1" t="s">
        <v>3440</v>
      </c>
      <c r="M167" s="1" t="str">
        <f>IFERROR(__xludf.DUMMYFUNCTION("GOOGLETRANSLATE(L:L, ""en"", ""te"")"),"వేట విమానం")</f>
        <v>వేట విమానం</v>
      </c>
      <c r="N167" s="1" t="s">
        <v>3441</v>
      </c>
      <c r="R167" s="4">
        <v>23096.0</v>
      </c>
      <c r="S167" s="1">
        <v>1.0</v>
      </c>
      <c r="V167" s="1">
        <v>1.0</v>
      </c>
      <c r="W167" s="1" t="s">
        <v>3442</v>
      </c>
      <c r="X167" s="1" t="s">
        <v>3443</v>
      </c>
      <c r="Y167" s="1" t="s">
        <v>3444</v>
      </c>
      <c r="Z167" s="1" t="s">
        <v>3445</v>
      </c>
      <c r="AF167" s="1" t="s">
        <v>3446</v>
      </c>
      <c r="AG167" s="1" t="s">
        <v>3447</v>
      </c>
      <c r="AX167" s="1" t="s">
        <v>3448</v>
      </c>
      <c r="AY167" s="1" t="str">
        <f>IFERROR(__xludf.DUMMYFUNCTION("GOOGLETRANSLATE(AX:AX, ""en"", ""te"")"),"1 × బ్రిస్టల్ సిడ్డిలీ బోర్ 3 ఓర్ఫియస్ MK.805 టర్బోజెట్ ఇంజిన్, 4,000 LBF (18 kN) థ్రస్ట్")</f>
        <v>1 × బ్రిస్టల్ సిడ్డిలీ బోర్ 3 ఓర్ఫియస్ MK.805 టర్బోజెట్ ఇంజిన్, 4,000 LBF (18 kN) థ్రస్ట్</v>
      </c>
      <c r="BF167" s="1" t="s">
        <v>976</v>
      </c>
      <c r="BG167" s="2" t="str">
        <f>IFERROR(__xludf.DUMMYFUNCTION("GOOGLETRANSLATE(BF:BF, ""en"", ""te"")"),"రాయల్ ఎయిర్క్రాఫ్ట్ స్థాపన")</f>
        <v>రాయల్ ఎయిర్క్రాఫ్ట్ స్థాపన</v>
      </c>
      <c r="BH167" s="1" t="s">
        <v>977</v>
      </c>
      <c r="BR167" s="1" t="s">
        <v>3449</v>
      </c>
      <c r="BX167" s="1"/>
      <c r="BY167" s="1" t="s">
        <v>3450</v>
      </c>
    </row>
    <row r="168">
      <c r="A168" s="1" t="s">
        <v>3451</v>
      </c>
      <c r="B168" s="1" t="str">
        <f>IFERROR(__xludf.DUMMYFUNCTION("GOOGLETRANSLATE(A:A, ""en"", ""te"")"),"పియటెన్‌పోల్ ఎయిర్ క్యాంపర్")</f>
        <v>పియటెన్‌పోల్ ఎయిర్ క్యాంపర్</v>
      </c>
      <c r="C168" s="1" t="s">
        <v>3452</v>
      </c>
      <c r="D168" s="1" t="str">
        <f>IFERROR(__xludf.DUMMYFUNCTION("GOOGLETRANSLATE(C:C, ""en"", ""te"")"),"పియటెన్‌పోల్ ఎయిర్ క్యాంపర్ అనేది బెర్నార్డ్ హెచ్. పీటెన్‌పోల్ రూపొందించిన సాధారణ పారాసోల్ వింగ్ హోమ్‌బిల్ట్ విమానం. ఎయిర్ క్యాంపర్‌గా మారిన మొదటి నమూనా 1928 లో పియటెన్‌పాల్ చేత నిర్మించబడింది మరియు ఎగిరింది. [2] [3] [4] [5] [6] ఎయిర్ క్యాంపర్ స్ప్రూస్ మర"&amp;"ియు ప్లైవుడ్లతో నిర్మించటానికి రూపొందించబడింది. పియటెన్‌పాల్ యొక్క లక్ష్యాలలో ఒకటి గృహనిర్మాణదారుల కోసం సరసమైన మరియు సులభమైన విమానాన్ని సృష్టించడం. ఎయిర్ క్యాంపర్‌ను నిర్మించడానికి ప్రాథమిక చెక్క పని నైపుణ్యాలు మరియు సాధనాలు అవసరం. చెక్క భాగాలను కలిపి అటా"&amp;"చ్ చేయడానికి బిల్డర్లు కొన్ని లోహపు అమరికలను కల్పించాల్సిన అవసరం ఉంది. కొన్ని వెల్డింగ్ అవసరం. పియటెన్‌పోల్ ఎయిర్‌క్యాంపర్ కోసం ప్రణాళికలు మొదట నాలుగు-భాగాల సీరియల్‌లో ""ఫ్లయింగ్ అండ్ గ్లైడర్"" మాన్యువల్ 1932-33 లో ప్రచురించబడ్డాయి. [4] [5] అసలు మోడల్ ఏస్"&amp;" ఫోర్ సిలిండర్ వాటర్-కూల్డ్ ఇంజిన్ ఉపయోగించి ఎగిరింది. [4] మోడల్ ఎ ఫోర్డ్ ఇంజిన్ తరువాత ఉపయోగించిన ప్రామాణిక పవర్‌ప్లాంట్ అయింది; ఈ డిజైన్ మొదట మే 1929 లో ఒకదానితో ఎగురవేయబడింది. [1] 1960 వ దశకంలో బెర్నార్డ్ పియటెన్‌పోల్ చేవ్రొలెట్ కొర్వైర్ ఆటోమొబైల్స్ ను"&amp;"ండి మార్చబడిన ఇంజిన్‌లకు అనుకూలంగా ప్రారంభించాడు. కొర్వైర్ ఫ్లాట్ సిక్స్ మోడల్ A తో పోలిస్తే అధిక హార్స్‌పవర్, సున్నితమైన మరియు గణనీయంగా తేలికైనది, మరియు సాధారణ విమానయాన వినియోగానికి ఇప్పటికే అందుబాటులో ఉన్న వాటికి సమానంగా ఉంటుంది. పీటెన్‌పాల్ యొక్క పొడవు"&amp;" ఇంజిన్ ఎంపికలతో మారుతుంది, ఎందుకంటే తేలికైన ఇంజిన్‌లను బరువు మరియు సమతుల్య కారణాల వల్ల మరింత ముందుకు అమర్చాల్సిన అవసరం ఉంది. [7] సంవత్సరాలుగా 30 కి పైగా వేర్వేరు ఇంజన్లు పీటెన్‌పోల్ ఎయిర్ క్యాంపర్‌లో ఎగిరిపోయాయి. చాలా మంది ఆధునిక పియటెన్‌పాల్ బిల్డర్లు క"&amp;"ాంటినెంటల్ A65, C85 లేదా C90 ఎయిర్-కూల్డ్ ఫ్లాట్ ఫోర్లను ఇష్టపడతారు. [4] ఎయిర్‌క్యాంపర్‌కు అనేక ఉదాహరణలు ఐరోపాలో నిర్మించబడ్డాయి మరియు 2012 లో ఇంకా ఎగురుతున్నాయి. 1920 మరియు 1930 లలో, కిట్లు డిజైన్ కోసం అందుబాటులో ఉన్నాయి, కాని 2015 వరకు పియటెన్‌పోల్ ఎయిర"&amp;"్‌క్రాఫ్ట్ కంపెనీ ఎయిర్ క్యాంపర్ యొక్క కిట్ వెర్షన్‌ను ప్రవేశపెట్టినప్పుడు, ఎయిర్‌క్రాఫ్ట్ స్ప్రూస్ &amp; స్పెషాలిటీ సరఫరా చేసిన భాగాలతో మళ్లీ ఏదీ అందుబాటులో లేదు. కిట్‌లో ఇంజిన్, డోప్, ఫాబ్రిక్ కవరింగ్ మరియు హార్డ్‌వేర్ మినహా అన్ని భాగాలు ఉన్నాయి. [8] .MW-PA"&amp;"RSER- అవుట్పుట్ CITE.CITATION {FONT- శైలి: వారసత్వం; పదం-RRAP: బ్రేక్-వర్డ్} .MW-PARSER- అవుట్పుట్ .citation q {quots: ""\"" """" \ """" """" """" ' లాక్-ఫ్రీ A {నేపథ్యం: లీనియర్-గ్రేడియంట్ (పారదర్శక, పారదర్శక), URL (""// అప్‌లోడ్ } .mw-Parser- అవుట్పుట్ "&amp;".ID-LOCK-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పిఎక్స్"&amp;"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.CS1"&amp;"-SISIBLE-ERROR {COLOR ఏదీ లేదు; EM} .mw-Parser-output .cs1- కెర్న్-రైట్ {పాడింగ్-రైట్: 0.2EM} .MW-PARSER- అవుట్పుట్ .citation .mw-selflink {font-weight: weritit} B.H. పీటెన్‌పోల్ అండ్ సన్స్ ఎయిర్ క్యాంపర్ ఎయిర్‌క్రాఫ్ట్ (2013). ""పీటెన్‌పోల్ ఎయిర్ క్యాంపర"&amp;"్ లేదా స్కై స్కౌట్ విమానం ఎలా నిర్మించాలి"". సేకరణ తేదీ మే 14, 2013. పోల్చదగిన పాత్ర, కాన్ఫిగరేషన్ మరియు ERA సంబంధిత జాబితాల సాధారణ లక్షణాల పనితీరు విమానం")</f>
        <v>పియటెన్‌పోల్ ఎయిర్ క్యాంపర్ అనేది బెర్నార్డ్ హెచ్. పీటెన్‌పోల్ రూపొందించిన సాధారణ పారాసోల్ వింగ్ హోమ్‌బిల్ట్ విమానం. ఎయిర్ క్యాంపర్‌గా మారిన మొదటి నమూనా 1928 లో పియటెన్‌పాల్ చేత నిర్మించబడింది మరియు ఎగిరింది. [2] [3] [4] [5] [6] ఎయిర్ క్యాంపర్ స్ప్రూస్ మరియు ప్లైవుడ్లతో నిర్మించటానికి రూపొందించబడింది. పియటెన్‌పాల్ యొక్క లక్ష్యాలలో ఒకటి గృహనిర్మాణదారుల కోసం సరసమైన మరియు సులభమైన విమానాన్ని సృష్టించడం. ఎయిర్ క్యాంపర్‌ను నిర్మించడానికి ప్రాథమిక చెక్క పని నైపుణ్యాలు మరియు సాధనాలు అవసరం. చెక్క భాగాలను కలిపి అటాచ్ చేయడానికి బిల్డర్లు కొన్ని లోహపు అమరికలను కల్పించాల్సిన అవసరం ఉంది. కొన్ని వెల్డింగ్ అవసరం. పియటెన్‌పోల్ ఎయిర్‌క్యాంపర్ కోసం ప్రణాళికలు మొదట నాలుగు-భాగాల సీరియల్‌లో "ఫ్లయింగ్ అండ్ గ్లైడర్" మాన్యువల్ 1932-33 లో ప్రచురించబడ్డాయి. [4] [5] అసలు మోడల్ ఏస్ ఫోర్ సిలిండర్ వాటర్-కూల్డ్ ఇంజిన్ ఉపయోగించి ఎగిరింది. [4] మోడల్ ఎ ఫోర్డ్ ఇంజిన్ తరువాత ఉపయోగించిన ప్రామాణిక పవర్‌ప్లాంట్ అయింది; ఈ డిజైన్ మొదట మే 1929 లో ఒకదానితో ఎగురవేయబడింది. [1] 1960 వ దశకంలో బెర్నార్డ్ పియటెన్‌పోల్ చేవ్రొలెట్ కొర్వైర్ ఆటోమొబైల్స్ నుండి మార్చబడిన ఇంజిన్‌లకు అనుకూలంగా ప్రారంభించాడు. కొర్వైర్ ఫ్లాట్ సిక్స్ మోడల్ A తో పోలిస్తే అధిక హార్స్‌పవర్, సున్నితమైన మరియు గణనీయంగా తేలికైనది, మరియు సాధారణ విమానయాన వినియోగానికి ఇప్పటికే అందుబాటులో ఉన్న వాటికి సమానంగా ఉంటుంది. పీటెన్‌పాల్ యొక్క పొడవు ఇంజిన్ ఎంపికలతో మారుతుంది, ఎందుకంటే తేలికైన ఇంజిన్‌లను బరువు మరియు సమతుల్య కారణాల వల్ల మరింత ముందుకు అమర్చాల్సిన అవసరం ఉంది. [7] సంవత్సరాలుగా 30 కి పైగా వేర్వేరు ఇంజన్లు పీటెన్‌పోల్ ఎయిర్ క్యాంపర్‌లో ఎగిరిపోయాయి. చాలా మంది ఆధునిక పియటెన్‌పాల్ బిల్డర్లు కాంటినెంటల్ A65, C85 లేదా C90 ఎయిర్-కూల్డ్ ఫ్లాట్ ఫోర్లను ఇష్టపడతారు. [4] ఎయిర్‌క్యాంపర్‌కు అనేక ఉదాహరణలు ఐరోపాలో నిర్మించబడ్డాయి మరియు 2012 లో ఇంకా ఎగురుతున్నాయి. 1920 మరియు 1930 లలో, కిట్లు డిజైన్ కోసం అందుబాటులో ఉన్నాయి, కాని 2015 వరకు పియటెన్‌పోల్ ఎయిర్‌క్రాఫ్ట్ కంపెనీ ఎయిర్ క్యాంపర్ యొక్క కిట్ వెర్షన్‌ను ప్రవేశపెట్టినప్పుడు, ఎయిర్‌క్రాఫ్ట్ స్ప్రూస్ &amp; స్పెషాలిటీ సరఫరా చేసిన భాగాలతో మళ్లీ ఏదీ అందుబాటులో లేదు. కిట్‌లో ఇంజిన్, డోప్, ఫాబ్రిక్ కవరింగ్ మరియు హార్డ్‌వేర్ మినహా అన్ని భాగాలు ఉన్నాయి. [8]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.mw-Parser-output .cs1- కెర్న్-రైట్ {పాడింగ్-రైట్: 0.2EM} .MW-PARSER- అవుట్పుట్ .citation .mw-selflink {font-weight: weritit} B.H. పీటెన్‌పోల్ అండ్ సన్స్ ఎయిర్ క్యాంపర్ ఎయిర్‌క్రాఫ్ట్ (2013). "పీటెన్‌పోల్ ఎయిర్ క్యాంపర్ లేదా స్కై స్కౌట్ విమానం ఎలా నిర్మించాలి". సేకరణ తేదీ మే 14, 2013. పోల్చదగిన పాత్ర, కాన్ఫిగరేషన్ మరియు ERA సంబంధిత జాబితాల సాధారణ లక్షణాల పనితీరు విమానం</v>
      </c>
      <c r="E168" s="1" t="s">
        <v>3453</v>
      </c>
      <c r="F168" s="1" t="s">
        <v>3454</v>
      </c>
      <c r="G168" s="1" t="str">
        <f>IFERROR(__xludf.DUMMYFUNCTION("GOOGLETRANSLATE(F:F, ""en"", ""te"")"),"Te త్సాహిక నిర్మించిన విమానం")</f>
        <v>Te త్సాహిక నిర్మించిన విమానం</v>
      </c>
      <c r="H168" s="1" t="s">
        <v>3455</v>
      </c>
      <c r="L168" s="1" t="s">
        <v>3456</v>
      </c>
      <c r="M168" s="1" t="str">
        <f>IFERROR(__xludf.DUMMYFUNCTION("GOOGLETRANSLATE(L:L, ""en"", ""te"")"),"పీటెన్‌పోల్")</f>
        <v>పీటెన్‌పోల్</v>
      </c>
      <c r="O168" s="1" t="s">
        <v>3457</v>
      </c>
      <c r="P168" s="1" t="str">
        <f>IFERROR(__xludf.DUMMYFUNCTION("GOOGLETRANSLATE(O:O, ""en"", ""te"")"),"బెర్నీ పియటెన్‌పోల్")</f>
        <v>బెర్నీ పియటెన్‌పోల్</v>
      </c>
      <c r="R168" s="1" t="s">
        <v>3458</v>
      </c>
      <c r="T168" s="1" t="s">
        <v>216</v>
      </c>
      <c r="U168" s="1" t="s">
        <v>3459</v>
      </c>
      <c r="V168" s="1" t="s">
        <v>2549</v>
      </c>
      <c r="W168" s="1" t="s">
        <v>3460</v>
      </c>
      <c r="X168" s="1" t="s">
        <v>1831</v>
      </c>
      <c r="Y168" s="1" t="s">
        <v>3461</v>
      </c>
      <c r="Z168" s="1" t="s">
        <v>3462</v>
      </c>
      <c r="AG168" s="1" t="s">
        <v>3463</v>
      </c>
      <c r="AH168" s="1" t="s">
        <v>3464</v>
      </c>
      <c r="AM168" s="1" t="s">
        <v>3465</v>
      </c>
      <c r="AN168" s="1" t="s">
        <v>3466</v>
      </c>
      <c r="AV168" s="1" t="s">
        <v>3467</v>
      </c>
      <c r="AX168" s="1" t="s">
        <v>3468</v>
      </c>
      <c r="AY168" s="1" t="str">
        <f>IFERROR(__xludf.DUMMYFUNCTION("GOOGLETRANSLATE(AX:AX, ""en"", ""te"")"),"1 × ఫోర్డ్ మోడల్ ఆటోమోటివ్ కన్వర్షన్ ఇంజిన్, 40 హెచ్‌పి (30 కిలోవాట్)")</f>
        <v>1 × ఫోర్డ్ మోడల్ ఆటోమోటివ్ కన్వర్షన్ ఇంజిన్, 40 హెచ్‌పి (30 కిలోవాట్)</v>
      </c>
      <c r="BB168" s="1" t="s">
        <v>3469</v>
      </c>
      <c r="BG168" s="2"/>
      <c r="BR168" s="1" t="s">
        <v>3470</v>
      </c>
      <c r="BS168" s="1" t="s">
        <v>1159</v>
      </c>
      <c r="BU168" s="1" t="s">
        <v>3471</v>
      </c>
      <c r="BV168" s="1" t="str">
        <f>IFERROR(__xludf.DUMMYFUNCTION("GOOGLETRANSLATE(BU:BU, ""en"", ""te"")"),"ప్రణాళికలు అందుబాటులో ఉన్నాయి (2015)")</f>
        <v>ప్రణాళికలు అందుబాటులో ఉన్నాయి (2015)</v>
      </c>
      <c r="BX168" s="1"/>
      <c r="BY168" s="1" t="s">
        <v>3472</v>
      </c>
    </row>
    <row r="169">
      <c r="A169" s="1" t="s">
        <v>3473</v>
      </c>
      <c r="B169" s="1" t="str">
        <f>IFERROR(__xludf.DUMMYFUNCTION("GOOGLETRANSLATE(A:A, ""en"", ""te"")"),"పేన్ పా 49")</f>
        <v>పేన్ పా 49</v>
      </c>
      <c r="C169" s="1" t="s">
        <v>3474</v>
      </c>
      <c r="D169" s="1" t="str">
        <f>IFERROR(__xludf.DUMMYFUNCTION("GOOGLETRANSLATE(C:C, ""en"", ""te"")"),"పేయెన్ PA 49 కాటి అనేది ఒక చిన్న ప్రయోగాత్మక ఫ్రెంచ్ టర్బోజెట్ శక్తితో కూడిన టైలెస్ విమానం, ఇది నికోలస్ రోలాండ్ పేన్ చేత రూపొందించబడింది మరియు మొదట 1954 లో ఎగిరింది. ఇది ఈ రకమైన మొట్టమొదటి ఫ్రెంచ్ విమానం మరియు దాని రోజు యొక్క అతిచిన్న జెట్ విమానం. [1] రోల"&amp;"ాండ్ పేన్ టైలెస్ మరియు డెల్టా వింగ్డ్ విమానాలకు మార్గదర్శకుడు, రెండవ ప్రపంచ యుద్ధానికి ముందు రెండు నమూనాలు, తేలికపాటి విమానం మరియు పోరాట యోధుడు. PA 49 కాటి అతని మొదటి యుద్ధానంతర డిజైన్. [2] అన్ని కలప [2] కాటి ఒక టైలెస్ విమానం, ప్రత్యేక క్షితిజ సమాంతర స్టె"&amp;"బిలైజర్ లేదు. వింగ్ లీడింగ్ ఎడ్జ్ సుమారు 55 at వద్ద కొట్టుకుపోయింది, కాని, క్లాసిక్ డెల్టా దాని సూటిగా వెనుకంజలో ఉన్న అంచుతో కాకుండా, కాటిలు సుమారు 30 at వద్ద తుడిచిపెట్టుకుపోయాయి, ప్రతి వెనుకంజలో ఉన్న అంచుతో పూర్తి స్పాన్ కంట్రోల్ ఉపరితలాలు, ఎలివేటర్లు ఇ"&amp;"న్బోర్డ్ మరియు ఐలెరాన్స్ అవుట్‌బోర్డ్. [3] దాని మూలంలో, రెక్కలు 1.47 kN (330 lbf) టర్బోమెకా పలాస్ ఇంజిన్ కోసం చిన్న గాలి తీసుకోవడంతో ఫ్యూజ్‌లేజ్‌లో మెల్లగా విలీనం అయ్యాయి. కాక్‌పిట్ కేవలం తీసుకోవడం వెనుకబడి ఉంది మరియు పొడవైన స్ట్రెయిట్-ఎడ్జ్డ్ ఫిన్, సుమార"&amp;"ు 75 at వద్ద తుడిచిపెట్టుకుపోయింది మరియు ప్రారంభంలో కాక్‌పిట్ వలె వెడల్పుగా, దాని వెనుక వెంటనే ప్రారంభమైంది, పూర్తి లోతు చుక్కానితో కొంచెం తుడిచిపెట్టిన వెనుకంజలో ఉంది. [2 ] మొదటి ఫ్లైట్ ముందు రికార్డ్ చేయబడిన చిత్రాలు కాటిని రెక్క చిట్కా స్కిడ్లతో తక్కువ"&amp;" సైకిల్ అండర్ క్యారేజీతో చూపిస్తాయి, అయితే, ఫ్లైట్ సమయానికి, దీనిని స్థిర, అన్-ఫెయిర్డ్ ట్రైసైకిల్ అండర్ క్యారేజ్ ద్వారా భర్తీ చేశారు. [4] ఇప్పుడు PA 49A యొక్క మొదటి ఫ్లైట్ 22 జనవరి 1954 న టోనీ ఓచ్సెన్‌బీన్ చేత ఎగిరిన మెలున్-విల్లరోచే వద్ద జరిగింది, తులనా"&amp;"త్మకంగా అనుభవం లేని పైలట్, గతంలో జెట్‌లపై 30 నిమిషాలు మాత్రమే లాగిన్ అయ్యారు. [1] పది గంటల తయారీదారుల పరీక్ష ఏప్రిల్ 1954 లో, సెంటర్ డి ఎస్సేస్ ఎన్ వాల్యూమ్ (సిఇవి), బ్రెటిగ్ని-సుర్-ఓర్డ్‌లో అంచనా వేయడం ద్వారా. [5] PA 49 యొక్క ఏరోబాటిక్ సామర్థ్యం స్థాపించ"&amp;"బడింది. [1] CEV వద్ద దీనికి స్ప్లిట్ చుక్కాని ఎయిర్‌బ్రేక్‌తో అమర్చారు; చిట్కా యొక్క రెండు ఉపరితలాలు చిట్కా క్రింద నుండి వేరు చేయబడతాయి, దిగువన ఉన్న ఫెయిర్డ్ బాహ్య లింకుల ద్వారా, బ్రేకింగ్ కోసం కీలు వద్ద V లోకి, యా నియంత్రణ కోసం కలిసి తిరుగుతాయి. ఈ ఎయిర్‌"&amp;"బ్రేక్‌ను ఫ్లెచైర్ SA రూపొందించారు, [2] పేన్ చేత స్థాపించబడిన సంస్థ. [1] 1957 లో పారిస్ వద్ద జరిగిన 12 వ సెలూన్ ఇంటర్నేషనల్ డి'రోనాటిక్ వద్ద కనిపించిన సమయంలో, అండర్ క్యారేజ్ కాళ్ళు సరసమైనవి మరియు ప్రధాన చక్రాలు స్పాట్స్‌లో ఉన్నాయి [6] మరియు ఈ విమానం PA 49"&amp;"B గా పేరు మార్చబడింది. కొంతకాలం నోస్‌వీల్ కూడా ఉమ్మివేయబడింది. [4] ముడుచుకునే అండర్ క్యారేజీతో సంస్కరణ కోసం ప్రణాళికలు ఉన్నాయి, కానీ ఇది రాలేదు. [2] 1958 లో విమాన పరీక్షా కార్యక్రమం ముగిసినప్పుడు, పేయెన్ పారిస్ - లే బౌర్గెట్ విమానాశ్రయంలోని మ్యూసీ డి ఎల్ "&amp;"ఎయిర్ ఎట్ డి ఎస్పేస్ కు ఈ విమానం ఇచ్చాడు. అతను డెల్టా వింగ్డ్ విమానాన్ని రూపొందించడం కొనసాగించాడు మరియు 1970 లలో పేన్ పిఎ 71 మరియు పిఎ 149 ప్రాజెక్టులు కాటి యొక్క ప్రత్యక్ష పరిణామాలు. [1] జేన్ యొక్క అన్ని ప్రపంచ విమానాల నుండి డేటా 1956–57 [2] సాధారణ లక్షణ"&amp;"ాల పనితీరు సంబంధిత అభివృద్ధి")</f>
        <v>పేయెన్ PA 49 కాటి అనేది ఒక చిన్న ప్రయోగాత్మక ఫ్రెంచ్ టర్బోజెట్ శక్తితో కూడిన టైలెస్ విమానం, ఇది నికోలస్ రోలాండ్ పేన్ చేత రూపొందించబడింది మరియు మొదట 1954 లో ఎగిరింది. ఇది ఈ రకమైన మొట్టమొదటి ఫ్రెంచ్ విమానం మరియు దాని రోజు యొక్క అతిచిన్న జెట్ విమానం. [1] రోలాండ్ పేన్ టైలెస్ మరియు డెల్టా వింగ్డ్ విమానాలకు మార్గదర్శకుడు, రెండవ ప్రపంచ యుద్ధానికి ముందు రెండు నమూనాలు, తేలికపాటి విమానం మరియు పోరాట యోధుడు. PA 49 కాటి అతని మొదటి యుద్ధానంతర డిజైన్. [2] అన్ని కలప [2] కాటి ఒక టైలెస్ విమానం, ప్రత్యేక క్షితిజ సమాంతర స్టెబిలైజర్ లేదు. వింగ్ లీడింగ్ ఎడ్జ్ సుమారు 55 at వద్ద కొట్టుకుపోయింది, కాని, క్లాసిక్ డెల్టా దాని సూటిగా వెనుకంజలో ఉన్న అంచుతో కాకుండా, కాటిలు సుమారు 30 at వద్ద తుడిచిపెట్టుకుపోయాయి, ప్రతి వెనుకంజలో ఉన్న అంచుతో పూర్తి స్పాన్ కంట్రోల్ ఉపరితలాలు, ఎలివేటర్లు ఇన్బోర్డ్ మరియు ఐలెరాన్స్ అవుట్‌బోర్డ్. [3] దాని మూలంలో, రెక్కలు 1.47 kN (330 lbf) టర్బోమెకా పలాస్ ఇంజిన్ కోసం చిన్న గాలి తీసుకోవడంతో ఫ్యూజ్‌లేజ్‌లో మెల్లగా విలీనం అయ్యాయి. కాక్‌పిట్ కేవలం తీసుకోవడం వెనుకబడి ఉంది మరియు పొడవైన స్ట్రెయిట్-ఎడ్జ్డ్ ఫిన్, సుమారు 75 at వద్ద తుడిచిపెట్టుకుపోయింది మరియు ప్రారంభంలో కాక్‌పిట్ వలె వెడల్పుగా, దాని వెనుక వెంటనే ప్రారంభమైంది, పూర్తి లోతు చుక్కానితో కొంచెం తుడిచిపెట్టిన వెనుకంజలో ఉంది. [2 ] మొదటి ఫ్లైట్ ముందు రికార్డ్ చేయబడిన చిత్రాలు కాటిని రెక్క చిట్కా స్కిడ్లతో తక్కువ సైకిల్ అండర్ క్యారేజీతో చూపిస్తాయి, అయితే, ఫ్లైట్ సమయానికి, దీనిని స్థిర, అన్-ఫెయిర్డ్ ట్రైసైకిల్ అండర్ క్యారేజ్ ద్వారా భర్తీ చేశారు. [4] ఇప్పుడు PA 49A యొక్క మొదటి ఫ్లైట్ 22 జనవరి 1954 న టోనీ ఓచ్సెన్‌బీన్ చేత ఎగిరిన మెలున్-విల్లరోచే వద్ద జరిగింది, తులనాత్మకంగా అనుభవం లేని పైలట్, గతంలో జెట్‌లపై 30 నిమిషాలు మాత్రమే లాగిన్ అయ్యారు. [1] పది గంటల తయారీదారుల పరీక్ష ఏప్రిల్ 1954 లో, సెంటర్ డి ఎస్సేస్ ఎన్ వాల్యూమ్ (సిఇవి), బ్రెటిగ్ని-సుర్-ఓర్డ్‌లో అంచనా వేయడం ద్వారా. [5] PA 49 యొక్క ఏరోబాటిక్ సామర్థ్యం స్థాపించబడింది. [1] CEV వద్ద దీనికి స్ప్లిట్ చుక్కాని ఎయిర్‌బ్రేక్‌తో అమర్చారు; చిట్కా యొక్క రెండు ఉపరితలాలు చిట్కా క్రింద నుండి వేరు చేయబడతాయి, దిగువన ఉన్న ఫెయిర్డ్ బాహ్య లింకుల ద్వారా, బ్రేకింగ్ కోసం కీలు వద్ద V లోకి, యా నియంత్రణ కోసం కలిసి తిరుగుతాయి. ఈ ఎయిర్‌బ్రేక్‌ను ఫ్లెచైర్ SA రూపొందించారు, [2] పేన్ చేత స్థాపించబడిన సంస్థ. [1] 1957 లో పారిస్ వద్ద జరిగిన 12 వ సెలూన్ ఇంటర్నేషనల్ డి'రోనాటిక్ వద్ద కనిపించిన సమయంలో, అండర్ క్యారేజ్ కాళ్ళు సరసమైనవి మరియు ప్రధాన చక్రాలు స్పాట్స్‌లో ఉన్నాయి [6] మరియు ఈ విమానం PA 49B గా పేరు మార్చబడింది. కొంతకాలం నోస్‌వీల్ కూడా ఉమ్మివేయబడింది. [4] ముడుచుకునే అండర్ క్యారేజీతో సంస్కరణ కోసం ప్రణాళికలు ఉన్నాయి, కానీ ఇది రాలేదు. [2] 1958 లో విమాన పరీక్షా కార్యక్రమం ముగిసినప్పుడు, పేయెన్ పారిస్ - లే బౌర్గెట్ విమానాశ్రయంలోని మ్యూసీ డి ఎల్ ఎయిర్ ఎట్ డి ఎస్పేస్ కు ఈ విమానం ఇచ్చాడు. అతను డెల్టా వింగ్డ్ విమానాన్ని రూపొందించడం కొనసాగించాడు మరియు 1970 లలో పేన్ పిఎ 71 మరియు పిఎ 149 ప్రాజెక్టులు కాటి యొక్క ప్రత్యక్ష పరిణామాలు. [1] జేన్ యొక్క అన్ని ప్రపంచ విమానాల నుండి డేటా 1956–57 [2] సాధారణ లక్షణాల పనితీరు సంబంధిత అభివృద్ధి</v>
      </c>
      <c r="E169" s="1" t="s">
        <v>3475</v>
      </c>
      <c r="V169" s="1">
        <v>1.0</v>
      </c>
      <c r="W169" s="1" t="s">
        <v>3476</v>
      </c>
      <c r="X169" s="1" t="s">
        <v>3477</v>
      </c>
      <c r="Y169" s="1" t="s">
        <v>3478</v>
      </c>
      <c r="AG169" s="1" t="s">
        <v>3479</v>
      </c>
      <c r="AH169" s="1" t="s">
        <v>3480</v>
      </c>
      <c r="AX169" s="1" t="s">
        <v>3481</v>
      </c>
      <c r="AY169" s="1" t="str">
        <f>IFERROR(__xludf.DUMMYFUNCTION("GOOGLETRANSLATE(AX:AX, ""en"", ""te"")"),"1 × టర్బోమెకా పలాస్ సెంట్రిఫ్యూగల్-ఫ్లో టర్బోజెట్, 1.5 kN (330 lbf) థ్రస్ట్")</f>
        <v>1 × టర్బోమెకా పలాస్ సెంట్రిఫ్యూగల్-ఫ్లో టర్బోజెట్, 1.5 kN (330 lbf) థ్రస్ట్</v>
      </c>
      <c r="BB169" s="1" t="s">
        <v>3482</v>
      </c>
      <c r="BC169" s="1" t="s">
        <v>232</v>
      </c>
      <c r="BD169" s="1" t="s">
        <v>572</v>
      </c>
      <c r="BG169" s="2"/>
      <c r="BS169" s="1" t="s">
        <v>3483</v>
      </c>
      <c r="BT169" s="1" t="s">
        <v>2774</v>
      </c>
    </row>
    <row r="170">
      <c r="A170" s="1" t="s">
        <v>3484</v>
      </c>
      <c r="B170" s="1" t="str">
        <f>IFERROR(__xludf.DUMMYFUNCTION("GOOGLETRANSLATE(A:A, ""en"", ""te"")"),"అబారిస్ గోల్డెన్ బాణం")</f>
        <v>అబారిస్ గోల్డెన్ బాణం</v>
      </c>
      <c r="C170" s="1" t="s">
        <v>3485</v>
      </c>
      <c r="D170" s="1" t="str">
        <f>IFERROR(__xludf.DUMMYFUNCTION("GOOGLETRANSLATE(C:C, ""en"", ""te"")"),"అబారిస్ గోల్డెన్ బాణం ఒక ప్రణాళికాబద్ధమైన హోమ్‌బిల్ట్ సివిల్ యుటిలిటీ విమానం, దీనిని కిట్ రూపంలో తయారు చేయడానికి ఉద్దేశించబడింది. ఇది దాని రకానికి అసాధారణంగా పెద్ద విమానం, ఆరుగురు వ్యక్తులను (పైలట్‌తో సహా) మరియు అసాధారణంగా హోమ్‌బిల్ట్ విమానంలో, టర్బోప్రాప"&amp;"్ ఇంజిన్‌తో నడిచే చేయగలదు. [1] గోల్డెన్ బాణం సాంప్రదాయిక మోనోప్లేన్ కాన్ఫిగరేషన్‌కు ఉద్దేశించబడింది, ముడుచుకునే ట్రైసైకిల్ అండర్ క్యారేజ్ మరియు టి-తోక. ఇది ఎక్కువగా మిశ్రమ నిర్మాణంలో ఉంది. ఈ క్రాఫ్ట్ దాని పేరును పురాణ బాణం నుండి పొందింది, దీనిని పురాతన గ్"&amp;"రీకు age షి అబారిస్ ది హైపర్బోరియన్ తీసుకువెళ్లారు. సన్-దేవుడు అపోలో అబారిస్‌కు ఇచ్చిన బాణం, దాని బేరర్‌కు విమాన శక్తిని ఇచ్చింది. [2] 2003 లో, సంస్థ మూసివేసినప్పుడు మొదటి విమానం ఇంకా పూర్తి కాలేదు. [సైటేషన్ అవసరం] నుండి డేటా సాధారణ లక్షణాల పనితీరు")</f>
        <v>అబారిస్ గోల్డెన్ బాణం ఒక ప్రణాళికాబద్ధమైన హోమ్‌బిల్ట్ సివిల్ యుటిలిటీ విమానం, దీనిని కిట్ రూపంలో తయారు చేయడానికి ఉద్దేశించబడింది. ఇది దాని రకానికి అసాధారణంగా పెద్ద విమానం, ఆరుగురు వ్యక్తులను (పైలట్‌తో సహా) మరియు అసాధారణంగా హోమ్‌బిల్ట్ విమానంలో, టర్బోప్రాప్ ఇంజిన్‌తో నడిచే చేయగలదు. [1] గోల్డెన్ బాణం సాంప్రదాయిక మోనోప్లేన్ కాన్ఫిగరేషన్‌కు ఉద్దేశించబడింది, ముడుచుకునే ట్రైసైకిల్ అండర్ క్యారేజ్ మరియు టి-తోక. ఇది ఎక్కువగా మిశ్రమ నిర్మాణంలో ఉంది. ఈ క్రాఫ్ట్ దాని పేరును పురాణ బాణం నుండి పొందింది, దీనిని పురాతన గ్రీకు age షి అబారిస్ ది హైపర్బోరియన్ తీసుకువెళ్లారు. సన్-దేవుడు అపోలో అబారిస్‌కు ఇచ్చిన బాణం, దాని బేరర్‌కు విమాన శక్తిని ఇచ్చింది. [2] 2003 లో, సంస్థ మూసివేసినప్పుడు మొదటి విమానం ఇంకా పూర్తి కాలేదు. [సైటేషన్ అవసరం] నుండి డేటా సాధారణ లక్షణాల పనితీరు</v>
      </c>
      <c r="F170" s="1" t="s">
        <v>3486</v>
      </c>
      <c r="G170" s="1" t="str">
        <f>IFERROR(__xludf.DUMMYFUNCTION("GOOGLETRANSLATE(F:F, ""en"", ""te"")"),"హోమ్‌బిల్ట్ సివిల్ యుటిలిటీ విమానం")</f>
        <v>హోమ్‌బిల్ట్ సివిల్ యుటిలిటీ విమానం</v>
      </c>
      <c r="L170" s="1" t="s">
        <v>3487</v>
      </c>
      <c r="M170" s="1" t="str">
        <f>IFERROR(__xludf.DUMMYFUNCTION("GOOGLETRANSLATE(L:L, ""en"", ""te"")"),"అబారిస్ విమానం")</f>
        <v>అబారిస్ విమానం</v>
      </c>
      <c r="V170" s="1">
        <v>1.0</v>
      </c>
      <c r="W170" s="1" t="s">
        <v>3488</v>
      </c>
      <c r="X170" s="1" t="s">
        <v>3489</v>
      </c>
      <c r="Y170" s="1" t="s">
        <v>2332</v>
      </c>
      <c r="AF170" s="1" t="s">
        <v>3490</v>
      </c>
      <c r="AG170" s="1" t="s">
        <v>3491</v>
      </c>
      <c r="AH170" s="1" t="s">
        <v>3492</v>
      </c>
      <c r="AV170" s="1" t="s">
        <v>3493</v>
      </c>
      <c r="AX170" s="1" t="s">
        <v>3494</v>
      </c>
      <c r="AY170" s="1" t="str">
        <f>IFERROR(__xludf.DUMMYFUNCTION("GOOGLETRANSLATE(AX:AX, ""en"", ""te"")"),"1 × వాల్టర్ M601 టర్బోప్రాప్, 750 HP (560 kW)")</f>
        <v>1 × వాల్టర్ M601 టర్బోప్రాప్, 750 HP (560 kW)</v>
      </c>
      <c r="BB170" s="1" t="s">
        <v>3495</v>
      </c>
      <c r="BD170" s="1" t="s">
        <v>3496</v>
      </c>
      <c r="BE170" s="1" t="s">
        <v>3497</v>
      </c>
      <c r="BG170" s="2"/>
      <c r="BS170" s="1" t="s">
        <v>3498</v>
      </c>
      <c r="BT170" s="1" t="s">
        <v>3499</v>
      </c>
    </row>
    <row r="171">
      <c r="A171" s="1" t="s">
        <v>3500</v>
      </c>
      <c r="B171" s="1" t="str">
        <f>IFERROR(__xludf.DUMMYFUNCTION("GOOGLETRANSLATE(A:A, ""en"", ""te"")"),"పిలాటస్ పి -4")</f>
        <v>పిలాటస్ పి -4</v>
      </c>
      <c r="C171" s="1" t="s">
        <v>3501</v>
      </c>
      <c r="D171" s="1" t="str">
        <f>IFERROR(__xludf.DUMMYFUNCTION("GOOGLETRANSLATE(C:C, ""en"", ""te"")"),"పిలాటస్ పి -4 అనేది పిలాటస్ రూపొందించిన మరియు నిర్మించిన స్విస్ ఐదు సీట్ల క్యాబిన్ మోనోప్లేన్, కానీ తక్కువ అమ్మకాల విజయం సాధించింది. P-4 ప్రత్యేకంగా ప్రయాణీకుల విమానం వలె రూపొందించబడలేదు, కానీ బహుముఖ పని చేసే విమానం. మంచి నెమ్మదిగా ఎగిరే నిర్వహణతో బలమైన వ"&amp;"ిమానాన్ని నిర్మించడం దీని లక్ష్యం, చిన్న టేకాఫ్ మరియు ల్యాండింగ్ పరుగులు మరియు తక్కువ నిర్వహణ మాత్రమే అవసరం. 22 మార్చి 1948 న పి -4 హెచ్‌బి-ఎఇటి తన తొలి విమానానికి బయలుదేరింది. సామర్థ్యం అడ్డంకుల కారణంగా సిరీస్ ఉత్పత్తి ఎప్పుడూ ముందుకు సాగలేదు. 1949 లో జర"&amp;"ిగిన 18 వ పారిస్ ఎయిర్ షోలో పి -4 విస్తృత అంతర్జాతీయ ప్రజలకు ఆవిష్కరించబడింది మరియు చాలా ఆసక్తిని ఆకర్షించింది. పి -4 ను ఫ్లోట్లతో లేదా కాంబినేషన్ వీల్-స్కీ ల్యాండింగ్ గేర్‌తో సరిపోయే ప్రణాళికలు ఉన్నాయి. పి -4 కూడా వ్యవసాయ పనులకు ఉద్దేశించబడింది. 13 అక్టో"&amp;"బర్ 1957 న, స్విస్ ఎయిర్ రెస్క్యూ సర్వీస్‌తో వ్యాయామం చేస్తున్నప్పుడు పి -4 సస్టీన్ పాస్ ప్రాంతంలో క్రాష్ అయ్యింది మరియు పూర్తిగా వ్రాయబడింది. పిలాటస్ ఎయిర్క్రాఫ్ట్ లిమిటెడ్ అప్పటి వరకు ఎల్లప్పుడూ పి -4 ను కలిగి ఉంది. పదకొండు సంవత్సరాల తరువాత నిర్మించిన ప"&amp;"ి -4 ను పిసి -6 తో పోల్చి చూస్తే, పి -4 స్పష్టంగా పరిపక్వ ఎండ్‌ప్రొడక్ట్, పిలాటస్ పోర్టర్ పిసి -6 కి వెళ్లే మార్గంలో ఒక ఇంటర్మీడియట్ దశ. జేన్ యొక్క అన్ని ప్రపంచ విమానాల నుండి డేటా 1951–52 [1] సాధారణ లక్షణాల పనితీరు మూలాలు")</f>
        <v>పిలాటస్ పి -4 అనేది పిలాటస్ రూపొందించిన మరియు నిర్మించిన స్విస్ ఐదు సీట్ల క్యాబిన్ మోనోప్లేన్, కానీ తక్కువ అమ్మకాల విజయం సాధించింది. P-4 ప్రత్యేకంగా ప్రయాణీకుల విమానం వలె రూపొందించబడలేదు, కానీ బహుముఖ పని చేసే విమానం. మంచి నెమ్మదిగా ఎగిరే నిర్వహణతో బలమైన విమానాన్ని నిర్మించడం దీని లక్ష్యం, చిన్న టేకాఫ్ మరియు ల్యాండింగ్ పరుగులు మరియు తక్కువ నిర్వహణ మాత్రమే అవసరం. 22 మార్చి 1948 న పి -4 హెచ్‌బి-ఎఇటి తన తొలి విమానానికి బయలుదేరింది. సామర్థ్యం అడ్డంకుల కారణంగా సిరీస్ ఉత్పత్తి ఎప్పుడూ ముందుకు సాగలేదు. 1949 లో జరిగిన 18 వ పారిస్ ఎయిర్ షోలో పి -4 విస్తృత అంతర్జాతీయ ప్రజలకు ఆవిష్కరించబడింది మరియు చాలా ఆసక్తిని ఆకర్షించింది. పి -4 ను ఫ్లోట్లతో లేదా కాంబినేషన్ వీల్-స్కీ ల్యాండింగ్ గేర్‌తో సరిపోయే ప్రణాళికలు ఉన్నాయి. పి -4 కూడా వ్యవసాయ పనులకు ఉద్దేశించబడింది. 13 అక్టోబర్ 1957 న, స్విస్ ఎయిర్ రెస్క్యూ సర్వీస్‌తో వ్యాయామం చేస్తున్నప్పుడు పి -4 సస్టీన్ పాస్ ప్రాంతంలో క్రాష్ అయ్యింది మరియు పూర్తిగా వ్రాయబడింది. పిలాటస్ ఎయిర్క్రాఫ్ట్ లిమిటెడ్ అప్పటి వరకు ఎల్లప్పుడూ పి -4 ను కలిగి ఉంది. పదకొండు సంవత్సరాల తరువాత నిర్మించిన పి -4 ను పిసి -6 తో పోల్చి చూస్తే, పి -4 స్పష్టంగా పరిపక్వ ఎండ్‌ప్రొడక్ట్, పిలాటస్ పోర్టర్ పిసి -6 కి వెళ్లే మార్గంలో ఒక ఇంటర్మీడియట్ దశ. జేన్ యొక్క అన్ని ప్రపంచ విమానాల నుండి డేటా 1951–52 [1] సాధారణ లక్షణాల పనితీరు మూలాలు</v>
      </c>
      <c r="E171" s="1" t="s">
        <v>3502</v>
      </c>
      <c r="F171" s="1" t="s">
        <v>3503</v>
      </c>
      <c r="G171" s="1" t="str">
        <f>IFERROR(__xludf.DUMMYFUNCTION("GOOGLETRANSLATE(F:F, ""en"", ""te"")"),"ఐదు సీట్ల క్యాబిన్ మోనోప్లేన్")</f>
        <v>ఐదు సీట్ల క్యాబిన్ మోనోప్లేన్</v>
      </c>
      <c r="I171" s="1" t="s">
        <v>1965</v>
      </c>
      <c r="J171" s="1" t="str">
        <f>IFERROR(__xludf.DUMMYFUNCTION("GOOGLETRANSLATE(I:I, ""en"", ""te"")"),"స్విట్జర్లాండ్")</f>
        <v>స్విట్జర్లాండ్</v>
      </c>
      <c r="L171" s="1" t="s">
        <v>1966</v>
      </c>
      <c r="M171" s="1" t="str">
        <f>IFERROR(__xludf.DUMMYFUNCTION("GOOGLETRANSLATE(L:L, ""en"", ""te"")"),"పిలాటస్")</f>
        <v>పిలాటస్</v>
      </c>
      <c r="N171" s="3" t="s">
        <v>1967</v>
      </c>
      <c r="R171" s="1">
        <v>1948.0</v>
      </c>
      <c r="S171" s="1">
        <v>1.0</v>
      </c>
      <c r="V171" s="1" t="s">
        <v>518</v>
      </c>
      <c r="W171" s="1" t="s">
        <v>3504</v>
      </c>
      <c r="X171" s="1" t="s">
        <v>3505</v>
      </c>
      <c r="Y171" s="1" t="s">
        <v>2248</v>
      </c>
      <c r="Z171" s="1" t="s">
        <v>3506</v>
      </c>
      <c r="AG171" s="1" t="s">
        <v>3507</v>
      </c>
      <c r="AH171" s="1" t="s">
        <v>989</v>
      </c>
      <c r="AN171" s="3" t="s">
        <v>3508</v>
      </c>
      <c r="AQ171" s="1">
        <v>1957.0</v>
      </c>
      <c r="AR171" s="3" t="s">
        <v>847</v>
      </c>
      <c r="AV171" s="1" t="s">
        <v>3509</v>
      </c>
      <c r="AW171" s="1" t="s">
        <v>3510</v>
      </c>
      <c r="AX171" s="1" t="s">
        <v>3511</v>
      </c>
      <c r="AY171" s="1" t="str">
        <f>IFERROR(__xludf.DUMMYFUNCTION("GOOGLETRANSLATE(AX:AX, ""en"", ""te"")"),"1 × లైమింగ్ O-435, 140 kW (190 HP)")</f>
        <v>1 × లైమింగ్ O-435, 140 kW (190 HP)</v>
      </c>
      <c r="BB171" s="1" t="s">
        <v>3512</v>
      </c>
      <c r="BC171" s="1" t="s">
        <v>3513</v>
      </c>
      <c r="BD171" s="1" t="s">
        <v>2672</v>
      </c>
      <c r="BG171" s="2"/>
      <c r="BS171" s="1" t="s">
        <v>3514</v>
      </c>
      <c r="BT171" s="1" t="s">
        <v>879</v>
      </c>
    </row>
    <row r="172">
      <c r="A172" s="1" t="s">
        <v>3515</v>
      </c>
      <c r="B172" s="1" t="str">
        <f>IFERROR(__xludf.DUMMYFUNCTION("GOOGLETRANSLATE(A:A, ""en"", ""te"")"),"సికోర్స్కీ ఎస్ -20")</f>
        <v>సికోర్స్కీ ఎస్ -20</v>
      </c>
      <c r="C172" s="1" t="s">
        <v>3516</v>
      </c>
      <c r="D172" s="1" t="str">
        <f>IFERROR(__xludf.DUMMYFUNCTION("GOOGLETRANSLATE(C:C, ""en"", ""te"")"),"సికోర్స్కీ ఎస్ -20 (దాని డిజైనర్ పేరు పెట్టబడింది) మొదటి ప్రపంచ యుద్ధంలో సేవ. ఐదు ఎస్-ఎక్స్ఎక్స్ విమానాలు సెప్టెంబర్ 1916 లో నిర్మించబడ్డాయి, మొదటి రెండు 100 హెచ్‌పి గ్నోమ్ రోటరీ ఇంజిన్‌తో నడిచాయి, ఇది దాని ముందున్న ఆర్‌బివిజెడ్ ఎస్-ఎక్స్‌విఐకి శక్తినిచ్చ"&amp;"ింది. ఏదేమైనా, మిగిలిన ముగ్గురు 120 హెచ్‌పి లే రోన్ ఇంజిన్‌తో పనిచేశారు, దీనితో అవి ఫ్రెంచ్ న్యూపోర్ట్ 17 కన్నా వేగంగా ఉన్నాయని ఆరోపించారు. ఎస్-ఎక్స్ఎక్స్ తక్కువ సేవలను చూసింది ఎందుకంటే ఇది కొత్త శత్రు విమానాల కంటే హీనమైనదిగా భావించబడింది మరియు సిరీస్ ఉత్"&amp;"పత్తి లేదు చేపట్టారు. అందుకని, ఐదు విమానాలు మాత్రమే ఎప్పుడూ ఉత్పత్తి చేయబడ్డాయి. సాధారణ లక్షణాలు")</f>
        <v>సికోర్స్కీ ఎస్ -20 (దాని డిజైనర్ పేరు పెట్టబడింది) మొదటి ప్రపంచ యుద్ధంలో సేవ. ఐదు ఎస్-ఎక్స్ఎక్స్ విమానాలు సెప్టెంబర్ 1916 లో నిర్మించబడ్డాయి, మొదటి రెండు 100 హెచ్‌పి గ్నోమ్ రోటరీ ఇంజిన్‌తో నడిచాయి, ఇది దాని ముందున్న ఆర్‌బివిజెడ్ ఎస్-ఎక్స్‌విఐకి శక్తినిచ్చింది. ఏదేమైనా, మిగిలిన ముగ్గురు 120 హెచ్‌పి లే రోన్ ఇంజిన్‌తో పనిచేశారు, దీనితో అవి ఫ్రెంచ్ న్యూపోర్ట్ 17 కన్నా వేగంగా ఉన్నాయని ఆరోపించారు. ఎస్-ఎక్స్ఎక్స్ తక్కువ సేవలను చూసింది ఎందుకంటే ఇది కొత్త శత్రు విమానాల కంటే హీనమైనదిగా భావించబడింది మరియు సిరీస్ ఉత్పత్తి లేదు చేపట్టారు. అందుకని, ఐదు విమానాలు మాత్రమే ఎప్పుడూ ఉత్పత్తి చేయబడ్డాయి. సాధారణ లక్షణాలు</v>
      </c>
      <c r="E172" s="1" t="s">
        <v>3517</v>
      </c>
      <c r="F172" s="1" t="s">
        <v>421</v>
      </c>
      <c r="G172" s="1" t="str">
        <f>IFERROR(__xludf.DUMMYFUNCTION("GOOGLETRANSLATE(F:F, ""en"", ""te"")"),"యుద్ధ")</f>
        <v>యుద్ధ</v>
      </c>
      <c r="L172" s="1" t="s">
        <v>3518</v>
      </c>
      <c r="M172" s="1" t="str">
        <f>IFERROR(__xludf.DUMMYFUNCTION("GOOGLETRANSLATE(L:L, ""en"", ""te"")"),"RBVZ (రస్సో-బాల్టిక్ వాగన్ వర్క్స్)")</f>
        <v>RBVZ (రస్సో-బాల్టిక్ వాగన్ వర్క్స్)</v>
      </c>
      <c r="N172" s="1" t="s">
        <v>3519</v>
      </c>
      <c r="O172" s="1" t="s">
        <v>3520</v>
      </c>
      <c r="P172" s="1" t="str">
        <f>IFERROR(__xludf.DUMMYFUNCTION("GOOGLETRANSLATE(O:O, ""en"", ""te"")"),"ఇగోర్ సికోర్స్కీ")</f>
        <v>ఇగోర్ సికోర్స్కీ</v>
      </c>
      <c r="Q172" s="1" t="s">
        <v>3521</v>
      </c>
      <c r="R172" s="1">
        <v>1916.0</v>
      </c>
      <c r="S172" s="1">
        <v>5.0</v>
      </c>
      <c r="W172" s="1" t="s">
        <v>2405</v>
      </c>
      <c r="X172" s="1" t="s">
        <v>3504</v>
      </c>
      <c r="Y172" s="1" t="s">
        <v>3522</v>
      </c>
      <c r="Z172" s="1" t="s">
        <v>197</v>
      </c>
      <c r="AG172" s="1" t="s">
        <v>3523</v>
      </c>
      <c r="AH172" s="1" t="s">
        <v>3524</v>
      </c>
      <c r="AM172" s="1" t="s">
        <v>3525</v>
      </c>
      <c r="AO172" s="1">
        <v>1916.0</v>
      </c>
      <c r="AQ172" s="1">
        <v>1920.0</v>
      </c>
      <c r="AX172" s="1" t="s">
        <v>3526</v>
      </c>
      <c r="AY172" s="1" t="str">
        <f>IFERROR(__xludf.DUMMYFUNCTION("GOOGLETRANSLATE(AX:AX, ""en"", ""te"")"),"1 × లే రోన్ టైప్ 9 జెబి 9-సిలిండర్ ఎయిర్-కూల్డ్ రోటరీ పిస్టన్ ఇంజిన్, 89 కిలోవాట్ (120 హెచ్‌పి)")</f>
        <v>1 × లే రోన్ టైప్ 9 జెబి 9-సిలిండర్ ఎయిర్-కూల్డ్ రోటరీ పిస్టన్ ఇంజిన్, 89 కిలోవాట్ (120 హెచ్‌పి)</v>
      </c>
      <c r="AZ172" s="1" t="s">
        <v>297</v>
      </c>
      <c r="BA172" s="1" t="str">
        <f>IFERROR(__xludf.DUMMYFUNCTION("GOOGLETRANSLATE(AZ:AZ, ""en"", ""te"")"),"2-బ్లేడెడ్ ఫిక్స్‌డ్-పిచ్ ప్రొపెల్లర్")</f>
        <v>2-బ్లేడెడ్ ఫిక్స్‌డ్-పిచ్ ప్రొపెల్లర్</v>
      </c>
      <c r="BB172" s="1" t="s">
        <v>1601</v>
      </c>
      <c r="BD172" s="1" t="s">
        <v>3314</v>
      </c>
      <c r="BE172" s="1" t="s">
        <v>3527</v>
      </c>
      <c r="BF172" s="1" t="s">
        <v>3528</v>
      </c>
      <c r="BG172" s="2" t="str">
        <f>IFERROR(__xludf.DUMMYFUNCTION("GOOGLETRANSLATE(BF:BF, ""en"", ""te"")"),"ఇంపీరియల్ రష్యన్ ఎయిర్ సర్వీస్")</f>
        <v>ఇంపీరియల్ రష్యన్ ఎయిర్ సర్వీస్</v>
      </c>
      <c r="BH172" s="1" t="s">
        <v>3529</v>
      </c>
      <c r="BT172" s="1" t="s">
        <v>3530</v>
      </c>
      <c r="CB172" s="1" t="s">
        <v>3531</v>
      </c>
      <c r="CC172" s="1" t="s">
        <v>3532</v>
      </c>
      <c r="CD172" s="1" t="str">
        <f>IFERROR(__xludf.DUMMYFUNCTION("GOOGLETRANSLATE(CC:CC, ""en"", ""te"")"),"1 x 7.7 మిమీ లావ్రోవ్ మెషిన్ గన్")</f>
        <v>1 x 7.7 మిమీ లావ్రోవ్ మెషిన్ గన్</v>
      </c>
    </row>
    <row r="173">
      <c r="A173" s="1" t="s">
        <v>3533</v>
      </c>
      <c r="B173" s="1" t="str">
        <f>IFERROR(__xludf.DUMMYFUNCTION("GOOGLETRANSLATE(A:A, ""en"", ""te"")"),"కాడ్రాన్ C.600 ఐగ్లాన్")</f>
        <v>కాడ్రాన్ C.600 ఐగ్లాన్</v>
      </c>
      <c r="C173" s="1" t="s">
        <v>3534</v>
      </c>
      <c r="D173" s="1" t="str">
        <f>IFERROR(__xludf.DUMMYFUNCTION("GOOGLETRANSLATE(C:C, ""en"", ""te"")"),"కాడ్రాన్ C.600 ఐగ్లాన్ 1930 ల ఫ్రెంచ్ రెండు-సీట్ల మోనోప్లేన్ స్పోర్ట్/టూరింగ్ విమానం కాడ్రాన్-రెనెల్ట్ నిర్మించింది. కాడ్రాన్ రెనాల్ట్‌తో విలీనం అయినప్పుడు డిజైన్ విభాగాన్ని స్వాధీనం చేసుకున్న తరువాత ఐగ్లాన్ (EN: ఈగ్లెట్) ను మార్సెల్ రిఫార్డ్ రూపొందించాడు"&amp;". ఐగ్లాన్ రెండు-సీట్ల తక్కువ-వింగ్ కాంటిలివర్ మోనోప్లేన్, టెన్డం ఓపెన్ కాక్‌పిట్‌లతో. రెండు ప్రోటోటైప్‌లలో మొదటిది మార్చి 1935 లో ఫ్రాన్స్‌లోని ఇస్సీ-లెస్-మౌలినేక్స్ నుండి ప్రయాణించారు. పెరిగిన ఇంధన సామర్థ్యంతో రెండు ప్రత్యేక సుదూర సంస్కరణలు (c.610 Aiglon"&amp;"s) నిర్మించబడ్డాయి. డిసెంబర్ 1935 లో, C.610 ను పారిస్ నుండి సైగాన్‌కు సగటున 80 mph (గంటకు 129 కిమీ) వేగంతో తరలించారు. ఈ రకం ఫ్రెంచ్ ప్రైవేట్ యజమానులు మరియు ఫ్లయింగ్ క్లబ్‌లతో ప్రాచుర్యం పొందింది మరియు ఒక సంఖ్యను విదేశాలకు విక్రయించారు. రెండవ ప్రపంచ యుద్ధం"&amp;" ప్రారంభంతో, అనేక విమానాలను ఫ్రెంచ్ ప్రభుత్వం ఆర్మీ డి ఎల్ ఎయిర్ చేత అనుసంధాన విమానంగా ఉపయోగించాలని అభ్యర్థించింది. ఐగ్లాన్ యొక్క మొత్తం ఉత్పత్తి 203 విమానం, వీటిలో 178 బేసిక్ రెనాల్ట్ 4 పిజిఐ బెంగాలీ జూనియర్ పవర్డ్ మోడల్. ఈ విమానం ఫ్లయింగ్ క్లబ్‌లు, ప్రై"&amp;"వేట్ వ్యక్తులు మరియు కొన్ని వైమానిక దళాలచే నిర్వహించబడుతుంది: ఏవియాఫ్రాన్స్ నుండి డేటా: కాడ్రాన్ C.600 'ఐగ్లాన్' [2] సాధారణ లక్షణాల పనితీరు సంబంధిత జాబితాలు 2 హైఫనేటెడ్ వెనుకంజలో ఉన్న లేఖ (-J, -K, -L, - - N లేదా -s) ద్వితీయ పాత్ర కోసం సవరించిన డిజైన్‌ను స"&amp;"ూచిస్తుంది")</f>
        <v>కాడ్రాన్ C.600 ఐగ్లాన్ 1930 ల ఫ్రెంచ్ రెండు-సీట్ల మోనోప్లేన్ స్పోర్ట్/టూరింగ్ విమానం కాడ్రాన్-రెనెల్ట్ నిర్మించింది. కాడ్రాన్ రెనాల్ట్‌తో విలీనం అయినప్పుడు డిజైన్ విభాగాన్ని స్వాధీనం చేసుకున్న తరువాత ఐగ్లాన్ (EN: ఈగ్లెట్) ను మార్సెల్ రిఫార్డ్ రూపొందించాడు. ఐగ్లాన్ రెండు-సీట్ల తక్కువ-వింగ్ కాంటిలివర్ మోనోప్లేన్, టెన్డం ఓపెన్ కాక్‌పిట్‌లతో. రెండు ప్రోటోటైప్‌లలో మొదటిది మార్చి 1935 లో ఫ్రాన్స్‌లోని ఇస్సీ-లెస్-మౌలినేక్స్ నుండి ప్రయాణించారు. పెరిగిన ఇంధన సామర్థ్యంతో రెండు ప్రత్యేక సుదూర సంస్కరణలు (c.610 Aiglons) నిర్మించబడ్డాయి. డిసెంబర్ 1935 లో, C.610 ను పారిస్ నుండి సైగాన్‌కు సగటున 80 mph (గంటకు 129 కిమీ) వేగంతో తరలించారు. ఈ రకం ఫ్రెంచ్ ప్రైవేట్ యజమానులు మరియు ఫ్లయింగ్ క్లబ్‌లతో ప్రాచుర్యం పొందింది మరియు ఒక సంఖ్యను విదేశాలకు విక్రయించారు. రెండవ ప్రపంచ యుద్ధం ప్రారంభంతో, అనేక విమానాలను ఫ్రెంచ్ ప్రభుత్వం ఆర్మీ డి ఎల్ ఎయిర్ చేత అనుసంధాన విమానంగా ఉపయోగించాలని అభ్యర్థించింది. ఐగ్లాన్ యొక్క మొత్తం ఉత్పత్తి 203 విమానం, వీటిలో 178 బేసిక్ రెనాల్ట్ 4 పిజిఐ బెంగాలీ జూనియర్ పవర్డ్ మోడల్. ఈ విమానం ఫ్లయింగ్ క్లబ్‌లు, ప్రైవేట్ వ్యక్తులు మరియు కొన్ని వైమానిక దళాలచే నిర్వహించబడుతుంది: ఏవియాఫ్రాన్స్ నుండి డేటా: కాడ్రాన్ C.600 'ఐగ్లాన్' [2] సాధారణ లక్షణాల పనితీరు సంబంధిత జాబితాలు 2 హైఫనేటెడ్ వెనుకంజలో ఉన్న లేఖ (-J, -K, -L, - - N లేదా -s) ద్వితీయ పాత్ర కోసం సవరించిన డిజైన్‌ను సూచిస్తుంది</v>
      </c>
      <c r="E173" s="1" t="s">
        <v>3535</v>
      </c>
      <c r="F173" s="1" t="s">
        <v>3536</v>
      </c>
      <c r="G173" s="1" t="str">
        <f>IFERROR(__xludf.DUMMYFUNCTION("GOOGLETRANSLATE(F:F, ""en"", ""te"")"),"లైట్ టూరర్")</f>
        <v>లైట్ టూరర్</v>
      </c>
      <c r="L173" s="1" t="s">
        <v>3537</v>
      </c>
      <c r="M173" s="1" t="str">
        <f>IFERROR(__xludf.DUMMYFUNCTION("GOOGLETRANSLATE(L:L, ""en"", ""te"")"),"కాడ్రాన్ -రెనెల్ట్")</f>
        <v>కాడ్రాన్ -రెనెల్ట్</v>
      </c>
      <c r="N173" s="1" t="s">
        <v>3538</v>
      </c>
      <c r="O173" s="1" t="s">
        <v>3539</v>
      </c>
      <c r="P173" s="1" t="str">
        <f>IFERROR(__xludf.DUMMYFUNCTION("GOOGLETRANSLATE(O:O, ""en"", ""te"")"),"మార్సెల్ రిఫార్డ్")</f>
        <v>మార్సెల్ రిఫార్డ్</v>
      </c>
      <c r="Q173" s="1" t="s">
        <v>3540</v>
      </c>
      <c r="R173" s="1">
        <v>1935.0</v>
      </c>
      <c r="S173" s="1">
        <v>203.0</v>
      </c>
      <c r="T173" s="1" t="s">
        <v>216</v>
      </c>
      <c r="V173" s="1">
        <v>2.0</v>
      </c>
      <c r="W173" s="1" t="s">
        <v>3541</v>
      </c>
      <c r="X173" s="1" t="s">
        <v>3542</v>
      </c>
      <c r="Y173" s="1" t="s">
        <v>1542</v>
      </c>
      <c r="AG173" s="1" t="s">
        <v>3543</v>
      </c>
      <c r="AH173" s="1" t="s">
        <v>3544</v>
      </c>
      <c r="AN173" s="3" t="s">
        <v>351</v>
      </c>
      <c r="AO173" s="1">
        <v>1935.0</v>
      </c>
      <c r="AP173" s="3" t="s">
        <v>351</v>
      </c>
      <c r="AW173" s="1" t="s">
        <v>3545</v>
      </c>
      <c r="AX173" s="1" t="s">
        <v>3546</v>
      </c>
      <c r="AY173" s="1" t="str">
        <f>IFERROR(__xludf.DUMMYFUNCTION("GOOGLETRANSLATE(AX:AX, ""en"", ""te"")"),"1 × రెనాల్ట్ 4 పిజి బెంగాలీ జూనియర్ 4-సిలిండర్ విలోమ ఎయిర్-కూల్డ్ ఇన్-లైన్ పిస్టన్ ఎంగ్టైన్, 75 కిలోవాట్ (101 హెచ్‌పి)")</f>
        <v>1 × రెనాల్ట్ 4 పిజి బెంగాలీ జూనియర్ 4-సిలిండర్ విలోమ ఎయిర్-కూల్డ్ ఇన్-లైన్ పిస్టన్ ఎంగ్టైన్, 75 కిలోవాట్ (101 హెచ్‌పి)</v>
      </c>
      <c r="AZ173" s="1" t="s">
        <v>297</v>
      </c>
      <c r="BA173" s="1" t="str">
        <f>IFERROR(__xludf.DUMMYFUNCTION("GOOGLETRANSLATE(AZ:AZ, ""en"", ""te"")"),"2-బ్లేడెడ్ ఫిక్స్‌డ్-పిచ్ ప్రొపెల్లర్")</f>
        <v>2-బ్లేడెడ్ ఫిక్స్‌డ్-పిచ్ ప్రొపెల్లర్</v>
      </c>
      <c r="BB173" s="1" t="s">
        <v>2184</v>
      </c>
      <c r="BC173" s="1" t="s">
        <v>1484</v>
      </c>
      <c r="BD173" s="1" t="s">
        <v>746</v>
      </c>
      <c r="BG173" s="2"/>
      <c r="BT173" s="1" t="s">
        <v>3547</v>
      </c>
    </row>
    <row r="174">
      <c r="A174" s="1" t="s">
        <v>3548</v>
      </c>
      <c r="B174" s="1" t="str">
        <f>IFERROR(__xludf.DUMMYFUNCTION("GOOGLETRANSLATE(A:A, ""en"", ""te"")"),"డోబి-III")</f>
        <v>డోబి-III</v>
      </c>
      <c r="C174" s="1" t="s">
        <v>3549</v>
      </c>
      <c r="D174" s="1" t="str">
        <f>IFERROR(__xludf.DUMMYFUNCTION("GOOGLETRANSLATE(C:C, ""en"", ""te"")"),"డోబి-III లిథువేనియన్ ఏవియేటర్ జుర్గిస్ డాబ్కెవిసియస్ రూపొందించిన మూడవ మరియు చివరి విమానం. ఫైటర్ డోబి-III 1924 లో రూపొందించబడింది మరియు పరీక్షించబడింది. జూన్ 8, 1926 న, కౌనాస్ ఏరోడ్రోమ్ వద్ద దాని డిజైనర్‌ను చంపింది. సాధారణ లక్షణాల పనితీరు")</f>
        <v>డోబి-III లిథువేనియన్ ఏవియేటర్ జుర్గిస్ డాబ్కెవిసియస్ రూపొందించిన మూడవ మరియు చివరి విమానం. ఫైటర్ డోబి-III 1924 లో రూపొందించబడింది మరియు పరీక్షించబడింది. జూన్ 8, 1926 న, కౌనాస్ ఏరోడ్రోమ్ వద్ద దాని డిజైనర్‌ను చంపింది. సాధారణ లక్షణాల పనితీరు</v>
      </c>
      <c r="E174" s="1" t="s">
        <v>3550</v>
      </c>
      <c r="F174" s="1" t="s">
        <v>421</v>
      </c>
      <c r="G174" s="1" t="str">
        <f>IFERROR(__xludf.DUMMYFUNCTION("GOOGLETRANSLATE(F:F, ""en"", ""te"")"),"యుద్ధ")</f>
        <v>యుద్ధ</v>
      </c>
      <c r="I174" s="1" t="s">
        <v>646</v>
      </c>
      <c r="J174" s="1" t="str">
        <f>IFERROR(__xludf.DUMMYFUNCTION("GOOGLETRANSLATE(I:I, ""en"", ""te"")"),"లిథువేనియా")</f>
        <v>లిథువేనియా</v>
      </c>
      <c r="K174" s="3" t="s">
        <v>647</v>
      </c>
      <c r="L174" s="1" t="s">
        <v>3551</v>
      </c>
      <c r="M174" s="1" t="str">
        <f>IFERROR(__xludf.DUMMYFUNCTION("GOOGLETRANSLATE(L:L, ""en"", ""te"")"),"డోబి")</f>
        <v>డోబి</v>
      </c>
      <c r="N174" s="3" t="s">
        <v>3552</v>
      </c>
      <c r="O174" s="1" t="s">
        <v>3553</v>
      </c>
      <c r="P174" s="1" t="str">
        <f>IFERROR(__xludf.DUMMYFUNCTION("GOOGLETRANSLATE(O:O, ""en"", ""te"")"),"జుర్గిస్ డాబ్కెవిసియస్")</f>
        <v>జుర్గిస్ డాబ్కెవిసియస్</v>
      </c>
      <c r="Q174" s="1" t="s">
        <v>3554</v>
      </c>
      <c r="R174" s="5">
        <v>9072.0</v>
      </c>
      <c r="V174" s="1">
        <v>1.0</v>
      </c>
      <c r="W174" s="1" t="s">
        <v>2246</v>
      </c>
      <c r="X174" s="1" t="s">
        <v>3555</v>
      </c>
      <c r="AQ174" s="4">
        <v>9686.0</v>
      </c>
      <c r="AX174" s="1" t="s">
        <v>3556</v>
      </c>
      <c r="AY174" s="1" t="str">
        <f>IFERROR(__xludf.DUMMYFUNCTION("GOOGLETRANSLATE(AX:AX, ""en"", ""te"")"),"1 × BMW IIIA 6-CYL. వాటర్-కూల్డ్ ఇన్-లైన్ పిస్టన్ ఇంజిన్, 136 kW (182 HP)")</f>
        <v>1 × BMW IIIA 6-CYL. వాటర్-కూల్డ్ ఇన్-లైన్ పిస్టన్ ఇంజిన్, 136 kW (182 HP)</v>
      </c>
      <c r="BB174" s="1" t="s">
        <v>3557</v>
      </c>
      <c r="BG174" s="2"/>
    </row>
    <row r="175">
      <c r="A175" s="1" t="s">
        <v>3558</v>
      </c>
      <c r="B175" s="1" t="str">
        <f>IFERROR(__xludf.DUMMYFUNCTION("GOOGLETRANSLATE(A:A, ""en"", ""te"")"),"పైపర్ PA-32 చెరోకీ ఆరు")</f>
        <v>పైపర్ PA-32 చెరోకీ ఆరు</v>
      </c>
      <c r="C175" s="1" t="s">
        <v>3559</v>
      </c>
      <c r="D175" s="1" t="str">
        <f>IFERROR(__xludf.DUMMYFUNCTION("GOOGLETRANSLATE(C:C, ""en"", ""te"")"),"పైపర్ PA-32 చెరోకీ సిక్స్ 1965 మరియు 2007 మధ్య పైపర్ విమానాలచే అమెరికాలో తయారు చేయబడిన సింగిల్-ఇంజిన్, ఫిక్స్‌డ్ ల్యాండింగ్ గేర్, లైట్ ఎయిర్క్రాఫ్ట్. [1] [2] PA-32 ను ప్రైవేట్ రవాణా, ఎయిర్ టాక్సీ సేవలు, బుష్ సపోర్ట్ మరియు MEDEVAC విమానాల కోసం ప్రపంచవ్యాప్"&amp;"తంగా ఉపయోగిస్తారు. PA-32 సిరీస్ నాలుగు-సీట్ల పైపర్ PA-28 చెరోకీ కంటే పెద్ద విమానాల అవసరాన్ని తీర్చడానికి అభివృద్ధి చేయబడింది. [3] మొట్టమొదటి ప్రోటోటైప్ PA-32 డిసెంబర్ 6 1963 న తన ప్రారంభ విమాన ప్రయాణం చేసింది, ఈ రకాన్ని అక్టోబర్ 1964 లో బహిరంగంగా ప్రకటించ"&amp;"ారు, ఫెడరల్ ఏవియేషన్ అడ్మినిస్ట్రేషన్ (FAA) రకం ధృవీకరణతో మార్చి 4, 1965 న. [4] మొదటి ఉత్పత్తి విమానం 260 హార్స్‌పవర్ (190 kW) PA32-260 చెరోకీ సిక్స్, PA-28 చెరోకీ యొక్క ఆరు-సీట్ల (లేదా ఏడు-సీట్ల) అభివృద్ధి. [1] [2] చెరోకీ సిక్స్ మరియు దాని వారసులలో కాక్‌"&amp;"పిట్ మరియు ఇంజిన్ కంపార్ట్మెంట్ మధ్య ముక్కులో సామాను కంపార్ట్మెంట్ మరియు ప్రయాణీకులు మరియు సరుకులను సులభంగా లోడ్ చేయడానికి వెనుక భాగంలో పెద్ద డబుల్ డోర్ ఉన్నాయి. [1] [2] 27 మే 1966 న, పైపర్ 300 హెచ్‌పి (220 కిలోవాట్) వెర్షన్ కోసం FAA రకం ధృవీకరణను పొందాడు"&amp;", దీనిని PA-32-300 గా నియమించారు. [5] దీనిని సంస్థ 1967 మోడల్‌గా అందించింది. [సైటేషన్ అవసరం] 1975 లో ముడుచుకునే ల్యాండింగ్ గేర్ యొక్క అదనంగా PA-32R సిరీస్ పైపర్ లాన్స్ మొదటిది. ఇది పైపర్ సరతోగా కుటుంబంలో ప్రారంభ విమానం, పైపర్ యొక్క లగ్జరీ, అధిక-పనితీరు గల"&amp;" సింగిల్ లైన్. [1] [2] చెరోకీ సిరీస్ కోసం దెబ్బతిన్న రెక్కలకు పైపర్ యొక్క పరివర్తన ఫలితంగా PA-32 సిరీస్ కోసం కొత్త విభాగం ఏర్పడింది. చెరోకీ సిక్స్ యొక్క దెబ్బతిన్న-వింగ్ వెర్షన్‌కు సరతోగా అని పేరు పెట్టారు మరియు 1980 లో ప్రారంభమైంది. 1994 యొక్క సాధారణ ఏవి"&amp;"యేషన్ రివైటలైజేషన్ చట్టం తరువాత, 1995 లో ముడుచుకునే-గేర్ సరతోగా ఉత్పత్తి తిరిగి ప్రారంభమైంది. 2003 లో పైపర్‌గా తిరిగి ప్రవేశపెట్టబడింది. 6x మరియు టర్బోచార్జ్డ్ 6xt. 6x మరియు 6XT మోడళ్ల అమ్మకాలు 2007 చివరలో అంచనాలను తీర్చలేదు మరియు ఉత్పత్తి ఆగిపోయింది. పైప"&amp;"ర్ PA32-260 ప్రోటోటైప్ను నిర్మించింది, IO-360 ఇంజన్లు రెక్కలపై అమర్చబడి ఉన్నాయి. ట్రిమోటర్ విమానం చెరోకీ సిక్స్, PA-34 సెనెకా యొక్క జంట-ఇంజిన్, ముడుచుకునే-గేర్ వెర్షన్ కోసం ప్రూఫ్-ఆఫ్-కాన్సెప్ట్ విమానం. [6] 1972 పైపర్ చెరోకీ సిక్స్ 300 ""ఇ"" యజమాని హ్యాండ"&amp;"్‌బుక్ జనరల్ లక్షణాల పనితీరు నుండి డేటా")</f>
        <v>పైపర్ PA-32 చెరోకీ సిక్స్ 1965 మరియు 2007 మధ్య పైపర్ విమానాలచే అమెరికాలో తయారు చేయబడిన సింగిల్-ఇంజిన్, ఫిక్స్‌డ్ ల్యాండింగ్ గేర్, లైట్ ఎయిర్క్రాఫ్ట్. [1] [2] PA-32 ను ప్రైవేట్ రవాణా, ఎయిర్ టాక్సీ సేవలు, బుష్ సపోర్ట్ మరియు MEDEVAC విమానాల కోసం ప్రపంచవ్యాప్తంగా ఉపయోగిస్తారు. PA-32 సిరీస్ నాలుగు-సీట్ల పైపర్ PA-28 చెరోకీ కంటే పెద్ద విమానాల అవసరాన్ని తీర్చడానికి అభివృద్ధి చేయబడింది. [3] మొట్టమొదటి ప్రోటోటైప్ PA-32 డిసెంబర్ 6 1963 న తన ప్రారంభ విమాన ప్రయాణం చేసింది, ఈ రకాన్ని అక్టోబర్ 1964 లో బహిరంగంగా ప్రకటించారు, ఫెడరల్ ఏవియేషన్ అడ్మినిస్ట్రేషన్ (FAA) రకం ధృవీకరణతో మార్చి 4, 1965 న. [4] మొదటి ఉత్పత్తి విమానం 260 హార్స్‌పవర్ (190 kW) PA32-260 చెరోకీ సిక్స్, PA-28 చెరోకీ యొక్క ఆరు-సీట్ల (లేదా ఏడు-సీట్ల) అభివృద్ధి. [1] [2] చెరోకీ సిక్స్ మరియు దాని వారసులలో కాక్‌పిట్ మరియు ఇంజిన్ కంపార్ట్మెంట్ మధ్య ముక్కులో సామాను కంపార్ట్మెంట్ మరియు ప్రయాణీకులు మరియు సరుకులను సులభంగా లోడ్ చేయడానికి వెనుక భాగంలో పెద్ద డబుల్ డోర్ ఉన్నాయి. [1] [2] 27 మే 1966 న, పైపర్ 300 హెచ్‌పి (220 కిలోవాట్) వెర్షన్ కోసం FAA రకం ధృవీకరణను పొందాడు, దీనిని PA-32-300 గా నియమించారు. [5] దీనిని సంస్థ 1967 మోడల్‌గా అందించింది. [సైటేషన్ అవసరం] 1975 లో ముడుచుకునే ల్యాండింగ్ గేర్ యొక్క అదనంగా PA-32R సిరీస్ పైపర్ లాన్స్ మొదటిది. ఇది పైపర్ సరతోగా కుటుంబంలో ప్రారంభ విమానం, పైపర్ యొక్క లగ్జరీ, అధిక-పనితీరు గల సింగిల్ లైన్. [1] [2] చెరోకీ సిరీస్ కోసం దెబ్బతిన్న రెక్కలకు పైపర్ యొక్క పరివర్తన ఫలితంగా PA-32 సిరీస్ కోసం కొత్త విభాగం ఏర్పడింది. చెరోకీ సిక్స్ యొక్క దెబ్బతిన్న-వింగ్ వెర్షన్‌కు సరతోగా అని పేరు పెట్టారు మరియు 1980 లో ప్రారంభమైంది. 1994 యొక్క సాధారణ ఏవియేషన్ రివైటలైజేషన్ చట్టం తరువాత, 1995 లో ముడుచుకునే-గేర్ సరతోగా ఉత్పత్తి తిరిగి ప్రారంభమైంది. 2003 లో పైపర్‌గా తిరిగి ప్రవేశపెట్టబడింది. 6x మరియు టర్బోచార్జ్డ్ 6xt. 6x మరియు 6XT మోడళ్ల అమ్మకాలు 2007 చివరలో అంచనాలను తీర్చలేదు మరియు ఉత్పత్తి ఆగిపోయింది. పైపర్ PA32-260 ప్రోటోటైప్ను నిర్మించింది, IO-360 ఇంజన్లు రెక్కలపై అమర్చబడి ఉన్నాయి. ట్రిమోటర్ విమానం చెరోకీ సిక్స్, PA-34 సెనెకా యొక్క జంట-ఇంజిన్, ముడుచుకునే-గేర్ వెర్షన్ కోసం ప్రూఫ్-ఆఫ్-కాన్సెప్ట్ విమానం. [6] 1972 పైపర్ చెరోకీ సిక్స్ 300 "ఇ" యజమాని హ్యాండ్‌బుక్ జనరల్ లక్షణాల పనితీరు నుండి డేటా</v>
      </c>
      <c r="E175" s="1" t="s">
        <v>3560</v>
      </c>
      <c r="F175" s="1" t="s">
        <v>3561</v>
      </c>
      <c r="G175" s="1" t="str">
        <f>IFERROR(__xludf.DUMMYFUNCTION("GOOGLETRANSLATE(F:F, ""en"", ""te"")"),"వ్యక్తిగత ఉపయోగం మరియు ఎయిర్ టాక్సీ విమానం")</f>
        <v>వ్యక్తిగత ఉపయోగం మరియు ఎయిర్ టాక్సీ విమానం</v>
      </c>
      <c r="L175" s="1" t="s">
        <v>2828</v>
      </c>
      <c r="M175" s="1" t="str">
        <f>IFERROR(__xludf.DUMMYFUNCTION("GOOGLETRANSLATE(L:L, ""en"", ""te"")"),"పైపర్ విమానం")</f>
        <v>పైపర్ విమానం</v>
      </c>
      <c r="N175" s="1" t="s">
        <v>2829</v>
      </c>
      <c r="R175" s="6">
        <v>23351.0</v>
      </c>
      <c r="S175" s="1" t="s">
        <v>3562</v>
      </c>
      <c r="T175" s="1" t="s">
        <v>3563</v>
      </c>
      <c r="U175" s="1" t="s">
        <v>3564</v>
      </c>
      <c r="V175" s="1" t="s">
        <v>819</v>
      </c>
      <c r="W175" s="1" t="s">
        <v>3565</v>
      </c>
      <c r="X175" s="1" t="s">
        <v>3566</v>
      </c>
      <c r="Y175" s="1" t="s">
        <v>3567</v>
      </c>
      <c r="Z175" s="1" t="s">
        <v>3568</v>
      </c>
      <c r="AF175" s="1" t="s">
        <v>3569</v>
      </c>
      <c r="AG175" s="1" t="s">
        <v>3570</v>
      </c>
      <c r="AH175" s="1" t="s">
        <v>3571</v>
      </c>
      <c r="AO175" s="1">
        <v>1965.0</v>
      </c>
      <c r="AV175" s="1" t="s">
        <v>3572</v>
      </c>
      <c r="AX175" s="1" t="s">
        <v>3573</v>
      </c>
      <c r="AY175" s="1" t="str">
        <f>IFERROR(__xludf.DUMMYFUNCTION("GOOGLETRANSLATE(AX:AX, ""en"", ""te"")"),"1 × లైమింగ్ IO-540-K1A5 పిస్టన్, ఫ్లాట్ సిక్స్, 300 హెచ్‌పి (225 కిలోవాట్)")</f>
        <v>1 × లైమింగ్ IO-540-K1A5 పిస్టన్, ఫ్లాట్ సిక్స్, 300 హెచ్‌పి (225 కిలోవాట్)</v>
      </c>
      <c r="BB175" s="1" t="s">
        <v>3574</v>
      </c>
      <c r="BC175" s="1" t="s">
        <v>3575</v>
      </c>
      <c r="BD175" s="1" t="s">
        <v>3576</v>
      </c>
      <c r="BG175" s="2"/>
      <c r="BS175" s="1" t="s">
        <v>3577</v>
      </c>
      <c r="BT175" s="1" t="s">
        <v>3578</v>
      </c>
      <c r="BU175" s="1" t="s">
        <v>3579</v>
      </c>
      <c r="BV175" s="1" t="str">
        <f>IFERROR(__xludf.DUMMYFUNCTION("GOOGLETRANSLATE(BU:BU, ""en"", ""te"")"),"ఉత్పత్తి పూర్తయింది; సేవలో")</f>
        <v>ఉత్పత్తి పూర్తయింది; సేవలో</v>
      </c>
      <c r="BW175" s="1" t="s">
        <v>3580</v>
      </c>
      <c r="DH175" s="1" t="s">
        <v>3581</v>
      </c>
    </row>
    <row r="176">
      <c r="A176" s="1" t="s">
        <v>3582</v>
      </c>
      <c r="B176" s="1" t="str">
        <f>IFERROR(__xludf.DUMMYFUNCTION("GOOGLETRANSLATE(A:A, ""en"", ""te"")"),"పిలాటస్ పి -5")</f>
        <v>పిలాటస్ పి -5</v>
      </c>
      <c r="C176" s="1" t="s">
        <v>3583</v>
      </c>
      <c r="D176" s="1" t="str">
        <f>IFERROR(__xludf.DUMMYFUNCTION("GOOGLETRANSLATE(C:C, ""en"", ""te"")"),"పిలాటస్ పి -5 అనేది స్విట్జర్లాండ్‌లోని పిలాటస్ విమానం నుండి సింగిల్-ఇంజిన్ ఫిరంగి పరిశీలన విమాన ప్రాజెక్ట్. [1] పిలాటస్ పి -5 కోసం మొదటి డ్రాయింగ్లు 1951 లో తయారు చేయబడ్డాయి. క్లయింట్ ఫెడరల్ మిలిటరీ డిపార్ట్మెంట్ (EMD). పి -5 యొక్క ముఖ్య ఉద్దేశ్యం ఫిరంగి"&amp;" పరిశీలన కోసం. ఇది స్థిర చక్రాలతో సింగిల్-ఇంజిన్, రెండు-సీట్ల హై-వింగ్ మోనోప్లేన్. విమాన చట్రం గొట్టపు ఉక్కుతో నిర్మించటానికి ఉద్దేశించబడింది మరియు లోహంతో చర్మం గలది. ప్రధాన రెక్కలు మరియు తోక ఉక్కుతో కాకుండా మిశ్రమం నుండి తయారు చేయటానికి ఉద్దేశించబడ్డాయి."&amp;" ఈ విమానం వాటికి అమర్చిన స్లాట్లు మరియు ఫ్లాప్‌లతో స్థిర రెక్కను కలిగి ఉంది. పైలట్ మరియు పరిశీలకుడు ఉదారంగా మెరుస్తున్న క్యాబిన్లో కూర్చున్నారు, ఇది అన్ని దిశలలో అనూహ్యంగా మంచి దృశ్యమానతను కలిగి ఉంది. ఈ వీక్షణ ప్రధానంగా వక్ర వైపులా ఉంది, ఇది ఎయిర్‌క్రూ దా"&amp;"దాపుగా నేరుగా క్రిందికి చూడటానికి అనుమతించింది. ఈ పి -5 డిజైన్ 1951 లో వదిలివేయబడింది మరియు ప్రోటోటైప్ విమానం ఎప్పుడూ నిర్మించబడలేదు. [2] పిలాటస్ ఫ్లగ్జీజ్ నుండి డేటా: 1939-1989 [2] పోల్చదగిన పాత్ర, కాన్ఫిగరేషన్ మరియు యుగం యొక్క సాధారణ లక్షణాలు పనితీరు వి"&amp;"మానం")</f>
        <v>పిలాటస్ పి -5 అనేది స్విట్జర్లాండ్‌లోని పిలాటస్ విమానం నుండి సింగిల్-ఇంజిన్ ఫిరంగి పరిశీలన విమాన ప్రాజెక్ట్. [1] పిలాటస్ పి -5 కోసం మొదటి డ్రాయింగ్లు 1951 లో తయారు చేయబడ్డాయి. క్లయింట్ ఫెడరల్ మిలిటరీ డిపార్ట్మెంట్ (EMD). పి -5 యొక్క ముఖ్య ఉద్దేశ్యం ఫిరంగి పరిశీలన కోసం. ఇది స్థిర చక్రాలతో సింగిల్-ఇంజిన్, రెండు-సీట్ల హై-వింగ్ మోనోప్లేన్. విమాన చట్రం గొట్టపు ఉక్కుతో నిర్మించటానికి ఉద్దేశించబడింది మరియు లోహంతో చర్మం గలది. ప్రధాన రెక్కలు మరియు తోక ఉక్కుతో కాకుండా మిశ్రమం నుండి తయారు చేయటానికి ఉద్దేశించబడ్డాయి. ఈ విమానం వాటికి అమర్చిన స్లాట్లు మరియు ఫ్లాప్‌లతో స్థిర రెక్కను కలిగి ఉంది. పైలట్ మరియు పరిశీలకుడు ఉదారంగా మెరుస్తున్న క్యాబిన్లో కూర్చున్నారు, ఇది అన్ని దిశలలో అనూహ్యంగా మంచి దృశ్యమానతను కలిగి ఉంది. ఈ వీక్షణ ప్రధానంగా వక్ర వైపులా ఉంది, ఇది ఎయిర్‌క్రూ దాదాపుగా నేరుగా క్రిందికి చూడటానికి అనుమతించింది. ఈ పి -5 డిజైన్ 1951 లో వదిలివేయబడింది మరియు ప్రోటోటైప్ విమానం ఎప్పుడూ నిర్మించబడలేదు. [2] పిలాటస్ ఫ్లగ్జీజ్ నుండి డేటా: 1939-1989 [2] పోల్చదగిన పాత్ర, కాన్ఫిగరేషన్ మరియు యుగం యొక్క సాధారణ లక్షణాలు పనితీరు విమానం</v>
      </c>
      <c r="E176" s="1" t="s">
        <v>884</v>
      </c>
      <c r="F176" s="1" t="s">
        <v>3584</v>
      </c>
      <c r="G176" s="1" t="str">
        <f>IFERROR(__xludf.DUMMYFUNCTION("GOOGLETRANSLATE(F:F, ""en"", ""te"")"),"రెండు-సీట్ల ఫిరంగి పరిశీలన విమానం")</f>
        <v>రెండు-సీట్ల ఫిరంగి పరిశీలన విమానం</v>
      </c>
      <c r="I176" s="1" t="s">
        <v>1965</v>
      </c>
      <c r="J176" s="1" t="str">
        <f>IFERROR(__xludf.DUMMYFUNCTION("GOOGLETRANSLATE(I:I, ""en"", ""te"")"),"స్విట్జర్లాండ్")</f>
        <v>స్విట్జర్లాండ్</v>
      </c>
      <c r="K176" s="3" t="s">
        <v>3585</v>
      </c>
      <c r="L176" s="1" t="s">
        <v>3586</v>
      </c>
      <c r="M176" s="1" t="str">
        <f>IFERROR(__xludf.DUMMYFUNCTION("GOOGLETRANSLATE(L:L, ""en"", ""te"")"),"పిలాటస్ విమానం")</f>
        <v>పిలాటస్ విమానం</v>
      </c>
      <c r="N176" s="1" t="s">
        <v>3587</v>
      </c>
      <c r="S176" s="1">
        <v>0.0</v>
      </c>
      <c r="V176" s="1">
        <v>2.0</v>
      </c>
      <c r="W176" s="1" t="s">
        <v>3588</v>
      </c>
      <c r="X176" s="1" t="s">
        <v>3309</v>
      </c>
      <c r="Y176" s="1" t="s">
        <v>2248</v>
      </c>
      <c r="AG176" s="1" t="s">
        <v>1323</v>
      </c>
      <c r="AX176" s="1" t="s">
        <v>3589</v>
      </c>
      <c r="AY176" s="1" t="str">
        <f>IFERROR(__xludf.DUMMYFUNCTION("GOOGLETRANSLATE(AX:AX, ""en"", ""te"")"),"1 × వాల్టర్ మైనర్ 6-III I-6 విలోమ ఎయిర్-కూల్డ్ పిస్టన్ ఇంజిన్, 120 kW (160 HP)")</f>
        <v>1 × వాల్టర్ మైనర్ 6-III I-6 విలోమ ఎయిర్-కూల్డ్ పిస్టన్ ఇంజిన్, 120 kW (160 HP)</v>
      </c>
      <c r="BB176" s="1" t="s">
        <v>1484</v>
      </c>
      <c r="BD176" s="1" t="s">
        <v>3590</v>
      </c>
      <c r="BG176" s="2"/>
      <c r="BS176" s="1" t="s">
        <v>3591</v>
      </c>
      <c r="CA176" s="1" t="s">
        <v>3592</v>
      </c>
      <c r="EV176" s="1" t="s">
        <v>3593</v>
      </c>
      <c r="EW176" s="1" t="s">
        <v>3594</v>
      </c>
    </row>
    <row r="177">
      <c r="A177" s="1" t="s">
        <v>3595</v>
      </c>
      <c r="B177" s="1" t="str">
        <f>IFERROR(__xludf.DUMMYFUNCTION("GOOGLETRANSLATE(A:A, ""en"", ""te"")"),"పిలాటస్ పిసి -24")</f>
        <v>పిలాటస్ పిసి -24</v>
      </c>
      <c r="C177" s="1" t="s">
        <v>3596</v>
      </c>
      <c r="D177" s="1" t="str">
        <f>IFERROR(__xludf.DUMMYFUNCTION("GOOGLETRANSLATE(C:C, ""en"", ""te"")"),"పిలాటస్ పిసి -24 అనేది స్విట్జర్లాండ్‌కు చెందిన పిలాటస్ విమానం నిర్మించిన లైట్ బిజినెస్ జెట్. పిసి -12 సింగిల్ ఇంజిన్ టర్బోప్రాప్ విజయం సాధించిన తరువాత, ట్విన్ ఇంజిన్ జెట్ పై పని 2007 లో ఎక్కువ పరిధి మరియు వేగం కోసం ప్రారంభమైంది, కఠినమైన ఎయిర్ఫీల్డ్ సామర్"&amp;"ధ్యం. ఈ విమానం 21 మే 2013 న ప్రవేశపెట్టబడింది మరియు 11 మే 2015 న తొలి విమానంతో 1 ఆగస్టు 2014 న ప్రారంభమైంది. పిసి -24 7 డిసెంబర్ 2017 న EASA మరియు FAA రకం ధృవీకరణను పొందింది మరియు మొదటి కస్టమర్ డెలివరీ 7 ఫిబ్రవరి 2018 న జరిగింది. రెండు విలియమ్స్ FJ44 టర్బ"&amp;"ోఫాన్స్ చేత ఆధారితం, ఇది ఎంబ్రేర్ ఫినామ్ 300 మరియు సెస్నా సైటేషన్ CJ4 తో పోటీపడుతుంది. 1990 లలో, పిలాటస్ విమానం సింగిల్-ఇంజిన్ టర్బోప్రాప్-శక్తితో పనిచేసే వ్యాపార విమానాలను పిలాటస్ పిసి -12 ను మార్కెట్లోకి తీసుకువచ్చింది. పిసి -12 త్వరగా వాణిజ్య విజయం అని"&amp;" నిరూపించడంతో, పిలాటస్ పరిపూరకరమైన విమానాలను అనుసరించడానికి ప్రయత్నించాడు మరియు ఈ రకం వినియోగదారుల నుండి అభిప్రాయాన్ని సేకరించడం ప్రారంభించాడు. ఈ అభ్యర్థనకు ప్రతిస్పందనగా, చాలా మంది కస్టమర్లు ఒక విమానం కోసం కోరికను వ్యక్తం చేశారు, ఇది ఇప్పటికే ఉన్న పిసి -"&amp;"12 కంటే ఎక్కువ శ్రేణి మరియు అగ్ర వేగం రెండింటినీ కలిగి ఉంటుంది, అదే సమయంలో రకం యొక్క మొత్తం కఠినమైనతనం మరియు చాలా తక్కువ రన్‌వేలను ఉపయోగించుకునే సామర్థ్యాన్ని నిలుపుకుంది. [4 ] ఈ అభిప్రాయం ఆధారంగా, పిలాటస్ అటువంటి విమానం యొక్క అభివృద్ధిని కొనసాగించడానికి "&amp;"ఎన్నుకున్నాడు. 2007 లో, పిలాటస్ ఈ కార్యక్రమంలో పనిని ప్రారంభించాడు. [5] విమానం అభివృద్ధి ఇప్పటికే ఉన్న కంపెనీ నిధులను ఉపయోగించి జరిగింది. [4] డిజైన్ ప్రోగ్రామ్‌ను పిలాటస్ తన మే 2011 వార్షిక నివేదికలో మొదట ప్రస్తావించారు. [6] 21 మే 2013 న, జెనీవాలోని యూరోప"&amp;"ియన్ బిజినెస్ ఏవియేషన్ కన్వెన్షన్ &amp; ఎగ్జిబిషన్ (ఇబాస్) లో పిసి -24 ప్రజలకు ప్రవేశపెట్టబడింది. ఆ సమయంలో, పిలాటస్ చైర్మన్ ఆస్కార్ ష్వెన్క్ పిసి -24 ఇప్పటికే ఉన్న బిజినెస్ జెట్ వర్గాలకు సరిపోదని పేర్కొన్నాడు మరియు ఈ విమానం మాత్రమే కలిపి ఉందని పేర్కొంది ""..."&amp;" ఒక మాధ్యమం యొక్క క్యాబిన్ పరిమాణంతో టర్బోప్రాప్ యొక్క బహుముఖ ప్రజ్ఞ లైట్ జెట్, మరియు లైట్ జెట్ యొక్క పనితీరు "". [7] 1 ఆగస్టు 2014 న, ఇది స్విట్జర్లాండ్ యొక్క జాతీయ దినోత్సవం, మూడు పిసి -24 ప్రోటోటైప్‌లలో మొదటిది పి 01 కూడా విడుదల చేయబడింది. [8] ఈ మూడు ప"&amp;"్రోటోటైప్‌లలో ప్రతి ఒక్కటి అభివృద్ధి కార్యక్రమంలో వేర్వేరు విధులను అందిస్తాయి; P01 రకం యొక్క విమాన కవరును అన్వేషించడానికి ఉద్దేశించబడింది, P02 ప్రధానంగా ఏవియానిక్స్ మరియు ఆటోపైలట్ ఇంటిగ్రేషన్‌ను పరీక్షించడానికి, మరియు దాని పరీక్షా జీవితాన్ని చాలావరకు యుఎస"&amp;"్‌లో గడుపుతుంది, అయితే P03 ఉత్పత్తి విమానం యొక్క ప్రతినిధిగా ఉండాలి మరియు ఆధారిత మెరుగుదలలను కలిగి ఉంటుంది ఇతర రెండు విమానాలతో చేసిన అభివృద్ధి పనులపై. [5] ప్రోటోటైప్ యొక్క మొదటి ఫ్లైట్ మొదట 2014 చివరలో జరుగుతుందని ated హించబడింది, కానీ ఇది ఆలస్యం అయింది. "&amp;"[9] 11 మే 2015 న, పి 01 స్విట్జర్లాండ్‌లోని బ్యూచ్స్ విమానాశ్రయం నుండి మొత్తం 55 నిమిషాలు తన మొదటి విమానాన్ని నిర్వహించింది. ఈ సందర్భం విమానం యొక్క రెండేళ్ల ధృవీకరణ ప్రచారానికి పరీక్ష విమానాల ప్రారంభాన్ని గుర్తించింది. [10] [11] ఆ సమయంలో, టైప్ సర్టిఫికేషన"&amp;"్ మరియు ప్రారంభ డెలివరీలు 2017 కోసం are హించబడ్డాయి. [12] [13] 16 నవంబర్ 2015 న, రెండవ ప్రోటోటైప్ అయిన పి 02 తన తొలి విమానంలో 82 నిమిషాలు కొనసాగింది; ఈ తేదీ నాటికి, P01 మొత్తం 150 ఎగిరే గంటలను సేకరించి 100 కి పైగా విమానాలను ప్రదర్శించింది. [14] [15] మే 20"&amp;"16 లో, EBace వద్ద స్టాటిక్ డిస్ప్లేలో కనిపించేలా P01 పరీక్షా కార్యక్రమంలో క్లుప్త విరామం తీసుకుంది; ఈ సమయానికి, P01 మరియు P02 వాటి మధ్య 500 విమాన గంటలకు పైగా సేకరించాయి. [16] EBACE 2016 సందర్భంగా, ఈ కార్యక్రమం ట్రాక్‌లో ఉందని వ్యాఖ్యానించారు మరియు పరీక్ష "&amp;"విమానాలు ఆశ్చర్యకరమైనవి లేకుండా ఉన్నాయి; యుఎస్‌కు అట్లాంటిక్ క్రాసింగ్ సమయంలో, పి 02 గంటకు 800 కిమీ (432 కిటి.) కంటే ఎక్కువ క్రూయిజ్ వేగాన్ని సాధించింది, ఇది expected హించిన దానికంటే మంచిది. [13] మార్చి 2017 లో P03 యొక్క మూడవ నమూనాను చేర్చడంతో PC-24 ఫ్లైట"&amp;"్-టెస్ట్ ఫ్లీట్ పూర్తయింది; మే నాటికి వారు 950 విమానాలు మరియు 1,525 గంటలు లాగిన్ చేసారు. [17] ఆగష్టు 2017 లో, విలియమ్స్ ఇంటర్నేషనల్ దాని FJ44-4A-QPM కోసం EASA మరియు FAA నుండి రకం మరియు ఉత్పత్తి ధృవీకరణను పొందింది, అయితే మూడు పరీక్షా విమానాలు 1,700 గంటలకు "&amp;"పైగా విమాన పరీక్షలలో పేరుకుపోయాయి, నాల్గవ త్రైమాసికంలో ధృవీకరణ మరియు పరిచయం కోసం షెడ్యూల్ ప్రకారం. [18] అక్టోబర్ 2017 నాటికి, 2,000 గంటలకు పైగా ఎగురవేయబడింది, P01 ప్రోటోటైప్ 626 సార్లు మరియు 900 గంటలు ఎగురుతుంది. P03 ప్రోటోటైప్ ఒక క్రియాత్మక మరియు విశ్వసన"&amp;"ీయత కార్యక్రమాన్ని పూర్తి చేస్తుంది, ధృవీకరణ పూర్తయ్యే ముందు ఆరు వారాల ముందు 150 గంటలు మరియు ప్రారంభ డెలివరీలు ప్రారంభమవుతాయి. [19] మూడు ప్రోటోటైప్‌లు ఐసింగ్ పరిస్థితులు మరియు చాలా వేడి ఉష్ణోగ్రతలతో సహా 2205 గంటలు ప్రయాణించాయి, దాని ఫ్లైట్ ఎన్వలప్ వెలుపల,"&amp;" పక్షి సమ్మెలు, నిర్మాణ ఒత్తిడి పరీక్షలు మరియు శబ్ద పరీక్షలు 7 డిసెంబర్ 2017 న EASA మరియు FAA రకం ధృవీకరణను పొందటానికి ముందు. దీని పనితీరు లక్ష్యాలు నెరవేరింది లేదా మించిపోయింది, దీని గరిష్ట వేగం 425 నుండి 440 నాట్లకు (787 నుండి 815 కిమీ/గం) పెరిగింది. [2"&amp;"0] 2018 నాల్గవ త్రైమాసికంలో, ఈ విమానం పొడి ఇసుక మరియు కంకరపైకి దిగడానికి ధృవీకరించబడింది. [21] ఆస్ట్రేలియన్ RFD లు 2019 లో Medevac ను ప్రారంభిస్తాయి. [22] రవాణా కెనడా ధృవీకరణ 27 జూన్ 2019 న ఇవ్వబడింది. [23] ఫిబ్రవరి 2020 లో, మల్టీఇయర్ ధృవీకరణ ప్రచారం తరువ"&amp;"ాత, గడ్డి, తడి భూమి మరియు మంచుతో కప్పబడిన ఉపరితలాల నుండి పనిచేయడానికి విమానం ధృవీకరిస్తూ, రఫ్ ఫీల్డ్ ఆపరేషన్ కోసం ఈ డిజైన్ ఆమోదించబడింది. [21] ఫిబ్రవరి 2020 నాటికి, ఈ విమానం గడ్డి, తడి భూమి, పొడి ఇసుక, కంకర మరియు మంచు నుండి పనిచేయగలదు. [24] 2014 చివరలో, ప"&amp;"ిలాటస్ మరియు ఫ్లైట్ సేఫ్టీ ఇంటర్నేషనల్ మధ్య ఒక ఒప్పందం టెక్సాస్‌లోని డల్లాస్‌లో యుఎస్ ఆధారిత పిసి -24 పైలట్ మరియు టెక్నీషియన్ శిక్షణను నిర్వహిస్తుంది. [25] మే 2017 లో, ధృవీకరణ తరువాత, నాల్గవ త్రైమాసిక మొదటి విమానాశ్రయానికి సిరీస్ ఉత్పత్తి జరుగుతోంది. [17]"&amp;" డిసెంబర్ 2017 లో, ఎనిమిది పిసి -24 లు అసెంబ్లీ లైన్‌లో ఉన్నాయి మరియు 2018 కోసం 23 డెలివరీలు ప్రణాళిక చేయబడ్డాయి. [20] మొదటి కస్టమర్ డెలివరీ 7 ఫిబ్రవరి 2018 న విమానాశ్రయానికి పూర్తయింది. [26] [27] 2018 లో, 23 నుండి 24 వరకు డెలివరీ కోసం ప్రణాళిక చేయబడింది,"&amp;" 2019 కి 40 మరియు తరువాత సంవత్సరానికి 40 ప్రణాళిక చేయబడింది. [28] 11 అక్టోబర్ 2018 న, దాని MTOW ను 8,005 నుండి 8,300 కిలోల (17,650 నుండి 18,300 పౌండ్లు) పెంచింది, ఉత్పత్తి చేయబడిన 31 వ సీరియల్ విమానాల నుండి, దాని సున్నా-ఇంధన బరువు (ఖాళీ బరువు ప్లస్ పేలోడ్"&amp;") 350 కిలోల (770 ఎల్బి) పెరిగింది. 29] మే 2014 ఇబేస్‌లో, ఆర్డర్లు ప్రారంభమైన 36 గంటల తర్వాత పిలాటస్ 84 యూనిట్ల ప్రారంభ ఉత్పత్తి పరుగును విక్రయించింది. ఈ మొదటి బ్యాచ్ ఆర్డర్లు 2020 ప్రారంభం వరకు పంపిణీ చేయబడతాయి. విమానం యొక్క తుది పనితీరు డేటాను ప్రచురించి"&amp;"న తరువాత మరియు ఆపరేటర్ల అభిప్రాయాన్ని అంచనా వేసిన తరువాత ఆర్డర్లు తిరిగి తెరవబడతాయి. దాని 40 సంవత్సరాల జీవితచక్రంలో, పిలాటస్ 4,000 యూనిట్లను ఉత్పత్తి చేయాలని యోచిస్తోంది. [30] పిసి -24 ను స్విస్ ఫెడరల్ కౌన్సిల్ రవాణా చేయాలని ఆదేశించారు. [31] ఇది డిసెంబర్ "&amp;"2017 లో ధృవీకరించబడినప్పుడు, దాని ధర US $ 8.9 మిలియన్లు. [6] 26 నవంబర్ 2018 న, మొదటిది, ఆస్ట్రేలియా యొక్క రాయల్ ఫ్లయింగ్ డాక్టర్ సర్వీస్ కు మొదటిది, దాని 35 పిసి -12 సింగిల్ టర్బోప్రోప్స్కు అనుబంధంగా ఉంది. చదును చేయని మరియు చిన్న 856 మీ (2,810 అడుగులు) రన"&amp;"్‌వేలను తరువాత అనుమతించాలి, మరియు ఇది 2019 ప్రారంభంలో మూడు పడకలు మరియు ఎలక్ట్రిక్ స్ట్రెచర్ లోడర్‌తో ఎయిర్ అంబులెన్స్‌గా సేవలను ప్రవేశించాలి. [32] అవి రోగి పర్యవేక్షణ కోసం వ్యక్తిగత ఆక్సిజన్, వాక్యూమ్ మరియు విద్యుత్ వ్యవస్థలను కలిగి ఉంటాయి మరియు విమాన మెడ"&amp;"ికల్ ఇంటీరియర్స్ స్పెషలిస్ట్ ఏరోలైట్ AG చేత అనుబంధ రకం సర్టిఫికేట్ కింద వ్యవస్థాపించబడిన మద్దతు మరియు మద్దతు 13 మిలియన్ డాలర్లు. [33] ఇది 2009 నుండి పశ్చిమ ఆస్ట్రేలియాలో పనిచేసే మధ్యతరహా హాకర్ 800xP ని భర్తీ చేస్తుంది, ఈ సంవత్సరం చివరి నాటికి కంకర కిట్ లభ"&amp;"ిస్తుంది మరియు పిలాటస్ ఇరుకైన రన్‌వేలలో 23 నుండి 18 మీ (75 నుండి 59 అడుగులు) పనిచేసే పనిలో ఉంది. [ 34] మే 2019 నాటికి, పిలాటస్ 30 యూనిట్లను విక్రయించింది మరియు పిసి -24 ఆర్డర్‌బుక్‌ను ఇబేస్ షోలో తిరిగి తెరిచింది, సుమారు 80 డెలివరీ స్థానాలు 2020 చివరి మరియ"&amp;"ు 2021 డెలివరీల కోసం ఒక్కొక్కటి 7 10.7 మిలియన్ల ధర వద్ద అందుబాటులో ఉన్నాయి. ఈ కొత్త స్థానాల్లో సగం రోజులలో అమ్ముడయ్యాయి. [35] పిసి -24 కి యూరోపియన్ మరియు యుఎస్ స్టీప్ అప్రోచ్ సర్టిఫికేషన్ లభించింది, వీటిలో లండన్ సిటీ విమానాశ్రయం యొక్క 5.5 ° విధానం మరియు ష"&amp;"ార్ట్ రన్వే, ప్లస్ డర్ట్ అండ్ కంకర రన్వే కార్యకలాపాలు ఉన్నాయి. [36] జనవరి 2020 చివరలో గడ్డి, తడి భూమి మరియు మంచు కార్యకలాపాల కోసం రఫ్-ఫీల్డ్ ధృవీకరణ ఆమోదించబడింది. [37] 50 వ తేదీ అక్టోబర్ 2019 నాటికి, [38] మరియు 100 వ జనవరి 2021 నాటికి పంపిణీ చేయబడింది. ["&amp;"3] 2021 లో, దాని అమర్చిన ధర 25 11.25 మిలియన్. [39] పిసి -24 సంస్థ యొక్క మొదటి జెట్-శక్తితో కూడిన విమానం. [7] ఎంబ్రేర్ యొక్క దృగ్విషయం 300 మరియు సెస్నా యొక్క సైటేషన్ CJ4 తో సహా అనేక పోటీ వ్యాపార విమానాలు ప్రారంభంలో గుర్తించబడ్డాయి. [4] ఇది తక్కువ-వింగ్ కాం"&amp;"టిలివర్ క్యాబిన్ మోనోప్లేన్, ఇది రెండు విలియమ్స్ FJ44-4A టర్బోఫాన్స్, ప్రతి ఒక్కటి వెనుక ఫ్యూజ్‌లేజ్ వైపు నాసెల్లెలో అమర్చబడి ఉంటుంది. ఇది టి-టెయిల్ మరియు ముడుచుకునే ట్రైసైకిల్ ల్యాండింగ్ గేర్‌ను కలిగి ఉంది. [40] ఈ విమానం చిన్న మరియు కఠినమైన ఎయిర్‌స్ట్రిప"&amp;"్స్ నుండి పనిచేసేలా రూపొందించబడింది మరియు అవసరమైన పనితీరును సాధించడానికి పెద్ద డబుల్-స్లాట్డ్ ఫ్లాప్ సిస్టమ్‌తో అధునాతన వింగ్ డిజైన్‌ను కలిగి ఉంటుంది, గరిష్ట ల్యాండింగ్ బరువు వద్ద 81 నాట్ల స్టాల్ వేగం మాత్రమే ఉంది. [41] లాంగ్-స్ట్రోక్ వెనుకంజలో ఉన్న లింక్"&amp;" ల్యాండింగ్ గేర్ అసమాన ఉపరితలాలను సున్నితంగా చేస్తుంది, డ్యూయల్-వీల్ మెయిన్ వీల్స్ మృదువైన ఉపరితలాలలో మునిగిపోకుండా ఉండటానికి 70 పిఎస్‌ఐ (4.8 బార్) ఒత్తిడిని కలిగి ఉంటాయి మరియు రెక్కల ఫ్లాప్‌లు మార్చగల, అస్పష్టమైన ఉపరితలం మరియు ఎత్తైన వాటిని కవచం చేస్తాయి"&amp;" వదులుగా ఉన్న శిధిలాల నుండి ఇంజన్లు. [42] క్యాబిన్ ఎనిమిది మంది ప్రయాణికులు మరియు ఇద్దరు పైలట్లకు గదిని కలిగి ఉంది. [40] క్యాబిన్లో మూడు నిష్క్రమణలు ఉన్నాయి, ముందు భాగంలో ఎడమ వైపున ఒక ప్రయాణీకుల తలుపు, రెండు ఓవర్వింగ్ అత్యవసర నిష్క్రమణలు మరియు వెనుక భాగంల"&amp;"ో ఎడమ వైపున ఉన్న కార్గో తలుపు. [40] పిసి -24 ఈ ప్రామాణిక ప్యాలెట్-పరిమాణ కార్గో తలుపుతో అమర్చిన మొదటి వ్యాపార జెట్ అని పిలాటస్ పేర్కొంది. [43] పిసి -24 యొక్క ఇంటీరియర్ కలర్ స్కీమ్‌లను బిఎమ్‌డబ్ల్యూ డిజైన్‌వర్క్‌లు రూపొందించాయి; కొలరాడోలోని బ్రూమ్‌ఫీల్డ్‌ల"&amp;"ోని ఒక సదుపాయంలో అమెరికా కోసం ఇంటీరియర్‌లు పూర్తి చేయబడతాయి, ఇది అదనపు డిమాండ్‌ను ఎదుర్కోవటానికి 50% విస్తరించబడుతుంది. [14] పిలాటస్ మరియు హనీవెల్ ఈ రకం కోసం అధునాతన కాక్‌పిట్ వాతావరణాన్ని సహకారంతో రూపొందించారు. ఇది పైలట్ పనిభారాన్ని తగ్గించడానికి ఉద్దేశి"&amp;"ంచబడింది మరియు పిసి -24 సింగిల్-పైలట్ సర్టిఫికేట్ పొందటానికి అనుమతిస్తుంది. ఏవియానిక్స్ వ్యవస్థ హనీవెల్ ప్రిమస్ ఎపిక్ 2 పై ఆధారపడి ఉంటుంది. [44] 45,000 అడుగులు (14,000 మీ) మరియు 7,260 కిలోలు (16,010 ఎల్బి) వద్ద, మొత్తం ఇంధన ప్రవాహం గంటకు 850 ఎల్బి (390 కి"&amp;"లోలు) M0.65 లాంగ్ రేంజ్ క్రూయిజ్ లేదా 372 కెఎన్ (689 కిమీ/గం) వద్ద, 970 ఎల్బి (440 కు పెంచింది దాని M0.74 హై-స్పీడ్ క్రూయిజ్ వద్ద kg)/h. [45] జూలై 2021 లో, కొత్త-నిర్మాణ విమానాల కోసం అనేక మెరుగుదలలతో డిజైన్ నవీకరించబడింది, ఇది మునుపటి ఉత్పత్తి విమానాలకు ర"&amp;"ెట్రో-అమర్చవచ్చు. ఈ నవీకరణలలో కొత్తగా రూపొందించిన, తేలికైన మరియు మరింత సౌకర్యవంతమైన, శీఘ్ర విడుదల క్యాబిన్ సీట్లు ఉన్నాయి; ఫార్వర్డ్ కోట్ క్లోసెట్‌ను భర్తీ చేయడానికి ఐచ్ఛిక గాలీ; టచ్‌స్క్రీన్-నియంత్రిత ఏవియానిక్స్; పిచ్ మరియు రోల్‌లో స్పర్శ అభిప్రాయం, ప్ల"&amp;"స్ పరిమితి రక్షణ; పైలట్-నిర్వచించిన దృశ్య విధానాలు మరియు ఆటోమేటెడ్ వినగల కాల్‌అవుట్‌లు. నిజమైన బ్లూ పవర్ లిథియం అయాన్ బ్యాటరీ సెట్లు కూడా ఆమోదించబడ్డాయి, ఇవి 84 ఎల్బి (38 కిలోలు) తేలికైనవి మరియు నిర్వహించడానికి తక్కువ ఖరీదైనవి. [46] ఈ విమానం ఎయిర్ చార్టర్"&amp;" కంపెనీలతో ప్రాచుర్యం పొందింది మరియు దీనిని ప్రైవేట్ కంపెనీలు కూడా నిర్వహిస్తున్నాయి. జనవరి 2021 నాటికి, 100 జెట్ల సముదాయం 33,500 విమాన గంటలను లాగిన్ చేసింది, వీటిలో 2,375 గంటలు విమానాల నాయకుడు. [3] పిలాటస్ నుండి ఖతార్ స్విట్జర్లాండ్ డేటా [49] పోల్చదగిన ప"&amp;"ాత్ర, కాన్ఫిగరేషన్ మరియు ERA యొక్క సాధారణ లక్షణాల పనితీరు విమానం")</f>
        <v>పిలాటస్ పిసి -24 అనేది స్విట్జర్లాండ్‌కు చెందిన పిలాటస్ విమానం నిర్మించిన లైట్ బిజినెస్ జెట్. పిసి -12 సింగిల్ ఇంజిన్ టర్బోప్రాప్ విజయం సాధించిన తరువాత, ట్విన్ ఇంజిన్ జెట్ పై పని 2007 లో ఎక్కువ పరిధి మరియు వేగం కోసం ప్రారంభమైంది, కఠినమైన ఎయిర్ఫీల్డ్ సామర్ధ్యం. ఈ విమానం 21 మే 2013 న ప్రవేశపెట్టబడింది మరియు 11 మే 2015 న తొలి విమానంతో 1 ఆగస్టు 2014 న ప్రారంభమైంది. పిసి -24 7 డిసెంబర్ 2017 న EASA మరియు FAA రకం ధృవీకరణను పొందింది మరియు మొదటి కస్టమర్ డెలివరీ 7 ఫిబ్రవరి 2018 న జరిగింది. రెండు విలియమ్స్ FJ44 టర్బోఫాన్స్ చేత ఆధారితం, ఇది ఎంబ్రేర్ ఫినామ్ 300 మరియు సెస్నా సైటేషన్ CJ4 తో పోటీపడుతుంది. 1990 లలో, పిలాటస్ విమానం సింగిల్-ఇంజిన్ టర్బోప్రాప్-శక్తితో పనిచేసే వ్యాపార విమానాలను పిలాటస్ పిసి -12 ను మార్కెట్లోకి తీసుకువచ్చింది. పిసి -12 త్వరగా వాణిజ్య విజయం అని నిరూపించడంతో, పిలాటస్ పరిపూరకరమైన విమానాలను అనుసరించడానికి ప్రయత్నించాడు మరియు ఈ రకం వినియోగదారుల నుండి అభిప్రాయాన్ని సేకరించడం ప్రారంభించాడు. ఈ అభ్యర్థనకు ప్రతిస్పందనగా, చాలా మంది కస్టమర్లు ఒక విమానం కోసం కోరికను వ్యక్తం చేశారు, ఇది ఇప్పటికే ఉన్న పిసి -12 కంటే ఎక్కువ శ్రేణి మరియు అగ్ర వేగం రెండింటినీ కలిగి ఉంటుంది, అదే సమయంలో రకం యొక్క మొత్తం కఠినమైనతనం మరియు చాలా తక్కువ రన్‌వేలను ఉపయోగించుకునే సామర్థ్యాన్ని నిలుపుకుంది. [4 ] ఈ అభిప్రాయం ఆధారంగా, పిలాటస్ అటువంటి విమానం యొక్క అభివృద్ధిని కొనసాగించడానికి ఎన్నుకున్నాడు. 2007 లో, పిలాటస్ ఈ కార్యక్రమంలో పనిని ప్రారంభించాడు. [5] విమానం అభివృద్ధి ఇప్పటికే ఉన్న కంపెనీ నిధులను ఉపయోగించి జరిగింది. [4] డిజైన్ ప్రోగ్రామ్‌ను పిలాటస్ తన మే 2011 వార్షిక నివేదికలో మొదట ప్రస్తావించారు. [6] 21 మే 2013 న, జెనీవాలోని యూరోపియన్ బిజినెస్ ఏవియేషన్ కన్వెన్షన్ &amp; ఎగ్జిబిషన్ (ఇబాస్) లో పిసి -24 ప్రజలకు ప్రవేశపెట్టబడింది. ఆ సమయంలో, పిలాటస్ చైర్మన్ ఆస్కార్ ష్వెన్క్ పిసి -24 ఇప్పటికే ఉన్న బిజినెస్ జెట్ వర్గాలకు సరిపోదని పేర్కొన్నాడు మరియు ఈ విమానం మాత్రమే కలిపి ఉందని పేర్కొంది "... ఒక మాధ్యమం యొక్క క్యాబిన్ పరిమాణంతో టర్బోప్రాప్ యొక్క బహుముఖ ప్రజ్ఞ లైట్ జెట్, మరియు లైట్ జెట్ యొక్క పనితీరు ". [7] 1 ఆగస్టు 2014 న, ఇది స్విట్జర్లాండ్ యొక్క జాతీయ దినోత్సవం, మూడు పిసి -24 ప్రోటోటైప్‌లలో మొదటిది పి 01 కూడా విడుదల చేయబడింది. [8] ఈ మూడు ప్రోటోటైప్‌లలో ప్రతి ఒక్కటి అభివృద్ధి కార్యక్రమంలో వేర్వేరు విధులను అందిస్తాయి; P01 రకం యొక్క విమాన కవరును అన్వేషించడానికి ఉద్దేశించబడింది, P02 ప్రధానంగా ఏవియానిక్స్ మరియు ఆటోపైలట్ ఇంటిగ్రేషన్‌ను పరీక్షించడానికి, మరియు దాని పరీక్షా జీవితాన్ని చాలావరకు యుఎస్‌లో గడుపుతుంది, అయితే P03 ఉత్పత్తి విమానం యొక్క ప్రతినిధిగా ఉండాలి మరియు ఆధారిత మెరుగుదలలను కలిగి ఉంటుంది ఇతర రెండు విమానాలతో చేసిన అభివృద్ధి పనులపై. [5] ప్రోటోటైప్ యొక్క మొదటి ఫ్లైట్ మొదట 2014 చివరలో జరుగుతుందని ated హించబడింది, కానీ ఇది ఆలస్యం అయింది. [9] 11 మే 2015 న, పి 01 స్విట్జర్లాండ్‌లోని బ్యూచ్స్ విమానాశ్రయం నుండి మొత్తం 55 నిమిషాలు తన మొదటి విమానాన్ని నిర్వహించింది. ఈ సందర్భం విమానం యొక్క రెండేళ్ల ధృవీకరణ ప్రచారానికి పరీక్ష విమానాల ప్రారంభాన్ని గుర్తించింది. [10] [11] ఆ సమయంలో, టైప్ సర్టిఫికేషన్ మరియు ప్రారంభ డెలివరీలు 2017 కోసం are హించబడ్డాయి. [12] [13] 16 నవంబర్ 2015 న, రెండవ ప్రోటోటైప్ అయిన పి 02 తన తొలి విమానంలో 82 నిమిషాలు కొనసాగింది; ఈ తేదీ నాటికి, P01 మొత్తం 150 ఎగిరే గంటలను సేకరించి 100 కి పైగా విమానాలను ప్రదర్శించింది. [14] [15] మే 2016 లో, EBace వద్ద స్టాటిక్ డిస్ప్లేలో కనిపించేలా P01 పరీక్షా కార్యక్రమంలో క్లుప్త విరామం తీసుకుంది; ఈ సమయానికి, P01 మరియు P02 వాటి మధ్య 500 విమాన గంటలకు పైగా సేకరించాయి. [16] EBACE 2016 సందర్భంగా, ఈ కార్యక్రమం ట్రాక్‌లో ఉందని వ్యాఖ్యానించారు మరియు పరీక్ష విమానాలు ఆశ్చర్యకరమైనవి లేకుండా ఉన్నాయి; యుఎస్‌కు అట్లాంటిక్ క్రాసింగ్ సమయంలో, పి 02 గంటకు 800 కిమీ (432 కిటి.) కంటే ఎక్కువ క్రూయిజ్ వేగాన్ని సాధించింది, ఇది expected హించిన దానికంటే మంచిది. [13] మార్చి 2017 లో P03 యొక్క మూడవ నమూనాను చేర్చడంతో PC-24 ఫ్లైట్-టెస్ట్ ఫ్లీట్ పూర్తయింది; మే నాటికి వారు 950 విమానాలు మరియు 1,525 గంటలు లాగిన్ చేసారు. [17] ఆగష్టు 2017 లో, విలియమ్స్ ఇంటర్నేషనల్ దాని FJ44-4A-QPM కోసం EASA మరియు FAA నుండి రకం మరియు ఉత్పత్తి ధృవీకరణను పొందింది, అయితే మూడు పరీక్షా విమానాలు 1,700 గంటలకు పైగా విమాన పరీక్షలలో పేరుకుపోయాయి, నాల్గవ త్రైమాసికంలో ధృవీకరణ మరియు పరిచయం కోసం షెడ్యూల్ ప్రకారం. [18] అక్టోబర్ 2017 నాటికి, 2,000 గంటలకు పైగా ఎగురవేయబడింది, P01 ప్రోటోటైప్ 626 సార్లు మరియు 900 గంటలు ఎగురుతుంది. P03 ప్రోటోటైప్ ఒక క్రియాత్మక మరియు విశ్వసనీయత కార్యక్రమాన్ని పూర్తి చేస్తుంది, ధృవీకరణ పూర్తయ్యే ముందు ఆరు వారాల ముందు 150 గంటలు మరియు ప్రారంభ డెలివరీలు ప్రారంభమవుతాయి. [19] మూడు ప్రోటోటైప్‌లు ఐసింగ్ పరిస్థితులు మరియు చాలా వేడి ఉష్ణోగ్రతలతో సహా 2205 గంటలు ప్రయాణించాయి, దాని ఫ్లైట్ ఎన్వలప్ వెలుపల, పక్షి సమ్మెలు, నిర్మాణ ఒత్తిడి పరీక్షలు మరియు శబ్ద పరీక్షలు 7 డిసెంబర్ 2017 న EASA మరియు FAA రకం ధృవీకరణను పొందటానికి ముందు. దీని పనితీరు లక్ష్యాలు నెరవేరింది లేదా మించిపోయింది, దీని గరిష్ట వేగం 425 నుండి 440 నాట్లకు (787 నుండి 815 కిమీ/గం) పెరిగింది. [20] 2018 నాల్గవ త్రైమాసికంలో, ఈ విమానం పొడి ఇసుక మరియు కంకరపైకి దిగడానికి ధృవీకరించబడింది. [21] ఆస్ట్రేలియన్ RFD లు 2019 లో Medevac ను ప్రారంభిస్తాయి. [22] రవాణా కెనడా ధృవీకరణ 27 జూన్ 2019 న ఇవ్వబడింది. [23] ఫిబ్రవరి 2020 లో, మల్టీఇయర్ ధృవీకరణ ప్రచారం తరువాత, గడ్డి, తడి భూమి మరియు మంచుతో కప్పబడిన ఉపరితలాల నుండి పనిచేయడానికి విమానం ధృవీకరిస్తూ, రఫ్ ఫీల్డ్ ఆపరేషన్ కోసం ఈ డిజైన్ ఆమోదించబడింది. [21] ఫిబ్రవరి 2020 నాటికి, ఈ విమానం గడ్డి, తడి భూమి, పొడి ఇసుక, కంకర మరియు మంచు నుండి పనిచేయగలదు. [24] 2014 చివరలో, పిలాటస్ మరియు ఫ్లైట్ సేఫ్టీ ఇంటర్నేషనల్ మధ్య ఒక ఒప్పందం టెక్సాస్‌లోని డల్లాస్‌లో యుఎస్ ఆధారిత పిసి -24 పైలట్ మరియు టెక్నీషియన్ శిక్షణను నిర్వహిస్తుంది. [25] మే 2017 లో, ధృవీకరణ తరువాత, నాల్గవ త్రైమాసిక మొదటి విమానాశ్రయానికి సిరీస్ ఉత్పత్తి జరుగుతోంది. [17] డిసెంబర్ 2017 లో, ఎనిమిది పిసి -24 లు అసెంబ్లీ లైన్‌లో ఉన్నాయి మరియు 2018 కోసం 23 డెలివరీలు ప్రణాళిక చేయబడ్డాయి. [20] మొదటి కస్టమర్ డెలివరీ 7 ఫిబ్రవరి 2018 న విమానాశ్రయానికి పూర్తయింది. [26] [27] 2018 లో, 23 నుండి 24 వరకు డెలివరీ కోసం ప్రణాళిక చేయబడింది, 2019 కి 40 మరియు తరువాత సంవత్సరానికి 40 ప్రణాళిక చేయబడింది. [28] 11 అక్టోబర్ 2018 న, దాని MTOW ను 8,005 నుండి 8,300 కిలోల (17,650 నుండి 18,300 పౌండ్లు) పెంచింది, ఉత్పత్తి చేయబడిన 31 వ సీరియల్ విమానాల నుండి, దాని సున్నా-ఇంధన బరువు (ఖాళీ బరువు ప్లస్ పేలోడ్) 350 కిలోల (770 ఎల్బి) పెరిగింది. 29] మే 2014 ఇబేస్‌లో, ఆర్డర్లు ప్రారంభమైన 36 గంటల తర్వాత పిలాటస్ 84 యూనిట్ల ప్రారంభ ఉత్పత్తి పరుగును విక్రయించింది. ఈ మొదటి బ్యాచ్ ఆర్డర్లు 2020 ప్రారంభం వరకు పంపిణీ చేయబడతాయి. విమానం యొక్క తుది పనితీరు డేటాను ప్రచురించిన తరువాత మరియు ఆపరేటర్ల అభిప్రాయాన్ని అంచనా వేసిన తరువాత ఆర్డర్లు తిరిగి తెరవబడతాయి. దాని 40 సంవత్సరాల జీవితచక్రంలో, పిలాటస్ 4,000 యూనిట్లను ఉత్పత్తి చేయాలని యోచిస్తోంది. [30] పిసి -24 ను స్విస్ ఫెడరల్ కౌన్సిల్ రవాణా చేయాలని ఆదేశించారు. [31] ఇది డిసెంబర్ 2017 లో ధృవీకరించబడినప్పుడు, దాని ధర US $ 8.9 మిలియన్లు. [6] 26 నవంబర్ 2018 న, మొదటిది, ఆస్ట్రేలియా యొక్క రాయల్ ఫ్లయింగ్ డాక్టర్ సర్వీస్ కు మొదటిది, దాని 35 పిసి -12 సింగిల్ టర్బోప్రోప్స్కు అనుబంధంగా ఉంది. చదును చేయని మరియు చిన్న 856 మీ (2,810 అడుగులు) రన్‌వేలను తరువాత అనుమతించాలి, మరియు ఇది 2019 ప్రారంభంలో మూడు పడకలు మరియు ఎలక్ట్రిక్ స్ట్రెచర్ లోడర్‌తో ఎయిర్ అంబులెన్స్‌గా సేవలను ప్రవేశించాలి. [32] అవి రోగి పర్యవేక్షణ కోసం వ్యక్తిగత ఆక్సిజన్, వాక్యూమ్ మరియు విద్యుత్ వ్యవస్థలను కలిగి ఉంటాయి మరియు విమాన మెడికల్ ఇంటీరియర్స్ స్పెషలిస్ట్ ఏరోలైట్ AG చేత అనుబంధ రకం సర్టిఫికేట్ కింద వ్యవస్థాపించబడిన మద్దతు మరియు మద్దతు 13 మిలియన్ డాలర్లు. [33] ఇది 2009 నుండి పశ్చిమ ఆస్ట్రేలియాలో పనిచేసే మధ్యతరహా హాకర్ 800xP ని భర్తీ చేస్తుంది, ఈ సంవత్సరం చివరి నాటికి కంకర కిట్ లభిస్తుంది మరియు పిలాటస్ ఇరుకైన రన్‌వేలలో 23 నుండి 18 మీ (75 నుండి 59 అడుగులు) పనిచేసే పనిలో ఉంది. [ 34] మే 2019 నాటికి, పిలాటస్ 30 యూనిట్లను విక్రయించింది మరియు పిసి -24 ఆర్డర్‌బుక్‌ను ఇబేస్ షోలో తిరిగి తెరిచింది, సుమారు 80 డెలివరీ స్థానాలు 2020 చివరి మరియు 2021 డెలివరీల కోసం ఒక్కొక్కటి 7 10.7 మిలియన్ల ధర వద్ద అందుబాటులో ఉన్నాయి. ఈ కొత్త స్థానాల్లో సగం రోజులలో అమ్ముడయ్యాయి. [35] పిసి -24 కి యూరోపియన్ మరియు యుఎస్ స్టీప్ అప్రోచ్ సర్టిఫికేషన్ లభించింది, వీటిలో లండన్ సిటీ విమానాశ్రయం యొక్క 5.5 ° విధానం మరియు షార్ట్ రన్వే, ప్లస్ డర్ట్ అండ్ కంకర రన్వే కార్యకలాపాలు ఉన్నాయి. [36] జనవరి 2020 చివరలో గడ్డి, తడి భూమి మరియు మంచు కార్యకలాపాల కోసం రఫ్-ఫీల్డ్ ధృవీకరణ ఆమోదించబడింది. [37] 50 వ తేదీ అక్టోబర్ 2019 నాటికి, [38] మరియు 100 వ జనవరి 2021 నాటికి పంపిణీ చేయబడింది. [3] 2021 లో, దాని అమర్చిన ధర 25 11.25 మిలియన్. [39] పిసి -24 సంస్థ యొక్క మొదటి జెట్-శక్తితో కూడిన విమానం. [7] ఎంబ్రేర్ యొక్క దృగ్విషయం 300 మరియు సెస్నా యొక్క సైటేషన్ CJ4 తో సహా అనేక పోటీ వ్యాపార విమానాలు ప్రారంభంలో గుర్తించబడ్డాయి. [4] ఇది తక్కువ-వింగ్ కాంటిలివర్ క్యాబిన్ మోనోప్లేన్, ఇది రెండు విలియమ్స్ FJ44-4A టర్బోఫాన్స్, ప్రతి ఒక్కటి వెనుక ఫ్యూజ్‌లేజ్ వైపు నాసెల్లెలో అమర్చబడి ఉంటుంది. ఇది టి-టెయిల్ మరియు ముడుచుకునే ట్రైసైకిల్ ల్యాండింగ్ గేర్‌ను కలిగి ఉంది. [40] ఈ విమానం చిన్న మరియు కఠినమైన ఎయిర్‌స్ట్రిప్స్ నుండి పనిచేసేలా రూపొందించబడింది మరియు అవసరమైన పనితీరును సాధించడానికి పెద్ద డబుల్-స్లాట్డ్ ఫ్లాప్ సిస్టమ్‌తో అధునాతన వింగ్ డిజైన్‌ను కలిగి ఉంటుంది, గరిష్ట ల్యాండింగ్ బరువు వద్ద 81 నాట్ల స్టాల్ వేగం మాత్రమే ఉంది. [41] లాంగ్-స్ట్రోక్ వెనుకంజలో ఉన్న లింక్ ల్యాండింగ్ గేర్ అసమాన ఉపరితలాలను సున్నితంగా చేస్తుంది, డ్యూయల్-వీల్ మెయిన్ వీల్స్ మృదువైన ఉపరితలాలలో మునిగిపోకుండా ఉండటానికి 70 పిఎస్‌ఐ (4.8 బార్) ఒత్తిడిని కలిగి ఉంటాయి మరియు రెక్కల ఫ్లాప్‌లు మార్చగల, అస్పష్టమైన ఉపరితలం మరియు ఎత్తైన వాటిని కవచం చేస్తాయి వదులుగా ఉన్న శిధిలాల నుండి ఇంజన్లు. [42] క్యాబిన్ ఎనిమిది మంది ప్రయాణికులు మరియు ఇద్దరు పైలట్లకు గదిని కలిగి ఉంది. [40] క్యాబిన్లో మూడు నిష్క్రమణలు ఉన్నాయి, ముందు భాగంలో ఎడమ వైపున ఒక ప్రయాణీకుల తలుపు, రెండు ఓవర్వింగ్ అత్యవసర నిష్క్రమణలు మరియు వెనుక భాగంలో ఎడమ వైపున ఉన్న కార్గో తలుపు. [40] పిసి -24 ఈ ప్రామాణిక ప్యాలెట్-పరిమాణ కార్గో తలుపుతో అమర్చిన మొదటి వ్యాపార జెట్ అని పిలాటస్ పేర్కొంది. [43] పిసి -24 యొక్క ఇంటీరియర్ కలర్ స్కీమ్‌లను బిఎమ్‌డబ్ల్యూ డిజైన్‌వర్క్‌లు రూపొందించాయి; కొలరాడోలోని బ్రూమ్‌ఫీల్డ్‌లోని ఒక సదుపాయంలో అమెరికా కోసం ఇంటీరియర్‌లు పూర్తి చేయబడతాయి, ఇది అదనపు డిమాండ్‌ను ఎదుర్కోవటానికి 50% విస్తరించబడుతుంది. [14] పిలాటస్ మరియు హనీవెల్ ఈ రకం కోసం అధునాతన కాక్‌పిట్ వాతావరణాన్ని సహకారంతో రూపొందించారు. ఇది పైలట్ పనిభారాన్ని తగ్గించడానికి ఉద్దేశించబడింది మరియు పిసి -24 సింగిల్-పైలట్ సర్టిఫికేట్ పొందటానికి అనుమతిస్తుంది. ఏవియానిక్స్ వ్యవస్థ హనీవెల్ ప్రిమస్ ఎపిక్ 2 పై ఆధారపడి ఉంటుంది. [44] 45,000 అడుగులు (14,000 మీ) మరియు 7,260 కిలోలు (16,010 ఎల్బి) వద్ద, మొత్తం ఇంధన ప్రవాహం గంటకు 850 ఎల్బి (390 కిలోలు) M0.65 లాంగ్ రేంజ్ క్రూయిజ్ లేదా 372 కెఎన్ (689 కిమీ/గం) వద్ద, 970 ఎల్బి (440 కు పెంచింది దాని M0.74 హై-స్పీడ్ క్రూయిజ్ వద్ద kg)/h. [45] జూలై 2021 లో, కొత్త-నిర్మాణ విమానాల కోసం అనేక మెరుగుదలలతో డిజైన్ నవీకరించబడింది, ఇది మునుపటి ఉత్పత్తి విమానాలకు రెట్రో-అమర్చవచ్చు. ఈ నవీకరణలలో కొత్తగా రూపొందించిన, తేలికైన మరియు మరింత సౌకర్యవంతమైన, శీఘ్ర విడుదల క్యాబిన్ సీట్లు ఉన్నాయి; ఫార్వర్డ్ కోట్ క్లోసెట్‌ను భర్తీ చేయడానికి ఐచ్ఛిక గాలీ; టచ్‌స్క్రీన్-నియంత్రిత ఏవియానిక్స్; పిచ్ మరియు రోల్‌లో స్పర్శ అభిప్రాయం, ప్లస్ పరిమితి రక్షణ; పైలట్-నిర్వచించిన దృశ్య విధానాలు మరియు ఆటోమేటెడ్ వినగల కాల్‌అవుట్‌లు. నిజమైన బ్లూ పవర్ లిథియం అయాన్ బ్యాటరీ సెట్లు కూడా ఆమోదించబడ్డాయి, ఇవి 84 ఎల్బి (38 కిలోలు) తేలికైనవి మరియు నిర్వహించడానికి తక్కువ ఖరీదైనవి. [46] ఈ విమానం ఎయిర్ చార్టర్ కంపెనీలతో ప్రాచుర్యం పొందింది మరియు దీనిని ప్రైవేట్ కంపెనీలు కూడా నిర్వహిస్తున్నాయి. జనవరి 2021 నాటికి, 100 జెట్ల సముదాయం 33,500 విమాన గంటలను లాగిన్ చేసింది, వీటిలో 2,375 గంటలు విమానాల నాయకుడు. [3] పిలాటస్ నుండి ఖతార్ స్విట్జర్లాండ్ డేటా [49] పోల్చదగిన పాత్ర, కాన్ఫిగరేషన్ మరియు ERA యొక్క సాధారణ లక్షణాల పనితీరు విమానం</v>
      </c>
      <c r="E177" s="1" t="s">
        <v>3597</v>
      </c>
      <c r="F177" s="1" t="s">
        <v>3598</v>
      </c>
      <c r="G177" s="1" t="str">
        <f>IFERROR(__xludf.DUMMYFUNCTION("GOOGLETRANSLATE(F:F, ""en"", ""te"")"),"లైట్ బిజినెస్ జెట్")</f>
        <v>లైట్ బిజినెస్ జెట్</v>
      </c>
      <c r="H177" s="1" t="s">
        <v>3599</v>
      </c>
      <c r="I177" s="1" t="s">
        <v>1965</v>
      </c>
      <c r="J177" s="1" t="str">
        <f>IFERROR(__xludf.DUMMYFUNCTION("GOOGLETRANSLATE(I:I, ""en"", ""te"")"),"స్విట్జర్లాండ్")</f>
        <v>స్విట్జర్లాండ్</v>
      </c>
      <c r="K177" s="3" t="s">
        <v>3585</v>
      </c>
      <c r="L177" s="1" t="s">
        <v>3586</v>
      </c>
      <c r="M177" s="1" t="str">
        <f>IFERROR(__xludf.DUMMYFUNCTION("GOOGLETRANSLATE(L:L, ""en"", ""te"")"),"పిలాటస్ విమానం")</f>
        <v>పిలాటస్ విమానం</v>
      </c>
      <c r="N177" s="1" t="s">
        <v>3587</v>
      </c>
      <c r="R177" s="1" t="s">
        <v>3600</v>
      </c>
      <c r="S177" s="1" t="s">
        <v>3601</v>
      </c>
      <c r="V177" s="1" t="s">
        <v>3138</v>
      </c>
      <c r="W177" s="1" t="s">
        <v>3602</v>
      </c>
      <c r="X177" s="1" t="s">
        <v>3603</v>
      </c>
      <c r="Y177" s="1" t="s">
        <v>3604</v>
      </c>
      <c r="Z177" s="1" t="s">
        <v>3605</v>
      </c>
      <c r="AE177" s="1">
        <v>9.35</v>
      </c>
      <c r="AG177" s="1" t="s">
        <v>3606</v>
      </c>
      <c r="AM177" s="1" t="s">
        <v>3607</v>
      </c>
      <c r="AO177" s="1" t="s">
        <v>3608</v>
      </c>
      <c r="AS177" s="1" t="s">
        <v>3609</v>
      </c>
      <c r="AT177" s="1"/>
      <c r="AU177" s="1" t="s">
        <v>3610</v>
      </c>
      <c r="AV177" s="1" t="s">
        <v>3611</v>
      </c>
      <c r="AW177" s="1" t="s">
        <v>3612</v>
      </c>
      <c r="AX177" s="1" t="s">
        <v>3613</v>
      </c>
      <c r="AY177" s="1" t="str">
        <f>IFERROR(__xludf.DUMMYFUNCTION("GOOGLETRANSLATE(AX:AX, ""en"", ""te"")"),"2 × విలియమ్స్ FJ44-4A టర్బోఫాన్స్, 15 kN (3,400 lbf) ప్రతి ఒక్కటి థ్రస్ట్")</f>
        <v>2 × విలియమ్స్ FJ44-4A టర్బోఫాన్స్, 15 kN (3,400 lbf) ప్రతి ఒక్కటి థ్రస్ట్</v>
      </c>
      <c r="BC177" s="1" t="s">
        <v>3614</v>
      </c>
      <c r="BD177" s="1" t="s">
        <v>3615</v>
      </c>
      <c r="BG177" s="2"/>
      <c r="BR177" s="1" t="s">
        <v>1911</v>
      </c>
      <c r="BS177" s="1" t="s">
        <v>3616</v>
      </c>
      <c r="BT177" s="1" t="s">
        <v>3617</v>
      </c>
      <c r="BU177" s="1" t="s">
        <v>3618</v>
      </c>
      <c r="BV177" s="1" t="str">
        <f>IFERROR(__xludf.DUMMYFUNCTION("GOOGLETRANSLATE(BU:BU, ""en"", ""te"")"),"ఉత్పత్తిలో")</f>
        <v>ఉత్పత్తిలో</v>
      </c>
      <c r="BW177" s="1" t="s">
        <v>3619</v>
      </c>
      <c r="BX177" s="1"/>
      <c r="BY177" s="1" t="s">
        <v>3620</v>
      </c>
      <c r="CB177" s="1" t="s">
        <v>3621</v>
      </c>
      <c r="DW177" s="1" t="s">
        <v>3622</v>
      </c>
      <c r="EC177" s="1">
        <v>0.39</v>
      </c>
      <c r="FV177" s="1" t="s">
        <v>3623</v>
      </c>
      <c r="FW177" s="1" t="s">
        <v>3624</v>
      </c>
      <c r="FX177" s="1" t="s">
        <v>3625</v>
      </c>
      <c r="FY177" s="1" t="s">
        <v>3626</v>
      </c>
      <c r="FZ177" s="1" t="s">
        <v>3627</v>
      </c>
      <c r="GA177" s="1" t="s">
        <v>3628</v>
      </c>
    </row>
    <row r="178">
      <c r="A178" s="1" t="s">
        <v>3629</v>
      </c>
      <c r="B178" s="1" t="str">
        <f>IFERROR(__xludf.DUMMYFUNCTION("GOOGLETRANSLATE(A:A, ""en"", ""te"")"),"పైపర్ PA-12 సూపర్ క్రూయిజర్")</f>
        <v>పైపర్ PA-12 సూపర్ క్రూయిజర్</v>
      </c>
      <c r="C178" s="1" t="s">
        <v>3630</v>
      </c>
      <c r="D178" s="1" t="str">
        <f>IFERROR(__xludf.DUMMYFUNCTION("GOOGLETRANSLATE(C:C, ""en"", ""te"")"),"పైపర్ PA-12 సూపర్ క్రూయిజర్ ఒక అమెరికన్ మూడు-సీట్ల, హై వింగ్, సింగిల్-ఇంజిన్ సాంప్రదాయ ల్యాండింగ్ గేర్-అమర్చిన లైట్ విమానాలు, ఇది 1946-48 మధ్య పైపర్ విమానాల ద్వారా ఉత్పత్తి చేయబడింది. PA-12 అప్‌గ్రేడ్ మరియు పున es రూపకల్పన చేసిన పైపర్ J-5. [2] PA- వ్యవస్థ"&amp;"కు బదులుగా పైపర్ J- హోదా వ్యవస్థను వదిలివేసినప్పుడు, J-5C PA-12 ""సూపర్ క్రూయిజర్"" గా మారింది. మునుపటి J-5 లు 100 HP (75 kW) లైమింగ్ O-235 లేదా 75 HP (56 kW) లైమింగ్ O-145 ద్వారా శక్తినిచ్చాయి. కొత్త PA-12 మోడల్ ప్రారంభంలో 108 HP (81 kW) లైమింగ్ O-235-C "&amp;"ఇంజిన్ ద్వారా శక్తిని పొందింది, పూర్తిగా కౌల్డ్ చేయబడింది మరియు రెండు 19 గాలన్ ఇంధన ట్యాంకులతో మెటల్ స్పార్ వింగ్ కలిగి ఉంది. టేకాఫ్ కోసం 115 హెచ్‌పి (86 కిలోవాట్) వద్ద రేట్ చేయబడిన లైమింగ్ ఓ -235-సి 1 ఇంజిన్ ఐచ్ఛికం. [2] [3] ప్రోటోటైప్ NX41561 ను J-5C ను"&amp;"ండి మార్చారు మరియు మొదట 29 అక్టోబర్ 1945 న పెన్సిల్వేనియాలోని లాక్ హెవెన్ నుండి ప్రయాణించారు. మొదటి ఉత్పత్తి నమూనా 22 ఫిబ్రవరి 1946 న జరిగింది మరియు పరిమాణ ఉత్పత్తి 3760 నిర్మించిన చివరి ఉదాహరణ 18 మార్చి 1948 న పూర్తయింది. . [[4] PA-12 వీల్స్, స్కిస్, ఫ్ల"&amp;"ోట్స్ మరియు పంట స్ప్రేయింగ్ కోసం ఆమోదించబడింది. [3] ముందు సీటులో పైలట్ మరియు వెనుక సీటులో ఇద్దరు ప్రయాణీకులకు కాక్‌పిట్ వసతి అందించబడుతుంది, పక్కపక్కనే. J-3 కబ్ మాదిరిగా కాకుండా PA-12 ముందు సీటు నుండి సోలో నుండి ఎగిరింది. [2] [3] చాలా PA-12 లు పెద్ద ఇంజిన"&amp;"్లతో సవరించబడ్డాయి. రెక్కల ఫ్లాప్‌లు మరియు మెటల్-స్కిన్ ఫ్యూజ్‌లేజ్‌ను సవరణలుగా చేర్చవచ్చు. [3] 1947 లో, సిటీ ఆఫ్ వాషింగ్టన్ మరియు సిటీ ఆఫ్ ఏంజిల్స్ అనే రెండు PA-12 లు ప్రపంచవ్యాప్తంగా ప్రయాణించాయి. వారు అనుభవించిన చెత్త యాంత్రిక వైఫల్యం పగిలిన టెయిల్‌వీల"&amp;"్. వాషింగ్టన్ నగరం ప్రస్తుతం వర్జీనియాలోని చాంటిల్లీలోని స్టీవెన్ ఎఫ్. ఉడ్వర్-హేజీ సెంటర్‌లో భాగమైన బోయింగ్ ఏవియేషన్ హ్యాంగర్‌లో నివసిస్తోంది. ఏంజిల్స్ నగరం పెన్సిల్వేనియాలోని లాక్ హెవెన్‌లోని పైపర్ ఏవియేషన్ మ్యూజియంలో ప్రదర్శనలో ఉంది. [5] PA-12 లు బెల్జి"&amp;"యం, కెనడా, ఫ్రాన్స్, ఐర్లాండ్, నెదర్లాండ్స్, స్విట్జర్లాండ్ మరియు యునైటెడ్ కింగ్‌డమ్‌తో సహా పలు దేశాలకు ఎగుమతి చేయబడ్డాయి. చాలా PA-12 లను ఇప్పటికీ ప్రైవేట్ పైలట్ యజమానులు ఎగురవేస్తారు మరియు ఈ రకం సాధారణంగా ఉత్తర అమెరికాలో కనిపిస్తుంది. నవంబర్ 2009 లో యుఎస"&amp;"్ లో ఇంకా 1688 మరియు కెనడాలో 229 నమోదు చేయబడ్డాయి. [2] [6] [7] జేన్#S అన్ని ప్రపంచ విమానాల నుండి డేటా 1948 [10] సాధారణ లక్షణాలు పనితీరు సంబంధిత అభివృద్ధి")</f>
        <v>పైపర్ PA-12 సూపర్ క్రూయిజర్ ఒక అమెరికన్ మూడు-సీట్ల, హై వింగ్, సింగిల్-ఇంజిన్ సాంప్రదాయ ల్యాండింగ్ గేర్-అమర్చిన లైట్ విమానాలు, ఇది 1946-48 మధ్య పైపర్ విమానాల ద్వారా ఉత్పత్తి చేయబడింది. PA-12 అప్‌గ్రేడ్ మరియు పున es రూపకల్పన చేసిన పైపర్ J-5. [2] PA- వ్యవస్థకు బదులుగా పైపర్ J- హోదా వ్యవస్థను వదిలివేసినప్పుడు, J-5C PA-12 "సూపర్ క్రూయిజర్" గా మారింది. మునుపటి J-5 లు 100 HP (75 kW) లైమింగ్ O-235 లేదా 75 HP (56 kW) లైమింగ్ O-145 ద్వారా శక్తినిచ్చాయి. కొత్త PA-12 మోడల్ ప్రారంభంలో 108 HP (81 kW) లైమింగ్ O-235-C ఇంజిన్ ద్వారా శక్తిని పొందింది, పూర్తిగా కౌల్డ్ చేయబడింది మరియు రెండు 19 గాలన్ ఇంధన ట్యాంకులతో మెటల్ స్పార్ వింగ్ కలిగి ఉంది. టేకాఫ్ కోసం 115 హెచ్‌పి (86 కిలోవాట్) వద్ద రేట్ చేయబడిన లైమింగ్ ఓ -235-సి 1 ఇంజిన్ ఐచ్ఛికం. [2] [3] ప్రోటోటైప్ NX41561 ను J-5C నుండి మార్చారు మరియు మొదట 29 అక్టోబర్ 1945 న పెన్సిల్వేనియాలోని లాక్ హెవెన్ నుండి ప్రయాణించారు. మొదటి ఉత్పత్తి నమూనా 22 ఫిబ్రవరి 1946 న జరిగింది మరియు పరిమాణ ఉత్పత్తి 3760 నిర్మించిన చివరి ఉదాహరణ 18 మార్చి 1948 న పూర్తయింది. . [[4] PA-12 వీల్స్, స్కిస్, ఫ్లోట్స్ మరియు పంట స్ప్రేయింగ్ కోసం ఆమోదించబడింది. [3] ముందు సీటులో పైలట్ మరియు వెనుక సీటులో ఇద్దరు ప్రయాణీకులకు కాక్‌పిట్ వసతి అందించబడుతుంది, పక్కపక్కనే. J-3 కబ్ మాదిరిగా కాకుండా PA-12 ముందు సీటు నుండి సోలో నుండి ఎగిరింది. [2] [3] చాలా PA-12 లు పెద్ద ఇంజిన్లతో సవరించబడ్డాయి. రెక్కల ఫ్లాప్‌లు మరియు మెటల్-స్కిన్ ఫ్యూజ్‌లేజ్‌ను సవరణలుగా చేర్చవచ్చు. [3] 1947 లో, సిటీ ఆఫ్ వాషింగ్టన్ మరియు సిటీ ఆఫ్ ఏంజిల్స్ అనే రెండు PA-12 లు ప్రపంచవ్యాప్తంగా ప్రయాణించాయి. వారు అనుభవించిన చెత్త యాంత్రిక వైఫల్యం పగిలిన టెయిల్‌వీల్. వాషింగ్టన్ నగరం ప్రస్తుతం వర్జీనియాలోని చాంటిల్లీలోని స్టీవెన్ ఎఫ్. ఉడ్వర్-హేజీ సెంటర్‌లో భాగమైన బోయింగ్ ఏవియేషన్ హ్యాంగర్‌లో నివసిస్తోంది. ఏంజిల్స్ నగరం పెన్సిల్వేనియాలోని లాక్ హెవెన్‌లోని పైపర్ ఏవియేషన్ మ్యూజియంలో ప్రదర్శనలో ఉంది. [5] PA-12 లు బెల్జియం, కెనడా, ఫ్రాన్స్, ఐర్లాండ్, నెదర్లాండ్స్, స్విట్జర్లాండ్ మరియు యునైటెడ్ కింగ్‌డమ్‌తో సహా పలు దేశాలకు ఎగుమతి చేయబడ్డాయి. చాలా PA-12 లను ఇప్పటికీ ప్రైవేట్ పైలట్ యజమానులు ఎగురవేస్తారు మరియు ఈ రకం సాధారణంగా ఉత్తర అమెరికాలో కనిపిస్తుంది. నవంబర్ 2009 లో యుఎస్ లో ఇంకా 1688 మరియు కెనడాలో 229 నమోదు చేయబడ్డాయి. [2] [6] [7] జేన్#S అన్ని ప్రపంచ విమానాల నుండి డేటా 1948 [10] సాధారణ లక్షణాలు పనితీరు సంబంధిత అభివృద్ధి</v>
      </c>
      <c r="E178" s="1" t="s">
        <v>3631</v>
      </c>
      <c r="F178" s="1" t="s">
        <v>3632</v>
      </c>
      <c r="G178" s="1" t="str">
        <f>IFERROR(__xludf.DUMMYFUNCTION("GOOGLETRANSLATE(F:F, ""en"", ""te"")"),"వ్యక్తిగత వినియోగ విమానం")</f>
        <v>వ్యక్తిగత వినియోగ విమానం</v>
      </c>
      <c r="I178" s="1" t="s">
        <v>447</v>
      </c>
      <c r="J178" s="1" t="str">
        <f>IFERROR(__xludf.DUMMYFUNCTION("GOOGLETRANSLATE(I:I, ""en"", ""te"")"),"అమెరికా")</f>
        <v>అమెరికా</v>
      </c>
      <c r="L178" s="1" t="s">
        <v>2828</v>
      </c>
      <c r="M178" s="1" t="str">
        <f>IFERROR(__xludf.DUMMYFUNCTION("GOOGLETRANSLATE(L:L, ""en"", ""te"")"),"పైపర్ విమానం")</f>
        <v>పైపర్ విమానం</v>
      </c>
      <c r="N178" s="1" t="s">
        <v>2829</v>
      </c>
      <c r="R178" s="4">
        <v>16739.0</v>
      </c>
      <c r="S178" s="1" t="s">
        <v>3633</v>
      </c>
      <c r="T178" s="1" t="s">
        <v>216</v>
      </c>
      <c r="U178" s="1" t="s">
        <v>3634</v>
      </c>
      <c r="V178" s="1" t="s">
        <v>1982</v>
      </c>
      <c r="W178" s="1" t="s">
        <v>3635</v>
      </c>
      <c r="X178" s="1" t="s">
        <v>3636</v>
      </c>
      <c r="Y178" s="1" t="s">
        <v>3637</v>
      </c>
      <c r="Z178" s="1" t="s">
        <v>3638</v>
      </c>
      <c r="AG178" s="1" t="s">
        <v>2054</v>
      </c>
      <c r="AH178" s="1" t="s">
        <v>3639</v>
      </c>
      <c r="AM178" s="1" t="s">
        <v>3640</v>
      </c>
      <c r="AO178" s="1">
        <v>1946.0</v>
      </c>
      <c r="AV178" s="1" t="s">
        <v>1988</v>
      </c>
      <c r="AW178" s="1" t="s">
        <v>3641</v>
      </c>
      <c r="AX178" s="1" t="s">
        <v>3642</v>
      </c>
      <c r="AY178" s="1" t="str">
        <f>IFERROR(__xludf.DUMMYFUNCTION("GOOGLETRANSLATE(AX:AX, ""en"", ""te"")"),"1 × లైమింగ్ O-235-C 4-సిలిండర్ ఎయిర్-కూల్డ్ హారిజంటల్-కంపోజ్డ్ పిస్టన్ ఇంజిన్, 104 HP (78 kW)")</f>
        <v>1 × లైమింగ్ O-235-C 4-సిలిండర్ ఎయిర్-కూల్డ్ హారిజంటల్-కంపోజ్డ్ పిస్టన్ ఇంజిన్, 104 HP (78 kW)</v>
      </c>
      <c r="AZ178" s="1" t="s">
        <v>3643</v>
      </c>
      <c r="BA178" s="1" t="str">
        <f>IFERROR(__xludf.DUMMYFUNCTION("GOOGLETRANSLATE(AZ:AZ, ""en"", ""te"")"),"2-బ్లేడెడ్ సెన్సేనిచ్ ఫిక్స్‌డ్-పిచ్ వుడెన్ ప్రొపెల్లర్, 6 అడుగుల 2 (1.88 మీ) వ్యాసం")</f>
        <v>2-బ్లేడెడ్ సెన్సేనిచ్ ఫిక్స్‌డ్-పిచ్ వుడెన్ ప్రొపెల్లర్, 6 అడుగుల 2 (1.88 మీ) వ్యాసం</v>
      </c>
      <c r="BB178" s="1" t="s">
        <v>3644</v>
      </c>
      <c r="BD178" s="1" t="s">
        <v>3645</v>
      </c>
      <c r="BF178" s="1" t="s">
        <v>3646</v>
      </c>
      <c r="BG178" s="2" t="str">
        <f>IFERROR(__xludf.DUMMYFUNCTION("GOOGLETRANSLATE(BF:BF, ""en"", ""te"")"),"ప్రైవేట్ యజమానులు")</f>
        <v>ప్రైవేట్ యజమానులు</v>
      </c>
      <c r="BI178" s="1" t="s">
        <v>3647</v>
      </c>
      <c r="BJ178" s="1" t="s">
        <v>3648</v>
      </c>
      <c r="BR178" s="1" t="s">
        <v>3649</v>
      </c>
      <c r="BS178" s="1" t="s">
        <v>3650</v>
      </c>
      <c r="BT178" s="1" t="s">
        <v>3651</v>
      </c>
      <c r="BU178" s="1" t="s">
        <v>3652</v>
      </c>
      <c r="BV178" s="1" t="str">
        <f>IFERROR(__xludf.DUMMYFUNCTION("GOOGLETRANSLATE(BU:BU, ""en"", ""te"")"),"చాలా మంది ఇప్పటికీ 2014 లో చురుకుగా ఉన్నారు")</f>
        <v>చాలా మంది ఇప్పటికీ 2014 లో చురుకుగా ఉన్నారు</v>
      </c>
      <c r="BW178" s="1" t="s">
        <v>3653</v>
      </c>
      <c r="BX178" s="1"/>
      <c r="BY178" s="1" t="s">
        <v>3654</v>
      </c>
      <c r="GB178" s="1" t="s">
        <v>3655</v>
      </c>
      <c r="GC178" s="1" t="s">
        <v>3656</v>
      </c>
    </row>
    <row r="179">
      <c r="A179" s="1" t="s">
        <v>3657</v>
      </c>
      <c r="B179" s="1" t="str">
        <f>IFERROR(__xludf.DUMMYFUNCTION("GOOGLETRANSLATE(A:A, ""en"", ""te"")"),"రేడియోప్లేన్ క్యూ -1")</f>
        <v>రేడియోప్లేన్ క్యూ -1</v>
      </c>
      <c r="C179" s="1" t="s">
        <v>3658</v>
      </c>
      <c r="D179" s="1" t="str">
        <f>IFERROR(__xludf.DUMMYFUNCTION("GOOGLETRANSLATE(C:C, ""en"", ""te"")"),"రేడియోప్లేన్ క్యూ -1 ఒక అమెరికన్ టార్గెట్ డ్రోన్, ఇది 1950 ల ప్రారంభంలో రేడియోప్లేన్ కంపెనీ అమెరికా వైమానిక దళం కోసం అభివృద్ధి చేయబడింది. వాస్తవానికి పల్సెజెట్ ఇంజిన్‌తో నడిచే, తరువాత మెరుగైన టర్బోజెట్-శక్తితో పనిచేసే విమానంగా అభివృద్ధి చేయబడింది, Q-1 USA"&amp;"F యొక్క అభిమానాన్ని గెలుచుకోవడంలో విఫలమైంది. ఏదేమైనా, ఈ విమానం GAM-67 క్రాస్బౌ యాంటీ-రాడార్ క్షిపణికి ఆధారాన్ని అందించింది. 1948 లో ఏర్పడిన కొద్దికాలానికే, అమెరికా వైమానిక దళం కొత్త రకం హై-స్పీడ్ టార్గెట్ డ్రోన్ కోసం ఒక స్పెసిఫికేషన్ జారీ చేసింది. అత్యంత "&amp;"వాస్తవిక శిక్షణను అందించడానికి జెట్-శక్తితో ఉండాల్సిన అవసరం ఉంది, డ్రోన్ అభివృద్ధికి సంబంధించిన ఒప్పందం రేడియోప్లేన్ కంపెనీకి ఇవ్వబడింది, తరువాత నార్త్రోప్ యొక్క విభాగం. [1] సింగిల్ జియానిని పిజె 39 పల్సెజెట్ ఇంజిన్ చేత ఆధారితమైన డ్రోన్, కంపెనీ RP-26 హోదా"&amp;"ను మరియు USAF చేత XQ-1, హై-వింగ్, రాకెట్ స్లెడ్ ​​లాంచ్ చేసిన విమానం. వాస్తవానికి పెద్ద సింగిల్ నిలువు స్టెబిలైజర్‌తో అమర్చబడి, డిజైన్ దాని క్యారియర్ విమానం యొక్క అదనపు క్లియరెన్స్‌ను అందించడానికి జంట తోక కాన్ఫిగరేషన్‌కు సవరించబడింది. [1] రికవరీ, డ్రోన్ ఫ"&amp;"్లైట్ ముగిసిన తరువాత, పారాచూట్ ద్వారా. [1] XQ-1 ప్రోటోటైప్ యొక్క మొదటి ఫ్లైట్ 1950 లో జరిగింది; 28 రకం విమానం నిర్మించబడింది. [1] విమానం ఎక్కువగా సంతృప్తికరంగా ఉందని నిరూపించబడినప్పటికీ, పల్సెజెట్ ఇంజిన్ యొక్క దాహం గల స్వభావం డ్రోన్ యొక్క ఓర్పును కేవలం 60"&amp;" నిమిషాలకు పరిమితం చేసింది. [2] విమానం యొక్క విమాన సమయాన్ని పెంచే ప్రయత్నంలో, ఒక XQ-1 ను తిరిగి ఇంజిన్ చేశారు, కాంటినెంటల్ YJ69 టర్బోజెట్ పల్సెజెట్‌ను భర్తీ చేసి, XQ-1A గా మారుతుంది; [1] అయినప్పటికీ మరింత మెరుగుదలలు అవసరమని నిర్ధారించబడింది మరియు మరియు కా"&amp;"బట్టి రకం యొక్క ప్రధాన పున es రూపకల్పన చేపట్టబడింది. [1] సంస్థ RP-50 గా పిలువబడుతుంది మరియు USAF చేత YQ-1B గా నియమించబడింది, సవరించిన డ్రోన్ 1953 లో మొదటిసారిగా ఎగిరింది, ఆ సంవత్సరం తరువాత వైమానిక దళం అంచనా వేసింది. YJ69 ఇంజిన్‌ను ఉపయోగించి, జెట్ కోసం గాల"&amp;"ి తీసుకోవడం విమానం యొక్క ముక్కుకు మార్చబడింది, అయితే క్రాఫ్ట్ యొక్క క్రమబద్ధీకరణను పెంచడానికి ఎయిర్‌ఫ్రేమ్ మొత్తం సవరించబడింది. [1] రాకెట్-స్లెడ్ ​​ప్రయోగం గాలి ప్రయోగానికి అనుకూలంగా వదిలివేయబడింది, డగ్లస్ డిబి -26 అత్యంత సాధారణ క్యారియర్ విమానం. [1] మూల్"&amp;"యాంకనం కోసం ఆరు yq-1bs నిర్మించబడ్డాయి; వారు ఇబ్బంది లేకుండా నిరూపించారు, ఈ రకానికి ఉత్పత్తి క్రమం లేదు, పోటీపడే ర్యాన్ క్యూ -2 డ్రోన్ బదులుగా కార్యాచరణ సేవ కోసం ఎంపిక చేయబడింది; ఫలితంగా, Q-1 ప్రోగ్రామ్ రద్దు చేయబడింది. [1] ఏదేమైనా, YQ-1B ఎయిర్‌ఫ్రేమ్‌ను "&amp;"రేడియోప్లేన్ కొత్త రాడార్ యాంటీ-రాడార్ క్షిపణి అభివృద్ధికి ప్రారంభించింది, దీనిని U.S. వైమానిక దళం GAM-67 క్రాస్‌బౌగా పరీక్షిస్తుంది. [3] [1] సాధారణ లక్షణాల నుండి డేటా పనితీరు సంబంధిత అభివృద్ధి విమానం పోల్చదగిన పాత్ర, కాన్ఫిగరేషన్ మరియు ERA సంబంధిత జాబితా"&amp;"ల యొక్క విమానం")</f>
        <v>రేడియోప్లేన్ క్యూ -1 ఒక అమెరికన్ టార్గెట్ డ్రోన్, ఇది 1950 ల ప్రారంభంలో రేడియోప్లేన్ కంపెనీ అమెరికా వైమానిక దళం కోసం అభివృద్ధి చేయబడింది. వాస్తవానికి పల్సెజెట్ ఇంజిన్‌తో నడిచే, తరువాత మెరుగైన టర్బోజెట్-శక్తితో పనిచేసే విమానంగా అభివృద్ధి చేయబడింది, Q-1 USAF యొక్క అభిమానాన్ని గెలుచుకోవడంలో విఫలమైంది. ఏదేమైనా, ఈ విమానం GAM-67 క్రాస్బౌ యాంటీ-రాడార్ క్షిపణికి ఆధారాన్ని అందించింది. 1948 లో ఏర్పడిన కొద్దికాలానికే, అమెరికా వైమానిక దళం కొత్త రకం హై-స్పీడ్ టార్గెట్ డ్రోన్ కోసం ఒక స్పెసిఫికేషన్ జారీ చేసింది. అత్యంత వాస్తవిక శిక్షణను అందించడానికి జెట్-శక్తితో ఉండాల్సిన అవసరం ఉంది, డ్రోన్ అభివృద్ధికి సంబంధించిన ఒప్పందం రేడియోప్లేన్ కంపెనీకి ఇవ్వబడింది, తరువాత నార్త్రోప్ యొక్క విభాగం. [1] సింగిల్ జియానిని పిజె 39 పల్సెజెట్ ఇంజిన్ చేత ఆధారితమైన డ్రోన్, కంపెనీ RP-26 హోదాను మరియు USAF చేత XQ-1, హై-వింగ్, రాకెట్ స్లెడ్ ​​లాంచ్ చేసిన విమానం. వాస్తవానికి పెద్ద సింగిల్ నిలువు స్టెబిలైజర్‌తో అమర్చబడి, డిజైన్ దాని క్యారియర్ విమానం యొక్క అదనపు క్లియరెన్స్‌ను అందించడానికి జంట తోక కాన్ఫిగరేషన్‌కు సవరించబడింది. [1] రికవరీ, డ్రోన్ ఫ్లైట్ ముగిసిన తరువాత, పారాచూట్ ద్వారా. [1] XQ-1 ప్రోటోటైప్ యొక్క మొదటి ఫ్లైట్ 1950 లో జరిగింది; 28 రకం విమానం నిర్మించబడింది. [1] విమానం ఎక్కువగా సంతృప్తికరంగా ఉందని నిరూపించబడినప్పటికీ, పల్సెజెట్ ఇంజిన్ యొక్క దాహం గల స్వభావం డ్రోన్ యొక్క ఓర్పును కేవలం 60 నిమిషాలకు పరిమితం చేసింది. [2] విమానం యొక్క విమాన సమయాన్ని పెంచే ప్రయత్నంలో, ఒక XQ-1 ను తిరిగి ఇంజిన్ చేశారు, కాంటినెంటల్ YJ69 టర్బోజెట్ పల్సెజెట్‌ను భర్తీ చేసి, XQ-1A గా మారుతుంది; [1] అయినప్పటికీ మరింత మెరుగుదలలు అవసరమని నిర్ధారించబడింది మరియు మరియు కాబట్టి రకం యొక్క ప్రధాన పున es రూపకల్పన చేపట్టబడింది. [1] సంస్థ RP-50 గా పిలువబడుతుంది మరియు USAF చేత YQ-1B గా నియమించబడింది, సవరించిన డ్రోన్ 1953 లో మొదటిసారిగా ఎగిరింది, ఆ సంవత్సరం తరువాత వైమానిక దళం అంచనా వేసింది. YJ69 ఇంజిన్‌ను ఉపయోగించి, జెట్ కోసం గాలి తీసుకోవడం విమానం యొక్క ముక్కుకు మార్చబడింది, అయితే క్రాఫ్ట్ యొక్క క్రమబద్ధీకరణను పెంచడానికి ఎయిర్‌ఫ్రేమ్ మొత్తం సవరించబడింది. [1] రాకెట్-స్లెడ్ ​​ప్రయోగం గాలి ప్రయోగానికి అనుకూలంగా వదిలివేయబడింది, డగ్లస్ డిబి -26 అత్యంత సాధారణ క్యారియర్ విమానం. [1] మూల్యాంకనం కోసం ఆరు yq-1bs నిర్మించబడ్డాయి; వారు ఇబ్బంది లేకుండా నిరూపించారు, ఈ రకానికి ఉత్పత్తి క్రమం లేదు, పోటీపడే ర్యాన్ క్యూ -2 డ్రోన్ బదులుగా కార్యాచరణ సేవ కోసం ఎంపిక చేయబడింది; ఫలితంగా, Q-1 ప్రోగ్రామ్ రద్దు చేయబడింది. [1] ఏదేమైనా, YQ-1B ఎయిర్‌ఫ్రేమ్‌ను రేడియోప్లేన్ కొత్త రాడార్ యాంటీ-రాడార్ క్షిపణి అభివృద్ధికి ప్రారంభించింది, దీనిని U.S. వైమానిక దళం GAM-67 క్రాస్‌బౌగా పరీక్షిస్తుంది. [3] [1] సాధారణ లక్షణాల నుండి డేటా పనితీరు సంబంధిత అభివృద్ధి విమానం పోల్చదగిన పాత్ర, కాన్ఫిగరేషన్ మరియు ERA సంబంధిత జాబితాల యొక్క విమానం</v>
      </c>
      <c r="E179" s="1" t="s">
        <v>3659</v>
      </c>
      <c r="F179" s="1" t="s">
        <v>3660</v>
      </c>
      <c r="G179" s="1" t="str">
        <f>IFERROR(__xludf.DUMMYFUNCTION("GOOGLETRANSLATE(F:F, ""en"", ""te"")"),"హై-స్పీడ్ టార్గెట్ డ్రోన్")</f>
        <v>హై-స్పీడ్ టార్గెట్ డ్రోన్</v>
      </c>
      <c r="L179" s="1" t="s">
        <v>3661</v>
      </c>
      <c r="M179" s="1" t="str">
        <f>IFERROR(__xludf.DUMMYFUNCTION("GOOGLETRANSLATE(L:L, ""en"", ""te"")"),"రేడియోప్లేన్ కంపెనీ")</f>
        <v>రేడియోప్లేన్ కంపెనీ</v>
      </c>
      <c r="N179" s="1" t="s">
        <v>3662</v>
      </c>
      <c r="R179" s="1">
        <v>1950.0</v>
      </c>
      <c r="S179" s="1">
        <v>34.0</v>
      </c>
      <c r="T179" s="1" t="s">
        <v>216</v>
      </c>
      <c r="V179" s="1" t="s">
        <v>3663</v>
      </c>
      <c r="W179" s="1" t="s">
        <v>3664</v>
      </c>
      <c r="X179" s="1" t="s">
        <v>3665</v>
      </c>
      <c r="Y179" s="1" t="s">
        <v>3666</v>
      </c>
      <c r="AX179" s="1" t="s">
        <v>3667</v>
      </c>
      <c r="AY179" s="1" t="str">
        <f>IFERROR(__xludf.DUMMYFUNCTION("GOOGLETRANSLATE(AX:AX, ""en"", ""te"")"),"1 × కాంటినెంటల్ YJ69-T-3 టర్బోజెట్, 880 lbf (3.9 kn) థ్రస్ట్")</f>
        <v>1 × కాంటినెంటల్ YJ69-T-3 టర్బోజెట్, 880 lbf (3.9 kn) థ్రస్ట్</v>
      </c>
      <c r="BB179" s="1" t="s">
        <v>3668</v>
      </c>
      <c r="BF179" s="1" t="s">
        <v>3669</v>
      </c>
      <c r="BG179" s="2" t="str">
        <f>IFERROR(__xludf.DUMMYFUNCTION("GOOGLETRANSLATE(BF:BF, ""en"", ""te"")"),"యు.ఎస్. వైమానిక దళం")</f>
        <v>యు.ఎస్. వైమానిక దళం</v>
      </c>
      <c r="BH179" s="1" t="s">
        <v>3670</v>
      </c>
      <c r="BX179" s="1"/>
      <c r="BY179" s="1" t="s">
        <v>3671</v>
      </c>
      <c r="CR179" s="1" t="s">
        <v>3672</v>
      </c>
      <c r="CS179" s="1" t="s">
        <v>3673</v>
      </c>
    </row>
    <row r="180">
      <c r="A180" s="1" t="s">
        <v>3674</v>
      </c>
      <c r="B180" s="1" t="str">
        <f>IFERROR(__xludf.DUMMYFUNCTION("GOOGLETRANSLATE(A:A, ""en"", ""te"")"),"హార్లో పిసి -5")</f>
        <v>హార్లో పిసి -5</v>
      </c>
      <c r="C180" s="1" t="s">
        <v>3675</v>
      </c>
      <c r="D180" s="1" t="str">
        <f>IFERROR(__xludf.DUMMYFUNCTION("GOOGLETRANSLATE(C:C, ""en"", ""te"")"),"హార్లో పిసి -5 అనేది 1930 ల అమెరికన్ మిలిటరీ ట్రైనర్ వెర్షన్, ఇది హార్లో ఎయిర్క్రాఫ్ట్ కంపెనీ రూపొందించిన మరియు నిర్మించిన పిజెసి -2 యొక్క అమెరికన్ మిలిటరీ ట్రైనర్ వెర్షన్. కాలిఫోర్నియాలోని అల్హాంబ్రాలోని హార్లో ఎయిర్క్రాఫ్ట్ కంపెనీ పిజెసి -2 యొక్క సంస్కర"&amp;"ణను రెండు-సీట్ల శిక్షణా విమానంగా రూపొందించింది. [1] PC-5 ద్వంద్వ నియంత్రణలతో సవరించిన ఫ్యూజ్‌లేజ్‌ను కలిగి ఉంది. [1] ఈ విమానం మొదట జూలై 1939 లో ప్రయాణించింది, కాని ఇది అమెరికా ఆర్మీ ఎయిర్ కార్ప్స్ ఆసక్తిని కలిగి ఉండటంలో విఫలమైంది. హోవార్డ్ హ్యూస్ యొక్క వ్"&amp;"యాపార భాగస్వామి, J.B. అలెగ్జాండర్, ఈ ప్రాజెక్టుకు మద్దతు ఇచ్చాడు మరియు విమానం యొక్క ప్రారంభ ఉదాహరణలలో ఎగిరిపోయాడు. [2] యుద్ధకాల నిర్మాణంలో హార్లో పిసి -5 కు కెనడా యొక్క కబ్ విమానాలకు తయారీ హక్కులను లైసెన్స్ ఇచ్చాడు. [3] కంపెనీని ఇంటర్ కాంటినెంట్ కార్పొరేష"&amp;"న్ స్వాధీనం చేసుకున్నప్పుడు ఐదు విమానాలను మాత్రమే నిర్మించారు. 50 విమానాల కోసం భాగాలు భారతీయ సంస్థ హిందూస్తాన్ ఏరోనాటిక్స్ కు సరఫరా చేయబడ్డాయి, వారు భారత వైమానిక దళం పిసి -5 ఎగా ఉపయోగించడానికి ఈ విమానాన్ని సమీకరించాల్సి ఉంది. [3] మొదటి పిసి -5 ఎ ఆగస్టు 19"&amp;"41 లో ఎగిరింది, [4] కానీ ఎన్ని సమావేశమై ఎగిరిపోయారో తెలియదు. ఇంటర్ కాంటినెంటల్ తీసుకువచ్చిన ఇంజనీరింగ్ బృందాన్ని ఉపయోగించి, పిసి -5 యొక్క చౌకైన వెర్షన్ అభివృద్ధి చేయబడింది మరియు పిసి -6 గా నిర్మించబడింది. పిసి -6 వింగ్ విఫలమైంది, ఇది ప్రారంభ పరీక్ష విమానం"&amp;"లో ఘోరమైన ప్రమాదానికి కారణమైంది. [సైటేషన్ అవసరం] జేన్ యొక్క అన్ని ప్రపంచ విమానాల నుండి డేటా 1941, [5] ఇలస్ట్రేటెడ్ ఎన్సైక్లోపీడియా ఆఫ్ ఎయిర్క్రాఫ్ట్ [6] పోల్చదగిన పాత్ర, కాన్ఫిగరేషన్ యొక్క సాధారణ లక్షణాల పనితీరు విమానం, కాన్ఫిగరేషన్ , మరియు ERA సంబంధిత జా"&amp;"బితాలు")</f>
        <v>హార్లో పిసి -5 అనేది 1930 ల అమెరికన్ మిలిటరీ ట్రైనర్ వెర్షన్, ఇది హార్లో ఎయిర్క్రాఫ్ట్ కంపెనీ రూపొందించిన మరియు నిర్మించిన పిజెసి -2 యొక్క అమెరికన్ మిలిటరీ ట్రైనర్ వెర్షన్. కాలిఫోర్నియాలోని అల్హాంబ్రాలోని హార్లో ఎయిర్క్రాఫ్ట్ కంపెనీ పిజెసి -2 యొక్క సంస్కరణను రెండు-సీట్ల శిక్షణా విమానంగా రూపొందించింది. [1] PC-5 ద్వంద్వ నియంత్రణలతో సవరించిన ఫ్యూజ్‌లేజ్‌ను కలిగి ఉంది. [1] ఈ విమానం మొదట జూలై 1939 లో ప్రయాణించింది, కాని ఇది అమెరికా ఆర్మీ ఎయిర్ కార్ప్స్ ఆసక్తిని కలిగి ఉండటంలో విఫలమైంది. హోవార్డ్ హ్యూస్ యొక్క వ్యాపార భాగస్వామి, J.B. అలెగ్జాండర్, ఈ ప్రాజెక్టుకు మద్దతు ఇచ్చాడు మరియు విమానం యొక్క ప్రారంభ ఉదాహరణలలో ఎగిరిపోయాడు. [2] యుద్ధకాల నిర్మాణంలో హార్లో పిసి -5 కు కెనడా యొక్క కబ్ విమానాలకు తయారీ హక్కులను లైసెన్స్ ఇచ్చాడు. [3] కంపెనీని ఇంటర్ కాంటినెంట్ కార్పొరేషన్ స్వాధీనం చేసుకున్నప్పుడు ఐదు విమానాలను మాత్రమే నిర్మించారు. 50 విమానాల కోసం భాగాలు భారతీయ సంస్థ హిందూస్తాన్ ఏరోనాటిక్స్ కు సరఫరా చేయబడ్డాయి, వారు భారత వైమానిక దళం పిసి -5 ఎగా ఉపయోగించడానికి ఈ విమానాన్ని సమీకరించాల్సి ఉంది. [3] మొదటి పిసి -5 ఎ ఆగస్టు 1941 లో ఎగిరింది, [4] కానీ ఎన్ని సమావేశమై ఎగిరిపోయారో తెలియదు. ఇంటర్ కాంటినెంటల్ తీసుకువచ్చిన ఇంజనీరింగ్ బృందాన్ని ఉపయోగించి, పిసి -5 యొక్క చౌకైన వెర్షన్ అభివృద్ధి చేయబడింది మరియు పిసి -6 గా నిర్మించబడింది. పిసి -6 వింగ్ విఫలమైంది, ఇది ప్రారంభ పరీక్ష విమానంలో ఘోరమైన ప్రమాదానికి కారణమైంది. [సైటేషన్ అవసరం] జేన్ యొక్క అన్ని ప్రపంచ విమానాల నుండి డేటా 1941, [5] ఇలస్ట్రేటెడ్ ఎన్సైక్లోపీడియా ఆఫ్ ఎయిర్క్రాఫ్ట్ [6] పోల్చదగిన పాత్ర, కాన్ఫిగరేషన్ యొక్క సాధారణ లక్షణాల పనితీరు విమానం, కాన్ఫిగరేషన్ , మరియు ERA సంబంధిత జాబితాలు</v>
      </c>
      <c r="E180" s="1" t="s">
        <v>3676</v>
      </c>
      <c r="F180" s="1" t="s">
        <v>2952</v>
      </c>
      <c r="G180" s="1" t="str">
        <f>IFERROR(__xludf.DUMMYFUNCTION("GOOGLETRANSLATE(F:F, ""en"", ""te"")"),"నాలుగు-సీట్ల క్యాబిన్ మోనోప్లేన్")</f>
        <v>నాలుగు-సీట్ల క్యాబిన్ మోనోప్లేన్</v>
      </c>
      <c r="L180" s="1" t="s">
        <v>3677</v>
      </c>
      <c r="M180" s="1" t="str">
        <f>IFERROR(__xludf.DUMMYFUNCTION("GOOGLETRANSLATE(L:L, ""en"", ""te"")"),"హార్లో ఎయిర్క్రాఫ్ట్ కంపెనీ హిందుస్తాన్ ఏరోనాటిక్స్")</f>
        <v>హార్లో ఎయిర్క్రాఫ్ట్ కంపెనీ హిందుస్తాన్ ఏరోనాటిక్స్</v>
      </c>
      <c r="N180" s="1" t="s">
        <v>3678</v>
      </c>
      <c r="O180" s="1" t="s">
        <v>3679</v>
      </c>
      <c r="P180" s="1" t="str">
        <f>IFERROR(__xludf.DUMMYFUNCTION("GOOGLETRANSLATE(O:O, ""en"", ""te"")"),"మాక్స్ బి. హార్లో")</f>
        <v>మాక్స్ బి. హార్లో</v>
      </c>
      <c r="Q180" s="1" t="s">
        <v>3680</v>
      </c>
      <c r="R180" s="1">
        <v>1939.0</v>
      </c>
      <c r="S180" s="1" t="s">
        <v>3681</v>
      </c>
      <c r="T180" s="1" t="s">
        <v>216</v>
      </c>
      <c r="V180" s="1">
        <v>2.0</v>
      </c>
      <c r="W180" s="1" t="s">
        <v>3682</v>
      </c>
      <c r="X180" s="1" t="s">
        <v>3683</v>
      </c>
      <c r="Y180" s="1" t="s">
        <v>3684</v>
      </c>
      <c r="Z180" s="1" t="s">
        <v>3685</v>
      </c>
      <c r="AF180" s="1" t="s">
        <v>3686</v>
      </c>
      <c r="AG180" s="1" t="s">
        <v>3687</v>
      </c>
      <c r="AH180" s="1" t="s">
        <v>3688</v>
      </c>
      <c r="AO180" s="1">
        <v>1942.0</v>
      </c>
      <c r="AX180" s="1" t="s">
        <v>3689</v>
      </c>
      <c r="AY180" s="1" t="str">
        <f>IFERROR(__xludf.DUMMYFUNCTION("GOOGLETRANSLATE(AX:AX, ""en"", ""te"")"),"1 × వార్నర్ సూపర్ స్కార్బ్ 165-డి 7-సిలిండర్ ఎయిర్-కూల్డ్ రేడియల్ పిస్టన్ ఇంజిన్, 165 హెచ్‌పి (123 కిలోవాట్)")</f>
        <v>1 × వార్నర్ సూపర్ స్కార్బ్ 165-డి 7-సిలిండర్ ఎయిర్-కూల్డ్ రేడియల్ పిస్టన్ ఇంజిన్, 165 హెచ్‌పి (123 కిలోవాట్)</v>
      </c>
      <c r="AZ180" s="1" t="s">
        <v>3690</v>
      </c>
      <c r="BA180" s="1" t="str">
        <f>IFERROR(__xludf.DUMMYFUNCTION("GOOGLETRANSLATE(AZ:AZ, ""en"", ""te"")"),"2-బ్లేడెడ్ హామిల్టన్ ప్రామాణిక స్థిరమైన-స్పీడ్ ప్రొపెల్లర్")</f>
        <v>2-బ్లేడెడ్ హామిల్టన్ ప్రామాణిక స్థిరమైన-స్పీడ్ ప్రొపెల్లర్</v>
      </c>
      <c r="BB180" s="1" t="s">
        <v>3691</v>
      </c>
      <c r="BC180" s="1" t="s">
        <v>3692</v>
      </c>
      <c r="BD180" s="1" t="s">
        <v>462</v>
      </c>
      <c r="BF180" s="1" t="s">
        <v>3693</v>
      </c>
      <c r="BG180" s="2" t="str">
        <f>IFERROR(__xludf.DUMMYFUNCTION("GOOGLETRANSLATE(BF:BF, ""en"", ""te"")"),"రాజ భారత వైమానిక దళం")</f>
        <v>రాజ భారత వైమానిక దళం</v>
      </c>
      <c r="BH180" s="1" t="s">
        <v>3694</v>
      </c>
      <c r="BS180" s="1" t="s">
        <v>3695</v>
      </c>
      <c r="BT180" s="1" t="s">
        <v>3696</v>
      </c>
      <c r="CA180" s="1" t="s">
        <v>3697</v>
      </c>
    </row>
    <row r="181">
      <c r="A181" s="1" t="s">
        <v>3698</v>
      </c>
      <c r="B181" s="1" t="str">
        <f>IFERROR(__xludf.DUMMYFUNCTION("GOOGLETRANSLATE(A:A, ""en"", ""te"")"),"కాంట్ 26")</f>
        <v>కాంట్ 26</v>
      </c>
      <c r="C181" s="1" t="s">
        <v>3699</v>
      </c>
      <c r="D181" s="1" t="str">
        <f>IFERROR(__xludf.DUMMYFUNCTION("GOOGLETRANSLATE(C:C, ""en"", ""te"")"),"కాంట్ 26 అనేది ఇటాలియన్ రెండు-సీట్ల బిప్‌లేన్ ట్రైనర్. కాంట్ 26 అనేది ల్యాండ్‌ప్లేన్ అయినందున కాంట్ యొక్క అసాధారణమైన ఉత్పత్తి. ఇది టెయిల్‌వీల్ ల్యాండింగ్ గేర్‌తో రెండు సీట్ల బైప్‌లేన్ మరియు 60 కిలోవాట్ల (80 హెచ్‌పి) ఇంజిన్‌తో శక్తినిస్తుంది. ఏడు ఉదాహరణలు "&amp;"మాత్రమే నిర్మించబడ్డాయి, వాటిలో ఒకటి ఛాలెంజ్ 1929 ట్రయల్స్‌లో పోటీ పడింది, వాటిలో మరొకటి తాత్కాలికంగా సీప్లేన్‌గా మార్చబడింది. అర్జెంటీనాలో ఒక విమానం R-183 గా నమోదు చేయబడింది మరియు తరువాత దీనిని 1932 లో నికోలా బోలోని పరాగ్వేలోని ఒక ఇటాలియన్ పౌరుల నివాసికి"&amp;" విక్రయించారు. అతను దానిని పరాగ్వేయన్ మిలిటరీ ఎయిర్ ఆర్మ్‌కు విక్రయించాడు. ఇది సీరియల్ టి -6 ను పొందింది మరియు ఇది చాకో యుద్ధంలో అనుసంధాన విమానంగా ఉపయోగించబడింది. మే 5, 1933 న జరిగిన యుద్ధంలో ఇది ఘోరమైన ప్రమాదంలో నాశనం చేయబడింది, కెప్టెన్ జోస్ జోస్ డి. జా"&amp;"రా (పైలట్) మరియు లెఫ్టినెంట్ నీమన్ (ప్రయాణీకుడు) ను చంపారు. జేన్ యొక్క అన్ని ప్రపంచ విమానాల నుండి డేటా 1928 [1] సాధారణ లక్షణాల పనితీరు")</f>
        <v>కాంట్ 26 అనేది ఇటాలియన్ రెండు-సీట్ల బిప్‌లేన్ ట్రైనర్. కాంట్ 26 అనేది ల్యాండ్‌ప్లేన్ అయినందున కాంట్ యొక్క అసాధారణమైన ఉత్పత్తి. ఇది టెయిల్‌వీల్ ల్యాండింగ్ గేర్‌తో రెండు సీట్ల బైప్‌లేన్ మరియు 60 కిలోవాట్ల (80 హెచ్‌పి) ఇంజిన్‌తో శక్తినిస్తుంది. ఏడు ఉదాహరణలు మాత్రమే నిర్మించబడ్డాయి, వాటిలో ఒకటి ఛాలెంజ్ 1929 ట్రయల్స్‌లో పోటీ పడింది, వాటిలో మరొకటి తాత్కాలికంగా సీప్లేన్‌గా మార్చబడింది. అర్జెంటీనాలో ఒక విమానం R-183 గా నమోదు చేయబడింది మరియు తరువాత దీనిని 1932 లో నికోలా బోలోని పరాగ్వేలోని ఒక ఇటాలియన్ పౌరుల నివాసికి విక్రయించారు. అతను దానిని పరాగ్వేయన్ మిలిటరీ ఎయిర్ ఆర్మ్‌కు విక్రయించాడు. ఇది సీరియల్ టి -6 ను పొందింది మరియు ఇది చాకో యుద్ధంలో అనుసంధాన విమానంగా ఉపయోగించబడింది. మే 5, 1933 న జరిగిన యుద్ధంలో ఇది ఘోరమైన ప్రమాదంలో నాశనం చేయబడింది, కెప్టెన్ జోస్ జోస్ డి. జారా (పైలట్) మరియు లెఫ్టినెంట్ నీమన్ (ప్రయాణీకుడు) ను చంపారు. జేన్ యొక్క అన్ని ప్రపంచ విమానాల నుండి డేటా 1928 [1] సాధారణ లక్షణాల పనితీరు</v>
      </c>
      <c r="E181" s="1" t="s">
        <v>3700</v>
      </c>
      <c r="F181" s="1" t="s">
        <v>3701</v>
      </c>
      <c r="G181" s="1" t="str">
        <f>IFERROR(__xludf.DUMMYFUNCTION("GOOGLETRANSLATE(F:F, ""en"", ""te"")"),"బిప్‌లేన్ ట్రైనర్")</f>
        <v>బిప్‌లేన్ ట్రైనర్</v>
      </c>
      <c r="L181" s="1" t="s">
        <v>3702</v>
      </c>
      <c r="M181" s="1" t="str">
        <f>IFERROR(__xludf.DUMMYFUNCTION("GOOGLETRANSLATE(L:L, ""en"", ""te"")"),"కాంట్")</f>
        <v>కాంట్</v>
      </c>
      <c r="N181" s="3" t="s">
        <v>3703</v>
      </c>
      <c r="R181" s="1">
        <v>1928.0</v>
      </c>
      <c r="S181" s="1">
        <v>7.0</v>
      </c>
      <c r="V181" s="1">
        <v>2.0</v>
      </c>
      <c r="W181" s="1" t="s">
        <v>3704</v>
      </c>
      <c r="X181" s="1" t="s">
        <v>722</v>
      </c>
      <c r="Y181" s="1" t="s">
        <v>3705</v>
      </c>
      <c r="Z181" s="1" t="s">
        <v>3706</v>
      </c>
      <c r="AG181" s="1" t="s">
        <v>3707</v>
      </c>
      <c r="AH181" s="1" t="s">
        <v>3480</v>
      </c>
      <c r="AM181" s="1" t="s">
        <v>3708</v>
      </c>
      <c r="AN181" s="3" t="s">
        <v>1597</v>
      </c>
      <c r="AX181" s="1" t="s">
        <v>3709</v>
      </c>
      <c r="AY181" s="1" t="str">
        <f>IFERROR(__xludf.DUMMYFUNCTION("GOOGLETRANSLATE(AX:AX, ""en"", ""te"")"),"1 × ఐసోటా ఫ్రాస్చిని అస్సో 80 6-సిల్ ఎయిర్-కూల్డ్ ఇన్-లైన్ పిస్టన్ ఇంజిన్, 60 కిలోవాట్ (80 హెచ్‌పి)")</f>
        <v>1 × ఐసోటా ఫ్రాస్చిని అస్సో 80 6-సిల్ ఎయిర్-కూల్డ్ ఇన్-లైన్ పిస్టన్ ఇంజిన్, 60 కిలోవాట్ (80 హెచ్‌పి)</v>
      </c>
      <c r="AZ181" s="1" t="s">
        <v>3710</v>
      </c>
      <c r="BA181" s="1" t="str">
        <f>IFERROR(__xludf.DUMMYFUNCTION("GOOGLETRANSLATE(AZ:AZ, ""en"", ""te"")"),"2-బ్లేడెడ్ స్థిర పిచ్ ప్రొపెల్లర్")</f>
        <v>2-బ్లేడెడ్ స్థిర పిచ్ ప్రొపెల్లర్</v>
      </c>
      <c r="BB181" s="1" t="s">
        <v>1911</v>
      </c>
      <c r="BD181" s="1" t="s">
        <v>3711</v>
      </c>
      <c r="BE181" s="1" t="s">
        <v>3712</v>
      </c>
      <c r="BG181" s="2"/>
      <c r="BR181" s="1" t="s">
        <v>1912</v>
      </c>
      <c r="BT181" s="1" t="s">
        <v>3713</v>
      </c>
    </row>
    <row r="182">
      <c r="A182" s="1" t="s">
        <v>3714</v>
      </c>
      <c r="B182" s="1" t="str">
        <f>IFERROR(__xludf.DUMMYFUNCTION("GOOGLETRANSLATE(A:A, ""en"", ""te"")"),"ఇంగ్లీష్ ఎలక్ట్రిక్ రెన్")</f>
        <v>ఇంగ్లీష్ ఎలక్ట్రిక్ రెన్</v>
      </c>
      <c r="C182" s="1" t="s">
        <v>3715</v>
      </c>
      <c r="D182" s="1" t="str">
        <f>IFERROR(__xludf.DUMMYFUNCTION("GOOGLETRANSLATE(C:C, ""en"", ""te"")"),"ఇంగ్లీష్ ఎలక్ట్రిక్ రెన్ 1920 ల బ్రిటిష్ అల్ట్రాలైట్ మోనోప్లేన్, ఇది లాంక్షైర్‌లోని లైథం సెయింట్ అన్నెస్ వద్ద ఇంగ్లీష్ ఎలక్ట్రిక్ కంపెనీ లిమిటెడ్ నిర్మించింది. W. O. మన్నింగ్ రూపొందించిన రెన్, తేలికపాటి మోటారు-గ్లైడర్. మన్నింగ్ ఎగిరే పడవల డిజైనర్ మరియు సర"&amp;"ళమైన ప్రాజెక్ట్ను ప్రయత్నించాలని నిర్ణయించుకున్నాడు. రెన్ సింగిల్-ఇంజిన్ హై-వింగ్ మోనోప్లేన్, ఖాళీ బరువు 232 పౌండ్లు (105 కిలోలు). మొదటి విమానం (సీరియల్ నంబర్ J6973) 1921 లో వైమానిక మంత్రిత్వ శాఖ కోసం నిర్మించబడింది. చాలా తేలికపాటి విమానాలను నిర్మించడంలో "&amp;"ఆసక్తి ఆ సమయంలో డ్యూక్ ఆఫ్ సదర్లాండ్ అందించే £ 500 బహుమతి ద్వారా ప్రోత్సహించబడింది (అతను అండర్ సెక్రటరీ ఆఫ్ ఎయిర్). ప్రవేశించేవారు అత్యంత ఆర్థిక తేలికపాటి సింగిల్-సీట్ల విమానాలను నిర్మించాల్సి వచ్చింది. మరో ప్రోత్సాహకం 750 సిసి కంటే ఎక్కువ ఇంజిన్‌తో మోటార"&amp;"ు-గ్లైడర్ చేత పొడవైన విమానానికి డైలీ మెయిల్ అందించే £ 1,000 బహుమతి. అక్టోబర్ 1923 లో 1923 లింప్నే లైట్ ఎయిర్క్రాఫ్ట్ ట్రయల్స్ కోసం రెండు విమానాలు నిర్మించబడ్డాయి. రెన్ మొదటి బహుమతిని ఒక ఇంపీరియల్ గాలన్ (4.5 లీటర్లు) ఇంధనంపై 87.5 మైళ్ళు (140.8 కిమీ) కవర్ చ"&amp;"ేసినప్పుడు వృత్తాంతం I తో పంచుకుంది. 1957 లో మూడవ విమానం రెండవ విమానం యొక్క భాగాలను ఉపయోగించి పునర్నిర్మించబడింది. ఇది ఇప్పటికీ వాయుమార్గం మరియు బెడ్‌ఫోర్డ్‌షైర్‌లోని ఓల్డ్ వార్డెన్ ఏరోడ్రోమ్‌లోని షటిల్వర్త్ కలెక్షన్‌లో బహిరంగ ప్రదర్శనలో ఉంది. జాక్సన్ నుం"&amp;"డి డేటా [1] సాధారణ లక్షణాల పనితీరు")</f>
        <v>ఇంగ్లీష్ ఎలక్ట్రిక్ రెన్ 1920 ల బ్రిటిష్ అల్ట్రాలైట్ మోనోప్లేన్, ఇది లాంక్షైర్‌లోని లైథం సెయింట్ అన్నెస్ వద్ద ఇంగ్లీష్ ఎలక్ట్రిక్ కంపెనీ లిమిటెడ్ నిర్మించింది. W. O. మన్నింగ్ రూపొందించిన రెన్, తేలికపాటి మోటారు-గ్లైడర్. మన్నింగ్ ఎగిరే పడవల డిజైనర్ మరియు సరళమైన ప్రాజెక్ట్ను ప్రయత్నించాలని నిర్ణయించుకున్నాడు. రెన్ సింగిల్-ఇంజిన్ హై-వింగ్ మోనోప్లేన్, ఖాళీ బరువు 232 పౌండ్లు (105 కిలోలు). మొదటి విమానం (సీరియల్ నంబర్ J6973) 1921 లో వైమానిక మంత్రిత్వ శాఖ కోసం నిర్మించబడింది. చాలా తేలికపాటి విమానాలను నిర్మించడంలో ఆసక్తి ఆ సమయంలో డ్యూక్ ఆఫ్ సదర్లాండ్ అందించే £ 500 బహుమతి ద్వారా ప్రోత్సహించబడింది (అతను అండర్ సెక్రటరీ ఆఫ్ ఎయిర్). ప్రవేశించేవారు అత్యంత ఆర్థిక తేలికపాటి సింగిల్-సీట్ల విమానాలను నిర్మించాల్సి వచ్చింది. మరో ప్రోత్సాహకం 750 సిసి కంటే ఎక్కువ ఇంజిన్‌తో మోటారు-గ్లైడర్ చేత పొడవైన విమానానికి డైలీ మెయిల్ అందించే £ 1,000 బహుమతి. అక్టోబర్ 1923 లో 1923 లింప్నే లైట్ ఎయిర్క్రాఫ్ట్ ట్రయల్స్ కోసం రెండు విమానాలు నిర్మించబడ్డాయి. రెన్ మొదటి బహుమతిని ఒక ఇంపీరియల్ గాలన్ (4.5 లీటర్లు) ఇంధనంపై 87.5 మైళ్ళు (140.8 కిమీ) కవర్ చేసినప్పుడు వృత్తాంతం I తో పంచుకుంది. 1957 లో మూడవ విమానం రెండవ విమానం యొక్క భాగాలను ఉపయోగించి పునర్నిర్మించబడింది. ఇది ఇప్పటికీ వాయుమార్గం మరియు బెడ్‌ఫోర్డ్‌షైర్‌లోని ఓల్డ్ వార్డెన్ ఏరోడ్రోమ్‌లోని షటిల్వర్త్ కలెక్షన్‌లో బహిరంగ ప్రదర్శనలో ఉంది. జాక్సన్ నుండి డేటా [1] సాధారణ లక్షణాల పనితీరు</v>
      </c>
      <c r="E182" s="1" t="s">
        <v>3716</v>
      </c>
      <c r="F182" s="1" t="s">
        <v>3717</v>
      </c>
      <c r="G182" s="1" t="str">
        <f>IFERROR(__xludf.DUMMYFUNCTION("GOOGLETRANSLATE(F:F, ""en"", ""te"")"),"అల్ట్రాలైట్ మోనోప్లేన్")</f>
        <v>అల్ట్రాలైట్ మోనోప్లేన్</v>
      </c>
      <c r="L182" s="1" t="s">
        <v>3718</v>
      </c>
      <c r="M182" s="1" t="str">
        <f>IFERROR(__xludf.DUMMYFUNCTION("GOOGLETRANSLATE(L:L, ""en"", ""te"")"),"ఇంగ్లీష్ ఎలక్ట్రిక్ కంపెనీ లిమిటెడ్")</f>
        <v>ఇంగ్లీష్ ఎలక్ట్రిక్ కంపెనీ లిమిటెడ్</v>
      </c>
      <c r="N182" s="1" t="s">
        <v>3719</v>
      </c>
      <c r="O182" s="1" t="s">
        <v>3720</v>
      </c>
      <c r="P182" s="1" t="str">
        <f>IFERROR(__xludf.DUMMYFUNCTION("GOOGLETRANSLATE(O:O, ""en"", ""te"")"),"W. O. మన్నింగ్")</f>
        <v>W. O. మన్నింగ్</v>
      </c>
      <c r="Q182" s="1" t="s">
        <v>3721</v>
      </c>
      <c r="R182" s="1">
        <v>1921.0</v>
      </c>
      <c r="S182" s="1">
        <v>3.0</v>
      </c>
      <c r="V182" s="1">
        <v>1.0</v>
      </c>
      <c r="W182" s="1" t="s">
        <v>3722</v>
      </c>
      <c r="X182" s="1" t="s">
        <v>2616</v>
      </c>
      <c r="Y182" s="1" t="s">
        <v>3723</v>
      </c>
      <c r="Z182" s="1" t="s">
        <v>3724</v>
      </c>
      <c r="AG182" s="1" t="s">
        <v>3725</v>
      </c>
      <c r="AX182" s="1" t="s">
        <v>3726</v>
      </c>
      <c r="AY182" s="1" t="str">
        <f>IFERROR(__xludf.DUMMYFUNCTION("GOOGLETRANSLATE(AX:AX, ""en"", ""te"")"),"1 × ABC 8 HP 2-సిలిండర్ ఎయిర్-కూల్డ్ హారిజంట్-కంపోజ్డ్ పిస్టన్ ఇంజిన్, 8 HP (6.0 kW)")</f>
        <v>1 × ABC 8 HP 2-సిలిండర్ ఎయిర్-కూల్డ్ హారిజంట్-కంపోజ్డ్ పిస్టన్ ఇంజిన్, 8 HP (6.0 kW)</v>
      </c>
      <c r="AZ182" s="1" t="s">
        <v>297</v>
      </c>
      <c r="BA182" s="1" t="str">
        <f>IFERROR(__xludf.DUMMYFUNCTION("GOOGLETRANSLATE(AZ:AZ, ""en"", ""te"")"),"2-బ్లేడెడ్ ఫిక్స్‌డ్-పిచ్ ప్రొపెల్లర్")</f>
        <v>2-బ్లేడెడ్ ఫిక్స్‌డ్-పిచ్ ప్రొపెల్లర్</v>
      </c>
      <c r="BB182" s="1" t="s">
        <v>3727</v>
      </c>
      <c r="BG182" s="2"/>
      <c r="BS182" s="1" t="s">
        <v>3728</v>
      </c>
      <c r="BX182" s="1"/>
      <c r="BY182" s="1" t="s">
        <v>3729</v>
      </c>
      <c r="BZ182" s="1" t="s">
        <v>3730</v>
      </c>
    </row>
    <row r="183">
      <c r="A183" s="1" t="s">
        <v>2750</v>
      </c>
      <c r="B183" s="1" t="str">
        <f>IFERROR(__xludf.DUMMYFUNCTION("GOOGLETRANSLATE(A:A, ""en"", ""te"")"),"LVG C.V")</f>
        <v>LVG C.V</v>
      </c>
      <c r="C183" s="1" t="s">
        <v>3731</v>
      </c>
      <c r="D183" s="1" t="str">
        <f>IFERROR(__xludf.DUMMYFUNCTION("GOOGLETRANSLATE(C:C, ""en"", ""te"")"),"LVG C.V అనేది మొదటి ప్రపంచ యుద్ధంలో జర్మనీలో పెద్ద సంఖ్యలో ఉత్పత్తి చేయబడిన నిఘా విమానం. [1] C.V అనేది దాని రోజు యొక్క సాంప్రదాయిక రెండు-బే బైప్‌లేన్ రూపకల్పన, సమాన వ్యవధి మరియు టెన్డం యొక్క అన్‌స్టాగర్ రెక్కలు, పైలట్ మరియు పరిశీలకులకు ఓపెన్ కాక్‌పిట్‌లు."&amp;" [2] ఐలెరాన్స్, ఎగువ వింగ్‌కు మాత్రమే అమర్చబడి, వింగ్‌టిప్‌లను దాటిన ఏరోడైనమిక్ బ్యాలెన్స్‌లను కలిగి ఉన్నాయి. [2] ఫ్యూజ్‌లేజ్ చెక్కతో చర్మం గల సెమీ-మోనోకోక్ నిర్మాణం. [3] యుద్ధం తరువాత, కొన్ని C.V లను పౌర రవాణాగా ఉపయోగించారు, [1] పోలిష్ దళాలు స్వాధీనం చేస"&amp;"ుకున్న 150 యంత్రాలు పోలిష్ సైన్యం చేత ఉపయోగించబడ్డాయి. [4] యుద్ధానంతర వినియోగదారులలో రష్యా, లాట్వియా, లిథువేనియా మరియు ఎస్టోనియా ఉన్నారు; కలిసి 30 విమానాలు పనిచేస్తాయి. [4] లుఫ్ట్‌స్ట్రెయిట్క్రాఫే లాట్వియన్ వైమానిక దళం - యుద్ధానంతర లిథువేనియన్ వైమానిక దళం"&amp;" - యుద్ధానంతర పోలిష్ వైమానిక దళం - యుద్ధానంతర ఇంపీరియల్ రష్యన్ ఎయిర్ సర్వీస్ - యుద్ధానంతర [సైటేషన్ అవసరం] ఒట్టోమన్ వైమానిక దళం గ్రోస్జ్ 1998 నుండి, 35 జెనరల్ క్యారెక్టరిస్టిక్స్ పనితీరు ఆయుధాలు")</f>
        <v>LVG C.V అనేది మొదటి ప్రపంచ యుద్ధంలో జర్మనీలో పెద్ద సంఖ్యలో ఉత్పత్తి చేయబడిన నిఘా విమానం. [1] C.V అనేది దాని రోజు యొక్క సాంప్రదాయిక రెండు-బే బైప్‌లేన్ రూపకల్పన, సమాన వ్యవధి మరియు టెన్డం యొక్క అన్‌స్టాగర్ రెక్కలు, పైలట్ మరియు పరిశీలకులకు ఓపెన్ కాక్‌పిట్‌లు. [2] ఐలెరాన్స్, ఎగువ వింగ్‌కు మాత్రమే అమర్చబడి, వింగ్‌టిప్‌లను దాటిన ఏరోడైనమిక్ బ్యాలెన్స్‌లను కలిగి ఉన్నాయి. [2] ఫ్యూజ్‌లేజ్ చెక్కతో చర్మం గల సెమీ-మోనోకోక్ నిర్మాణం. [3] యుద్ధం తరువాత, కొన్ని C.V లను పౌర రవాణాగా ఉపయోగించారు, [1] పోలిష్ దళాలు స్వాధీనం చేసుకున్న 150 యంత్రాలు పోలిష్ సైన్యం చేత ఉపయోగించబడ్డాయి. [4] యుద్ధానంతర వినియోగదారులలో రష్యా, లాట్వియా, లిథువేనియా మరియు ఎస్టోనియా ఉన్నారు; కలిసి 30 విమానాలు పనిచేస్తాయి. [4] లుఫ్ట్‌స్ట్రెయిట్క్రాఫే లాట్వియన్ వైమానిక దళం - యుద్ధానంతర లిథువేనియన్ వైమానిక దళం - యుద్ధానంతర పోలిష్ వైమానిక దళం - యుద్ధానంతర ఇంపీరియల్ రష్యన్ ఎయిర్ సర్వీస్ - యుద్ధానంతర [సైటేషన్ అవసరం] ఒట్టోమన్ వైమానిక దళం గ్రోస్జ్ 1998 నుండి, 35 జెనరల్ క్యారెక్టరిస్టిక్స్ పనితీరు ఆయుధాలు</v>
      </c>
      <c r="E183" s="1" t="s">
        <v>3732</v>
      </c>
      <c r="F183" s="1" t="s">
        <v>1292</v>
      </c>
      <c r="G183" s="1" t="str">
        <f>IFERROR(__xludf.DUMMYFUNCTION("GOOGLETRANSLATE(F:F, ""en"", ""te"")"),"నిఘా విమానం")</f>
        <v>నిఘా విమానం</v>
      </c>
      <c r="I183" s="1" t="s">
        <v>185</v>
      </c>
      <c r="J183" s="1" t="str">
        <f>IFERROR(__xludf.DUMMYFUNCTION("GOOGLETRANSLATE(I:I, ""en"", ""te"")"),"జర్మనీ")</f>
        <v>జర్మనీ</v>
      </c>
      <c r="L183" s="1" t="s">
        <v>3733</v>
      </c>
      <c r="M183" s="1" t="str">
        <f>IFERROR(__xludf.DUMMYFUNCTION("GOOGLETRANSLATE(L:L, ""en"", ""te"")"),"విమాన తయారీదారు")</f>
        <v>విమాన తయారీదారు</v>
      </c>
      <c r="N183" s="1" t="s">
        <v>3734</v>
      </c>
      <c r="R183" s="1">
        <v>1917.0</v>
      </c>
      <c r="V183" s="1" t="s">
        <v>2507</v>
      </c>
      <c r="W183" s="1" t="s">
        <v>3735</v>
      </c>
      <c r="X183" s="1" t="s">
        <v>3232</v>
      </c>
      <c r="Y183" s="1" t="s">
        <v>3736</v>
      </c>
      <c r="Z183" s="1" t="s">
        <v>3737</v>
      </c>
      <c r="AG183" s="1" t="s">
        <v>3738</v>
      </c>
      <c r="AH183" s="1" t="s">
        <v>3739</v>
      </c>
      <c r="AX183" s="1" t="s">
        <v>3740</v>
      </c>
      <c r="AY183" s="1" t="str">
        <f>IFERROR(__xludf.DUMMYFUNCTION("GOOGLETRANSLATE(AX:AX, ""en"", ""te"")"),"1 × బెంజ్ BZ.IV, 150 kW (200 HP)")</f>
        <v>1 × బెంజ్ BZ.IV, 150 kW (200 HP)</v>
      </c>
      <c r="BB183" s="1" t="s">
        <v>3741</v>
      </c>
      <c r="BD183" s="1" t="s">
        <v>1785</v>
      </c>
      <c r="BG183" s="2"/>
      <c r="BS183" s="1" t="s">
        <v>3742</v>
      </c>
      <c r="BZ183" s="1" t="s">
        <v>2136</v>
      </c>
    </row>
    <row r="184">
      <c r="A184" s="1" t="s">
        <v>3743</v>
      </c>
      <c r="B184" s="1" t="str">
        <f>IFERROR(__xludf.DUMMYFUNCTION("GOOGLETRANSLATE(A:A, ""en"", ""te"")"),"లాక్‌హీడ్ మార్టిన్ ఎఫ్‌బి -22")</f>
        <v>లాక్‌హీడ్ మార్టిన్ ఎఫ్‌బి -22</v>
      </c>
      <c r="C184" s="1" t="s">
        <v>3744</v>
      </c>
      <c r="D184" s="1" t="str">
        <f>IFERROR(__xludf.DUMMYFUNCTION("GOOGLETRANSLATE(C:C, ""en"", ""te"")"),"లాక్‌హీడ్ మార్టిన్ ఎఫ్‌బి -22 అమెరికా వైమానిక దళానికి విక్రయించబడిన ప్రతిపాదిత స్టీల్త్ బాంబర్ విమానం. దీని రూపకల్పన F-22 రాప్టర్ నుండి తీసుకోబడింది. లాక్హీడ్ మార్టిన్ వృద్ధాప్య యు.ఎస్. వ్యూహాత్మక బాంబర్ విమానాలను పూర్తి చేయడానికి ""ప్రాంతీయ బాంబర్"" గా త"&amp;"న అయాచిత రూపకల్పనను ప్రతిపాదించింది. లాక్‌హీడ్ మార్టిన్ 2006 క్వాడ్రెనియల్ డిఫెన్స్ రివ్యూ తరువాత ఈ భావనపై పనిని నిలిపివేసినట్లు కనిపించాడు, ఇది 2018 నాటికి కొత్త వ్యూహాత్మక బాంబర్‌కు పిలుపునిచ్చింది. 2001 లో, లాక్‌హీడ్ మార్టిన్ ఎఫ్‌బి -22 యొక్క సాధ్యాసాధ"&amp;"్యంపై అధ్యయనాలు ప్రారంభించాడు, ఎందుకంటే కంపెనీ డిజైన్ మరియు రూపకల్పనను ప్రభావితం చేయడానికి ప్రయత్నించింది మరియు F-22 రాప్టర్ యొక్క సామర్థ్యాలు. ఆఫ్ఘనిస్తాన్లో ఆపరేషన్ ఎండ్యూరింగ్ ఫ్రీడం నుండి సేకరించిన అనుభవం ఉపరితలం నుండి గాలికి క్షిపణులు లేనప్పుడు థియేట"&amp;"ర్‌లో ఉండగల బాంబర్ యొక్క విలువను ప్రదర్శించింది. ఎఫ్ -22, ఎయిర్ ఆధిపత్య పోరాట యోధునిగా రూపొందించబడినప్పుడు, కొంతవరకు గాలి నుండి గ్రౌండ్ అటాక్ సామర్థ్యాన్ని కలిగి ఉంది. [1] అంతర్గత అధ్యయనాల యొక్క ఒక ప్రాధమిక లక్ష్యం ఏమిటంటే, ఖర్చులను కనిష్టంగా ఉంచేటప్పుడు "&amp;"F-22 యొక్క గాలి-నుండి-భూమి సామర్థ్యాన్ని ఉపయోగించడం. ఈ క్రమంలో, సంస్థ అనేక భావనలను రూపొందించింది, ఇది ఫ్యూజ్‌లేజ్ మరియు రెక్కలకు సంబంధించి గణనీయమైన నిర్మాణ పున es రూపకల్పనలను చూసింది, అదే సమయంలో F-22 యొక్క ఏవియానిక్‌లను చాలావరకు నిలుపుకుంది. ప్రారంభ రూపకల"&amp;"్పనతో, లాక్‌హీడ్ మార్టిన్ అంతర్గత ఆయుధాల లోడ్‌ను పెంచడానికి ఫ్యూజ్‌లేజ్‌ను పొడిగించి విస్తరించింది; అలా చేయడం వల్ల బరువు, పదార్థాలు మరియు అభివృద్ధిలో 25-30% ఖర్చు జరిమానా లభిస్తుందని తరువాత కనుగొనబడింది. బదులుగా, రెక్కను మరింత డెల్టా ఆకారానికి విస్తరించడం"&amp;"తో కంపెనీ ఫ్యూజ్‌లేజ్‌ను చెక్కుచెదరకుండా వదిలివేసింది. [2] [3] ఎఫ్ -22 కంటే మూడు రెట్లు ఉన్న రెక్క, చాలా పెద్ద మొత్తంలో ఆయుధాలు మరియు ఇంధనాన్ని నిల్వ చేయడానికి వీలు కల్పించింది. వివిధ గణాంకాలు FB-22 యొక్క పేలోడ్‌ను 30 నుండి 35 చిన్న వ్యాసం కలిగిన బాంబుల వ"&amp;"రకు ఇస్తాయి; ఇది 250-పౌండ్ల (110 కిలోల) ఆయుధాలలో ఎనిమిది ఎనిమిది ఎఫ్ -22 పేలోడ్‌తో పోల్చబడింది. ఎఫ్ -22 మాదిరిగా కాకుండా, ఎఫ్‌బి -22 5,000 పౌండ్ల (2,300 కిలోల) వరకు బాంబులను తీసుకెళ్లగలిగేలా రూపొందించబడింది. స్టీల్త్‌తో, విమానం యొక్క గరిష్ట పోరాట లోడ్ 15,"&amp;"000 పౌండ్లు (6,800 కిలోలు) ఉండాలి; స్టీల్త్ లేకుండా, 30,000 పౌండ్లు (13,600 కిలోలు). [1] [2] పరిధి దాదాపు 600 మైళ్ళు (970 కిమీ) నుండి 1,600 మైళ్ళకు (2,600 కిమీ) కంటే ఎక్కువ మూడు రెట్లు పెరిగింది, ఇది బాహ్య ఇంధన ట్యాంకుల ద్వారా విస్తరించవచ్చు. ఇది ఈ విమానా"&amp;"న్ని ప్రాంతీయ బాంబర్ యొక్క వర్గంలో ఉంచింది, ఇది F-111 తో పోల్చదగినది, ఎందుకంటే ఇది F-15E స్ట్రైక్ ఈగిల్ స్థానంలో మరియు B-1 మరియు B-2 యొక్క కొన్ని మిషన్లను స్వాధీనం చేసుకోవడానికి ఉద్దేశించబడింది. [[ ఎయిర్ ఫోర్స్ మ్యాగజైన్ ప్రకారం, FB-22 యొక్క శ్రేణి మరియు "&amp;"పేలోడ్ కలయిక 2,000-పౌండ్ల (910 కిలోల) బాంబులతో సాయుధమైన B-2 తో పోల్చదగిన ప్రభావాన్ని ఈ భావనను ఇస్తుంది. [5] F-35 మెరుపు II యొక్క ప్రాట్ &amp; విట్నీ F135, లేదా జనరల్ ఎలక్ట్రిక్/రోల్స్ రాయిస్ F136 వంటి మరింత శక్తివంతమైన ఇంజిన్‌ను ఉపయోగించడానికి ఈ డిజైన్ స్వీకర"&amp;"ించబడి ఉండవచ్చు. [6] ప్రారంభ FB-22 భావనలో టెయిల్‌ప్లేన్‌లు లేనప్పటికీ, ఈ డిజైన్ ట్విన్ టెయిల్‌ప్లేన్‌లను కలిగి ఉంది మరియు F-22 పై థ్రస్ట్ వెక్టరింగ్ నాజిల్‌లకు విరుద్ధంగా స్థిర ఇంజిన్ నాజిల్లను కలిగి ఉంటుంది. [7] FB-22 గరిష్టంగా మాక్ 1.92 వేగం కలిగి ఉంటుం"&amp;"ది. [3] ఈ విమానం స్టీల్త్ లక్షణాలను కొనసాగిస్తూ గాలి నుండి భూమి సామర్థ్యాన్ని నొక్కిచెప్పడం వలన, FB-22 కి డాగ్‌ఫైటింగ్ సామర్ధ్యం ఉండదు. [5] రూపకల్పన ప్రక్రియ యొక్క ప్రారంభ దశలలో తలెత్తిన ఒక అంశం ఏమిటంటే, విమానం యొక్క తుది అసెంబ్లీకి బోయింగ్ కారణమని పరిగణన"&amp;"లోకి తీసుకోవడం. ఆ సమయంలో, లాక్‌హీడ్ మార్టిన్ టెక్సాస్‌లోని ఫోర్ట్ వర్త్‌లోని తన ప్లాంట్‌లో మధ్యస్థంగా ఉన్నాడు, జార్జియాలోని మారియెట్టాలో ఎఫ్ -22 ను సమీకరిస్తూ. ఏదేమైనా, ఫ్యూజ్‌లేజ్ యొక్క భాగాల తయారీకి బోయింగ్ బాధ్యత వహించినందున మరియు మరింత ముఖ్యమైనది, రెక"&amp;"్కలు -ఏవియానిక్‌లను ఏకీకృతం చేయడం -బోయింగ్‌కు తుది అసెంబ్లీ ఇవ్వడం వివేకం. [4] రెక్కలు కాకుండా, విమానం F-22 యొక్క రూపకల్పనలో ఎక్కువ భాగం నిలుపుకుంది. ఇందులో ఏవియానిక్స్, సాఫ్ట్‌వేర్ మరియు విమాన నియంత్రణలలో 80% ఉన్నాయి. ఈ సామాన్యత సాఫ్ట్‌వేర్ ఇంటిగ్రేషన్ ఖ"&amp;"ర్చులను కూడా గణనీయంగా తగ్గిస్తుంది. [1] ఫిబ్రవరి 2003 లో, సాయుధ సేవలపై హౌస్ కమిటీకి ఒక సెషన్లో, వైమానిక దళ కార్యదర్శి జేమ్స్ రోచె మాట్లాడుతూ, 150 FB-22 ల శక్తిని ఈ సేవను సన్నద్ధం చేస్తుందని తాను ed హించానని చెప్పారు. [8] 2004 లో, లాక్‌హీడ్ మార్టిన్ 2018 న"&amp;"ాటికి కార్యాచరణగా మారడానికి మధ్యంతర పరిష్కారంగా సంభావ్య వ్యూహాత్మక బాంబర్ కోసం దాని అవసరాన్ని తీర్చడానికి ఎఫ్‌బి -22 ను వైమానిక దళానికి అధికారికంగా సమర్పించారు. [9] [10] F-22 లో ఇప్పటికే చేసిన పని కారణంగా, FB-22 ను అభివృద్ధి చేయడానికి అయ్యే ఖర్చు కొత్త బా"&amp;"ంబర్‌ను అభివృద్ధి చేయడంలో 25% కంటే తక్కువగా ఉంటుందని అంచనా వేయబడింది, [2] అభివృద్ధి US $ 5–7 బిలియన్లు (2002 డాలర్లు), US $ 1 బిలియన్ (2003 డాలర్లు) ఎయిర్‌ఫ్రేమ్ ఖర్చుతో సహా. [4] [11] లక్ష్యాలు, పేలోడ్ మరియు పరిధి ఇంకా నిర్వచించబడనందున, బాంబర్ యొక్క ఆరు వ"&amp;"ేర్వేరు సంస్కరణలు సమర్పించబడ్డాయి. [2] అదనంగా, స్టీల్త్ బాంబర్‌గా, FB-22 బాహ్యంగా ఆయుధాలను తీసుకువెళ్ళడానికి రూపొందించబడింది, అయితే ""వింగ్ వెపన్స్ బే"" గా పిలువబడే వేరు చేయగలిగిన మరియు ముఖ పోడ్ల సహాయంతో స్టీల్త్‌ను కొనసాగిస్తుంది; ఇంతకుముందు, ఒక విమానం ద"&amp;"ాని ఆయుధాలను అంతర్గతంగా తీసుకువెళుతుంటే మాత్రమే దొంగతనంగా ఉంటుంది. [2] ఏదేమైనా, FB-22 దాని ప్రణాళికాబద్ధమైన రూపంలో 2006 చతుర్భుజం రక్షణ సమీక్ష మరియు తదుపరి పరిణామాల నేపథ్యంలో రద్దు చేయబడినట్లు కనిపిస్తుంది, ఎందుకంటే రక్షణ శాఖ చాలా ఎక్కువ శ్రేణిని కలిగి ఉం"&amp;"ది. [12] [13] [14] మిల్లెర్ నుండి డేటా, [7] టిర్పాక్ [2] పనితీరు ఆయుధ సంబంధిత అభివృద్ధి విమానం పోల్చదగిన పాత్ర, కాన్ఫిగరేషన్ మరియు ERA సంబంధిత జాబితాలు")</f>
        <v>లాక్‌హీడ్ మార్టిన్ ఎఫ్‌బి -22 అమెరికా వైమానిక దళానికి విక్రయించబడిన ప్రతిపాదిత స్టీల్త్ బాంబర్ విమానం. దీని రూపకల్పన F-22 రాప్టర్ నుండి తీసుకోబడింది. లాక్హీడ్ మార్టిన్ వృద్ధాప్య యు.ఎస్. వ్యూహాత్మక బాంబర్ విమానాలను పూర్తి చేయడానికి "ప్రాంతీయ బాంబర్" గా తన అయాచిత రూపకల్పనను ప్రతిపాదించింది. లాక్‌హీడ్ మార్టిన్ 2006 క్వాడ్రెనియల్ డిఫెన్స్ రివ్యూ తరువాత ఈ భావనపై పనిని నిలిపివేసినట్లు కనిపించాడు, ఇది 2018 నాటికి కొత్త వ్యూహాత్మక బాంబర్‌కు పిలుపునిచ్చింది. 2001 లో, లాక్‌హీడ్ మార్టిన్ ఎఫ్‌బి -22 యొక్క సాధ్యాసాధ్యంపై అధ్యయనాలు ప్రారంభించాడు, ఎందుకంటే కంపెనీ డిజైన్ మరియు రూపకల్పనను ప్రభావితం చేయడానికి ప్రయత్నించింది మరియు F-22 రాప్టర్ యొక్క సామర్థ్యాలు. ఆఫ్ఘనిస్తాన్లో ఆపరేషన్ ఎండ్యూరింగ్ ఫ్రీడం నుండి సేకరించిన అనుభవం ఉపరితలం నుండి గాలికి క్షిపణులు లేనప్పుడు థియేటర్‌లో ఉండగల బాంబర్ యొక్క విలువను ప్రదర్శించింది. ఎఫ్ -22, ఎయిర్ ఆధిపత్య పోరాట యోధునిగా రూపొందించబడినప్పుడు, కొంతవరకు గాలి నుండి గ్రౌండ్ అటాక్ సామర్థ్యాన్ని కలిగి ఉంది. [1] అంతర్గత అధ్యయనాల యొక్క ఒక ప్రాధమిక లక్ష్యం ఏమిటంటే, ఖర్చులను కనిష్టంగా ఉంచేటప్పుడు F-22 యొక్క గాలి-నుండి-భూమి సామర్థ్యాన్ని ఉపయోగించడం. ఈ క్రమంలో, సంస్థ అనేక భావనలను రూపొందించింది, ఇది ఫ్యూజ్‌లేజ్ మరియు రెక్కలకు సంబంధించి గణనీయమైన నిర్మాణ పున es రూపకల్పనలను చూసింది, అదే సమయంలో F-22 యొక్క ఏవియానిక్‌లను చాలావరకు నిలుపుకుంది. ప్రారంభ రూపకల్పనతో, లాక్‌హీడ్ మార్టిన్ అంతర్గత ఆయుధాల లోడ్‌ను పెంచడానికి ఫ్యూజ్‌లేజ్‌ను పొడిగించి విస్తరించింది; అలా చేయడం వల్ల బరువు, పదార్థాలు మరియు అభివృద్ధిలో 25-30% ఖర్చు జరిమానా లభిస్తుందని తరువాత కనుగొనబడింది. బదులుగా, రెక్కను మరింత డెల్టా ఆకారానికి విస్తరించడంతో కంపెనీ ఫ్యూజ్‌లేజ్‌ను చెక్కుచెదరకుండా వదిలివేసింది. [2] [3] ఎఫ్ -22 కంటే మూడు రెట్లు ఉన్న రెక్క, చాలా పెద్ద మొత్తంలో ఆయుధాలు మరియు ఇంధనాన్ని నిల్వ చేయడానికి వీలు కల్పించింది. వివిధ గణాంకాలు FB-22 యొక్క పేలోడ్‌ను 30 నుండి 35 చిన్న వ్యాసం కలిగిన బాంబుల వరకు ఇస్తాయి; ఇది 250-పౌండ్ల (110 కిలోల) ఆయుధాలలో ఎనిమిది ఎనిమిది ఎఫ్ -22 పేలోడ్‌తో పోల్చబడింది. ఎఫ్ -22 మాదిరిగా కాకుండా, ఎఫ్‌బి -22 5,000 పౌండ్ల (2,300 కిలోల) వరకు బాంబులను తీసుకెళ్లగలిగేలా రూపొందించబడింది. స్టీల్త్‌తో, విమానం యొక్క గరిష్ట పోరాట లోడ్ 15,000 పౌండ్లు (6,800 కిలోలు) ఉండాలి; స్టీల్త్ లేకుండా, 30,000 పౌండ్లు (13,600 కిలోలు). [1] [2] పరిధి దాదాపు 600 మైళ్ళు (970 కిమీ) నుండి 1,600 మైళ్ళకు (2,600 కిమీ) కంటే ఎక్కువ మూడు రెట్లు పెరిగింది, ఇది బాహ్య ఇంధన ట్యాంకుల ద్వారా విస్తరించవచ్చు. ఇది ఈ విమానాన్ని ప్రాంతీయ బాంబర్ యొక్క వర్గంలో ఉంచింది, ఇది F-111 తో పోల్చదగినది, ఎందుకంటే ఇది F-15E స్ట్రైక్ ఈగిల్ స్థానంలో మరియు B-1 మరియు B-2 యొక్క కొన్ని మిషన్లను స్వాధీనం చేసుకోవడానికి ఉద్దేశించబడింది. [[ ఎయిర్ ఫోర్స్ మ్యాగజైన్ ప్రకారం, FB-22 యొక్క శ్రేణి మరియు పేలోడ్ కలయిక 2,000-పౌండ్ల (910 కిలోల) బాంబులతో సాయుధమైన B-2 తో పోల్చదగిన ప్రభావాన్ని ఈ భావనను ఇస్తుంది. [5] F-35 మెరుపు II యొక్క ప్రాట్ &amp; విట్నీ F135, లేదా జనరల్ ఎలక్ట్రిక్/రోల్స్ రాయిస్ F136 వంటి మరింత శక్తివంతమైన ఇంజిన్‌ను ఉపయోగించడానికి ఈ డిజైన్ స్వీకరించబడి ఉండవచ్చు. [6] ప్రారంభ FB-22 భావనలో టెయిల్‌ప్లేన్‌లు లేనప్పటికీ, ఈ డిజైన్ ట్విన్ టెయిల్‌ప్లేన్‌లను కలిగి ఉంది మరియు F-22 పై థ్రస్ట్ వెక్టరింగ్ నాజిల్‌లకు విరుద్ధంగా స్థిర ఇంజిన్ నాజిల్లను కలిగి ఉంటుంది. [7] FB-22 గరిష్టంగా మాక్ 1.92 వేగం కలిగి ఉంటుంది. [3] ఈ విమానం స్టీల్త్ లక్షణాలను కొనసాగిస్తూ గాలి నుండి భూమి సామర్థ్యాన్ని నొక్కిచెప్పడం వలన, FB-22 కి డాగ్‌ఫైటింగ్ సామర్ధ్యం ఉండదు. [5] రూపకల్పన ప్రక్రియ యొక్క ప్రారంభ దశలలో తలెత్తిన ఒక అంశం ఏమిటంటే, విమానం యొక్క తుది అసెంబ్లీకి బోయింగ్ కారణమని పరిగణనలోకి తీసుకోవడం. ఆ సమయంలో, లాక్‌హీడ్ మార్టిన్ టెక్సాస్‌లోని ఫోర్ట్ వర్త్‌లోని తన ప్లాంట్‌లో మధ్యస్థంగా ఉన్నాడు, జార్జియాలోని మారియెట్టాలో ఎఫ్ -22 ను సమీకరిస్తూ. ఏదేమైనా, ఫ్యూజ్‌లేజ్ యొక్క భాగాల తయారీకి బోయింగ్ బాధ్యత వహించినందున మరియు మరింత ముఖ్యమైనది, రెక్కలు -ఏవియానిక్‌లను ఏకీకృతం చేయడం -బోయింగ్‌కు తుది అసెంబ్లీ ఇవ్వడం వివేకం. [4] రెక్కలు కాకుండా, విమానం F-22 యొక్క రూపకల్పనలో ఎక్కువ భాగం నిలుపుకుంది. ఇందులో ఏవియానిక్స్, సాఫ్ట్‌వేర్ మరియు విమాన నియంత్రణలలో 80% ఉన్నాయి. ఈ సామాన్యత సాఫ్ట్‌వేర్ ఇంటిగ్రేషన్ ఖర్చులను కూడా గణనీయంగా తగ్గిస్తుంది. [1] ఫిబ్రవరి 2003 లో, సాయుధ సేవలపై హౌస్ కమిటీకి ఒక సెషన్లో, వైమానిక దళ కార్యదర్శి జేమ్స్ రోచె మాట్లాడుతూ, 150 FB-22 ల శక్తిని ఈ సేవను సన్నద్ధం చేస్తుందని తాను ed హించానని చెప్పారు. [8] 2004 లో, లాక్‌హీడ్ మార్టిన్ 2018 నాటికి కార్యాచరణగా మారడానికి మధ్యంతర పరిష్కారంగా సంభావ్య వ్యూహాత్మక బాంబర్ కోసం దాని అవసరాన్ని తీర్చడానికి ఎఫ్‌బి -22 ను వైమానిక దళానికి అధికారికంగా సమర్పించారు. [9] [10] F-22 లో ఇప్పటికే చేసిన పని కారణంగా, FB-22 ను అభివృద్ధి చేయడానికి అయ్యే ఖర్చు కొత్త బాంబర్‌ను అభివృద్ధి చేయడంలో 25% కంటే తక్కువగా ఉంటుందని అంచనా వేయబడింది, [2] అభివృద్ధి US $ 5–7 బిలియన్లు (2002 డాలర్లు), US $ 1 బిలియన్ (2003 డాలర్లు) ఎయిర్‌ఫ్రేమ్ ఖర్చుతో సహా. [4] [11] లక్ష్యాలు, పేలోడ్ మరియు పరిధి ఇంకా నిర్వచించబడనందున, బాంబర్ యొక్క ఆరు వేర్వేరు సంస్కరణలు సమర్పించబడ్డాయి. [2] అదనంగా, స్టీల్త్ బాంబర్‌గా, FB-22 బాహ్యంగా ఆయుధాలను తీసుకువెళ్ళడానికి రూపొందించబడింది, అయితే "వింగ్ వెపన్స్ బే" గా పిలువబడే వేరు చేయగలిగిన మరియు ముఖ పోడ్ల సహాయంతో స్టీల్త్‌ను కొనసాగిస్తుంది; ఇంతకుముందు, ఒక విమానం దాని ఆయుధాలను అంతర్గతంగా తీసుకువెళుతుంటే మాత్రమే దొంగతనంగా ఉంటుంది. [2] ఏదేమైనా, FB-22 దాని ప్రణాళికాబద్ధమైన రూపంలో 2006 చతుర్భుజం రక్షణ సమీక్ష మరియు తదుపరి పరిణామాల నేపథ్యంలో రద్దు చేయబడినట్లు కనిపిస్తుంది, ఎందుకంటే రక్షణ శాఖ చాలా ఎక్కువ శ్రేణిని కలిగి ఉంది. [12] [13] [14] మిల్లెర్ నుండి డేటా, [7] టిర్పాక్ [2] పనితీరు ఆయుధ సంబంధిత అభివృద్ధి విమానం పోల్చదగిన పాత్ర, కాన్ఫిగరేషన్ మరియు ERA సంబంధిత జాబితాలు</v>
      </c>
      <c r="F184" s="1" t="s">
        <v>3745</v>
      </c>
      <c r="G184" s="1" t="str">
        <f>IFERROR(__xludf.DUMMYFUNCTION("GOOGLETRANSLATE(F:F, ""en"", ""te"")"),"స్టీల్త్ బాంబర్")</f>
        <v>స్టీల్త్ బాంబర్</v>
      </c>
      <c r="H184" s="1" t="s">
        <v>3746</v>
      </c>
      <c r="L184" s="1" t="s">
        <v>3747</v>
      </c>
      <c r="M184" s="1" t="str">
        <f>IFERROR(__xludf.DUMMYFUNCTION("GOOGLETRANSLATE(L:L, ""en"", ""te"")"),"లాక్హీడ్ మార్టిన్")</f>
        <v>లాక్హీడ్ మార్టిన్</v>
      </c>
      <c r="N184" s="1" t="s">
        <v>3748</v>
      </c>
      <c r="V184" s="1" t="s">
        <v>3749</v>
      </c>
      <c r="AJ184" s="1" t="s">
        <v>3750</v>
      </c>
      <c r="BB184" s="1" t="s">
        <v>3751</v>
      </c>
      <c r="BG184" s="2"/>
      <c r="BI184" s="1" t="s">
        <v>3752</v>
      </c>
      <c r="BJ184" s="1" t="s">
        <v>3753</v>
      </c>
      <c r="BT184" s="1" t="s">
        <v>3754</v>
      </c>
      <c r="BU184" s="1" t="s">
        <v>3755</v>
      </c>
      <c r="BV184" s="1" t="str">
        <f>IFERROR(__xludf.DUMMYFUNCTION("GOOGLETRANSLATE(BU:BU, ""en"", ""te"")"),"డిజైన్ ప్రతిపాదన, రద్దు చేయబడింది")</f>
        <v>డిజైన్ ప్రతిపాదన, రద్దు చేయబడింది</v>
      </c>
      <c r="BX184" s="1"/>
      <c r="BY184" s="1" t="s">
        <v>3756</v>
      </c>
      <c r="CE184" s="1" t="s">
        <v>3757</v>
      </c>
      <c r="CF184" s="1" t="str">
        <f>IFERROR(__xludf.DUMMYFUNCTION("GOOGLETRANSLATE(CE:CE, ""en"", ""te"")"),"30 × GBU-39 చిన్న వ్యాసం బాంబులు")</f>
        <v>30 × GBU-39 చిన్న వ్యాసం బాంబులు</v>
      </c>
      <c r="EK184" s="1" t="s">
        <v>3758</v>
      </c>
    </row>
    <row r="185">
      <c r="A185" s="1" t="s">
        <v>3759</v>
      </c>
      <c r="B185" s="1" t="str">
        <f>IFERROR(__xludf.DUMMYFUNCTION("GOOGLETRANSLATE(A:A, ""en"", ""te"")"),"హోండా MH02")</f>
        <v>హోండా MH02</v>
      </c>
      <c r="C185" s="1" t="s">
        <v>3760</v>
      </c>
      <c r="D185" s="1" t="str">
        <f>IFERROR(__xludf.DUMMYFUNCTION("GOOGLETRANSLATE(C:C, ""en"", ""te"")"),"హోండా MH02 అనేది హోండా నిర్మించిన ఒక ప్రయోగాత్మక వ్యాపార జెట్, మిస్సిస్సిప్పి స్టేట్ యూనివర్శిటీ సహకారంతో, ఇంజిన్ ప్లేస్‌మెంట్ మరియు మిశ్రమ నిర్మాణాన్ని పరిశోధించడానికి. ఈ నమూనా 1992 లో పూర్తయింది, ఇది 5 మార్చి 1993 న మొదటి విమానంలో ఉంది. MH02 ఎప్పుడూ ఉత్"&amp;"పత్తి కోసం ఉద్దేశించబడలేదు, అయితే ఇది ఎగరడానికి మొట్టమొదటి ఆల్-కాంపోజిట్ లైట్ బిజినెస్ జెట్; 1996 నాటికి 170 టెస్ట్ ఫ్లైట్ గంటలు ఎయిర్‌ఫ్రేమ్‌లో పేరుకుపోయాయి. ఇప్పటికే అసాధారణమైన పైన-వింగ్ ఇంజిన్ మౌంట్‌లను పక్కన పెడితే, డిజైన్‌లో టి-టెయిల్ మరియు ఫార్వర్డ్"&amp;"-స్పీప్ట్ వింగ్ ఉన్నాయి. [1] ఈ విమానం 1998 లో పున and ప్రారంభమైంది మరియు జపాన్‌కు ఎగుమతి చేయబడింది. [2] [3] సాధారణ లక్షణాల పనితీరు 1990 ల విమానంలో ఈ వ్యాసం ఒక స్టబ్. వికీపీడియా విస్తరించడం ద్వారా మీరు సహాయపడవచ్చు.")</f>
        <v>హోండా MH02 అనేది హోండా నిర్మించిన ఒక ప్రయోగాత్మక వ్యాపార జెట్, మిస్సిస్సిప్పి స్టేట్ యూనివర్శిటీ సహకారంతో, ఇంజిన్ ప్లేస్‌మెంట్ మరియు మిశ్రమ నిర్మాణాన్ని పరిశోధించడానికి. ఈ నమూనా 1992 లో పూర్తయింది, ఇది 5 మార్చి 1993 న మొదటి విమానంలో ఉంది. MH02 ఎప్పుడూ ఉత్పత్తి కోసం ఉద్దేశించబడలేదు, అయితే ఇది ఎగరడానికి మొట్టమొదటి ఆల్-కాంపోజిట్ లైట్ బిజినెస్ జెట్; 1996 నాటికి 170 టెస్ట్ ఫ్లైట్ గంటలు ఎయిర్‌ఫ్రేమ్‌లో పేరుకుపోయాయి. ఇప్పటికే అసాధారణమైన పైన-వింగ్ ఇంజిన్ మౌంట్‌లను పక్కన పెడితే, డిజైన్‌లో టి-టెయిల్ మరియు ఫార్వర్డ్-స్పీప్ట్ వింగ్ ఉన్నాయి. [1] ఈ విమానం 1998 లో పున and ప్రారంభమైంది మరియు జపాన్‌కు ఎగుమతి చేయబడింది. [2] [3] సాధారణ లక్షణాల పనితీరు 1990 ల విమానంలో ఈ వ్యాసం ఒక స్టబ్. వికీపీడియా విస్తరించడం ద్వారా మీరు సహాయపడవచ్చు.</v>
      </c>
      <c r="E185" s="1" t="s">
        <v>3761</v>
      </c>
      <c r="F185" s="1" t="s">
        <v>1120</v>
      </c>
      <c r="G185" s="1" t="str">
        <f>IFERROR(__xludf.DUMMYFUNCTION("GOOGLETRANSLATE(F:F, ""en"", ""te"")"),"ప్రయోగాత్మక విమానం")</f>
        <v>ప్రయోగాత్మక విమానం</v>
      </c>
      <c r="H185" s="1" t="s">
        <v>1121</v>
      </c>
      <c r="L185" s="1" t="s">
        <v>3762</v>
      </c>
      <c r="M185" s="1" t="str">
        <f>IFERROR(__xludf.DUMMYFUNCTION("GOOGLETRANSLATE(L:L, ""en"", ""te"")"),"హోండమిసిసిపీ స్టేట్ యూనివర్శిటీ")</f>
        <v>హోండమిసిసిపీ స్టేట్ యూనివర్శిటీ</v>
      </c>
      <c r="N185" s="1" t="s">
        <v>3763</v>
      </c>
      <c r="R185" s="4">
        <v>34033.0</v>
      </c>
      <c r="S185" s="1">
        <v>1.0</v>
      </c>
      <c r="V185" s="1" t="s">
        <v>3764</v>
      </c>
      <c r="W185" s="1" t="s">
        <v>3765</v>
      </c>
      <c r="X185" s="1" t="s">
        <v>3766</v>
      </c>
      <c r="Y185" s="1" t="s">
        <v>3767</v>
      </c>
      <c r="AV185" s="1" t="s">
        <v>3768</v>
      </c>
      <c r="AX185" s="1" t="s">
        <v>3769</v>
      </c>
      <c r="AY185" s="1" t="str">
        <f>IFERROR(__xludf.DUMMYFUNCTION("GOOGLETRANSLATE(AX:AX, ""en"", ""te"")"),"2 × ప్రాట్ &amp; విట్నీ కెనడా JT15D1 టర్బోఫాన్ ఇంజన్లు, 5.3 kN (1,200 lbf) ఒక్కొక్కటి థ్రస్ట్")</f>
        <v>2 × ప్రాట్ &amp; విట్నీ కెనడా JT15D1 టర్బోఫాన్ ఇంజన్లు, 5.3 kN (1,200 lbf) ఒక్కొక్కటి థ్రస్ట్</v>
      </c>
      <c r="BB185" s="1" t="s">
        <v>3770</v>
      </c>
      <c r="BG185" s="2"/>
      <c r="BU185" s="1" t="s">
        <v>36</v>
      </c>
      <c r="BV185" s="1" t="str">
        <f>IFERROR(__xludf.DUMMYFUNCTION("GOOGLETRANSLATE(BU:BU, ""en"", ""te"")"),"రిటైర్డ్")</f>
        <v>రిటైర్డ్</v>
      </c>
      <c r="BX185" s="1"/>
      <c r="BY185" s="1" t="s">
        <v>3403</v>
      </c>
    </row>
    <row r="186">
      <c r="A186" s="1" t="s">
        <v>3771</v>
      </c>
      <c r="B186" s="1" t="str">
        <f>IFERROR(__xludf.DUMMYFUNCTION("GOOGLETRANSLATE(A:A, ""en"", ""te"")"),"బర్గెస్ మోడల్ h")</f>
        <v>బర్గెస్ మోడల్ h</v>
      </c>
      <c r="C186" s="1" t="s">
        <v>3772</v>
      </c>
      <c r="D186" s="1" t="str">
        <f>IFERROR(__xludf.DUMMYFUNCTION("GOOGLETRANSLATE(C:C, ""en"", ""te"")"),"బర్గెస్ మోడల్ హెచ్ ప్రారంభ అమెరికా విమానం మరియు సైనిక ఉపయోగం కోసం ప్రత్యేకంగా రూపొందించిన మరియు నిర్మించిన మొదటి ఎయిర్ మెషీన్లలో ఒకటి. ""మోడల్ హెచ్ మిలిటరీ ట్రాక్టర్"" గా వర్గీకరించబడింది, దీనిని 1912 లో బర్గెస్ కంపెనీ మరియు కర్టిస్ అభివృద్ధి చేసి నిర్మిం"&amp;"చారు, ఇది 1914 లో బర్గెస్ సంస్థగా మారింది. ట్రాక్టర్ కాన్ఫిగరేషన్‌లో ప్రొపెల్లర్‌తో 70 హెచ్‌పి రెనాల్ట్ ఇంజిన్‌తో నడిచే, బిప్‌లేన్ ట్రైనర్ 1914 లో గ్రోవర్ లూనింగ్ చేత పున es రూపకల్పన తర్వాత ఓపెన్ కాక్‌పిట్‌లను కలిగి ఉన్నాడు, తరువాత యు.ఎస్. ఆర్మీతో పౌర ఇంజ"&amp;"నీర్. 1910 లో కొలంబియా విశ్వవిద్యాలయం నుండి ఏరోనాటిక్స్లో అడ్వాన్స్‌డ్ ఇంజనీరింగ్ డిగ్రీ పొందిన మొదటి వ్యక్తి లూనింగ్, తరువాత స్టర్టెవాంట్ ఎయిర్క్రాఫ్ట్ కంపెనీ మరియు లూనింగ్ ఎయిర్‌క్రాఫ్ట్ ఇంజనీరింగ్ రెండింటి వ్యవస్థాపక సభ్యుడు. ఏరోనాటికల్ డివిజన్, యు.ఎస్"&amp;". సిగ్నల్ కార్ప్స్ ఆగస్టు 1912 లో దాని ప్రారంభ బర్గెస్ మోడల్ హెచ్ ను సిగ్నల్ కార్ప్స్ నంబర్ 9 గా కొనుగోలు చేసింది, తరువాత నవంబర్ 1913 మరియు జూలై 1914 మధ్య కాలిఫోర్నియాలోని నార్త్ ఫీల్డ్ వద్ద 1 వ ఏరో స్క్వాడ్రన్ కోసం మరో ఐదు వణుకు డిజైన్ 24 వ నుండి 28 వ వి"&amp;"మానాలు ఆర్మీ స్వాధీనం చేసుకున్నాయి. ఏడవ మోడల్ హెచ్ యు.ఎస్. నేవీకి వెళ్ళింది, అక్కడ దీనిని మొదట డి -2 మరియు తరువాత ఎబి -7 (ఎయిర్-ఎయిర్/ఫ్లయింగ్ బోట్, మోడల్ 7) అని పిలుస్తారు. సాధారణ లక్షణాలు")</f>
        <v>బర్గెస్ మోడల్ హెచ్ ప్రారంభ అమెరికా విమానం మరియు సైనిక ఉపయోగం కోసం ప్రత్యేకంగా రూపొందించిన మరియు నిర్మించిన మొదటి ఎయిర్ మెషీన్లలో ఒకటి. "మోడల్ హెచ్ మిలిటరీ ట్రాక్టర్" గా వర్గీకరించబడింది, దీనిని 1912 లో బర్గెస్ కంపెనీ మరియు కర్టిస్ అభివృద్ధి చేసి నిర్మించారు, ఇది 1914 లో బర్గెస్ సంస్థగా మారింది. ట్రాక్టర్ కాన్ఫిగరేషన్‌లో ప్రొపెల్లర్‌తో 70 హెచ్‌పి రెనాల్ట్ ఇంజిన్‌తో నడిచే, బిప్‌లేన్ ట్రైనర్ 1914 లో గ్రోవర్ లూనింగ్ చేత పున es రూపకల్పన తర్వాత ఓపెన్ కాక్‌పిట్‌లను కలిగి ఉన్నాడు, తరువాత యు.ఎస్. ఆర్మీతో పౌర ఇంజనీర్. 1910 లో కొలంబియా విశ్వవిద్యాలయం నుండి ఏరోనాటిక్స్లో అడ్వాన్స్‌డ్ ఇంజనీరింగ్ డిగ్రీ పొందిన మొదటి వ్యక్తి లూనింగ్, తరువాత స్టర్టెవాంట్ ఎయిర్క్రాఫ్ట్ కంపెనీ మరియు లూనింగ్ ఎయిర్‌క్రాఫ్ట్ ఇంజనీరింగ్ రెండింటి వ్యవస్థాపక సభ్యుడు. ఏరోనాటికల్ డివిజన్, యు.ఎస్. సిగ్నల్ కార్ప్స్ ఆగస్టు 1912 లో దాని ప్రారంభ బర్గెస్ మోడల్ హెచ్ ను సిగ్నల్ కార్ప్స్ నంబర్ 9 గా కొనుగోలు చేసింది, తరువాత నవంబర్ 1913 మరియు జూలై 1914 మధ్య కాలిఫోర్నియాలోని నార్త్ ఫీల్డ్ వద్ద 1 వ ఏరో స్క్వాడ్రన్ కోసం మరో ఐదు వణుకు డిజైన్ 24 వ నుండి 28 వ విమానాలు ఆర్మీ స్వాధీనం చేసుకున్నాయి. ఏడవ మోడల్ హెచ్ యు.ఎస్. నేవీకి వెళ్ళింది, అక్కడ దీనిని మొదట డి -2 మరియు తరువాత ఎబి -7 (ఎయిర్-ఎయిర్/ఫ్లయింగ్ బోట్, మోడల్ 7) అని పిలుస్తారు. సాధారణ లక్షణాలు</v>
      </c>
      <c r="E186" s="1" t="s">
        <v>3773</v>
      </c>
      <c r="F186" s="1" t="s">
        <v>446</v>
      </c>
      <c r="G186" s="1" t="str">
        <f>IFERROR(__xludf.DUMMYFUNCTION("GOOGLETRANSLATE(F:F, ""en"", ""te"")"),"శిక్షకుడు")</f>
        <v>శిక్షకుడు</v>
      </c>
      <c r="L186" s="1" t="s">
        <v>3774</v>
      </c>
      <c r="M186" s="1" t="str">
        <f>IFERROR(__xludf.DUMMYFUNCTION("GOOGLETRANSLATE(L:L, ""en"", ""te"")"),"బర్గెస్")</f>
        <v>బర్గెస్</v>
      </c>
      <c r="N186" s="3" t="s">
        <v>3775</v>
      </c>
      <c r="R186" s="1">
        <v>1912.0</v>
      </c>
      <c r="S186" s="1">
        <v>7.0</v>
      </c>
      <c r="V186" s="1" t="s">
        <v>272</v>
      </c>
      <c r="W186" s="1" t="s">
        <v>1875</v>
      </c>
      <c r="X186" s="1" t="s">
        <v>3268</v>
      </c>
      <c r="AN186" s="3" t="s">
        <v>3776</v>
      </c>
      <c r="AX186" s="1" t="s">
        <v>3777</v>
      </c>
      <c r="AY186" s="1" t="str">
        <f>IFERROR(__xludf.DUMMYFUNCTION("GOOGLETRANSLATE(AX:AX, ""en"", ""te"")"),"1 × రెనాల్ట్, 70 హెచ్‌పి (52 కిలోవాట్)")</f>
        <v>1 × రెనాల్ట్, 70 హెచ్‌పి (52 కిలోవాట్)</v>
      </c>
      <c r="BG186" s="2"/>
    </row>
    <row r="187">
      <c r="A187" s="1" t="s">
        <v>3778</v>
      </c>
      <c r="B187" s="1" t="str">
        <f>IFERROR(__xludf.DUMMYFUNCTION("GOOGLETRANSLATE(A:A, ""en"", ""te"")"),"F+W C-3605")</f>
        <v>F+W C-3605</v>
      </c>
      <c r="C187" s="1" t="s">
        <v>3779</v>
      </c>
      <c r="D187" s="1" t="str">
        <f>IFERROR(__xludf.DUMMYFUNCTION("GOOGLETRANSLATE(C:C, ""en"", ""te"")"),"F+W C-3605, ష్లెప్ (""టగ్"") లేదా ""ఆల్పైన్ యాంటీటర్"" అనే మారుపేరు, 1971-1987 వరకు స్విస్ వైమానిక దళం చేత నిర్వహించబడుతున్న లక్ష్యం వెళ్ళుట విమానం. ఈ విమానం 1960 ల చివరి భాగంలో స్విస్ ఫెడరల్ కన్స్ట్రక్షన్ వర్క్స్ (ఈడ్జెనోసిస్చే కన్స్ట్రక్ట్రూర్క్‌స్టేట్)"&amp;" (EKW) చేత అభివృద్ధి చేయబడింది, ఇది 1972 లో ఫార్నర్ వెర్కే (F+W) గా పేరు మార్చబడింది, ప్రస్తుత సి -3603 గ్రౌండ్ అటాక్/టార్గెట్ టూయింగ్ యొక్క మార్పిడిగా విమానాల. 1968 లో విజయవంతమైన ప్రోటోటైప్ మార్పిడి తరువాత, 1971-1973 మధ్య 23 విమానాలు మార్చబడ్డాయి, 2 ఇప్ప"&amp;"టికీ ప్రైవేట్ చేతుల్లో ఎగురుతున్నాయి. 1967 లో, స్విస్ వైమానిక దళం వారి సి -3603-1 టార్గెట్-టీవీ విమానాలలో ఇంకా సుమారు 10 సంవత్సరాల నిర్మాణాత్మక జీవితం మిగిలి ఉందని నిర్ణయించింది, కాని విమానం యొక్క హిస్పానో-సుయిజా పిస్టన్ రకం ఇంజన్లు ధరించడానికి అంచున ఉన్న"&amp;"ాయని, పున ments స్థాపనలు చాలా తక్కువగా ఉన్నాయి . [[ సి -3603-1 రెండవ ప్రపంచ యుద్ధం యుగం గ్రౌండ్ అటాక్ డిజైన్ ఆధారంగా ఉంది, ఇది మెసెర్స్‌మిట్ బిఎఫ్ 109 రూపకల్పన ద్వారా ప్రేరణ పొందింది. [2] పున ment స్థాపనను కనుగొనడానికి వివిధ రకాల విదేశీ విమానాల మూల్యాంకనా"&amp;"లు జరిగాయి; ఏదేమైనా, ఆధునిక టర్బోప్రాప్ ఇంజిన్‌తో ఉన్న విమానాన్ని తిరిగి ఇంజనీరింగ్ చేయడం చాలా ఆర్థిక పరిష్కారం అని 1965 లో నిర్ణయించబడింది. [3] దీని ప్రకారం, 102 వ సి -3603 ను సి -3605 ప్రోటోటైప్ గా మార్చడానికి జీన్-పియరీ వీబెల్ దర్శకత్వంలో పని ప్రారంభమై"&amp;"ంది. [1] ఎంచుకున్న రీప్లేస్‌మెంట్ ఇంజిన్ లైమింగ్ T53 టర్బోప్రాప్. ఇది సి -3603 యొక్క పిస్టన్ ఇంజిన్ కంటే చాలా తేలికైనది మరియు అందువల్ల మార్పిడి గురుత్వాకర్షణ కేంద్రాన్ని నిర్వహించడానికి విమానం యొక్క ముక్కు యొక్క ముక్కును 1.82 మీటర్లు (6.0 అడుగులు) కలిగి ఉ"&amp;"ంది. [4] విమానం యొక్క మిగిలిన భాగాన్ని తప్పనిసరిగా మార్పు లేకుండా వదిలివేసింది. ప్రోటోటైప్ యొక్క ప్రారంభ విమాన పరీక్ష 19 ఆగస్టు 1968 న ప్రారంభమైంది. [1] పరీక్ష సమయంలో మూడవ నిలువు స్టెబిలైజర్ కూడా అవసరమని కనుగొనబడింది. [1] ఫ్లైట్ పరీక్షలో సి -3605 ప్రోటోటై"&amp;"ప్ సంతృప్తికరమైన విమాన లక్షణాలను కలిగి ఉందని, మరియు 23 సి -3603 విమానాలను సి -3605 ప్రమాణానికి మార్చడం ప్రారంభమైంది. [1] ఈ విమానం 1971 మరియు జనవరి 1973 మధ్య F+W చే పంపిణీ చేయబడింది. [4] స్విస్ వైమానిక దళం యొక్క సేవలో సి -3605 లు సాధారణంగా పసుపు మరియు నలుప"&amp;"ు చారల, అధిక-దృశ్యమాన రంగు పథకాలలో పెయింట్ చేయబడతాయి. [4] విమానం లక్ష్య వెళ్ళుట పాత్రలో నమ్మకంగా పనిచేసింది, దాని 10 సంవత్సరాల నిర్మాణాత్మక జీవితాన్ని మించిపోయింది. [5] ఏదేమైనా, 1980 ల మధ్య నాటికి, వృద్ధాప్య విమానం ఎయిర్ఫ్రేమ్ అలసట యొక్క సంకేతాలను చూపించడ"&amp;"ం ప్రారంభించింది. [5] ఇది 1987 లో సేవ నుండి రకాన్ని పదవీ విరమణ చేయాలనే నిర్ణయానికి దారితీసింది, మిగిలి ఉన్న విమానం అమ్ముడైంది మరియు స్థానంలో ఉన్న పిలాటస్ పిసి -9 లు టార్గెట్-టోవింగ్ పాత్రలో మార్చబడ్డాయి. [2] [5] 2021 లో, థోరియం ఉపయోగించబడుతున్నందున ఇంజన్ల"&amp;"ు కొద్దిగా రేడియోధార్మికత కలిగి ఉన్నాయని కనుగొనబడింది. [6] సి -3605 లు అనేక మ్యూజియంలలో ప్రదర్శించబడతాయి, వీటిలో డబెండర్ఫ్, స్విట్జర్లాండ్‌లోని ఫ్లైజర్ ఫ్లాబ్ మ్యూజియం (ఏవియేషన్ మ్యూజియం) మరియు కాలిఫోర్నియాలోని చినోలోని ఫేమ్ మ్యూజియం యొక్క విమానాలు. [5] స"&amp;"ి -3605 పౌర యజమానులతో ""వార్బర్డ్"" గా కూడా ప్రాచుర్యం పొందింది. [2] [1] సాధారణ లక్షణాల నుండి డేటా పనితీరు ఆయుధాల ఏవియానిక్స్ సంబంధిత అభివృద్ధి")</f>
        <v>F+W C-3605, ష్లెప్ ("టగ్") లేదా "ఆల్పైన్ యాంటీటర్" అనే మారుపేరు, 1971-1987 వరకు స్విస్ వైమానిక దళం చేత నిర్వహించబడుతున్న లక్ష్యం వెళ్ళుట విమానం. ఈ విమానం 1960 ల చివరి భాగంలో స్విస్ ఫెడరల్ కన్స్ట్రక్షన్ వర్క్స్ (ఈడ్జెనోసిస్చే కన్స్ట్రక్ట్రూర్క్‌స్టేట్) (EKW) చేత అభివృద్ధి చేయబడింది, ఇది 1972 లో ఫార్నర్ వెర్కే (F+W) గా పేరు మార్చబడింది, ప్రస్తుత సి -3603 గ్రౌండ్ అటాక్/టార్గెట్ టూయింగ్ యొక్క మార్పిడిగా విమానాల. 1968 లో విజయవంతమైన ప్రోటోటైప్ మార్పిడి తరువాత, 1971-1973 మధ్య 23 విమానాలు మార్చబడ్డాయి, 2 ఇప్పటికీ ప్రైవేట్ చేతుల్లో ఎగురుతున్నాయి. 1967 లో, స్విస్ వైమానిక దళం వారి సి -3603-1 టార్గెట్-టీవీ విమానాలలో ఇంకా సుమారు 10 సంవత్సరాల నిర్మాణాత్మక జీవితం మిగిలి ఉందని నిర్ణయించింది, కాని విమానం యొక్క హిస్పానో-సుయిజా పిస్టన్ రకం ఇంజన్లు ధరించడానికి అంచున ఉన్నాయని, పున ments స్థాపనలు చాలా తక్కువగా ఉన్నాయి . [[ సి -3603-1 రెండవ ప్రపంచ యుద్ధం యుగం గ్రౌండ్ అటాక్ డిజైన్ ఆధారంగా ఉంది, ఇది మెసెర్స్‌మిట్ బిఎఫ్ 109 రూపకల్పన ద్వారా ప్రేరణ పొందింది. [2] పున ment స్థాపనను కనుగొనడానికి వివిధ రకాల విదేశీ విమానాల మూల్యాంకనాలు జరిగాయి; ఏదేమైనా, ఆధునిక టర్బోప్రాప్ ఇంజిన్‌తో ఉన్న విమానాన్ని తిరిగి ఇంజనీరింగ్ చేయడం చాలా ఆర్థిక పరిష్కారం అని 1965 లో నిర్ణయించబడింది. [3] దీని ప్రకారం, 102 వ సి -3603 ను సి -3605 ప్రోటోటైప్ గా మార్చడానికి జీన్-పియరీ వీబెల్ దర్శకత్వంలో పని ప్రారంభమైంది. [1] ఎంచుకున్న రీప్లేస్‌మెంట్ ఇంజిన్ లైమింగ్ T53 టర్బోప్రాప్. ఇది సి -3603 యొక్క పిస్టన్ ఇంజిన్ కంటే చాలా తేలికైనది మరియు అందువల్ల మార్పిడి గురుత్వాకర్షణ కేంద్రాన్ని నిర్వహించడానికి విమానం యొక్క ముక్కు యొక్క ముక్కును 1.82 మీటర్లు (6.0 అడుగులు) కలిగి ఉంది. [4] విమానం యొక్క మిగిలిన భాగాన్ని తప్పనిసరిగా మార్పు లేకుండా వదిలివేసింది. ప్రోటోటైప్ యొక్క ప్రారంభ విమాన పరీక్ష 19 ఆగస్టు 1968 న ప్రారంభమైంది. [1] పరీక్ష సమయంలో మూడవ నిలువు స్టెబిలైజర్ కూడా అవసరమని కనుగొనబడింది. [1] ఫ్లైట్ పరీక్షలో సి -3605 ప్రోటోటైప్ సంతృప్తికరమైన విమాన లక్షణాలను కలిగి ఉందని, మరియు 23 సి -3603 విమానాలను సి -3605 ప్రమాణానికి మార్చడం ప్రారంభమైంది. [1] ఈ విమానం 1971 మరియు జనవరి 1973 మధ్య F+W చే పంపిణీ చేయబడింది. [4] స్విస్ వైమానిక దళం యొక్క సేవలో సి -3605 లు సాధారణంగా పసుపు మరియు నలుపు చారల, అధిక-దృశ్యమాన రంగు పథకాలలో పెయింట్ చేయబడతాయి. [4] విమానం లక్ష్య వెళ్ళుట పాత్రలో నమ్మకంగా పనిచేసింది, దాని 10 సంవత్సరాల నిర్మాణాత్మక జీవితాన్ని మించిపోయింది. [5] ఏదేమైనా, 1980 ల మధ్య నాటికి, వృద్ధాప్య విమానం ఎయిర్ఫ్రేమ్ అలసట యొక్క సంకేతాలను చూపించడం ప్రారంభించింది. [5] ఇది 1987 లో సేవ నుండి రకాన్ని పదవీ విరమణ చేయాలనే నిర్ణయానికి దారితీసింది, మిగిలి ఉన్న విమానం అమ్ముడైంది మరియు స్థానంలో ఉన్న పిలాటస్ పిసి -9 లు టార్గెట్-టోవింగ్ పాత్రలో మార్చబడ్డాయి. [2] [5] 2021 లో, థోరియం ఉపయోగించబడుతున్నందున ఇంజన్లు కొద్దిగా రేడియోధార్మికత కలిగి ఉన్నాయని కనుగొనబడింది. [6] సి -3605 లు అనేక మ్యూజియంలలో ప్రదర్శించబడతాయి, వీటిలో డబెండర్ఫ్, స్విట్జర్లాండ్‌లోని ఫ్లైజర్ ఫ్లాబ్ మ్యూజియం (ఏవియేషన్ మ్యూజియం) మరియు కాలిఫోర్నియాలోని చినోలోని ఫేమ్ మ్యూజియం యొక్క విమానాలు. [5] సి -3605 పౌర యజమానులతో "వార్బర్డ్" గా కూడా ప్రాచుర్యం పొందింది. [2] [1] సాధారణ లక్షణాల నుండి డేటా పనితీరు ఆయుధాల ఏవియానిక్స్ సంబంధిత అభివృద్ధి</v>
      </c>
      <c r="E187" s="1" t="s">
        <v>3780</v>
      </c>
      <c r="F187" s="1" t="s">
        <v>1163</v>
      </c>
      <c r="G187" s="1" t="str">
        <f>IFERROR(__xludf.DUMMYFUNCTION("GOOGLETRANSLATE(F:F, ""en"", ""te"")"),"టార్గెట్ టగ్")</f>
        <v>టార్గెట్ టగ్</v>
      </c>
      <c r="H187" s="1" t="s">
        <v>3781</v>
      </c>
      <c r="L187" s="1" t="s">
        <v>3782</v>
      </c>
      <c r="M187" s="1" t="str">
        <f>IFERROR(__xludf.DUMMYFUNCTION("GOOGLETRANSLATE(L:L, ""en"", ""te"")"),"ఫార్నర్ వెర్కే")</f>
        <v>ఫార్నర్ వెర్కే</v>
      </c>
      <c r="N187" s="1" t="s">
        <v>3783</v>
      </c>
      <c r="R187" s="4">
        <v>25069.0</v>
      </c>
      <c r="S187" s="1">
        <v>24.0</v>
      </c>
      <c r="V187" s="1" t="s">
        <v>3784</v>
      </c>
      <c r="W187" s="1" t="s">
        <v>3785</v>
      </c>
      <c r="X187" s="1" t="s">
        <v>3786</v>
      </c>
      <c r="Y187" s="1" t="s">
        <v>3787</v>
      </c>
      <c r="Z187" s="1" t="s">
        <v>3788</v>
      </c>
      <c r="AE187" s="1">
        <v>6.58</v>
      </c>
      <c r="AG187" s="1" t="s">
        <v>3789</v>
      </c>
      <c r="AH187" s="1" t="s">
        <v>1663</v>
      </c>
      <c r="AI187" s="1" t="s">
        <v>1813</v>
      </c>
      <c r="AM187" s="1" t="s">
        <v>3790</v>
      </c>
      <c r="AO187" s="1">
        <v>1971.0</v>
      </c>
      <c r="AQ187" s="1">
        <v>1987.0</v>
      </c>
      <c r="AW187" s="1" t="s">
        <v>3791</v>
      </c>
      <c r="AX187" s="1" t="s">
        <v>3792</v>
      </c>
      <c r="AY187" s="1" t="str">
        <f>IFERROR(__xludf.DUMMYFUNCTION("GOOGLETRANSLATE(AX:AX, ""en"", ""te"")"),"1 × లైమింగ్ T53-L-7 టర్బోప్రాప్, 820 kW (1,100 SHP)")</f>
        <v>1 × లైమింగ్ T53-L-7 టర్బోప్రాప్, 820 kW (1,100 SHP)</v>
      </c>
      <c r="AZ187" s="1" t="s">
        <v>3793</v>
      </c>
      <c r="BA187" s="1" t="str">
        <f>IFERROR(__xludf.DUMMYFUNCTION("GOOGLETRANSLATE(AZ:AZ, ""en"", ""te"")"),"3-బ్లేడెడ్ హామిల్టన్ స్టాండర్డ్ 53 సి 51, 3.05 మీ (10 అడుగుల 0 అంగుళాలు) వ్యాసం")</f>
        <v>3-బ్లేడెడ్ హామిల్టన్ స్టాండర్డ్ 53 సి 51, 3.05 మీ (10 అడుగుల 0 అంగుళాలు) వ్యాసం</v>
      </c>
      <c r="BB187" s="1" t="s">
        <v>3794</v>
      </c>
      <c r="BC187" s="1" t="s">
        <v>3795</v>
      </c>
      <c r="BD187" s="1" t="s">
        <v>1396</v>
      </c>
      <c r="BE187" s="1" t="s">
        <v>3796</v>
      </c>
      <c r="BF187" s="1" t="s">
        <v>2412</v>
      </c>
      <c r="BG187" s="2" t="str">
        <f>IFERROR(__xludf.DUMMYFUNCTION("GOOGLETRANSLATE(BF:BF, ""en"", ""te"")"),"స్విస్ వైమానిక దళం")</f>
        <v>స్విస్ వైమానిక దళం</v>
      </c>
      <c r="BH187" s="1" t="s">
        <v>2413</v>
      </c>
      <c r="BI187" s="1" t="s">
        <v>3797</v>
      </c>
      <c r="BJ187" s="1" t="s">
        <v>3798</v>
      </c>
      <c r="BR187" s="1" t="s">
        <v>3799</v>
      </c>
      <c r="BS187" s="1" t="s">
        <v>3800</v>
      </c>
      <c r="BT187" s="1" t="s">
        <v>3801</v>
      </c>
      <c r="BW187" s="1" t="s">
        <v>3802</v>
      </c>
      <c r="BX187" s="1"/>
      <c r="BY187" s="1" t="s">
        <v>3803</v>
      </c>
    </row>
    <row r="188">
      <c r="A188" s="1" t="s">
        <v>3804</v>
      </c>
      <c r="B188" s="1" t="str">
        <f>IFERROR(__xludf.DUMMYFUNCTION("GOOGLETRANSLATE(A:A, ""en"", ""te"")"),"ఏరోలైట్స్ బేర్‌కాట్")</f>
        <v>ఏరోలైట్స్ బేర్‌కాట్</v>
      </c>
      <c r="C188" s="1" t="s">
        <v>3805</v>
      </c>
      <c r="D188" s="1" t="str">
        <f>IFERROR(__xludf.DUMMYFUNCTION("GOOGLETRANSLATE(C:C, ""en"", ""te"")"),"ఏరోలైట్స్ బేర్‌కాట్ అనేది ఒక అమెరికన్ te త్సాహిక-నిర్మిత విమానం, ఇది వెల్ష్, లూసియానాకు చెందిన ఏరోలైట్స్ చేత రూపొందించబడింది మరియు ఉత్పత్తి చేయబడింది మరియు 1984 లో ప్రవేశపెట్టబడింది. ఈ విమానం te త్సాహిక నిర్మాణానికి కిట్‌గా సరఫరా చేయబడుతుంది. [1] [2] [3] "&amp;"[4] బేర్‌కాట్‌లో స్ట్రట్-బ్రేస్డ్ పారాసోల్-వింగ్, సింగిల్-సీట్ ఓపెన్ కాక్‌పిట్, స్థిర సాంప్రదాయ ల్యాండింగ్ గేర్ మరియు ట్రాక్టర్ కాన్ఫిగరేషన్‌లో ఒకే ఇంజిన్ ఉన్నాయి. [1] [2] [3] విమానం ఫ్యూజ్‌లేజ్ వెల్డెడ్ 4130 స్టీల్ గొట్టాల నుండి అల్యూమినియం నిర్మాణంతో ని"&amp;"ర్మించిన రెక్కతో తయారు చేయబడింది, దాని ఎగిరే ఉపరితలాలు డాక్రాన్ సెయిల్‌క్లాత్‌లో కప్పబడి ఉంటాయి. పక్కటెముకలు బట్టలో పాకెట్స్ లోకి జారిపోతాయి. దీని 30 అడుగుల (9.1 మీ) స్పాన్ వింగ్ క్లార్క్ వై ఎయిర్‌ఫాయిల్‌ను ఉపయోగిస్తుంది మరియు 150 చదరపు అడుగుల (14 మీ 2) వ"&amp;"ిస్తీర్ణంలో ఉంది. అందుబాటులో ఉన్న ప్రామాణిక ఇంజన్లు 40 హెచ్‌పి (30 కిలోవాట్ల) రోటాక్స్ 447, 50 హెచ్‌పి (37 కిలోవాట్) రోటాక్స్ 503 మరియు 64 హెచ్‌పి (48 కిలోవాట్) రోటాక్స్ 582 టూ-స్ట్రోక్ పవర్‌ప్లాంట్లు. వైమానిక అనువర్తనం కోసం విమానాన్ని మార్చడానికి పరికరాల"&amp;"ు కూడా అందుబాటులో ఉన్నాయి. [1] [2] [3] [5] సరఫరా చేసిన కిట్ సమీకరించటానికి 60-90 గంటలు పడుతుందని తయారీదారు పేర్కొన్నాడు. [6] 1998 నాటికి తొమ్మిది బేర్‌కాట్స్ మరియు రెండు ఎగ్ బేర్‌కాట్‌లు ఎగురుతున్నాయని కంపెనీ నివేదించింది. [3] బేయర్ల్ మరియు ఏరోలైట్ల నుండి"&amp;" డేటా [1] [6] సాధారణ లక్షణాల పనితీరు")</f>
        <v>ఏరోలైట్స్ బేర్‌కాట్ అనేది ఒక అమెరికన్ te త్సాహిక-నిర్మిత విమానం, ఇది వెల్ష్, లూసియానాకు చెందిన ఏరోలైట్స్ చేత రూపొందించబడింది మరియు ఉత్పత్తి చేయబడింది మరియు 1984 లో ప్రవేశపెట్టబడింది. ఈ విమానం te త్సాహిక నిర్మాణానికి కిట్‌గా సరఫరా చేయబడుతుంది. [1] [2] [3] [4] బేర్‌కాట్‌లో స్ట్రట్-బ్రేస్డ్ పారాసోల్-వింగ్, సింగిల్-సీట్ ఓపెన్ కాక్‌పిట్, స్థిర సాంప్రదాయ ల్యాండింగ్ గేర్ మరియు ట్రాక్టర్ కాన్ఫిగరేషన్‌లో ఒకే ఇంజిన్ ఉన్నాయి. [1] [2] [3] విమానం ఫ్యూజ్‌లేజ్ వెల్డెడ్ 4130 స్టీల్ గొట్టాల నుండి అల్యూమినియం నిర్మాణంతో నిర్మించిన రెక్కతో తయారు చేయబడింది, దాని ఎగిరే ఉపరితలాలు డాక్రాన్ సెయిల్‌క్లాత్‌లో కప్పబడి ఉంటాయి. పక్కటెముకలు బట్టలో పాకెట్స్ లోకి జారిపోతాయి. దీని 30 అడుగుల (9.1 మీ) స్పాన్ వింగ్ క్లార్క్ వై ఎయిర్‌ఫాయిల్‌ను ఉపయోగిస్తుంది మరియు 150 చదరపు అడుగుల (14 మీ 2) విస్తీర్ణంలో ఉంది. అందుబాటులో ఉన్న ప్రామాణిక ఇంజన్లు 40 హెచ్‌పి (30 కిలోవాట్ల) రోటాక్స్ 447, 50 హెచ్‌పి (37 కిలోవాట్) రోటాక్స్ 503 మరియు 64 హెచ్‌పి (48 కిలోవాట్) రోటాక్స్ 582 టూ-స్ట్రోక్ పవర్‌ప్లాంట్లు. వైమానిక అనువర్తనం కోసం విమానాన్ని మార్చడానికి పరికరాలు కూడా అందుబాటులో ఉన్నాయి. [1] [2] [3] [5] సరఫరా చేసిన కిట్ సమీకరించటానికి 60-90 గంటలు పడుతుందని తయారీదారు పేర్కొన్నాడు. [6] 1998 నాటికి తొమ్మిది బేర్‌కాట్స్ మరియు రెండు ఎగ్ బేర్‌కాట్‌లు ఎగురుతున్నాయని కంపెనీ నివేదించింది. [3] బేయర్ల్ మరియు ఏరోలైట్ల నుండి డేటా [1] [6] సాధారణ లక్షణాల పనితీరు</v>
      </c>
      <c r="F188" s="1" t="s">
        <v>3806</v>
      </c>
      <c r="G188" s="1" t="str">
        <f>IFERROR(__xludf.DUMMYFUNCTION("GOOGLETRANSLATE(F:F, ""en"", ""te"")"),"Te త్సాహిక నిర్మించిన విమానం")</f>
        <v>Te త్సాహిక నిర్మించిన విమానం</v>
      </c>
      <c r="H188" s="1" t="s">
        <v>3807</v>
      </c>
      <c r="I188" s="1" t="s">
        <v>447</v>
      </c>
      <c r="J188" s="1" t="str">
        <f>IFERROR(__xludf.DUMMYFUNCTION("GOOGLETRANSLATE(I:I, ""en"", ""te"")"),"అమెరికా")</f>
        <v>అమెరికా</v>
      </c>
      <c r="K188" s="3" t="s">
        <v>448</v>
      </c>
      <c r="L188" s="1" t="s">
        <v>3808</v>
      </c>
      <c r="M188" s="1" t="str">
        <f>IFERROR(__xludf.DUMMYFUNCTION("GOOGLETRANSLATE(L:L, ""en"", ""te"")"),"ఏరోలైట్స్")</f>
        <v>ఏరోలైట్స్</v>
      </c>
      <c r="N188" s="3" t="s">
        <v>3809</v>
      </c>
      <c r="R188" s="1">
        <v>1984.0</v>
      </c>
      <c r="T188" s="1" t="s">
        <v>216</v>
      </c>
      <c r="V188" s="1" t="s">
        <v>518</v>
      </c>
      <c r="W188" s="1" t="s">
        <v>3810</v>
      </c>
      <c r="X188" s="1" t="s">
        <v>3811</v>
      </c>
      <c r="Y188" s="1" t="s">
        <v>3812</v>
      </c>
      <c r="Z188" s="1" t="s">
        <v>2471</v>
      </c>
      <c r="AG188" s="1" t="s">
        <v>3813</v>
      </c>
      <c r="AH188" s="1" t="s">
        <v>3814</v>
      </c>
      <c r="AI188" s="1" t="s">
        <v>3815</v>
      </c>
      <c r="AJ188" s="1" t="s">
        <v>3816</v>
      </c>
      <c r="AM188" s="1" t="s">
        <v>3817</v>
      </c>
      <c r="AW188" s="1" t="s">
        <v>1094</v>
      </c>
      <c r="AX188" s="1" t="s">
        <v>3818</v>
      </c>
      <c r="AY188" s="1" t="str">
        <f>IFERROR(__xludf.DUMMYFUNCTION("GOOGLETRANSLATE(AX:AX, ""en"", ""te"")"),"1 × రోటాక్స్ 447 ట్విన్ సిలిండర్, ఎయిర్-కూల్డ్, రెండు స్ట్రోక్ ఎయిర్క్రాఫ్ట్ ఇంజిన్, 40 హెచ్‌పి (30 కిలోవాట్)")</f>
        <v>1 × రోటాక్స్ 447 ట్విన్ సిలిండర్, ఎయిర్-కూల్డ్, రెండు స్ట్రోక్ ఎయిర్క్రాఫ్ట్ ఇంజిన్, 40 హెచ్‌పి (30 కిలోవాట్)</v>
      </c>
      <c r="AZ188" s="1" t="s">
        <v>3819</v>
      </c>
      <c r="BA188" s="1" t="str">
        <f>IFERROR(__xludf.DUMMYFUNCTION("GOOGLETRANSLATE(AZ:AZ, ""en"", ""te"")"),"2-బ్లేడెడ్ కాంపోజిట్, 5 అడుగుల 8 ఇన్ (1.73 మీ) వ్యాసం")</f>
        <v>2-బ్లేడెడ్ కాంపోజిట్, 5 అడుగుల 8 ఇన్ (1.73 మీ) వ్యాసం</v>
      </c>
      <c r="BB188" s="1" t="s">
        <v>3820</v>
      </c>
      <c r="BC188" s="1" t="s">
        <v>3821</v>
      </c>
      <c r="BG188" s="2"/>
      <c r="BR188" s="1" t="s">
        <v>3822</v>
      </c>
      <c r="BS188" s="1" t="s">
        <v>1103</v>
      </c>
      <c r="BU188" s="1" t="s">
        <v>3823</v>
      </c>
      <c r="BV188" s="1" t="str">
        <f>IFERROR(__xludf.DUMMYFUNCTION("GOOGLETRANSLATE(BU:BU, ""en"", ""te"")"),"ఉత్పత్తిలో (2012)")</f>
        <v>ఉత్పత్తిలో (2012)</v>
      </c>
    </row>
    <row r="189">
      <c r="A189" s="1" t="s">
        <v>3824</v>
      </c>
      <c r="B189" s="1" t="str">
        <f>IFERROR(__xludf.DUMMYFUNCTION("GOOGLETRANSLATE(A:A, ""en"", ""te"")"),"గ్లోస్టర్ F.5/34")</f>
        <v>గ్లోస్టర్ F.5/34</v>
      </c>
      <c r="C189" s="1" t="s">
        <v>3825</v>
      </c>
      <c r="D189" s="1" t="str">
        <f>IFERROR(__xludf.DUMMYFUNCTION("GOOGLETRANSLATE(C:C, ""en"", ""te"")"),"గ్లోస్టర్ F.5/34 1930 లలో బ్రిటిష్ ఫైటర్. ఇది ఆల్-మెటల్ కాంటిలివర్ నిర్మాణం యొక్క సింగిల్-సీట్, సింగిల్-ఇంజిన్ మోనోప్లేన్; అండర్ క్యారేజ్ ముడుచుకునే ప్రధాన చక్రాలతో టెయిల్‌వీల్ రకానికి చెందినది. ఈ విమానం ఎయిర్ మినిస్ట్రీ స్పెసిఫికేషన్ F.5/34 కోసం అభివృద్ధ"&amp;"ి చేయబడింది, ఇది ఎనిమిది మెషిన్ గన్లతో సాయుధమైన ఫైటర్ మరియు ఉష్ణమండలంలో కార్యకలాపాలకు బాగా సరిపోయే ఎయిర్-కూల్డ్ ఇంజిన్. [1] గ్లోస్టర్ డిజైన్‌ను మరింత సమర్థవంతమైన పోటీదారులు అధిగమించారు మరియు స్పెసిఫికేషన్ తరువాత వదిలివేయబడింది, ఇది సేవలోకి ప్రవేశించడానికి"&amp;" ఎంచుకున్న విమాన నమూనాలు ఏవీ ఉత్పత్తి చేయబడలేదు. F.5/34 గ్లోస్టర్ నిర్మించిన మొట్టమొదటి మోనోప్లేన్ ఫైటర్ మరియు చివరి డిజైన్ H.P. సంస్థ కోసం ఫోలాండ్. [2] ఇది గ్లోస్టర్ యొక్క మొదటి ల్యాండ్ మోనోప్లేన్ కూడా. మొదటి డిజైన్ గ్లాడియేటర్ యొక్క తక్కువ-వింగ్ మోనోప్ల"&amp;"ేన్ వెర్షన్ మీద ఆధారపడింది, బహుశా ఫాబ్రిక్ కవరింగ్ మరియు గ్లాడియేటర్ కొరకు టెయిల్‌ప్లేన్ వెనుక ఉన్న ఫిన్ మరియు పూర్తి-ఎత్తు చుక్కర్‌తో. ఇంజిన్ కొత్త బ్రిస్టల్ పెర్సియస్ స్లీవ్-వాల్వ్ రేడియల్. కాక్‌పిట్ సెమీ ఎన్‌క్లోస్డ్, ఓపెన్ సైడ్స్ మరియు దాని వెనుక ఒక వ"&amp;"ెన్నెముక. అండర్ క్యారేజ్ వెనుకకు ఉపసంహరించుకుని చక్రాలను సగం బహిర్గతం చేసింది, ఇది వీల్స్-అప్ ల్యాండింగ్ సందర్భంలో నష్టాన్ని తగ్గిస్తుంది. [3] 1935 నాటికి, డిజైన్ మారిపోయింది మరియు మెటల్ స్ట్రెస్డ్-స్కిన్ ఫ్యూజ్‌లేజ్ వంటి అనేక ఆధునిక లక్షణాలను సంపాదించింద"&amp;"ి. కాక్‌పిట్ పందిరి ఇప్పుడు ఉత్పత్తి గ్లాడియేటర్ వంటి మెరుస్తున్న మరియు ఫ్రేమ్డ్ పందిరి, ఇది వెనుకకు తెరవడానికి వెనుకకు జారిపోయింది, పైన మరియు వెనుక మంచి దృష్టిని ఇస్తుంది. ప్రధాన కొలతలు మారకపోయినా, టెయిల్‌ప్లేన్ ఫిన్ వెనుక వెనుకకు కదిలింది, దానికి మించి "&amp;"ఫ్యూజ్‌లేజ్ యొక్క పొడిగింపు అవసరం, పొడవు 3 అడుగులు పెరుగుతుంది. ఇది F.35/35 హై-స్పీడ్ ఫైటర్ స్పెసిఫికేషన్ కోసం అభివృద్ధి చేసిన ఒక ఆవిష్కరణ. ఫిన్ మరియు చుక్కాని 'క్లీన్' గాలిలో, టెయిల్‌ప్లేన్ కంటే ముందు స్పిన్ రికవరీని మెరుగుపరచడం ఉద్దేశ్యం. [3] ఇంజిన్ కనీ"&amp;"సం ప్రోటోటైప్ విమానానికి, పాత 840 హెచ్‌పి బ్రిస్టల్ మెర్క్యురీ ఐఎక్స్ తొమ్మిది-సిలిండర్ పాప్పెట్-వాల్వ్ రేడియల్ ఇంజిన్‌కు కూడా మార్చబడింది. [3] పెర్సియస్ మెర్క్యురీకి ఒకేలా సిలిండర్ కొలతలతో అభివృద్ధి చేయబడింది మరియు కొంచెం పెద్దది మాత్రమే, మార్పును సులభతర"&amp;"ం చేస్తుంది. పెర్సియస్ ఇంకా అభివృద్ధిలో ఉంది మరియు ఇది expected హించినప్పటికీ - ఖచ్చితంగా - స్లీవ్ వాల్వ్ పవర్‌ప్లాంట్ చాలా ఎక్కువ సంభావ్య హార్స్‌పవర్‌ను అందించింది, మరింత సాంప్రదాయిక పాదరసం ప్రోటోటైప్ ఎయిర్‌ఫ్రేమ్‌ను అభివృద్ధి చేసే ప్రయోజనాల కోసం ఆమోదయోగ"&amp;"్యమైనదిగా భావించబడింది, పెర్సియస్‌ను పునరుద్ధరించడానికి ఉద్దేశ్యంతో ఉత్పత్తి వెర్షన్. [4] కొత్త విమానం, ఇప్పుడు అనధికారికంగా పేరులేని ఫైటర్ అని పిలుస్తారు, మునుపటి గాంట్లెట్ మరియు గ్లాడియేటర్ బిప్‌లేన్ ఫైటర్స్‌ను పోలి ఉండే తోక మరియు క్లోజ్-ఫిట్టింగ్ కౌలిం"&amp;"గ్‌తో సహా అనేక ట్రేడ్‌మార్క్ గ్లోస్టర్ డిజైన్ అంశాలను కలిగి ఉంది. [2] తక్కువ వింగ్ కాంటిలివర్ మెయిన్‌ప్లేన్ ఒక ముక్కలో లైట్-అల్లాయ్ స్పార్స్‌తో చిట్కా నుండి చిట్కా వరకు నడుస్తుంది మరియు ఉక్కు మరియు లైట్-అల్లాయ్ ట్యూబ్ స్ట్రట్‌లతో ఛానలింగ్ నుండి తయారు చేసి"&amp;"న పక్కటెముకలు. NACA 2218 ప్రొఫైల్స్ రూట్ వద్ద మరియు చిట్కా వద్ద NACA 2209 ఉపయోగించబడ్డాయి. సింగిల్ పీస్ వింగ్ తరువాత విమర్శించబడింది, ఎందుకంటే ఇది ఒకే రెక్కను భర్తీ చేయడం ద్వారా యుద్ధ నష్టాన్ని మరమ్మతులు చేయకుండా నిరోధించింది. [3] ఫాబ్రిక్-కప్పబడిన ఫ్రైజ్"&amp;" ఐలెరాన్‌లతో మెయిన్‌ప్లేన్ మరియు టెయిల్ యూనిట్‌లో డ్యూరాలిమిన్ ఒత్తిడి-చర్మం ఉపయోగించబడింది. ఫ్యూజ్‌లేజ్ అనేది మోనోకోక్ నిర్మాణం, ఇది కాంతి, కల్పిత ఓవల్-సెక్షన్ రింగుల నుండి డ్యూరాలిమిన్ స్కిన్నింగ్‌తో నిర్మించబడింది. [5] సాధారణ బ్రిటీష్ అభ్యాసం ఏమిటంటే, "&amp;"స్పిట్‌ఫైర్ మరియు హరికేన్ మాదిరిగానే మూల్యాంకనం యొక్క ప్రయోజనాల కోసం ఒకే నమూనాను ఆర్డర్ చేయడం, F.5/34 రెండు యంత్రాలు అభ్యర్థించబడ్డాయి. గ్లాడియేటర్ ఉత్పత్తి కార్యక్రమం యొక్క డిమాండ్లతో అభివృద్ధి ఆలస్యం అయింది, తద్వారా మొదటి నమూనా K5604 యొక్క విమాన పరీక్షల"&amp;"ు డిసెంబర్ 1936 వరకు ప్రారంభం కాలేదు. రెండవ నమూనా K8089 మార్చి 1938 వరకు ఎగరలేదు. [3] ఈ అవసరానికి గ్లోస్టర్‌తో పోటీలో బ్రిస్టల్ టైప్ 146, మార్టిన్-బేకర్ M.B.2 మరియు విక్కర్స్ వెనం, ఇవి విమానం మరియు ఆయుధ ప్రయోగాత్మక స్థాపన ద్వారా పరీక్షించబడతాయి. ఫ్లైట్ మ్"&amp;"యాగజైన్ (1 జూలై 1937) F.5/34 హక్‌క్లెకోట్ ఏరోడ్రోమ్ నుండి బయలుదేరినట్లు చూపిస్తుంది మరియు ఆ సంవత్సరం RAF ప్రదర్శనలో దాని రూపాన్ని పేర్కొంది. [6] F.5/34 తన విమాన పరీక్షలను ప్రారంభించే సమయానికి, ఎనిమిది-గన్ హాకర్ హరికేన్ సేవలో ఉంది మరియు ఉత్పత్తిలో సూపర్ మె"&amp;"రైన్ స్పిట్‌ఫైర్, తద్వారా గ్లోస్టర్ ఫైటర్ యొక్క మరింత అభివృద్ధి మానేసింది. దాని సమకాలీనులతో పోలిస్తే, టెస్ట్ పైలట్లు F.5/34 ప్రోటోటైప్‌లు తక్కువ రన్ ఆఫ్ పరుగును కలిగి ఉన్నాయని, మెరుగైన ప్రారంభ అధిరోహణను అందించాయి మరియు అధిక వేగంతో అధికంగా భారీగా మారని ఐలె"&amp;"రాన్‌ల కారణంగా మరింత ప్రతిస్పందించే మరియు మనోహరమైనవి. హ్యాండ్లింగ్ చాలా మంచిదిగా పరిగణించబడింది మరియు ఆల్ రౌండ్ కాక్‌పిట్ దృశ్యమానత ఇతర డిజైన్ల కంటే చాలా బాగుంది. గ్లోస్టర్ F.5/34 1937 హెండన్ ఎయిర్ షోలో ప్రారంభమైంది, కాని వెంటనే, ప్రోటోటైప్స్ K5604 మరియు "&amp;"K8089 ప్రయోగాత్మక ఎగిరేవారికి మరియు చివరకు మే 1941 వరకు బోధనా ఎయిర్‌ఫ్రేమ్‌లుగా పంపబడ్డాయి. [7] పూర్తి బుక్ ఆఫ్ ఫైటర్స్ నుండి డేటా [8] సాధారణ లక్షణాలు పనితీరు ఆయుధాలు, కాన్ఫిగరేషన్ మరియు ERA యొక్క ఆయుధ విమానం")</f>
        <v>గ్లోస్టర్ F.5/34 1930 లలో బ్రిటిష్ ఫైటర్. ఇది ఆల్-మెటల్ కాంటిలివర్ నిర్మాణం యొక్క సింగిల్-సీట్, సింగిల్-ఇంజిన్ మోనోప్లేన్; అండర్ క్యారేజ్ ముడుచుకునే ప్రధాన చక్రాలతో టెయిల్‌వీల్ రకానికి చెందినది. ఈ విమానం ఎయిర్ మినిస్ట్రీ స్పెసిఫికేషన్ F.5/34 కోసం అభివృద్ధి చేయబడింది, ఇది ఎనిమిది మెషిన్ గన్లతో సాయుధమైన ఫైటర్ మరియు ఉష్ణమండలంలో కార్యకలాపాలకు బాగా సరిపోయే ఎయిర్-కూల్డ్ ఇంజిన్. [1] గ్లోస్టర్ డిజైన్‌ను మరింత సమర్థవంతమైన పోటీదారులు అధిగమించారు మరియు స్పెసిఫికేషన్ తరువాత వదిలివేయబడింది, ఇది సేవలోకి ప్రవేశించడానికి ఎంచుకున్న విమాన నమూనాలు ఏవీ ఉత్పత్తి చేయబడలేదు. F.5/34 గ్లోస్టర్ నిర్మించిన మొట్టమొదటి మోనోప్లేన్ ఫైటర్ మరియు చివరి డిజైన్ H.P. సంస్థ కోసం ఫోలాండ్. [2] ఇది గ్లోస్టర్ యొక్క మొదటి ల్యాండ్ మోనోప్లేన్ కూడా. మొదటి డిజైన్ గ్లాడియేటర్ యొక్క తక్కువ-వింగ్ మోనోప్లేన్ వెర్షన్ మీద ఆధారపడింది, బహుశా ఫాబ్రిక్ కవరింగ్ మరియు గ్లాడియేటర్ కొరకు టెయిల్‌ప్లేన్ వెనుక ఉన్న ఫిన్ మరియు పూర్తి-ఎత్తు చుక్కర్‌తో. ఇంజిన్ కొత్త బ్రిస్టల్ పెర్సియస్ స్లీవ్-వాల్వ్ రేడియల్. కాక్‌పిట్ సెమీ ఎన్‌క్లోస్డ్, ఓపెన్ సైడ్స్ మరియు దాని వెనుక ఒక వెన్నెముక. అండర్ క్యారేజ్ వెనుకకు ఉపసంహరించుకుని చక్రాలను సగం బహిర్గతం చేసింది, ఇది వీల్స్-అప్ ల్యాండింగ్ సందర్భంలో నష్టాన్ని తగ్గిస్తుంది. [3] 1935 నాటికి, డిజైన్ మారిపోయింది మరియు మెటల్ స్ట్రెస్డ్-స్కిన్ ఫ్యూజ్‌లేజ్ వంటి అనేక ఆధునిక లక్షణాలను సంపాదించింది. కాక్‌పిట్ పందిరి ఇప్పుడు ఉత్పత్తి గ్లాడియేటర్ వంటి మెరుస్తున్న మరియు ఫ్రేమ్డ్ పందిరి, ఇది వెనుకకు తెరవడానికి వెనుకకు జారిపోయింది, పైన మరియు వెనుక మంచి దృష్టిని ఇస్తుంది. ప్రధాన కొలతలు మారకపోయినా, టెయిల్‌ప్లేన్ ఫిన్ వెనుక వెనుకకు కదిలింది, దానికి మించి ఫ్యూజ్‌లేజ్ యొక్క పొడిగింపు అవసరం, పొడవు 3 అడుగులు పెరుగుతుంది. ఇది F.35/35 హై-స్పీడ్ ఫైటర్ స్పెసిఫికేషన్ కోసం అభివృద్ధి చేసిన ఒక ఆవిష్కరణ. ఫిన్ మరియు చుక్కాని 'క్లీన్' గాలిలో, టెయిల్‌ప్లేన్ కంటే ముందు స్పిన్ రికవరీని మెరుగుపరచడం ఉద్దేశ్యం. [3] ఇంజిన్ కనీసం ప్రోటోటైప్ విమానానికి, పాత 840 హెచ్‌పి బ్రిస్టల్ మెర్క్యురీ ఐఎక్స్ తొమ్మిది-సిలిండర్ పాప్పెట్-వాల్వ్ రేడియల్ ఇంజిన్‌కు కూడా మార్చబడింది. [3] పెర్సియస్ మెర్క్యురీకి ఒకేలా సిలిండర్ కొలతలతో అభివృద్ధి చేయబడింది మరియు కొంచెం పెద్దది మాత్రమే, మార్పును సులభతరం చేస్తుంది. పెర్సియస్ ఇంకా అభివృద్ధిలో ఉంది మరియు ఇది expected హించినప్పటికీ - ఖచ్చితంగా - స్లీవ్ వాల్వ్ పవర్‌ప్లాంట్ చాలా ఎక్కువ సంభావ్య హార్స్‌పవర్‌ను అందించింది, మరింత సాంప్రదాయిక పాదరసం ప్రోటోటైప్ ఎయిర్‌ఫ్రేమ్‌ను అభివృద్ధి చేసే ప్రయోజనాల కోసం ఆమోదయోగ్యమైనదిగా భావించబడింది, పెర్సియస్‌ను పునరుద్ధరించడానికి ఉద్దేశ్యంతో ఉత్పత్తి వెర్షన్. [4] కొత్త విమానం, ఇప్పుడు అనధికారికంగా పేరులేని ఫైటర్ అని పిలుస్తారు, మునుపటి గాంట్లెట్ మరియు గ్లాడియేటర్ బిప్‌లేన్ ఫైటర్స్‌ను పోలి ఉండే తోక మరియు క్లోజ్-ఫిట్టింగ్ కౌలింగ్‌తో సహా అనేక ట్రేడ్‌మార్క్ గ్లోస్టర్ డిజైన్ అంశాలను కలిగి ఉంది. [2] తక్కువ వింగ్ కాంటిలివర్ మెయిన్‌ప్లేన్ ఒక ముక్కలో లైట్-అల్లాయ్ స్పార్స్‌తో చిట్కా నుండి చిట్కా వరకు నడుస్తుంది మరియు ఉక్కు మరియు లైట్-అల్లాయ్ ట్యూబ్ స్ట్రట్‌లతో ఛానలింగ్ నుండి తయారు చేసిన పక్కటెముకలు. NACA 2218 ప్రొఫైల్స్ రూట్ వద్ద మరియు చిట్కా వద్ద NACA 2209 ఉపయోగించబడ్డాయి. సింగిల్ పీస్ వింగ్ తరువాత విమర్శించబడింది, ఎందుకంటే ఇది ఒకే రెక్కను భర్తీ చేయడం ద్వారా యుద్ధ నష్టాన్ని మరమ్మతులు చేయకుండా నిరోధించింది. [3] ఫాబ్రిక్-కప్పబడిన ఫ్రైజ్ ఐలెరాన్‌లతో మెయిన్‌ప్లేన్ మరియు టెయిల్ యూనిట్‌లో డ్యూరాలిమిన్ ఒత్తిడి-చర్మం ఉపయోగించబడింది. ఫ్యూజ్‌లేజ్ అనేది మోనోకోక్ నిర్మాణం, ఇది కాంతి, కల్పిత ఓవల్-సెక్షన్ రింగుల నుండి డ్యూరాలిమిన్ స్కిన్నింగ్‌తో నిర్మించబడింది. [5] సాధారణ బ్రిటీష్ అభ్యాసం ఏమిటంటే, స్పిట్‌ఫైర్ మరియు హరికేన్ మాదిరిగానే మూల్యాంకనం యొక్క ప్రయోజనాల కోసం ఒకే నమూనాను ఆర్డర్ చేయడం, F.5/34 రెండు యంత్రాలు అభ్యర్థించబడ్డాయి. గ్లాడియేటర్ ఉత్పత్తి కార్యక్రమం యొక్క డిమాండ్లతో అభివృద్ధి ఆలస్యం అయింది, తద్వారా మొదటి నమూనా K5604 యొక్క విమాన పరీక్షలు డిసెంబర్ 1936 వరకు ప్రారంభం కాలేదు. రెండవ నమూనా K8089 మార్చి 1938 వరకు ఎగరలేదు. [3] ఈ అవసరానికి గ్లోస్టర్‌తో పోటీలో బ్రిస్టల్ టైప్ 146, మార్టిన్-బేకర్ M.B.2 మరియు విక్కర్స్ వెనం, ఇవి విమానం మరియు ఆయుధ ప్రయోగాత్మక స్థాపన ద్వారా పరీక్షించబడతాయి. ఫ్లైట్ మ్యాగజైన్ (1 జూలై 1937) F.5/34 హక్‌క్లెకోట్ ఏరోడ్రోమ్ నుండి బయలుదేరినట్లు చూపిస్తుంది మరియు ఆ సంవత్సరం RAF ప్రదర్శనలో దాని రూపాన్ని పేర్కొంది. [6] F.5/34 తన విమాన పరీక్షలను ప్రారంభించే సమయానికి, ఎనిమిది-గన్ హాకర్ హరికేన్ సేవలో ఉంది మరియు ఉత్పత్తిలో సూపర్ మెరైన్ స్పిట్‌ఫైర్, తద్వారా గ్లోస్టర్ ఫైటర్ యొక్క మరింత అభివృద్ధి మానేసింది. దాని సమకాలీనులతో పోలిస్తే, టెస్ట్ పైలట్లు F.5/34 ప్రోటోటైప్‌లు తక్కువ రన్ ఆఫ్ పరుగును కలిగి ఉన్నాయని, మెరుగైన ప్రారంభ అధిరోహణను అందించాయి మరియు అధిక వేగంతో అధికంగా భారీగా మారని ఐలెరాన్‌ల కారణంగా మరింత ప్రతిస్పందించే మరియు మనోహరమైనవి. హ్యాండ్లింగ్ చాలా మంచిదిగా పరిగణించబడింది మరియు ఆల్ రౌండ్ కాక్‌పిట్ దృశ్యమానత ఇతర డిజైన్ల కంటే చాలా బాగుంది. గ్లోస్టర్ F.5/34 1937 హెండన్ ఎయిర్ షోలో ప్రారంభమైంది, కాని వెంటనే, ప్రోటోటైప్స్ K5604 మరియు K8089 ప్రయోగాత్మక ఎగిరేవారికి మరియు చివరకు మే 1941 వరకు బోధనా ఎయిర్‌ఫ్రేమ్‌లుగా పంపబడ్డాయి. [7] పూర్తి బుక్ ఆఫ్ ఫైటర్స్ నుండి డేటా [8] సాధారణ లక్షణాలు పనితీరు ఆయుధాలు, కాన్ఫిగరేషన్ మరియు ERA యొక్క ఆయుధ విమానం</v>
      </c>
      <c r="E189" s="1" t="s">
        <v>3826</v>
      </c>
      <c r="F189" s="1" t="s">
        <v>3827</v>
      </c>
      <c r="G189" s="1" t="str">
        <f>IFERROR(__xludf.DUMMYFUNCTION("GOOGLETRANSLATE(F:F, ""en"", ""te"")"),"యుద్ధ")</f>
        <v>యుద్ధ</v>
      </c>
      <c r="H189" s="3" t="s">
        <v>3828</v>
      </c>
      <c r="L189" s="1" t="s">
        <v>3829</v>
      </c>
      <c r="M189" s="1" t="str">
        <f>IFERROR(__xludf.DUMMYFUNCTION("GOOGLETRANSLATE(L:L, ""en"", ""te"")"),"గ్లోస్టర్ విమానం")</f>
        <v>గ్లోస్టర్ విమానం</v>
      </c>
      <c r="N189" s="1" t="s">
        <v>3830</v>
      </c>
      <c r="O189" s="1" t="s">
        <v>3831</v>
      </c>
      <c r="P189" s="1" t="str">
        <f>IFERROR(__xludf.DUMMYFUNCTION("GOOGLETRANSLATE(O:O, ""en"", ""te"")"),"హెన్రీ ఫోలాండ్ మరియు హెచ్. ఇ. ప్రెస్టన్")</f>
        <v>హెన్రీ ఫోలాండ్ మరియు హెచ్. ఇ. ప్రెస్టన్</v>
      </c>
      <c r="Q189" s="1" t="s">
        <v>3832</v>
      </c>
      <c r="R189" s="5">
        <v>13485.0</v>
      </c>
      <c r="S189" s="1">
        <v>2.0</v>
      </c>
      <c r="AQ189" s="1">
        <v>1941.0</v>
      </c>
      <c r="BG189" s="2"/>
      <c r="BU189" s="1" t="s">
        <v>3833</v>
      </c>
      <c r="BV189" s="1" t="str">
        <f>IFERROR(__xludf.DUMMYFUNCTION("GOOGLETRANSLATE(BU:BU, ""en"", ""te"")"),"వదిలివేసిన ప్రాజెక్ట్")</f>
        <v>వదిలివేసిన ప్రాజెక్ట్</v>
      </c>
    </row>
    <row r="190">
      <c r="A190" s="1" t="s">
        <v>3834</v>
      </c>
      <c r="B190" s="1" t="str">
        <f>IFERROR(__xludf.DUMMYFUNCTION("GOOGLETRANSLATE(A:A, ""en"", ""te"")"),"పైపర్ PA-44 సెమినోల్")</f>
        <v>పైపర్ PA-44 సెమినోల్</v>
      </c>
      <c r="C190" s="1" t="s">
        <v>3835</v>
      </c>
      <c r="D190" s="1" t="str">
        <f>IFERROR(__xludf.DUMMYFUNCTION("GOOGLETRANSLATE(C:C, ""en"", ""te"")"),"పైపర్ PA-44 సెమినోల్ అనేది పైపర్ విమానం చేత తయారు చేయబడిన ఒక అమెరికన్ ట్విన్-ఇంజిన్ లైట్ విమానం. [2] PA-44 అనేది పైపర్ చెరోకీ సింగిల్-ఇంజిన్ విమానం యొక్క అభివృద్ధి మరియు ఇది ప్రధానంగా బహుళ-ఇంజిన్ విమాన శిక్షణ కోసం ఉపయోగించబడుతుంది. [2] [3] ఈ సెమినోల్ 1979"&amp;"-1982లో, 1989-1990లో నిర్మించబడింది మరియు ఇది 1995 నుండి ఉత్పత్తిలో ఉంది. మొదటి ఉత్పత్తి సెమినోల్స్ రెండు 180 హెచ్‌పి (135 కిలోవాట్) లైమింగ్ O-360-E1A6D ఇంజిన్‌లతో అమర్చబడి ఉన్నాయి. కుడి చేతి ఇంజిన్ ఒక లైమింగ్ LO-360-E1A6D వేరియంట్, ఇది ఎడమ చేతి ఇంజిన్‌కు"&amp;" వ్యతిరేక దిశలో మారుతుంది. ఈ లక్షణం క్లిష్టమైన ఇంజిన్‌ను తొలగిస్తుంది మరియు ఇంజిన్‌ను మూసివేయాల్సిన లేదా విఫలమైన సందర్భంలో విమానం మరింత నియంత్రించదగినదిగా చేస్తుంది. [4] [5] మొట్టమొదటి ప్రోటోటైప్ సెమినోల్ మే 1976 లో తన తొలి విమాన ప్రయాణం చేసింది మరియు ఈ ర"&amp;"కాన్ని ఫిబ్రవరి 21, 1978 న బహిరంగంగా ప్రకటించారు. [6] ఈ సెమినోల్ మొదట మార్చి 10, 1978 న ధృవీకరించబడింది మరియు 1978 చివరలో 1979 మోడల్ సంవత్సరంగా ప్రవేశపెట్టబడింది. స్థూల బరువు 3800 పౌండ్లు (1723 కిలోలు). [5] తరువాత ఉత్పత్తి సెమినోల్స్ లైమింగ్ O-360-A1H6 ఇం"&amp;"జిన్లతో నిర్మించబడ్డాయి. [5] PA-44-180T టర్బో సెమినోల్ వెర్షన్ నవంబర్ 29, 1979 న ధృవీకరించబడింది. ఇది రెండు టర్బోచార్జ్డ్ 180 హెచ్‌పి (135 kW) లైమింగ్ టు -360-ఇ 1A6D ఇంజన్లను కలిగి ఉంది, ఇది అధిక సాంద్రత ఎత్తులో పనితీరులో గణనీయమైన మెరుగుదలను అందిస్తుంది. "&amp;"టర్బో సెమినోల్ దాని టేకాఫ్ స్థూల బరువును 3925 ఎల్బి (1780 కిలోలు) కు పెంచింది, ల్యాండింగ్ బరువు 3800 పౌండ్లు (1723 కిలోలు) వద్ద ఉంది. [5] PA-44 లో టి-టెయిల్డ్ బాణం IV మాదిరిగానే అధిక టి-తోక ఉంది. సెమినోల్ దృశ్యమానంగా బీచ్‌క్రాఫ్ట్ డచెస్‌తో సమానంగా ఉంటుంది"&amp;". [3] 361 సెమినోల్స్ మరియు 87 టర్బో సెమినోల్స్ నిర్మించిన తరువాత, సెమినోల్ యొక్క రెండు వెర్షన్ల ఉత్పత్తి 1982 లో ఆపివేయబడింది. సాధారణంగా ఆశించిన PA-44-180 యొక్క ఉత్పత్తి 1988 లో పున ar ప్రారంభించబడింది. [7] మార్పులు విమానం యొక్క విద్యుత్ వ్యవస్థలు మరియు ప"&amp;"రికరాలకు మార్పులకు పరిమితం చేయబడ్డాయి. [8] పైపర్ యొక్క ఆర్థిక సమస్యల కారణంగా 29 విమానాలు పంపిణీ చేయబడిన తరువాత 1990 లో ఉత్పత్తి మళ్లీ ఆగిపోయింది. [9] ఉత్పత్తి 1995 లో మళ్లీ పున ar ప్రారంభించబడింది. [10] PA-44 ఎయిర్ చార్టర్ కంపెనీలు మరియు విమాన పాఠశాలలతో ప"&amp;"్రాచుర్యం పొందింది మరియు దీనిని ప్రైవేట్ వ్యక్తులు మరియు సంస్థలు నిర్వహిస్తాయి. జేన్ యొక్క అన్ని ప్రపంచ విమానాల నుండి డేటా 1982–83 [6] సాధారణ లక్షణాలు పనితీరు సంబంధిత అభివృద్ధి విమానం పోల్చదగిన పాత్ర, కాన్ఫిగరేషన్ మరియు ERA")</f>
        <v>పైపర్ PA-44 సెమినోల్ అనేది పైపర్ విమానం చేత తయారు చేయబడిన ఒక అమెరికన్ ట్విన్-ఇంజిన్ లైట్ విమానం. [2] PA-44 అనేది పైపర్ చెరోకీ సింగిల్-ఇంజిన్ విమానం యొక్క అభివృద్ధి మరియు ఇది ప్రధానంగా బహుళ-ఇంజిన్ విమాన శిక్షణ కోసం ఉపయోగించబడుతుంది. [2] [3] ఈ సెమినోల్ 1979-1982లో, 1989-1990లో నిర్మించబడింది మరియు ఇది 1995 నుండి ఉత్పత్తిలో ఉంది. మొదటి ఉత్పత్తి సెమినోల్స్ రెండు 180 హెచ్‌పి (135 కిలోవాట్) లైమింగ్ O-360-E1A6D ఇంజిన్‌లతో అమర్చబడి ఉన్నాయి. కుడి చేతి ఇంజిన్ ఒక లైమింగ్ LO-360-E1A6D వేరియంట్, ఇది ఎడమ చేతి ఇంజిన్‌కు వ్యతిరేక దిశలో మారుతుంది. ఈ లక్షణం క్లిష్టమైన ఇంజిన్‌ను తొలగిస్తుంది మరియు ఇంజిన్‌ను మూసివేయాల్సిన లేదా విఫలమైన సందర్భంలో విమానం మరింత నియంత్రించదగినదిగా చేస్తుంది. [4] [5] మొట్టమొదటి ప్రోటోటైప్ సెమినోల్ మే 1976 లో తన తొలి విమాన ప్రయాణం చేసింది మరియు ఈ రకాన్ని ఫిబ్రవరి 21, 1978 న బహిరంగంగా ప్రకటించారు. [6] ఈ సెమినోల్ మొదట మార్చి 10, 1978 న ధృవీకరించబడింది మరియు 1978 చివరలో 1979 మోడల్ సంవత్సరంగా ప్రవేశపెట్టబడింది. స్థూల బరువు 3800 పౌండ్లు (1723 కిలోలు). [5] తరువాత ఉత్పత్తి సెమినోల్స్ లైమింగ్ O-360-A1H6 ఇంజిన్లతో నిర్మించబడ్డాయి. [5] PA-44-180T టర్బో సెమినోల్ వెర్షన్ నవంబర్ 29, 1979 న ధృవీకరించబడింది. ఇది రెండు టర్బోచార్జ్డ్ 180 హెచ్‌పి (135 kW) లైమింగ్ టు -360-ఇ 1A6D ఇంజన్లను కలిగి ఉంది, ఇది అధిక సాంద్రత ఎత్తులో పనితీరులో గణనీయమైన మెరుగుదలను అందిస్తుంది. టర్బో సెమినోల్ దాని టేకాఫ్ స్థూల బరువును 3925 ఎల్బి (1780 కిలోలు) కు పెంచింది, ల్యాండింగ్ బరువు 3800 పౌండ్లు (1723 కిలోలు) వద్ద ఉంది. [5] PA-44 లో టి-టెయిల్డ్ బాణం IV మాదిరిగానే అధిక టి-తోక ఉంది. సెమినోల్ దృశ్యమానంగా బీచ్‌క్రాఫ్ట్ డచెస్‌తో సమానంగా ఉంటుంది. [3] 361 సెమినోల్స్ మరియు 87 టర్బో సెమినోల్స్ నిర్మించిన తరువాత, సెమినోల్ యొక్క రెండు వెర్షన్ల ఉత్పత్తి 1982 లో ఆపివేయబడింది. సాధారణంగా ఆశించిన PA-44-180 యొక్క ఉత్పత్తి 1988 లో పున ar ప్రారంభించబడింది. [7] మార్పులు విమానం యొక్క విద్యుత్ వ్యవస్థలు మరియు పరికరాలకు మార్పులకు పరిమితం చేయబడ్డాయి. [8] పైపర్ యొక్క ఆర్థిక సమస్యల కారణంగా 29 విమానాలు పంపిణీ చేయబడిన తరువాత 1990 లో ఉత్పత్తి మళ్లీ ఆగిపోయింది. [9] ఉత్పత్తి 1995 లో మళ్లీ పున ar ప్రారంభించబడింది. [10] PA-44 ఎయిర్ చార్టర్ కంపెనీలు మరియు విమాన పాఠశాలలతో ప్రాచుర్యం పొందింది మరియు దీనిని ప్రైవేట్ వ్యక్తులు మరియు సంస్థలు నిర్వహిస్తాయి. జేన్ యొక్క అన్ని ప్రపంచ విమానాల నుండి డేటా 1982–83 [6] సాధారణ లక్షణాలు పనితీరు సంబంధిత అభివృద్ధి విమానం పోల్చదగిన పాత్ర, కాన్ఫిగరేషన్ మరియు ERA</v>
      </c>
      <c r="E190" s="1" t="s">
        <v>3836</v>
      </c>
      <c r="F190" s="1" t="s">
        <v>3837</v>
      </c>
      <c r="G190" s="1" t="str">
        <f>IFERROR(__xludf.DUMMYFUNCTION("GOOGLETRANSLATE(F:F, ""en"", ""te"")"),"శిక్షణ మరియు వ్యక్తిగత విమానాలు")</f>
        <v>శిక్షణ మరియు వ్యక్తిగత విమానాలు</v>
      </c>
      <c r="H190" s="1" t="s">
        <v>3838</v>
      </c>
      <c r="L190" s="1" t="s">
        <v>2828</v>
      </c>
      <c r="M190" s="1" t="str">
        <f>IFERROR(__xludf.DUMMYFUNCTION("GOOGLETRANSLATE(L:L, ""en"", ""te"")"),"పైపర్ విమానం")</f>
        <v>పైపర్ విమానం</v>
      </c>
      <c r="N190" s="1" t="s">
        <v>2829</v>
      </c>
      <c r="R190" s="1">
        <v>1976.0</v>
      </c>
      <c r="S190" s="1" t="s">
        <v>3839</v>
      </c>
      <c r="T190" s="1" t="s">
        <v>216</v>
      </c>
      <c r="V190" s="1">
        <v>1.0</v>
      </c>
      <c r="W190" s="1" t="s">
        <v>3840</v>
      </c>
      <c r="X190" s="1" t="s">
        <v>3841</v>
      </c>
      <c r="Y190" s="1" t="s">
        <v>3842</v>
      </c>
      <c r="Z190" s="1" t="s">
        <v>3843</v>
      </c>
      <c r="AF190" s="1" t="s">
        <v>3844</v>
      </c>
      <c r="AG190" s="1" t="s">
        <v>3845</v>
      </c>
      <c r="AV190" s="1" t="s">
        <v>2228</v>
      </c>
      <c r="AW190" s="1" t="s">
        <v>3846</v>
      </c>
      <c r="AX190" s="1" t="s">
        <v>3847</v>
      </c>
      <c r="AY190" s="1" t="str">
        <f>IFERROR(__xludf.DUMMYFUNCTION("GOOGLETRANSLATE(AX:AX, ""en"", ""te"")"),"2 × లైమింగ్ O-360-E1A6 ఎయిర్-కూల్డ్ ఫ్లాట్ ఫోర్ (కౌంటర్ రొటేటింగ్), 180 HP (130 kW) ఒక్కొక్కటి")</f>
        <v>2 × లైమింగ్ O-360-E1A6 ఎయిర్-కూల్డ్ ఫ్లాట్ ఫోర్ (కౌంటర్ రొటేటింగ్), 180 HP (130 kW) ఒక్కొక్కటి</v>
      </c>
      <c r="AZ190" s="1" t="s">
        <v>3848</v>
      </c>
      <c r="BA190" s="1" t="str">
        <f>IFERROR(__xludf.DUMMYFUNCTION("GOOGLETRANSLATE(AZ:AZ, ""en"", ""te"")"),"2-బ్లేడెడ్ హార్ట్జెల్ పూర్తి-ఫెదరింగ్ మెటల్ స్థిరమైన-స్పీడ్ ప్రొపెల్లర్స్, 6 అడుగుల 2 (1.88 మీ) వ్యాసం")</f>
        <v>2-బ్లేడెడ్ హార్ట్జెల్ పూర్తి-ఫెదరింగ్ మెటల్ స్థిరమైన-స్పీడ్ ప్రొపెల్లర్స్, 6 అడుగుల 2 (1.88 మీ) వ్యాసం</v>
      </c>
      <c r="BB190" s="1" t="s">
        <v>3849</v>
      </c>
      <c r="BC190" s="1" t="s">
        <v>3850</v>
      </c>
      <c r="BD190" s="1" t="s">
        <v>3851</v>
      </c>
      <c r="BG190" s="2"/>
      <c r="BI190" s="1" t="s">
        <v>3852</v>
      </c>
      <c r="BJ190" s="1" t="s">
        <v>3853</v>
      </c>
      <c r="BR190" s="1" t="s">
        <v>3854</v>
      </c>
      <c r="BS190" s="1" t="s">
        <v>3855</v>
      </c>
      <c r="BT190" s="1" t="s">
        <v>3856</v>
      </c>
      <c r="BW190" s="1" t="s">
        <v>3857</v>
      </c>
      <c r="BX190" s="1"/>
      <c r="BY190" s="1" t="s">
        <v>3858</v>
      </c>
      <c r="GD190" s="1" t="s">
        <v>3859</v>
      </c>
      <c r="GE190" s="1" t="s">
        <v>3860</v>
      </c>
      <c r="GF190" s="1" t="s">
        <v>3861</v>
      </c>
    </row>
    <row r="191">
      <c r="A191" s="1" t="s">
        <v>3862</v>
      </c>
      <c r="B191" s="1" t="str">
        <f>IFERROR(__xludf.DUMMYFUNCTION("GOOGLETRANSLATE(A:A, ""en"", ""te"")"),"PZL MD-12")</f>
        <v>PZL MD-12</v>
      </c>
      <c r="C191" s="1" t="s">
        <v>3863</v>
      </c>
      <c r="D191" s="1" t="str">
        <f>IFERROR(__xludf.DUMMYFUNCTION("GOOGLETRANSLATE(C:C, ""en"", ""te"")"),"MD-12 అనేది 1960 లలో పోలిష్ నాలుగు-ఇంజిన్ స్వల్ప-శ్రేణి ప్రయాణీకుడు మరియు సివిల్ యుటిలిటీ విమానం, ఇది ప్రోటోటైప్ దశలో ఉంది. PZL బ్రాండ్ సాంప్రదాయికమైనది, ఎందుకంటే ఇది ఉత్పత్తిలోకి ప్రవేశించలేదు మరియు దాని ప్రాజెక్ట్ హోదాలో మాత్రమే సూచించబడింది. లాట్ పోలిష"&amp;"్ విమానయాన సంస్థల కోసం చిన్న దేశీయ మార్గాల్లో లిసునోవ్ లి -2 వారసుడిగా ఈ విమానం అభివృద్ధిగా ఉంది. ఈ విమానం ఏవియేషన్ ఇన్స్టిట్యూట్ (ఇన్స్టిట్యూట్ లోట్నిక్ట్వా) లో ఫ్రాన్సిస్జెక్ మిస్జ్టాల్ నేతృత్వంలోని డిజైన్ బ్యూరో చేత రూపొందించబడింది. మొదటి డిజైన్ పని 19"&amp;"54 లో ప్రారంభమైంది (16 మంది ప్రయాణీకులకు FM-12 హోదాలో). [1] చివరి డిజైన్ MD-12 1956 లో కనిపించింది, లెస్జెక్ డులాబా జట్టులో చేరిన తరువాత [1] (ఈ హోదా స్పష్టంగా ఫ్రాన్సిస్జెక్ మిస్జ్టాల్, తరువాత మిస్జ్తాల్-దుల్బా నుండి వచ్చింది). ప్రారంభంలో ఇది రెండు సోవియట"&amp;"్ 615 హెచ్‌పి ష్వెట్సోవ్ యాష్ -21 ఇంజిన్‌లతో శక్తినివ్వాలి, కాని వాటి ఉత్పత్తి ఆగిపోయినందున, నాలుగు ఇంజిన్ కాన్ఫిగరేషన్ ఎంపిక చేయబడింది, పోలిష్ 315 హెచ్‌పి డబ్ల్యుఎన్ -3 ఇంజిన్‌లతో. [2] 1957 చివరలో, బ్యూరోను ఓక్ల్ సెంటర్‌కు తరలించారు (ఓరోడెక్ కన్స్ట్రక్జీ"&amp;" లాట్నిక్జిచ్-ఏవియేషన్ డిజైన్స్ సెంటర్), ఇది WSK-OKęCIE ఫ్యాక్టరీలో సృష్టించబడింది. [2] మొదటి ప్రోటోటైప్ మొదటిసారి 21 జూలై 1959 న (రిజిస్ట్రేషన్ ఎస్పి-పాల్), రెండవ ప్రోటోటైప్, నియమించబడిన MD-12P (SP-PBD), మరియు పూర్తి ప్యాసింజర్ క్యాబ్‌తో అమర్చబడి 7 జనవరి"&amp;" 1961 న. [1] 1959 లో స్టాటిక్ ట్రయల్స్ కోసం నిర్మించిన మరో ఎయిర్ఫ్రేమ్ ఉంది. [2] ఈ విమానం 1961 లో రాష్ట్ర పరీక్షలకు గురైంది, మరియు రెండవ నమూనాను ఆగస్టు-సెప్టెంబర్ 1961 లో లాట్ ఎయిర్‌లైన్స్ అంచనా వేసింది. ప్రయాణీకుల వేరియంట్ చాలా విజయవంతమైంది, ఎగరడం సులభం,"&amp;" ఇలూషిన్ IL-14 మరియు మరింత ఆర్థికంగా కంటే, కానీ అది ఉంది, కానీ అది ఉత్పత్తి చేయబడలేదు ఎందుకంటే దేశీయ మార్గాల కోసం ప్రత్యేక విమానాలను ఆర్డర్ చేయడం చాలా లాభదాయకం కాదు. ఫలితంగా వచ్చే చిన్న ఉత్పత్తి ఖర్చులను పెంచుతుంది. బదులుగా, తక్కువ ఆధునిక విమానాలు అంతర్జా"&amp;"తీయ నుండి దేశీయ మార్గాలకు మార్చబడ్డాయి. [3] ఇది తరువాత ఏరియల్ ఫోటోగ్రఫీ వేరియంట్ MD-12F ను నిర్మించాలని నిర్ణయించారు. ఇది చీకటి గదితో సహా అనేక కెమెరాలు మరియు ఇతర పరికరాలతో అమర్చబడింది. [1] నావిగేటర్ పోస్ట్‌తో ఫ్యూజ్‌లేజ్ ముక్కు మెరుస్తున్నది. పొడవైన వింగ్"&amp;"‌టిప్‌లను జోడించడం ద్వారా స్పాన్ 23.6 మీ. 10 గంటలకు ఓర్పును పెంచడానికి ఇంధన ట్యాంకులను 1160 లీటర్లకు పెంచారు. [2] MD-12F 21 జూలై 1962 న మొదటిసారి ఎగిరింది (స్పష్టంగా MD-12 ప్రోటోటైప్స్ విమానాల తేదీలు కమ్యూనిస్ట్ పోలాండ్ యొక్క జాతీయ దినోత్సవం, 22 జూలైకి శో"&amp;"భను జోడించడానికి సర్దుబాటు చేయబడ్డాయి). ఇది రిజిస్ట్రేషన్ SP-PBL ని కలిగి ఉంది. వైమానిక ఫోటోగ్రఫీ వేరియంట్ విజయవంతమైంది మరియు యుఎస్ఎస్ఆర్, హంగరీ, రొమేనియా మరియు పాకిస్తాన్ వంటి దేశాలు దానిపై ఆసక్తి కలిగి ఉన్నాయి, అయితే 17 సెప్టెంబర్ 1963 న గ్రెజెక్ సమీపంల"&amp;"ో మొదటి ఎండి -12 ప్రోటోటైప్ క్రాష్ తరువాత దాని అభివృద్ధిని వదిలివేసింది. [1] తోక నియంత్రణ ఉపరితలాల అల్లాడుల కారణంగా విమానం కూలిపోయింది మరియు 5 మంది సిబ్బంది చంపబడ్డారు. [1] ప్రోటోటైప్ MD-12P (SP-PBD) ను ఆగస్టు-సెప్టెంబర్ 1961 లో లాట్ పోలిష్ విమానయాన సంస్థ"&amp;"లు, వార్సా-రిజెస్జోవ్ మార్గంలో, 1700 మందికి పైగా ప్రయాణీకులను తీసుకువెళుతున్నాయి. [3] ఇది 1961 మరియు 1962 లో వార్సా-పోజ్నాస్ మార్గంలో కూడా ఉపయోగించబడింది, పోజ్నాస్ ఇంటర్నేషనల్ ఫెయిర్‌కు పర్యటనలు తీసుకున్నారు. [1] MD-12 అనేది నాలుగు-మెటల్ నిర్మాణం యొక్క నా"&amp;"లుగు-ఇంజిన్ తక్కువ-వింగ్ కాంటిలివర్ మోనోప్లేన్, డ్యూరాలిమిన్-కవర్. ఫ్యూజ్‌లేజ్ సెమీ మోనోకోక్. ఇద్దరు పైలట్ల సిబ్బందితో సిబ్బంది కాక్‌పిట్. 20 సీట్లతో ప్రయాణీకుల క్యాబ్, వరుసగా మూడు. [2] వెనుక భాగంలో ఒక టాయిలెట్ ఉంది. ఫ్యూజ్‌లేజ్‌లో ముందు భాగంలో తలుపులు ఉన"&amp;"్నాయి. ఫ్యూజ్‌లేజ్ ముక్కులో 200 కిలోలకు సామాను స్థలం ఉంది. [2] ట్రాపెజాయిడ్ మూడు-భాగాల రెక్క. [2] సింగిల్ టెయిల్‌ఫిన్. రెక్కలలో ఇంజిన్ నాసెల్లెస్. వేరియబుల్ పిచ్ యొక్క రెండు-బ్లేడ్ చెక్క ప్రొపెల్లర్లు WR-1A, 2.2 మీటర్ల వ్యాసం (పవర్‌ప్లాంట్లు TS-8 బైస్ ట్ర"&amp;"ైనర్ నుండి స్వీకరించబడ్డాయి). [2] ముడుచుకునే ట్రైసైకిల్ ల్యాండింగ్ గేర్ - సింగిల్ వీల్స్ ఉన్న ప్రధాన గేర్ లోపలి ఇంజిన్ నాసెల్స్‌కు ముడుచుకుంటుంది. [2] రెక్కలలో ఇంధన ట్యాంకులు 1160 ఎల్ (క్రూయిజ్ ఇంధన వినియోగం 240 ఎల్/గం). [2] MD-12F 1967 నుండి క్రాకోవ్‌లోన"&amp;"ి పోలిష్ ఏవియేషన్ మ్యూజియంలో భద్రపరచబడింది. జేన్ యొక్క అన్ని ప్రపంచ విమానాల నుండి డేటా 1965-66 [4] పోల్చదగిన పాత్ర, కాన్ఫిగరేషన్ మరియు ERA యొక్క సాధారణ లక్షణాల పనితీరు విమానం పనితీరు విమానం")</f>
        <v>MD-12 అనేది 1960 లలో పోలిష్ నాలుగు-ఇంజిన్ స్వల్ప-శ్రేణి ప్రయాణీకుడు మరియు సివిల్ యుటిలిటీ విమానం, ఇది ప్రోటోటైప్ దశలో ఉంది. PZL బ్రాండ్ సాంప్రదాయికమైనది, ఎందుకంటే ఇది ఉత్పత్తిలోకి ప్రవేశించలేదు మరియు దాని ప్రాజెక్ట్ హోదాలో మాత్రమే సూచించబడింది. లాట్ పోలిష్ విమానయాన సంస్థల కోసం చిన్న దేశీయ మార్గాల్లో లిసునోవ్ లి -2 వారసుడిగా ఈ విమానం అభివృద్ధిగా ఉంది. ఈ విమానం ఏవియేషన్ ఇన్స్టిట్యూట్ (ఇన్స్టిట్యూట్ లోట్నిక్ట్వా) లో ఫ్రాన్సిస్జెక్ మిస్జ్టాల్ నేతృత్వంలోని డిజైన్ బ్యూరో చేత రూపొందించబడింది. మొదటి డిజైన్ పని 1954 లో ప్రారంభమైంది (16 మంది ప్రయాణీకులకు FM-12 హోదాలో). [1] చివరి డిజైన్ MD-12 1956 లో కనిపించింది, లెస్జెక్ డులాబా జట్టులో చేరిన తరువాత [1] (ఈ హోదా స్పష్టంగా ఫ్రాన్సిస్జెక్ మిస్జ్టాల్, తరువాత మిస్జ్తాల్-దుల్బా నుండి వచ్చింది). ప్రారంభంలో ఇది రెండు సోవియట్ 615 హెచ్‌పి ష్వెట్సోవ్ యాష్ -21 ఇంజిన్‌లతో శక్తినివ్వాలి, కాని వాటి ఉత్పత్తి ఆగిపోయినందున, నాలుగు ఇంజిన్ కాన్ఫిగరేషన్ ఎంపిక చేయబడింది, పోలిష్ 315 హెచ్‌పి డబ్ల్యుఎన్ -3 ఇంజిన్‌లతో. [2] 1957 చివరలో, బ్యూరోను ఓక్ల్ సెంటర్‌కు తరలించారు (ఓరోడెక్ కన్స్ట్రక్జీ లాట్నిక్జిచ్-ఏవియేషన్ డిజైన్స్ సెంటర్), ఇది WSK-OKęCIE ఫ్యాక్టరీలో సృష్టించబడింది. [2] మొదటి ప్రోటోటైప్ మొదటిసారి 21 జూలై 1959 న (రిజిస్ట్రేషన్ ఎస్పి-పాల్), రెండవ ప్రోటోటైప్, నియమించబడిన MD-12P (SP-PBD), మరియు పూర్తి ప్యాసింజర్ క్యాబ్‌తో అమర్చబడి 7 జనవరి 1961 న. [1] 1959 లో స్టాటిక్ ట్రయల్స్ కోసం నిర్మించిన మరో ఎయిర్ఫ్రేమ్ ఉంది. [2] ఈ విమానం 1961 లో రాష్ట్ర పరీక్షలకు గురైంది, మరియు రెండవ నమూనాను ఆగస్టు-సెప్టెంబర్ 1961 లో లాట్ ఎయిర్‌లైన్స్ అంచనా వేసింది. ప్రయాణీకుల వేరియంట్ చాలా విజయవంతమైంది, ఎగరడం సులభం, ఇలూషిన్ IL-14 మరియు మరింత ఆర్థికంగా కంటే, కానీ అది ఉంది, కానీ అది ఉత్పత్తి చేయబడలేదు ఎందుకంటే దేశీయ మార్గాల కోసం ప్రత్యేక విమానాలను ఆర్డర్ చేయడం చాలా లాభదాయకం కాదు. ఫలితంగా వచ్చే చిన్న ఉత్పత్తి ఖర్చులను పెంచుతుంది. బదులుగా, తక్కువ ఆధునిక విమానాలు అంతర్జాతీయ నుండి దేశీయ మార్గాలకు మార్చబడ్డాయి. [3] ఇది తరువాత ఏరియల్ ఫోటోగ్రఫీ వేరియంట్ MD-12F ను నిర్మించాలని నిర్ణయించారు. ఇది చీకటి గదితో సహా అనేక కెమెరాలు మరియు ఇతర పరికరాలతో అమర్చబడింది. [1] నావిగేటర్ పోస్ట్‌తో ఫ్యూజ్‌లేజ్ ముక్కు మెరుస్తున్నది. పొడవైన వింగ్‌టిప్‌లను జోడించడం ద్వారా స్పాన్ 23.6 మీ. 10 గంటలకు ఓర్పును పెంచడానికి ఇంధన ట్యాంకులను 1160 లీటర్లకు పెంచారు. [2] MD-12F 21 జూలై 1962 న మొదటిసారి ఎగిరింది (స్పష్టంగా MD-12 ప్రోటోటైప్స్ విమానాల తేదీలు కమ్యూనిస్ట్ పోలాండ్ యొక్క జాతీయ దినోత్సవం, 22 జూలైకి శోభను జోడించడానికి సర్దుబాటు చేయబడ్డాయి). ఇది రిజిస్ట్రేషన్ SP-PBL ని కలిగి ఉంది. వైమానిక ఫోటోగ్రఫీ వేరియంట్ విజయవంతమైంది మరియు యుఎస్ఎస్ఆర్, హంగరీ, రొమేనియా మరియు పాకిస్తాన్ వంటి దేశాలు దానిపై ఆసక్తి కలిగి ఉన్నాయి, అయితే 17 సెప్టెంబర్ 1963 న గ్రెజెక్ సమీపంలో మొదటి ఎండి -12 ప్రోటోటైప్ క్రాష్ తరువాత దాని అభివృద్ధిని వదిలివేసింది. [1] తోక నియంత్రణ ఉపరితలాల అల్లాడుల కారణంగా విమానం కూలిపోయింది మరియు 5 మంది సిబ్బంది చంపబడ్డారు. [1] ప్రోటోటైప్ MD-12P (SP-PBD) ను ఆగస్టు-సెప్టెంబర్ 1961 లో లాట్ పోలిష్ విమానయాన సంస్థలు, వార్సా-రిజెస్జోవ్ మార్గంలో, 1700 మందికి పైగా ప్రయాణీకులను తీసుకువెళుతున్నాయి. [3] ఇది 1961 మరియు 1962 లో వార్సా-పోజ్నాస్ మార్గంలో కూడా ఉపయోగించబడింది, పోజ్నాస్ ఇంటర్నేషనల్ ఫెయిర్‌కు పర్యటనలు తీసుకున్నారు. [1] MD-12 అనేది నాలుగు-మెటల్ నిర్మాణం యొక్క నాలుగు-ఇంజిన్ తక్కువ-వింగ్ కాంటిలివర్ మోనోప్లేన్, డ్యూరాలిమిన్-కవర్. ఫ్యూజ్‌లేజ్ సెమీ మోనోకోక్. ఇద్దరు పైలట్ల సిబ్బందితో సిబ్బంది కాక్‌పిట్. 20 సీట్లతో ప్రయాణీకుల క్యాబ్, వరుసగా మూడు. [2] వెనుక భాగంలో ఒక టాయిలెట్ ఉంది. ఫ్యూజ్‌లేజ్‌లో ముందు భాగంలో తలుపులు ఉన్నాయి. ఫ్యూజ్‌లేజ్ ముక్కులో 200 కిలోలకు సామాను స్థలం ఉంది. [2] ట్రాపెజాయిడ్ మూడు-భాగాల రెక్క. [2] సింగిల్ టెయిల్‌ఫిన్. రెక్కలలో ఇంజిన్ నాసెల్లెస్. వేరియబుల్ పిచ్ యొక్క రెండు-బ్లేడ్ చెక్క ప్రొపెల్లర్లు WR-1A, 2.2 మీటర్ల వ్యాసం (పవర్‌ప్లాంట్లు TS-8 బైస్ ట్రైనర్ నుండి స్వీకరించబడ్డాయి). [2] ముడుచుకునే ట్రైసైకిల్ ల్యాండింగ్ గేర్ - సింగిల్ వీల్స్ ఉన్న ప్రధాన గేర్ లోపలి ఇంజిన్ నాసెల్స్‌కు ముడుచుకుంటుంది. [2] రెక్కలలో ఇంధన ట్యాంకులు 1160 ఎల్ (క్రూయిజ్ ఇంధన వినియోగం 240 ఎల్/గం). [2] MD-12F 1967 నుండి క్రాకోవ్‌లోని పోలిష్ ఏవియేషన్ మ్యూజియంలో భద్రపరచబడింది. జేన్ యొక్క అన్ని ప్రపంచ విమానాల నుండి డేటా 1965-66 [4] పోల్చదగిన పాత్ర, కాన్ఫిగరేషన్ మరియు ERA యొక్క సాధారణ లక్షణాల పనితీరు విమానం పనితీరు విమానం</v>
      </c>
      <c r="E191" s="1" t="s">
        <v>3864</v>
      </c>
      <c r="F191" s="1" t="s">
        <v>3865</v>
      </c>
      <c r="G191" s="1" t="str">
        <f>IFERROR(__xludf.DUMMYFUNCTION("GOOGLETRANSLATE(F:F, ""en"", ""te"")"),"ప్రయాణీకుల విమానం")</f>
        <v>ప్రయాణీకుల విమానం</v>
      </c>
      <c r="H191" s="1" t="s">
        <v>3866</v>
      </c>
      <c r="L191" s="1" t="s">
        <v>3867</v>
      </c>
      <c r="M191" s="1" t="str">
        <f>IFERROR(__xludf.DUMMYFUNCTION("GOOGLETRANSLATE(L:L, ""en"", ""te"")"),"Wsk-okęcie")</f>
        <v>Wsk-okęcie</v>
      </c>
      <c r="N191" s="1" t="s">
        <v>3868</v>
      </c>
      <c r="R191" s="4">
        <v>21752.0</v>
      </c>
      <c r="S191" s="1">
        <v>3.0</v>
      </c>
      <c r="T191" s="1" t="s">
        <v>216</v>
      </c>
      <c r="V191" s="1">
        <v>2.0</v>
      </c>
      <c r="W191" s="1" t="s">
        <v>3869</v>
      </c>
      <c r="X191" s="1" t="s">
        <v>3870</v>
      </c>
      <c r="Y191" s="1" t="s">
        <v>3871</v>
      </c>
      <c r="Z191" s="1" t="s">
        <v>3872</v>
      </c>
      <c r="AE191" s="1">
        <v>9.45</v>
      </c>
      <c r="AF191" s="1" t="s">
        <v>3873</v>
      </c>
      <c r="AG191" s="1" t="s">
        <v>3874</v>
      </c>
      <c r="AI191" s="1" t="s">
        <v>3875</v>
      </c>
      <c r="AO191" s="1">
        <v>1961.0</v>
      </c>
      <c r="AP191" s="3" t="s">
        <v>3876</v>
      </c>
      <c r="AQ191" s="1" t="s">
        <v>3877</v>
      </c>
      <c r="AR191" s="1" t="s">
        <v>3878</v>
      </c>
      <c r="AV191" s="1" t="s">
        <v>3879</v>
      </c>
      <c r="AW191" s="1" t="s">
        <v>3880</v>
      </c>
      <c r="AX191" s="1" t="s">
        <v>3881</v>
      </c>
      <c r="AY191" s="1" t="str">
        <f>IFERROR(__xludf.DUMMYFUNCTION("GOOGLETRANSLATE(AX:AX, ""en"", ""te"")"),"4 × WN-3 ఎయిర్-కూల్డ్ 7-సిలిండర్ రేడియల్ ఇంజన్లు, 250 kW (330 HP) ఒక్కొక్కటి")</f>
        <v>4 × WN-3 ఎయిర్-కూల్డ్ 7-సిలిండర్ రేడియల్ ఇంజన్లు, 250 kW (330 HP) ఒక్కొక్కటి</v>
      </c>
      <c r="AZ191" s="1" t="s">
        <v>3882</v>
      </c>
      <c r="BA191" s="1" t="str">
        <f>IFERROR(__xludf.DUMMYFUNCTION("GOOGLETRANSLATE(AZ:AZ, ""en"", ""te"")"),"2-బ్లేడెడ్ WR-1A స్థిరమైన-స్పీడ్ ప్రొపెల్లర్స్, 2.20 మీ (7 అడుగుల 3 అంగుళాలు) వ్యాసం")</f>
        <v>2-బ్లేడెడ్ WR-1A స్థిరమైన-స్పీడ్ ప్రొపెల్లర్స్, 2.20 మీ (7 అడుగుల 3 అంగుళాలు) వ్యాసం</v>
      </c>
      <c r="BB191" s="1" t="s">
        <v>2208</v>
      </c>
      <c r="BC191" s="1" t="s">
        <v>3883</v>
      </c>
      <c r="BD191" s="1" t="s">
        <v>3884</v>
      </c>
      <c r="BF191" s="1" t="s">
        <v>1644</v>
      </c>
      <c r="BG191" s="2" t="str">
        <f>IFERROR(__xludf.DUMMYFUNCTION("GOOGLETRANSLATE(BF:BF, ""en"", ""te"")"),"లాట్ పోలిష్ విమానయాన సంస్థలు")</f>
        <v>లాట్ పోలిష్ విమానయాన సంస్థలు</v>
      </c>
      <c r="BH191" s="1" t="s">
        <v>1645</v>
      </c>
      <c r="BR191" s="1" t="s">
        <v>726</v>
      </c>
      <c r="BS191" s="1" t="s">
        <v>3885</v>
      </c>
      <c r="BT191" s="1" t="s">
        <v>3886</v>
      </c>
      <c r="BX191" s="1"/>
      <c r="BY191" s="1" t="s">
        <v>3887</v>
      </c>
      <c r="GG191" s="1" t="s">
        <v>3888</v>
      </c>
      <c r="GH191" s="1" t="s">
        <v>3889</v>
      </c>
    </row>
    <row r="192">
      <c r="A192" s="1" t="s">
        <v>3890</v>
      </c>
      <c r="B192" s="1" t="str">
        <f>IFERROR(__xludf.DUMMYFUNCTION("GOOGLETRANSLATE(A:A, ""en"", ""te"")"),"ఏరో A.200")</f>
        <v>ఏరో A.200</v>
      </c>
      <c r="C192" s="1" t="s">
        <v>3891</v>
      </c>
      <c r="D192" s="1" t="str">
        <f>IFERROR(__xludf.DUMMYFUNCTION("GOOGLETRANSLATE(C:C, ""en"", ""te"")"),"ఏరో A.200 చెకోస్లోవేకియా యొక్క స్పోర్ట్స్ ప్లేన్, ఇది యూరోపియన్ టూరింగ్ ప్లేన్ ఛాంపియన్‌షిప్‌లు అయిన ఛాలెంజ్ 1934 లో పాల్గొనడానికి ప్రత్యేకంగా రూపొందించబడింది మరియు నిర్మించబడింది. ఇది నాలుగు సీట్ల లో-వింగ్ మోనోప్లేన్. జాన్ అంబ్రూ పోటీలో వినిపించిన A.200 "&amp;"నాల్గవ స్థానంలో నిలిచింది, RWD-9 (పోలాండ్ కోసం మొదటి మరియు రెండవ స్థానాలను తీసుకుంది) మరియు ఫైసెలర్ FI 97 (జర్మనీ నుండి) చేత ఓడిపోయింది. ఇతర A.200, వోజ్టాచ్ žausek చేత ఎగిరింది, 34 మంది పోటీదారులకు 14 వ స్థానంలో నిలిచింది. వారు రిజిస్ట్రేషన్లు ఓకే-అమా మరి"&amp;"యు ఓక్-అంబ్‌ను తీసుకువెళ్లారు. సాంకేతిక మూల్యాంకనంలో, A.200 లు 4 వ ఫలితాన్ని విమాన రకాలుగా సవాలులో పాల్గొన్నాయి. వారు పోటీలో ఉత్తమమైన చిన్న టేక్-ఆఫ్ సామర్థ్యాలను కలిగి ఉన్నారు-A.200 లకు 8-మీటర్ల ఎత్తైన గేట్ కంటే ఎక్కువ బయలుదేరడానికి 74.5-77.6 మీ అవసరం, అయ"&amp;"ినప్పటికీ గేట్ పై నుండి దిగడానికి వారికి 118 మీ. మిశ్రమ నిర్మాణం తక్కువ-వింగ్ మోనోప్లేన్, వైర్‌తో కలుపుతారు. కలప మరియు కాన్వాస్‌తో కప్పబడిన ఉక్కు చట్రం యొక్క ఫ్యూజ్‌లేజ్, క్రాస్-సెక్షన్‌లో దీర్ఘవృత్తాకారంగా ఉంటుంది. చెక్క నిర్మాణం యొక్క దీర్ఘచతురస్రాకార ర"&amp;"ెక్కలు, కాన్వాస్ కప్పబడి, అన్ని-స్పాన్ స్లాట్లతో మరియు ఫ్లాప్‌లతో అమర్చబడి ఉంటాయి. రెక్కలు వెనుకకు మడతపెడుతున్నాయి. క్యాబ్‌కు ముందు రెండు సీట్లు, జంట నియంత్రణలు, మరియు వెనుక భాగంలో రెండు సీట్లు, సాధారణ బహుళ-భాగాల పందిరి కింద ఉన్నాయి. వెనుక స్కిడ్‌తో స్థిర"&amp;" ల్యాండింగ్ గేర్. ఫ్యూజ్‌లేజ్ ముక్కులో రేడియల్ ఇంజిన్, నాకా కౌలింగ్‌తో. రెండు-బ్లేడ్ ప్రొపెల్లర్. సాధారణ లక్షణాలు పోల్చదగిన పాత్ర, ఆకృతీకరణ మరియు యుగం యొక్క పనితీరు విమానం")</f>
        <v>ఏరో A.200 చెకోస్లోవేకియా యొక్క స్పోర్ట్స్ ప్లేన్, ఇది యూరోపియన్ టూరింగ్ ప్లేన్ ఛాంపియన్‌షిప్‌లు అయిన ఛాలెంజ్ 1934 లో పాల్గొనడానికి ప్రత్యేకంగా రూపొందించబడింది మరియు నిర్మించబడింది. ఇది నాలుగు సీట్ల లో-వింగ్ మోనోప్లేన్. జాన్ అంబ్రూ పోటీలో వినిపించిన A.200 నాల్గవ స్థానంలో నిలిచింది, RWD-9 (పోలాండ్ కోసం మొదటి మరియు రెండవ స్థానాలను తీసుకుంది) మరియు ఫైసెలర్ FI 97 (జర్మనీ నుండి) చేత ఓడిపోయింది. ఇతర A.200, వోజ్టాచ్ žausek చేత ఎగిరింది, 34 మంది పోటీదారులకు 14 వ స్థానంలో నిలిచింది. వారు రిజిస్ట్రేషన్లు ఓకే-అమా మరియు ఓక్-అంబ్‌ను తీసుకువెళ్లారు. సాంకేతిక మూల్యాంకనంలో, A.200 లు 4 వ ఫలితాన్ని విమాన రకాలుగా సవాలులో పాల్గొన్నాయి. వారు పోటీలో ఉత్తమమైన చిన్న టేక్-ఆఫ్ సామర్థ్యాలను కలిగి ఉన్నారు-A.200 లకు 8-మీటర్ల ఎత్తైన గేట్ కంటే ఎక్కువ బయలుదేరడానికి 74.5-77.6 మీ అవసరం, అయినప్పటికీ గేట్ పై నుండి దిగడానికి వారికి 118 మీ. మిశ్రమ నిర్మాణం తక్కువ-వింగ్ మోనోప్లేన్, వైర్‌తో కలుపుతారు. కలప మరియు కాన్వాస్‌తో కప్పబడిన ఉక్కు చట్రం యొక్క ఫ్యూజ్‌లేజ్, క్రాస్-సెక్షన్‌లో దీర్ఘవృత్తాకారంగా ఉంటుంది. చెక్క నిర్మాణం యొక్క దీర్ఘచతురస్రాకార రెక్కలు, కాన్వాస్ కప్పబడి, అన్ని-స్పాన్ స్లాట్లతో మరియు ఫ్లాప్‌లతో అమర్చబడి ఉంటాయి. రెక్కలు వెనుకకు మడతపెడుతున్నాయి. క్యాబ్‌కు ముందు రెండు సీట్లు, జంట నియంత్రణలు, మరియు వెనుక భాగంలో రెండు సీట్లు, సాధారణ బహుళ-భాగాల పందిరి కింద ఉన్నాయి. వెనుక స్కిడ్‌తో స్థిర ల్యాండింగ్ గేర్. ఫ్యూజ్‌లేజ్ ముక్కులో రేడియల్ ఇంజిన్, నాకా కౌలింగ్‌తో. రెండు-బ్లేడ్ ప్రొపెల్లర్. సాధారణ లక్షణాలు పోల్చదగిన పాత్ర, ఆకృతీకరణ మరియు యుగం యొక్క పనితీరు విమానం</v>
      </c>
      <c r="E192" s="1" t="s">
        <v>3892</v>
      </c>
      <c r="F192" s="1" t="s">
        <v>3135</v>
      </c>
      <c r="G192" s="1" t="str">
        <f>IFERROR(__xludf.DUMMYFUNCTION("GOOGLETRANSLATE(F:F, ""en"", ""te"")"),"స్పోర్ట్స్ ప్లేన్")</f>
        <v>స్పోర్ట్స్ ప్లేన్</v>
      </c>
      <c r="L192" s="1" t="s">
        <v>3893</v>
      </c>
      <c r="M192" s="1" t="str">
        <f>IFERROR(__xludf.DUMMYFUNCTION("GOOGLETRANSLATE(L:L, ""en"", ""te"")"),"ఏరో వోడోకోడి")</f>
        <v>ఏరో వోడోకోడి</v>
      </c>
      <c r="N192" s="1" t="s">
        <v>3894</v>
      </c>
      <c r="R192" s="1">
        <v>1934.0</v>
      </c>
      <c r="S192" s="1">
        <v>2.0</v>
      </c>
      <c r="V192" s="1" t="s">
        <v>916</v>
      </c>
      <c r="W192" s="1" t="s">
        <v>3895</v>
      </c>
      <c r="X192" s="1" t="s">
        <v>3896</v>
      </c>
      <c r="Y192" s="1" t="s">
        <v>3897</v>
      </c>
      <c r="Z192" s="1" t="s">
        <v>3898</v>
      </c>
      <c r="AG192" s="1" t="s">
        <v>3543</v>
      </c>
      <c r="AH192" s="1" t="s">
        <v>3899</v>
      </c>
      <c r="AM192" s="1" t="s">
        <v>3900</v>
      </c>
      <c r="AV192" s="1" t="s">
        <v>3901</v>
      </c>
      <c r="AX192" s="1" t="s">
        <v>3902</v>
      </c>
      <c r="AY192" s="1" t="str">
        <f>IFERROR(__xludf.DUMMYFUNCTION("GOOGLETRANSLATE(AX:AX, ""en"", ""te"")"),"1 × వాల్టర్ బోరా 9-సిల్. ఎయిర్-కూల్డ్ రేడియల్ పిస్టన్ ఇంజిన్, 160 కిలోవాట్ (220 హెచ్‌పి)")</f>
        <v>1 × వాల్టర్ బోరా 9-సిల్. ఎయిర్-కూల్డ్ రేడియల్ పిస్టన్ ఇంజిన్, 160 కిలోవాట్ (220 హెచ్‌పి)</v>
      </c>
      <c r="BB192" s="1" t="s">
        <v>3903</v>
      </c>
      <c r="BC192" s="1" t="s">
        <v>2184</v>
      </c>
      <c r="BD192" s="1" t="s">
        <v>3904</v>
      </c>
      <c r="BE192" s="1" t="s">
        <v>3905</v>
      </c>
      <c r="BF192" s="1" t="s">
        <v>814</v>
      </c>
      <c r="BG192" s="2" t="str">
        <f>IFERROR(__xludf.DUMMYFUNCTION("GOOGLETRANSLATE(BF:BF, ""en"", ""te"")"),"చెకోస్లోవేకియా")</f>
        <v>చెకోస్లోవేకియా</v>
      </c>
      <c r="BR192" s="1" t="s">
        <v>3906</v>
      </c>
      <c r="BT192" s="1" t="s">
        <v>378</v>
      </c>
      <c r="BW192" s="1">
        <v>1934.0</v>
      </c>
    </row>
    <row r="193">
      <c r="A193" s="1" t="s">
        <v>3907</v>
      </c>
      <c r="B193" s="1" t="str">
        <f>IFERROR(__xludf.DUMMYFUNCTION("GOOGLETRANSLATE(A:A, ""en"", ""te"")"),"అవ్రో 500")</f>
        <v>అవ్రో 500</v>
      </c>
      <c r="C193" s="1" t="s">
        <v>3908</v>
      </c>
      <c r="D193" s="1" t="str">
        <f>IFERROR(__xludf.DUMMYFUNCTION("GOOGLETRANSLATE(C:C, ""en"", ""te"")"),"అవ్రో టైప్ ఇ, టైప్ 500, మరియు టైప్ 502 ప్రారంభ బ్రిటిష్ సైనిక విమానాల కుటుంబాన్ని తయారు చేశాయి, అల్లియట్ వెర్డన్ రో తన సంస్థ యొక్క మొట్టమొదటి నిజమైన విజయవంతమైన డిజైన్ గా పరిగణించబడ్డారు. ఇది మొదటి ప్రపంచ యుద్ధం యొక్క అత్యుత్తమ విమానాలలో ఒకటైన అవ్రో 504 యొ"&amp;"క్క ముందస్తు. E BIPLANE రకం కొంచెం మునుపటి అవ్రో డుగాన్‌తో సమాంతరంగా రూపొందించబడింది, ప్రధానంగా కొంచెం పెద్దదిగా మరియు మరింత శక్తివంతమైన (60 హార్స్‌పవర్ (45 kW)) నీటి-కూల్డ్ E.N.V. ఇంజిన్. రెండూ గుండ్రని చిట్కాలతో కూడిన సమాంతర-తీగ రెక్కలతో రెండు-బే ట్రాక్"&amp;"టర్ బైప్‌లాన్‌లు, దీర్ఘచతురస్రాకార విభాగం ఫ్యూజ్‌లేజ్ దీర్ఘచతురస్రాకార ఉక్కు-ఫ్రేమ్డ్ స్టెబిలైజర్లు, ఎలివేటర్లు మరియు చుక్కలు, మరియు స్థిర ఫిన్ లేని చుక్కాని, మరియు ఒక ట్రాన్స్‌వర్స్ లీఫ్‌పై ఒక జత చక్రాలతో ఒక అండర్ క్యారేజ్ వసంత మరియు పొడవైన సెంట్రల్ స్కి"&amp;"డ్ ప్రొపెల్లర్ యొక్క ముందుకు. ఈ విమానం లేఅవుట్ ఇరవై సంవత్సరాలుగా విమాన రూపకల్పనను ఆధిపత్యం చేసింది: అవ్రో 500 మరియు సమకాలీన B.E.1 నిర్మించిన మొట్టమొదటి నిజమైన ఆచరణాత్మక ఉదాహరణలలో ఒకటి. అవ్రో డుగాన్ ఎ.వి. 1911 లో మార్గదర్శక ఆస్ట్రేలియన్ ఏవియేటర్ జాన్ రాబర్"&amp;"ట్‌సన్ డుగాన్ కోసం రో. రో యొక్క మొట్టమొదటి బిప్‌లేన్ డిజైన్, అవ్రో టైప్ డి మొట్టమొదట ఏప్రిల్ 1911 లో ఎగిరింది. అవ్రో డుగాన్ ఈ ప్రాథమికంగా విజయవంతమైన విమానం యొక్క ప్రధాన శుద్ధీకరణ. ఇది త్రిభుజాకార క్రాస్ సెక్షన్ ఫ్యూజ్‌లేజ్ కాకుండా ఒక చదరపును కలిగి ఉంది, న"&amp;"ిర్మాణాన్ని సరళీకృతం చేస్తుంది మరియు సిబ్బంది సీట్లను తక్కువ క్రిందికి తగ్గించడానికి అనుమతిస్తుంది, ఎక్కువ రక్షణను ఇస్తుంది. రెక్కలకు ఏరోడైనమిక్‌గా క్లీనర్ సాధారణ రెండు-బే లేఅవుట్ ఉపయోగించి మద్దతు ఉంది, దాని ముందున్న రెండున్నర బే అమరికను భర్తీ చేస్తుంది, "&amp;"ఇది ఫ్యూజ్‌లేజ్‌కు దగ్గరగా మూడవ జత ఇంటర్‌ప్లేన్ స్ట్రట్‌లను కలిగి ఉంది. అండర్ క్యారేజ్ సరళమైనది, వింగ్ లీడింగ్ ఎడ్జ్ క్రింద ఒక v- స్ట్రట్ ఆకు-స్ప్రింగ్ ఇరుసును కలిగి ఉంది, దీని చక్రాలు కవర్ స్పోక్‌ల యొక్క శుద్ధీకరణను కలిగి ఉన్నాయి, మరియు దీని కింద ఒకే పొడ"&amp;"వైన స్కిడ్‌కు రెండవ V- స్ట్రట్ వెనుకంజలో ఉన్న అంచు క్రింద మరియు ఒకే ఒక్కటి మద్దతు ఉంది విమానం యొక్క విపరీతమైన ముక్కు నుండి స్ట్రట్. టెయిల్‌ప్లేన్ ఉక్కు ఫ్రేమ్ చేయబడింది, దీర్ఘచతురస్రాకార స్థిర స్టెబిలైజర్ మరియు ఎలివేటర్ మరియు చుక్కానితో. ఇతర వివరాలు మునుప"&amp;"టి విమానంగా ఉన్నాయి. [1] ఫ్యూజ్‌లేజ్ కాక్‌పిట్‌ల ముందుకు కప్పబడిన వైర్-బ్రేస్డ్ బూడిద లోహంతో నిర్మించబడింది. పరిశీలకుడు పైలట్ కట్ అవే వెలిగింపు అంచు వెనుక కూర్చున్న ముందు కూర్చున్నాడు, ఇది ఫ్రంట్ కాక్‌పిట్‌ను విమానం యొక్క గురుత్వాకర్షణ కేంద్రానికి దగ్గరగా"&amp;" ఉంచి, దాని సమతుల్యతను మార్చకుండా ప్రయాణీకుడు లేకుండా ఎగురవేయడానికి అనుమతించింది. వైర్-బ్రేస్డ్ హై కారక నిష్పత్తి రెండు-బే రెక్కలు బూడిద స్పార్స్ మరియు పోప్లర్ పక్కటెముకలను కలిగి ఉన్నాయి. వింగ్ వార్పింగ్ ద్వారా పార్శ్వ నియంత్రణ. ఒక మొలకెత్తిన టెయిల్‌స్కిడ"&amp;"్ చుక్కాని క్రింద అమర్చబడింది మరియు వింగ్‌టిప్‌లను రక్షించడానికి చిన్న హోప్స్‌ను బయటి ఇంటర్‌ప్లేన్ స్ట్రట్‌ల క్రింద అమర్చారు. విమానం ద్వంద్వ నియంత్రణలను కలిగి ఉంది మరియు క్రిందికి దృష్టిని మెరుగుపరచడానికి చిన్న ""సెల్లోన్"" విండోతో అమర్చబడింది. ఈ విమానం మ"&amp;"ొదట్లో 40 హెచ్‌పి (30 కిలోవాట్) [2] రెండు సిలిండర్లను అడ్డంగా వ్యతిరేకించిన అల్వాస్టన్‌తో నడిచింది, కాని త్వరలో 35 హెచ్‌పి (26 కిలోవాట్) ఇ.ఎన్.వి. V-8 మోటారు. [3] రెండూ వాటర్-కూల్డ్ ఇంజన్లు, పెద్ద కాయిల్డ్ ట్యూబ్ రేడియేటర్లు జత ఫ్రంట్ కాక్‌పిట్‌కు ఇరువైపు"&amp;"లా ఫ్యూజ్‌లేజ్‌కు సమాంతరంగా ఉంచబడ్డాయి. హంటింగ్డన్ రేస్ కోర్సులో అల్వాస్టన్ ఇంజిన్‌తో ట్రయల్స్ విజయవంతం కాలేదు, విమానం కేవలం ఎత్తలేదు. బ్రూక్లాండ్స్కు తిరిగి వచ్చినప్పుడు, E.N.V. మోటారు అమర్చారు మరియు 10 మార్చి 1912 న డుగాన్, ఫ్లయింగ్ సోలో తన చాలా స్పష్టం"&amp;"గా బలహీనమైన యంత్రంలో కొన్ని పొడవైన, సరళ విమానాలను నిర్వహించాడు. కొన్ని ఇంటెన్సివ్ ఇంజిన్ ట్యూనింగ్, కొత్త ప్రొపెల్లర్‌తో కలిసి ఏప్రిల్‌లో సోలో సర్క్యూట్లు, ఎనిమిది గణాంకాలు మరియు ఒక గంటసేపు సర్క్యూట్‌లతో 500 అడుగుల (150 మీ) వద్ద ఎక్కువ విజయం సాధించింది. ఏ"&amp;"దేమైనా, డుగాన్ తన ఏవియేటర్ సర్టిఫికేట్ గెలిచి ఆస్ట్రేలియాకు తిరిగి వచ్చాడు. అతని విమానం, దాని ఇంజిన్ లేకుండా, లేక్స్ ఎయిర్క్రాఫ్ట్ కో. కు విక్రయించబడింది, వారు దీనిని అక్టోబర్ 1912 లో లేక్స్ సీ బర్డ్ ఫ్లోట్‌ప్లేన్‌గా పునర్నిర్మించారు, ఇది 50 గం (37 కిలోవా"&amp;"ట్) గ్నోమ్ ఇంజిన్‌తో శక్తినిచ్చింది. ఈ రూపంలో, ఇది బాగా పనిచేసింది. కొంచెం పెద్ద అవ్రో 500, 60 హెచ్‌పి (45 కిలోవాట్ల) ఇ.ఎన్.వి. ఏ పరిమాణంలోనైనా నిర్మించిన మొదటి అవ్రో విమాన రకం. 1908 నుండి అవ్రో విమానాల నుండి డేటా [4] సాధారణ లక్షణాల పనితీరు ఈ విమానం మొదట "&amp;"3 మార్చి 1912 న విల్ఫ్రెడ్ పార్కే చేత ఎగురవేయబడింది, [5] మరియు అగ్ర వేగం మరియు ఆరోహణ రేటు అంచనాలను అందుకోకపోయినా, ఈ విమానం ప్రతి ఇతర మార్గంలో రాణించాయి. ఏదేమైనా, దాని పనితీరు రో యొక్క అంచనాల వరకు లేదు, మరియు రెండవ ఉదాహరణ నిర్మించబడింది, చాలా తేలికైన 50 హె"&amp;"చ్‌పి (37 కిలోవాట్ల) గ్నోమ్ ఎయిర్-కూల్డ్ రోటరీ ఇంజిన్‌ను తీసుకోవడానికి సవరించబడింది. ఈ మొదట 8 మే 1912 న ఎగిరింది, మరియు ఐదు నిమిషాల్లో 2,000 అడుగుల (610 మీ) ఎత్తుకు చేరుకుంది. [6] మరుసటి రోజు ఈ విమానం బ్రూక్లాండ్స్ నుండి లాఫాన్ యొక్క మైదానంలోకి ఎగురవేయబడి"&amp;"ంది, ఇది 20 నిమిషాల్లో 17 మైళ్ళు (28 కి.మీ) కప్పబడి ఉంది. అదే రోజు ఇది రాబోయే సైనిక విమానం పోటీకి సంబంధించి ప్రచురించబడిన ""సైనిక విమానం"" యొక్క అవసరాలలో యుద్ధ కార్యాలయం నిర్దేశించిన అవసరాలను తీర్చగల సామర్థ్యాన్ని ప్రదర్శించింది మరియు అధికారులు విమానం కొన"&amp;"డానికి తగినంతగా ఆకట్టుకున్నారు మరియు విమానం యొక్క మరో రెండు ఉదాహరణల కోసం ఒక ఆర్డర్‌ను ఉంచారు, ఇది రో ఇప్పుడు అవ్రో 500 గా పేరు మార్చబడింది. ఈ రకం సేవలో తక్షణ విజయాన్ని సాధించింది మరియు మరో నాలుగు యంత్రాల కోసం ఆర్డర్లు మరియు ఐదు సింగిల్-సీట్ల ఉత్పన్నాలు (అ"&amp;"వ్రో టైప్ 502 గా నియమించబడ్డాయి) త్వరలోనే . రూపొందించిన ఇతర ఉదాహరణలలో బ్రిటిష్ అడ్మిరల్టీ యొక్క వైమానిక విభాగం కోసం ఆరు ఉన్నాయి, ఒకటి పోర్చుగల్ ప్రభుత్వానికి సమర్పించబడింది (పబ్లిక్ చందా ద్వారా చెల్లించారు), ఒకటి అవ్రో ఒక కంపెనీ ప్రదర్శనకారుడిగా ఉంచారు మర"&amp;"ియు ఒక ప్రైవేట్ వ్యక్తి జె. లారెన్స్ హాల్ కొనుగోలు చేశారు, ఇది ఒకటి, ఇది ఒకటి మొదటి ప్రపంచ యుద్ధం ప్రారంభమైనప్పుడు యుద్ధ కార్యాలయం ఆదేశించింది). మొదటి నమూనా 29 జూన్ 1913 న జరిగిన ప్రమాదంలో నాశనం చేయబడింది, అది తన విద్యార్థి పైలట్‌ను చంపింది. అవ్రో 500 లను"&amp;" యుద్ధం యొక్క మొదటి సంవత్సరాల్లో బ్రిటిష్ సాయుధ దళాలు ఎగురవేసాయి, ఎక్కువగా శిక్షకులు. సేవలో, చాలా మందికి ఐలెరాన్లు మరియు సవరించిన చుక్కానితో అమర్చారు. 1909 నుండి అవ్రో విమానం నుండి డేటా [7] సాధారణ లక్షణాల పనితీరు")</f>
        <v>అవ్రో టైప్ ఇ, టైప్ 500, మరియు టైప్ 502 ప్రారంభ బ్రిటిష్ సైనిక విమానాల కుటుంబాన్ని తయారు చేశాయి, అల్లియట్ వెర్డన్ రో తన సంస్థ యొక్క మొట్టమొదటి నిజమైన విజయవంతమైన డిజైన్ గా పరిగణించబడ్డారు. ఇది మొదటి ప్రపంచ యుద్ధం యొక్క అత్యుత్తమ విమానాలలో ఒకటైన అవ్రో 504 యొక్క ముందస్తు. E BIPLANE రకం కొంచెం మునుపటి అవ్రో డుగాన్‌తో సమాంతరంగా రూపొందించబడింది, ప్రధానంగా కొంచెం పెద్దదిగా మరియు మరింత శక్తివంతమైన (60 హార్స్‌పవర్ (45 kW)) నీటి-కూల్డ్ E.N.V. ఇంజిన్. రెండూ గుండ్రని చిట్కాలతో కూడిన సమాంతర-తీగ రెక్కలతో రెండు-బే ట్రాక్టర్ బైప్‌లాన్‌లు, దీర్ఘచతురస్రాకార విభాగం ఫ్యూజ్‌లేజ్ దీర్ఘచతురస్రాకార ఉక్కు-ఫ్రేమ్డ్ స్టెబిలైజర్లు, ఎలివేటర్లు మరియు చుక్కలు, మరియు స్థిర ఫిన్ లేని చుక్కాని, మరియు ఒక ట్రాన్స్‌వర్స్ లీఫ్‌పై ఒక జత చక్రాలతో ఒక అండర్ క్యారేజ్ వసంత మరియు పొడవైన సెంట్రల్ స్కిడ్ ప్రొపెల్లర్ యొక్క ముందుకు. ఈ విమానం లేఅవుట్ ఇరవై సంవత్సరాలుగా విమాన రూపకల్పనను ఆధిపత్యం చేసింది: అవ్రో 500 మరియు సమకాలీన B.E.1 నిర్మించిన మొట్టమొదటి నిజమైన ఆచరణాత్మక ఉదాహరణలలో ఒకటి. అవ్రో డుగాన్ ఎ.వి. 1911 లో మార్గదర్శక ఆస్ట్రేలియన్ ఏవియేటర్ జాన్ రాబర్ట్‌సన్ డుగాన్ కోసం రో. రో యొక్క మొట్టమొదటి బిప్‌లేన్ డిజైన్, అవ్రో టైప్ డి మొట్టమొదట ఏప్రిల్ 1911 లో ఎగిరింది. అవ్రో డుగాన్ ఈ ప్రాథమికంగా విజయవంతమైన విమానం యొక్క ప్రధాన శుద్ధీకరణ. ఇది త్రిభుజాకార క్రాస్ సెక్షన్ ఫ్యూజ్‌లేజ్ కాకుండా ఒక చదరపును కలిగి ఉంది, నిర్మాణాన్ని సరళీకృతం చేస్తుంది మరియు సిబ్బంది సీట్లను తక్కువ క్రిందికి తగ్గించడానికి అనుమతిస్తుంది, ఎక్కువ రక్షణను ఇస్తుంది. రెక్కలకు ఏరోడైనమిక్‌గా క్లీనర్ సాధారణ రెండు-బే లేఅవుట్ ఉపయోగించి మద్దతు ఉంది, దాని ముందున్న రెండున్నర బే అమరికను భర్తీ చేస్తుంది, ఇది ఫ్యూజ్‌లేజ్‌కు దగ్గరగా మూడవ జత ఇంటర్‌ప్లేన్ స్ట్రట్‌లను కలిగి ఉంది. అండర్ క్యారేజ్ సరళమైనది, వింగ్ లీడింగ్ ఎడ్జ్ క్రింద ఒక v- స్ట్రట్ ఆకు-స్ప్రింగ్ ఇరుసును కలిగి ఉంది, దీని చక్రాలు కవర్ స్పోక్‌ల యొక్క శుద్ధీకరణను కలిగి ఉన్నాయి, మరియు దీని కింద ఒకే పొడవైన స్కిడ్‌కు రెండవ V- స్ట్రట్ వెనుకంజలో ఉన్న అంచు క్రింద మరియు ఒకే ఒక్కటి మద్దతు ఉంది విమానం యొక్క విపరీతమైన ముక్కు నుండి స్ట్రట్. టెయిల్‌ప్లేన్ ఉక్కు ఫ్రేమ్ చేయబడింది, దీర్ఘచతురస్రాకార స్థిర స్టెబిలైజర్ మరియు ఎలివేటర్ మరియు చుక్కానితో. ఇతర వివరాలు మునుపటి విమానంగా ఉన్నాయి. [1] ఫ్యూజ్‌లేజ్ కాక్‌పిట్‌ల ముందుకు కప్పబడిన వైర్-బ్రేస్డ్ బూడిద లోహంతో నిర్మించబడింది. పరిశీలకుడు పైలట్ కట్ అవే వెలిగింపు అంచు వెనుక కూర్చున్న ముందు కూర్చున్నాడు, ఇది ఫ్రంట్ కాక్‌పిట్‌ను విమానం యొక్క గురుత్వాకర్షణ కేంద్రానికి దగ్గరగా ఉంచి, దాని సమతుల్యతను మార్చకుండా ప్రయాణీకుడు లేకుండా ఎగురవేయడానికి అనుమతించింది. వైర్-బ్రేస్డ్ హై కారక నిష్పత్తి రెండు-బే రెక్కలు బూడిద స్పార్స్ మరియు పోప్లర్ పక్కటెముకలను కలిగి ఉన్నాయి. వింగ్ వార్పింగ్ ద్వారా పార్శ్వ నియంత్రణ. ఒక మొలకెత్తిన టెయిల్‌స్కిడ్ చుక్కాని క్రింద అమర్చబడింది మరియు వింగ్‌టిప్‌లను రక్షించడానికి చిన్న హోప్స్‌ను బయటి ఇంటర్‌ప్లేన్ స్ట్రట్‌ల క్రింద అమర్చారు. విమానం ద్వంద్వ నియంత్రణలను కలిగి ఉంది మరియు క్రిందికి దృష్టిని మెరుగుపరచడానికి చిన్న "సెల్లోన్" విండోతో అమర్చబడింది. ఈ విమానం మొదట్లో 40 హెచ్‌పి (30 కిలోవాట్) [2] రెండు సిలిండర్లను అడ్డంగా వ్యతిరేకించిన అల్వాస్టన్‌తో నడిచింది, కాని త్వరలో 35 హెచ్‌పి (26 కిలోవాట్) ఇ.ఎన్.వి. V-8 మోటారు. [3] రెండూ వాటర్-కూల్డ్ ఇంజన్లు, పెద్ద కాయిల్డ్ ట్యూబ్ రేడియేటర్లు జత ఫ్రంట్ కాక్‌పిట్‌కు ఇరువైపులా ఫ్యూజ్‌లేజ్‌కు సమాంతరంగా ఉంచబడ్డాయి. హంటింగ్డన్ రేస్ కోర్సులో అల్వాస్టన్ ఇంజిన్‌తో ట్రయల్స్ విజయవంతం కాలేదు, విమానం కేవలం ఎత్తలేదు. బ్రూక్లాండ్స్కు తిరిగి వచ్చినప్పుడు, E.N.V. మోటారు అమర్చారు మరియు 10 మార్చి 1912 న డుగాన్, ఫ్లయింగ్ సోలో తన చాలా స్పష్టంగా బలహీనమైన యంత్రంలో కొన్ని పొడవైన, సరళ విమానాలను నిర్వహించాడు. కొన్ని ఇంటెన్సివ్ ఇంజిన్ ట్యూనింగ్, కొత్త ప్రొపెల్లర్‌తో కలిసి ఏప్రిల్‌లో సోలో సర్క్యూట్లు, ఎనిమిది గణాంకాలు మరియు ఒక గంటసేపు సర్క్యూట్‌లతో 500 అడుగుల (150 మీ) వద్ద ఎక్కువ విజయం సాధించింది. ఏదేమైనా, డుగాన్ తన ఏవియేటర్ సర్టిఫికేట్ గెలిచి ఆస్ట్రేలియాకు తిరిగి వచ్చాడు. అతని విమానం, దాని ఇంజిన్ లేకుండా, లేక్స్ ఎయిర్క్రాఫ్ట్ కో. కు విక్రయించబడింది, వారు దీనిని అక్టోబర్ 1912 లో లేక్స్ సీ బర్డ్ ఫ్లోట్‌ప్లేన్‌గా పునర్నిర్మించారు, ఇది 50 గం (37 కిలోవాట్) గ్నోమ్ ఇంజిన్‌తో శక్తినిచ్చింది. ఈ రూపంలో, ఇది బాగా పనిచేసింది. కొంచెం పెద్ద అవ్రో 500, 60 హెచ్‌పి (45 కిలోవాట్ల) ఇ.ఎన్.వి. ఏ పరిమాణంలోనైనా నిర్మించిన మొదటి అవ్రో విమాన రకం. 1908 నుండి అవ్రో విమానాల నుండి డేటా [4] సాధారణ లక్షణాల పనితీరు ఈ విమానం మొదట 3 మార్చి 1912 న విల్ఫ్రెడ్ పార్కే చేత ఎగురవేయబడింది, [5] మరియు అగ్ర వేగం మరియు ఆరోహణ రేటు అంచనాలను అందుకోకపోయినా, ఈ విమానం ప్రతి ఇతర మార్గంలో రాణించాయి. ఏదేమైనా, దాని పనితీరు రో యొక్క అంచనాల వరకు లేదు, మరియు రెండవ ఉదాహరణ నిర్మించబడింది, చాలా తేలికైన 50 హెచ్‌పి (37 కిలోవాట్ల) గ్నోమ్ ఎయిర్-కూల్డ్ రోటరీ ఇంజిన్‌ను తీసుకోవడానికి సవరించబడింది. ఈ మొదట 8 మే 1912 న ఎగిరింది, మరియు ఐదు నిమిషాల్లో 2,000 అడుగుల (610 మీ) ఎత్తుకు చేరుకుంది. [6] మరుసటి రోజు ఈ విమానం బ్రూక్లాండ్స్ నుండి లాఫాన్ యొక్క మైదానంలోకి ఎగురవేయబడింది, ఇది 20 నిమిషాల్లో 17 మైళ్ళు (28 కి.మీ) కప్పబడి ఉంది. అదే రోజు ఇది రాబోయే సైనిక విమానం పోటీకి సంబంధించి ప్రచురించబడిన "సైనిక విమానం" యొక్క అవసరాలలో యుద్ధ కార్యాలయం నిర్దేశించిన అవసరాలను తీర్చగల సామర్థ్యాన్ని ప్రదర్శించింది మరియు అధికారులు విమానం కొనడానికి తగినంతగా ఆకట్టుకున్నారు మరియు విమానం యొక్క మరో రెండు ఉదాహరణల కోసం ఒక ఆర్డర్‌ను ఉంచారు, ఇది రో ఇప్పుడు అవ్రో 500 గా పేరు మార్చబడింది. ఈ రకం సేవలో తక్షణ విజయాన్ని సాధించింది మరియు మరో నాలుగు యంత్రాల కోసం ఆర్డర్లు మరియు ఐదు సింగిల్-సీట్ల ఉత్పన్నాలు (అవ్రో టైప్ 502 గా నియమించబడ్డాయి) త్వరలోనే . రూపొందించిన ఇతర ఉదాహరణలలో బ్రిటిష్ అడ్మిరల్టీ యొక్క వైమానిక విభాగం కోసం ఆరు ఉన్నాయి, ఒకటి పోర్చుగల్ ప్రభుత్వానికి సమర్పించబడింది (పబ్లిక్ చందా ద్వారా చెల్లించారు), ఒకటి అవ్రో ఒక కంపెనీ ప్రదర్శనకారుడిగా ఉంచారు మరియు ఒక ప్రైవేట్ వ్యక్తి జె. లారెన్స్ హాల్ కొనుగోలు చేశారు, ఇది ఒకటి, ఇది ఒకటి మొదటి ప్రపంచ యుద్ధం ప్రారంభమైనప్పుడు యుద్ధ కార్యాలయం ఆదేశించింది). మొదటి నమూనా 29 జూన్ 1913 న జరిగిన ప్రమాదంలో నాశనం చేయబడింది, అది తన విద్యార్థి పైలట్‌ను చంపింది. అవ్రో 500 లను యుద్ధం యొక్క మొదటి సంవత్సరాల్లో బ్రిటిష్ సాయుధ దళాలు ఎగురవేసాయి, ఎక్కువగా శిక్షకులు. సేవలో, చాలా మందికి ఐలెరాన్లు మరియు సవరించిన చుక్కానితో అమర్చారు. 1909 నుండి అవ్రో విమానం నుండి డేటా [7] సాధారణ లక్షణాల పనితీరు</v>
      </c>
      <c r="E193" s="1" t="s">
        <v>3909</v>
      </c>
      <c r="F193" s="1" t="s">
        <v>3910</v>
      </c>
      <c r="G193" s="1" t="str">
        <f>IFERROR(__xludf.DUMMYFUNCTION("GOOGLETRANSLATE(F:F, ""en"", ""te"")"),"2 సీట్ బిప్‌లేన్")</f>
        <v>2 సీట్ బిప్‌లేన్</v>
      </c>
      <c r="I193" s="1" t="s">
        <v>1721</v>
      </c>
      <c r="J193" s="1" t="str">
        <f>IFERROR(__xludf.DUMMYFUNCTION("GOOGLETRANSLATE(I:I, ""en"", ""te"")"),"యుకె")</f>
        <v>యుకె</v>
      </c>
      <c r="L193" s="1" t="s">
        <v>3911</v>
      </c>
      <c r="M193" s="1" t="str">
        <f>IFERROR(__xludf.DUMMYFUNCTION("GOOGLETRANSLATE(L:L, ""en"", ""te"")"),"A.V రో &amp; కో")</f>
        <v>A.V రో &amp; కో</v>
      </c>
      <c r="N193" s="3" t="s">
        <v>1827</v>
      </c>
      <c r="O193" s="1" t="s">
        <v>3912</v>
      </c>
      <c r="P193" s="1" t="str">
        <f>IFERROR(__xludf.DUMMYFUNCTION("GOOGLETRANSLATE(O:O, ""en"", ""te"")"),"యె. రో")</f>
        <v>యె. రో</v>
      </c>
      <c r="Q193" s="1" t="s">
        <v>3913</v>
      </c>
      <c r="R193" s="5">
        <v>4444.0</v>
      </c>
      <c r="S193" s="1">
        <v>1.0</v>
      </c>
      <c r="T193" s="1" t="s">
        <v>3907</v>
      </c>
      <c r="V193" s="1" t="s">
        <v>1318</v>
      </c>
      <c r="W193" s="1" t="s">
        <v>1831</v>
      </c>
      <c r="X193" s="1" t="s">
        <v>3914</v>
      </c>
      <c r="Y193" s="1" t="s">
        <v>3915</v>
      </c>
      <c r="Z193" s="1" t="s">
        <v>3916</v>
      </c>
      <c r="AG193" s="1" t="s">
        <v>3917</v>
      </c>
      <c r="AH193" s="1" t="s">
        <v>3918</v>
      </c>
      <c r="AO193" s="1">
        <v>1912.0</v>
      </c>
      <c r="AV193" s="1" t="s">
        <v>3919</v>
      </c>
      <c r="AX193" s="1" t="s">
        <v>3920</v>
      </c>
      <c r="AY193" s="1" t="str">
        <f>IFERROR(__xludf.DUMMYFUNCTION("GOOGLETRANSLATE(AX:AX, ""en"", ""te"")"),"1 × గ్నోమ్ రోటరీ, 50 హెచ్‌పి (37 కిలోవాట్)")</f>
        <v>1 × గ్నోమ్ రోటరీ, 50 హెచ్‌పి (37 కిలోవాట్)</v>
      </c>
      <c r="AZ193" s="1" t="s">
        <v>3921</v>
      </c>
      <c r="BA193" s="1" t="str">
        <f>IFERROR(__xludf.DUMMYFUNCTION("GOOGLETRANSLATE(AZ:AZ, ""en"", ""te"")"),"2-బ్లేడెడ్ అవ్రో ఫిక్స్‌డ్-పిచ్ ప్రొపెల్లర్")</f>
        <v>2-బ్లేడెడ్ అవ్రో ఫిక్స్‌డ్-పిచ్ ప్రొపెల్లర్</v>
      </c>
      <c r="BB193" s="1" t="s">
        <v>3922</v>
      </c>
      <c r="BF193" s="1" t="s">
        <v>964</v>
      </c>
      <c r="BG193" s="2" t="str">
        <f>IFERROR(__xludf.DUMMYFUNCTION("GOOGLETRANSLATE(BF:BF, ""en"", ""te"")"),"యునైటెడ్ కింగ్‌డమ్")</f>
        <v>యునైటెడ్ కింగ్‌డమ్</v>
      </c>
      <c r="BH193" s="1" t="s">
        <v>1144</v>
      </c>
      <c r="BS193" s="1" t="s">
        <v>3923</v>
      </c>
      <c r="BZ193" s="1" t="s">
        <v>3924</v>
      </c>
    </row>
    <row r="194">
      <c r="A194" s="1" t="s">
        <v>3925</v>
      </c>
      <c r="B194" s="1" t="str">
        <f>IFERROR(__xludf.DUMMYFUNCTION("GOOGLETRANSLATE(A:A, ""en"", ""te"")"),"SACK AS-6")</f>
        <v>SACK AS-6</v>
      </c>
      <c r="C194" s="1" t="s">
        <v>3926</v>
      </c>
      <c r="D194" s="1" t="str">
        <f>IFERROR(__xludf.DUMMYFUNCTION("GOOGLETRANSLATE(C:C, ""en"", ""te"")"),"సాక్ AS-6 అనేది జర్మన్ ప్రోటోటైప్ వృత్తాకార-రెక్కల విమానం రెండవ ప్రపంచ యుద్ధంలో ప్రైవేటుగా నిర్మించబడింది. [1] [2] జూలై 1938 లో, స్థానిక రైతు ఆర్థర్ సాక్ తన AS-1 సర్క్యులర్-వింగ్డ్ మోడల్‌లోకి ప్రవేశించాడు, మోటరైజ్డ్ ఫ్లయింగ్ మోడళ్ల కోసం మొదటి రీచ్-వైడ్ పో"&amp;"టీలో, ఇది లీప్‌జిగ్‌లో జరిగింది. [3] మోడల్ పేలవమైన విమాన లక్షణాలను కలిగి ఉంది మరియు చేతితో ప్రారంభించవలసి వచ్చింది. ఏదేమైనా, ఎర్నెస్ట్ ఉడెట్ సాక్ రూపకల్పనపై ఆసక్తిని చూపించింది మరియు పరిశీలన లేదా దాడి విమానంగా సాధ్యమయ్యే ఉపయోగం కోసం తన పరిశోధనను వృత్తాకార"&amp;" వింగ్ విమానంలో కొనసాగించమని ప్రోత్సహించాడు. [2] [3] సాక్ AS-1 ఆధారంగా నాలుగు అదనపు మోడళ్లను నిర్మించింది, ప్రతి పరిమాణంలో పెరుగుతుంది, పూర్తి-పరిమాణ ప్రోటోటైప్‌ను AS-6 V1 గా నిర్మించే ముందు. [2] AS-6 V1 ను జనవరి 1944 లో మిట్టెల్‌డ్యూట్చే మోటర్‌వెర్కే నిర"&amp;"్మించింది, ఫైనల్ అసెంబ్లీతో ఫ్లగ్‌ప్లాట్జ్-వెర్క్‌స్టాట్ వర్క్‌షాప్‌లో జర్మనీలోని బ్రాండిస్‌లోని ఎయిర్ బేస్ వద్ద ఉంది. [4] ఈ విమానం మెసెర్స్‌ష్మిట్ బిఎఫ్ 109 బి నుండి ల్యాండింగ్ గేర్, కాక్‌పిట్ మరియు పైలట్ సీటుతో నిర్మించబడింది మరియు మెసర్‌ష్మిట్ బిఎఫ్ 10"&amp;"8 టైఫున్ నుండి 10 సి -3 ఇంజిన్‌గా ఆర్గస్ చేత శక్తినిచ్చింది. రెక్కల నిర్మాణం ప్లైవుడ్‌తో తయారు చేయబడింది. [2] AS-6 V1 యొక్క పరీక్ష ఫిబ్రవరి 1944 లో ప్రారంభమైంది, టెస్ట్ పైలట్ రోల్ఫ్ బాల్టాబోల్ కాక్‌పిట్‌లో ఉన్నారు. టాక్సీ పరీక్షల సమయంలో, AS 10C-3 ఇంజిన్ య"&amp;"ొక్క 240 HP ని నిర్వహించడానికి తోకకు విస్తృతమైన మార్పులు అవసరమని కనుగొనబడింది. [5] బ్రాండిస్ ఎయిర్ బేస్ యొక్క 1,250 మీ (4,100 అడుగులు) రన్‌వేపై ఐదు విమాన ప్రయత్నాలు జరిగాయి, కాని విమానం విమానంలో సాధించడంలో విఫలమైంది. విమానం యొక్క నియంత్రణ ఉపరితలాలలో లోపాల"&amp;"ు కనుగొనబడ్డాయి. దాని ఐదవ ప్రయత్నంలో, రెండు బ్రేక్‌లు విఫలమయ్యాయి, ఫలితంగా విమానానికి నిర్మాణాత్మక నష్టం జరిగింది. [5] ప్రోటోటైప్ తరువాత మరమ్మతులు చేయబడింది మరియు మరో రెండు విమాన ప్రయత్నాలు జరిగాయి, కానీ మరోసారి అది ఎత్తదు. [5] దాడి యొక్క తగినంత కోణం యొక్"&amp;"క సమస్యను సాక్ నిందించాడు, కాని బాల్టాబోల్ అది శక్తి లేకపోవడాన్ని విశ్వసించాడు మరియు AS-6 ను BF 109 నుండి 2,000 HP డైమ్లెర్-బెంజ్ DB 605 ఇంజిన్‌తో అమర్చాలని సూచించాడు. దాడి యొక్క కోణం సమస్య, ల్యాండింగ్ గేర్‌ను ఎనిమిది అంగుళాల వెనుకకు మార్చారు. [5] ఇది కూడ"&amp;"ా సరిపోదు, మరియు కొన్ని వనరులు ల్యాండింగ్ గేర్ మరో 16 అంగుళాల వెనుకకు మార్చబడిందని పేర్కొన్నాయి, కానీ ఇది అసంభవం. [5] ఈ విమానం జంకర్స్ జు 88 నుండి మెరుగైన బ్రేక్‌లతో అమర్చబడిందని మరియు తోకకు మరింత మార్పులు చేసినట్లు తెలిసింది. మెటల్ బ్యాలస్ట్ యొక్క అదనంగా"&amp;" 70 కిలోల (154 పౌండ్లు) జోడించబడింది. [5] ఏప్రిల్ 16, 1944 న, సవరించిన AS-6 V1 మరొక విమానానికి ప్రయత్నించింది. విమానం క్లుప్త హాప్ చేసింది, కానీ మళ్ళీ అది ఫ్లైట్ సాధించలేకపోయింది. [5] ఇలాంటి ఫలితాలతో మరో ప్రయత్నం జరిగింది, కాని షార్ట్ హాప్ సమయంలో AS 10C-3"&amp;" నుండి వచ్చిన టార్క్ స్థిరత్వ సమస్యలను కలిగించిందని కనుగొనబడింది. మరో ప్రయత్నం జరిగింది, కాని స్థిరత్వ సమస్యల ఫలితంగా ల్యాండింగ్ గేర్ కాళ్ళలో ఒకటి కూలిపోయింది. దీని తరువాత, బాల్టాబోల్ ఈ ప్రాజెక్టుపై ఆసక్తిని కోల్పోయాడు, సాక్‌కు తన AS-6 ప్రమాదకరమైనదని మరియ"&amp;"ు విండ్ టన్నెల్ పరీక్ష మరియు అవసరమైన మార్పులు చేయగలిగే వరకు విమాన పరీక్షలను ఆపండి. [5] సాక్ తరువాత తిరిగి డ్రాయింగ్ బోర్డ్‌కు వెళ్లి విమానానికి మరింత మార్పులు చేసింది. [2] 1944 వేసవిలో, జగ్‌జెచ్‌వాడర్ 400 బ్రాండిస్‌కు మకాం మార్చారు, కొత్త మెసెర్స్‌ష్మిట్ "&amp;"ME 163B కోమెట్‌ను ఎగురుతూ. [4] కొత్త ME 163 పైలట్లు గతంలో తనకు అందుబాటులో ఉన్న పైలట్ల కంటే ఎక్కువ అనుభవజ్ఞులైనట్లు నమ్మకంగా, సాక్ తన సవరించిన AS-6 కోసం కొత్త టెస్ట్ పైలట్‌ను కోరాడు. జెజి 400 పైలట్లు చేత బస్సార్డ్ (బజార్డ్) అనే మారుపేరుతో ఉన్న ఈ విమానం ఒక "&amp;"తుది విమాన ప్రయత్నం చేసారు, ఈసారి ఓబెర్లీట్నెంట్ ఫ్రాంజ్ రోస్జెల్ నియంత్రణలో ఉన్నారు. మరోసారి, విమానం ఒక చిన్న హాప్ మాత్రమే చేసింది, దీని ఫలితంగా కూలిపోయిన ల్యాండింగ్ గేర్ లెగ్. [4] సరైన అభివృద్ధి కోసం సాక్ తన డిజైన్‌ను మెసర్‌ష్మిట్‌కు పంపాలని రోస్జెల్ సూ"&amp;"చించాడు, కాని సాక్ నిరాకరించాడు. ఏదేమైనా, మెసెర్స్చ్మిట్ సాక్ యొక్క విమానం యొక్క మాటను పొందాడు మరియు మెరుగైన సంస్కరణను నిర్మించాలని ప్రతిపాదించాడు, AS-7, ME 600 గా. [4] సాక్ మరింత మెరుగుదలలు చేసే అవకాశం రాకముందే AS-6 స్ట్రాఫింగ్ పరుగులో దెబ్బతింది, మరియు "&amp;"ఈ విమానం వెంటనే రద్దు చేయబడింది. ఏప్రిల్ 1945 లో యుఎస్ దళాలు బ్రాండిస్ వద్దకు వచ్చే సమయానికి, AS-6 యొక్క జాడలు మిగిలి లేవు. [4] కధనంలో AS-6 సాధారణంగా నాజీ UFOS కుట్ర సిద్ధాంతంతో సంబంధం కలిగి ఉంటుంది. [3] పోల్చదగిన పాత్ర, కాన్ఫిగరేషన్ మరియు ERA యొక్క సాధార"&amp;"ణ లక్షణాల పనితీరు విమానం నుండి డేటా")</f>
        <v>సాక్ AS-6 అనేది జర్మన్ ప్రోటోటైప్ వృత్తాకార-రెక్కల విమానం రెండవ ప్రపంచ యుద్ధంలో ప్రైవేటుగా నిర్మించబడింది. [1] [2] జూలై 1938 లో, స్థానిక రైతు ఆర్థర్ సాక్ తన AS-1 సర్క్యులర్-వింగ్డ్ మోడల్‌లోకి ప్రవేశించాడు, మోటరైజ్డ్ ఫ్లయింగ్ మోడళ్ల కోసం మొదటి రీచ్-వైడ్ పోటీలో, ఇది లీప్‌జిగ్‌లో జరిగింది. [3] మోడల్ పేలవమైన విమాన లక్షణాలను కలిగి ఉంది మరియు చేతితో ప్రారంభించవలసి వచ్చింది. ఏదేమైనా, ఎర్నెస్ట్ ఉడెట్ సాక్ రూపకల్పనపై ఆసక్తిని చూపించింది మరియు పరిశీలన లేదా దాడి విమానంగా సాధ్యమయ్యే ఉపయోగం కోసం తన పరిశోధనను వృత్తాకార వింగ్ విమానంలో కొనసాగించమని ప్రోత్సహించాడు. [2] [3] సాక్ AS-1 ఆధారంగా నాలుగు అదనపు మోడళ్లను నిర్మించింది, ప్రతి పరిమాణంలో పెరుగుతుంది, పూర్తి-పరిమాణ ప్రోటోటైప్‌ను AS-6 V1 గా నిర్మించే ముందు. [2] AS-6 V1 ను జనవరి 1944 లో మిట్టెల్‌డ్యూట్చే మోటర్‌వెర్కే నిర్మించింది, ఫైనల్ అసెంబ్లీతో ఫ్లగ్‌ప్లాట్జ్-వెర్క్‌స్టాట్ వర్క్‌షాప్‌లో జర్మనీలోని బ్రాండిస్‌లోని ఎయిర్ బేస్ వద్ద ఉంది. [4] ఈ విమానం మెసెర్స్‌ష్మిట్ బిఎఫ్ 109 బి నుండి ల్యాండింగ్ గేర్, కాక్‌పిట్ మరియు పైలట్ సీటుతో నిర్మించబడింది మరియు మెసర్‌ష్మిట్ బిఎఫ్ 108 టైఫున్ నుండి 10 సి -3 ఇంజిన్‌గా ఆర్గస్ చేత శక్తినిచ్చింది. రెక్కల నిర్మాణం ప్లైవుడ్‌తో తయారు చేయబడింది. [2] AS-6 V1 యొక్క పరీక్ష ఫిబ్రవరి 1944 లో ప్రారంభమైంది, టెస్ట్ పైలట్ రోల్ఫ్ బాల్టాబోల్ కాక్‌పిట్‌లో ఉన్నారు. టాక్సీ పరీక్షల సమయంలో, AS 10C-3 ఇంజిన్ యొక్క 240 HP ని నిర్వహించడానికి తోకకు విస్తృతమైన మార్పులు అవసరమని కనుగొనబడింది. [5] బ్రాండిస్ ఎయిర్ బేస్ యొక్క 1,250 మీ (4,100 అడుగులు) రన్‌వేపై ఐదు విమాన ప్రయత్నాలు జరిగాయి, కాని విమానం విమానంలో సాధించడంలో విఫలమైంది. విమానం యొక్క నియంత్రణ ఉపరితలాలలో లోపాలు కనుగొనబడ్డాయి. దాని ఐదవ ప్రయత్నంలో, రెండు బ్రేక్‌లు విఫలమయ్యాయి, ఫలితంగా విమానానికి నిర్మాణాత్మక నష్టం జరిగింది. [5] ప్రోటోటైప్ తరువాత మరమ్మతులు చేయబడింది మరియు మరో రెండు విమాన ప్రయత్నాలు జరిగాయి, కానీ మరోసారి అది ఎత్తదు. [5] దాడి యొక్క తగినంత కోణం యొక్క సమస్యను సాక్ నిందించాడు, కాని బాల్టాబోల్ అది శక్తి లేకపోవడాన్ని విశ్వసించాడు మరియు AS-6 ను BF 109 నుండి 2,000 HP డైమ్లెర్-బెంజ్ DB 605 ఇంజిన్‌తో అమర్చాలని సూచించాడు. దాడి యొక్క కోణం సమస్య, ల్యాండింగ్ గేర్‌ను ఎనిమిది అంగుళాల వెనుకకు మార్చారు. [5] ఇది కూడా సరిపోదు, మరియు కొన్ని వనరులు ల్యాండింగ్ గేర్ మరో 16 అంగుళాల వెనుకకు మార్చబడిందని పేర్కొన్నాయి, కానీ ఇది అసంభవం. [5] ఈ విమానం జంకర్స్ జు 88 నుండి మెరుగైన బ్రేక్‌లతో అమర్చబడిందని మరియు తోకకు మరింత మార్పులు చేసినట్లు తెలిసింది. మెటల్ బ్యాలస్ట్ యొక్క అదనంగా 70 కిలోల (154 పౌండ్లు) జోడించబడింది. [5] ఏప్రిల్ 16, 1944 న, సవరించిన AS-6 V1 మరొక విమానానికి ప్రయత్నించింది. విమానం క్లుప్త హాప్ చేసింది, కానీ మళ్ళీ అది ఫ్లైట్ సాధించలేకపోయింది. [5] ఇలాంటి ఫలితాలతో మరో ప్రయత్నం జరిగింది, కాని షార్ట్ హాప్ సమయంలో AS 10C-3 నుండి వచ్చిన టార్క్ స్థిరత్వ సమస్యలను కలిగించిందని కనుగొనబడింది. మరో ప్రయత్నం జరిగింది, కాని స్థిరత్వ సమస్యల ఫలితంగా ల్యాండింగ్ గేర్ కాళ్ళలో ఒకటి కూలిపోయింది. దీని తరువాత, బాల్టాబోల్ ఈ ప్రాజెక్టుపై ఆసక్తిని కోల్పోయాడు, సాక్‌కు తన AS-6 ప్రమాదకరమైనదని మరియు విండ్ టన్నెల్ పరీక్ష మరియు అవసరమైన మార్పులు చేయగలిగే వరకు విమాన పరీక్షలను ఆపండి. [5] సాక్ తరువాత తిరిగి డ్రాయింగ్ బోర్డ్‌కు వెళ్లి విమానానికి మరింత మార్పులు చేసింది. [2] 1944 వేసవిలో, జగ్‌జెచ్‌వాడర్ 400 బ్రాండిస్‌కు మకాం మార్చారు, కొత్త మెసెర్స్‌ష్మిట్ ME 163B కోమెట్‌ను ఎగురుతూ. [4] కొత్త ME 163 పైలట్లు గతంలో తనకు అందుబాటులో ఉన్న పైలట్ల కంటే ఎక్కువ అనుభవజ్ఞులైనట్లు నమ్మకంగా, సాక్ తన సవరించిన AS-6 కోసం కొత్త టెస్ట్ పైలట్‌ను కోరాడు. జెజి 400 పైలట్లు చేత బస్సార్డ్ (బజార్డ్) అనే మారుపేరుతో ఉన్న ఈ విమానం ఒక తుది విమాన ప్రయత్నం చేసారు, ఈసారి ఓబెర్లీట్నెంట్ ఫ్రాంజ్ రోస్జెల్ నియంత్రణలో ఉన్నారు. మరోసారి, విమానం ఒక చిన్న హాప్ మాత్రమే చేసింది, దీని ఫలితంగా కూలిపోయిన ల్యాండింగ్ గేర్ లెగ్. [4] సరైన అభివృద్ధి కోసం సాక్ తన డిజైన్‌ను మెసర్‌ష్మిట్‌కు పంపాలని రోస్జెల్ సూచించాడు, కాని సాక్ నిరాకరించాడు. ఏదేమైనా, మెసెర్స్చ్మిట్ సాక్ యొక్క విమానం యొక్క మాటను పొందాడు మరియు మెరుగైన సంస్కరణను నిర్మించాలని ప్రతిపాదించాడు, AS-7, ME 600 గా. [4] సాక్ మరింత మెరుగుదలలు చేసే అవకాశం రాకముందే AS-6 స్ట్రాఫింగ్ పరుగులో దెబ్బతింది, మరియు ఈ విమానం వెంటనే రద్దు చేయబడింది. ఏప్రిల్ 1945 లో యుఎస్ దళాలు బ్రాండిస్ వద్దకు వచ్చే సమయానికి, AS-6 యొక్క జాడలు మిగిలి లేవు. [4] కధనంలో AS-6 సాధారణంగా నాజీ UFOS కుట్ర సిద్ధాంతంతో సంబంధం కలిగి ఉంటుంది. [3] పోల్చదగిన పాత్ర, కాన్ఫిగరేషన్ మరియు ERA యొక్క సాధారణ లక్షణాల పనితీరు విమానం నుండి డేటా</v>
      </c>
      <c r="E194" s="1" t="s">
        <v>3927</v>
      </c>
      <c r="F194" s="1" t="s">
        <v>684</v>
      </c>
      <c r="G194" s="1" t="str">
        <f>IFERROR(__xludf.DUMMYFUNCTION("GOOGLETRANSLATE(F:F, ""en"", ""te"")"),"ప్రయోగాత్మక")</f>
        <v>ప్రయోగాత్మక</v>
      </c>
      <c r="I194" s="1" t="s">
        <v>185</v>
      </c>
      <c r="J194" s="1" t="str">
        <f>IFERROR(__xludf.DUMMYFUNCTION("GOOGLETRANSLATE(I:I, ""en"", ""te"")"),"జర్మనీ")</f>
        <v>జర్మనీ</v>
      </c>
      <c r="K194" s="3" t="s">
        <v>186</v>
      </c>
      <c r="L194" s="1" t="s">
        <v>3928</v>
      </c>
      <c r="M194" s="1" t="str">
        <f>IFERROR(__xludf.DUMMYFUNCTION("GOOGLETRANSLATE(L:L, ""en"", ""te"")"),"మిట్టెల్డ్యూట్చే మోటర్‌వెర్కే/ఫ్లగ్ప్లాట్జ్-వెర్క్‌స్టాట్")</f>
        <v>మిట్టెల్డ్యూట్చే మోటర్‌వెర్కే/ఫ్లగ్ప్లాట్జ్-వెర్క్‌స్టాట్</v>
      </c>
      <c r="N194" s="1" t="s">
        <v>3929</v>
      </c>
      <c r="O194" s="1" t="s">
        <v>3930</v>
      </c>
      <c r="P194" s="1" t="str">
        <f>IFERROR(__xludf.DUMMYFUNCTION("GOOGLETRANSLATE(O:O, ""en"", ""te"")"),"ఆర్థర్ సాక్")</f>
        <v>ఆర్థర్ సాక్</v>
      </c>
      <c r="S194" s="1">
        <v>1.0</v>
      </c>
      <c r="T194" s="1" t="s">
        <v>3931</v>
      </c>
      <c r="V194" s="1">
        <v>1.0</v>
      </c>
      <c r="W194" s="1" t="s">
        <v>2246</v>
      </c>
      <c r="X194" s="1" t="s">
        <v>1592</v>
      </c>
      <c r="Y194" s="1" t="s">
        <v>2810</v>
      </c>
      <c r="Z194" s="1" t="s">
        <v>3932</v>
      </c>
      <c r="AM194" s="1" t="s">
        <v>3933</v>
      </c>
      <c r="AX194" s="1" t="s">
        <v>3934</v>
      </c>
      <c r="AY194" s="1" t="str">
        <f>IFERROR(__xludf.DUMMYFUNCTION("GOOGLETRANSLATE(AX:AX, ""en"", ""te"")"),"1 × ఆర్గస్ 10 సి -3 విలోమ వి 8 ఇంజిన్, 180 కిలోవాట్ (240 హెచ్‌పి)")</f>
        <v>1 × ఆర్గస్ 10 సి -3 విలోమ వి 8 ఇంజిన్, 180 కిలోవాట్ (240 హెచ్‌పి)</v>
      </c>
      <c r="AZ194" s="1" t="s">
        <v>3935</v>
      </c>
      <c r="BA194" s="1" t="str">
        <f>IFERROR(__xludf.DUMMYFUNCTION("GOOGLETRANSLATE(AZ:AZ, ""en"", ""te"")"),"2-బ్లేడెడ్, 2.5 మీ (8 అడుగుల 2 అంగుళాలు) వ్యాసం")</f>
        <v>2-బ్లేడెడ్, 2.5 మీ (8 అడుగుల 2 అంగుళాలు) వ్యాసం</v>
      </c>
      <c r="BG194" s="2"/>
      <c r="BU194" s="1" t="s">
        <v>3936</v>
      </c>
      <c r="BV194" s="1" t="str">
        <f>IFERROR(__xludf.DUMMYFUNCTION("GOOGLETRANSLATE(BU:BU, ""en"", ""te"")"),"వదిలివేయబడింది")</f>
        <v>వదిలివేయబడింది</v>
      </c>
      <c r="BW194" s="1">
        <v>1944.0</v>
      </c>
      <c r="BX194" s="1"/>
      <c r="BY194" s="1" t="s">
        <v>3937</v>
      </c>
    </row>
    <row r="195">
      <c r="A195" s="1" t="s">
        <v>3938</v>
      </c>
      <c r="B195" s="1" t="str">
        <f>IFERROR(__xludf.DUMMYFUNCTION("GOOGLETRANSLATE(A:A, ""en"", ""te"")"),"హాల్ హెచ్‌పిటి -32 దీపక్")</f>
        <v>హాల్ హెచ్‌పిటి -32 దీపక్</v>
      </c>
      <c r="C195" s="1" t="s">
        <v>3939</v>
      </c>
      <c r="D195" s="1" t="str">
        <f>IFERROR(__xludf.DUMMYFUNCTION("GOOGLETRANSLATE(C:C, ""en"", ""te"")"),"HAL HPT-32 దీపక్ (సంస్కృతంలో ""దీపం"") హిందూస్తాన్ ఏరోనాటిక్స్ లిమిటెడ్ చేత తయారు చేయబడిన భారతీయ ప్రాప్-ఆధారిత ప్రాధమిక శిక్షకుడు. ఇది సైడ్-బై-సైడ్ కాన్ఫిగరేషన్‌లో రెండు సీట్లను కలిగి ఉంది. దీపక్ ప్రాధమిక శిక్షణ, పరిశీలన, అనుసంధానం మరియు లక్ష్య వెళ్ళుట కో"&amp;"సం ఉపయోగించబడుతుంది. ఇది ఫ్యూజ్‌లేజ్‌లోని కలెక్టర్ ట్యాంక్ నుండి తలక్రిందులుగా ఉన్న ఇంధన ప్రవాహాలను ఎగురుతుంది మరియు విలోమ ఫ్లైట్ 1 నిమిషానికి పరిమితం చేయబడింది. దీపక్ సైద్ధాంతిక గ్లైడ్ నిష్పత్తి 8.5: 1. ఇంజిన్ వైఫల్యం సంభవించినప్పుడు సురక్షితంగా దిగడానిక"&amp;"ి వీలు కల్పించడానికి బాలిస్టిక్ రికవరీ సిస్టమ్స్ వంటి కొత్త భద్రతా వ్యవస్థలను IAF మరియు HAL పరిశీలిస్తున్నాయి. 16 మే 2010 న IAF పారాచూట్ రికవరీ సిస్టమ్ యొక్క సంస్థాపనను క్లియర్ చేసింది. [2] HPT-32 విమానాలను IAF లో పిలాటస్ పిసి -7 ఎమ్‌కె II స్థానంలో ఉంది, "&amp;"ఎందుకంటే 2013 లో ప్రాథమిక శిక్షకుల విమానం (బిటిఎ) గా దాని వర్క్‌హోర్స్. ఇప్పటివరకు 17 డీపక్ క్రాష్‌లలో, 19 పైలట్లు మరణించారు. [3] భారతదేశంలోని కంప్ట్రోలర్ మరియు ఆడిటర్ జనరల్ (CAG) 2009 లో విమానాల గ్రౌండింగ్ గురించి చర్చిస్తున్నప్పుడు ఈ విమానం ""సాంకేతికంగ"&amp;"ా పాతది మరియు విమాన భద్రతా ప్రమాదాల వల్ల చుట్టుముట్టబడి ఉంది"" అని నివేదించబడింది [4] జేన్ యొక్క ఎయిర్క్రాఫ్ట్ రికగ్నిషన్ గైడ్ [6] జనరల్ నుండి డేటా లక్షణాలు పనితీరు ఆయుధాలు నాలుగు హార్డ్ పాయింట్లు; 255 కిలోల వార్‌లోడ్; మెషిన్ గన్ పాడ్స్; బాంబులు; రాకెట్లు")</f>
        <v>HAL HPT-32 దీపక్ (సంస్కృతంలో "దీపం") హిందూస్తాన్ ఏరోనాటిక్స్ లిమిటెడ్ చేత తయారు చేయబడిన భారతీయ ప్రాప్-ఆధారిత ప్రాధమిక శిక్షకుడు. ఇది సైడ్-బై-సైడ్ కాన్ఫిగరేషన్‌లో రెండు సీట్లను కలిగి ఉంది. దీపక్ ప్రాధమిక శిక్షణ, పరిశీలన, అనుసంధానం మరియు లక్ష్య వెళ్ళుట కోసం ఉపయోగించబడుతుంది. ఇది ఫ్యూజ్‌లేజ్‌లోని కలెక్టర్ ట్యాంక్ నుండి తలక్రిందులుగా ఉన్న ఇంధన ప్రవాహాలను ఎగురుతుంది మరియు విలోమ ఫ్లైట్ 1 నిమిషానికి పరిమితం చేయబడింది. దీపక్ సైద్ధాంతిక గ్లైడ్ నిష్పత్తి 8.5: 1. ఇంజిన్ వైఫల్యం సంభవించినప్పుడు సురక్షితంగా దిగడానికి వీలు కల్పించడానికి బాలిస్టిక్ రికవరీ సిస్టమ్స్ వంటి కొత్త భద్రతా వ్యవస్థలను IAF మరియు HAL పరిశీలిస్తున్నాయి. 16 మే 2010 న IAF పారాచూట్ రికవరీ సిస్టమ్ యొక్క సంస్థాపనను క్లియర్ చేసింది. [2] HPT-32 విమానాలను IAF లో పిలాటస్ పిసి -7 ఎమ్‌కె II స్థానంలో ఉంది, ఎందుకంటే 2013 లో ప్రాథమిక శిక్షకుల విమానం (బిటిఎ) గా దాని వర్క్‌హోర్స్. ఇప్పటివరకు 17 డీపక్ క్రాష్‌లలో, 19 పైలట్లు మరణించారు. [3] భారతదేశంలోని కంప్ట్రోలర్ మరియు ఆడిటర్ జనరల్ (CAG) 2009 లో విమానాల గ్రౌండింగ్ గురించి చర్చిస్తున్నప్పుడు ఈ విమానం "సాంకేతికంగా పాతది మరియు విమాన భద్రతా ప్రమాదాల వల్ల చుట్టుముట్టబడి ఉంది" అని నివేదించబడింది [4] జేన్ యొక్క ఎయిర్క్రాఫ్ట్ రికగ్నిషన్ గైడ్ [6] జనరల్ నుండి డేటా లక్షణాలు పనితీరు ఆయుధాలు నాలుగు హార్డ్ పాయింట్లు; 255 కిలోల వార్‌లోడ్; మెషిన్ గన్ పాడ్స్; బాంబులు; రాకెట్లు</v>
      </c>
      <c r="E195" s="1" t="s">
        <v>3940</v>
      </c>
      <c r="F195" s="1" t="s">
        <v>2195</v>
      </c>
      <c r="G195" s="1" t="str">
        <f>IFERROR(__xludf.DUMMYFUNCTION("GOOGLETRANSLATE(F:F, ""en"", ""te"")"),"ప్రాథమిక శిక్షకుడు")</f>
        <v>ప్రాథమిక శిక్షకుడు</v>
      </c>
      <c r="H195" s="1" t="s">
        <v>2196</v>
      </c>
      <c r="L195" s="1" t="s">
        <v>3941</v>
      </c>
      <c r="M195" s="1" t="str">
        <f>IFERROR(__xludf.DUMMYFUNCTION("GOOGLETRANSLATE(L:L, ""en"", ""te"")"),"హిందూస్తాన్ ఏరోనాటిక్స్ లిమిటెడ్")</f>
        <v>హిందూస్తాన్ ఏరోనాటిక్స్ లిమిటెడ్</v>
      </c>
      <c r="N195" s="1" t="s">
        <v>3942</v>
      </c>
      <c r="R195" s="1" t="s">
        <v>3943</v>
      </c>
      <c r="V195" s="1">
        <v>2.0</v>
      </c>
      <c r="W195" s="1" t="s">
        <v>3944</v>
      </c>
      <c r="X195" s="1" t="s">
        <v>3945</v>
      </c>
      <c r="Y195" s="1" t="s">
        <v>3946</v>
      </c>
      <c r="Z195" s="1" t="s">
        <v>3947</v>
      </c>
      <c r="AG195" s="1" t="s">
        <v>3948</v>
      </c>
      <c r="AX195" s="1" t="s">
        <v>3949</v>
      </c>
      <c r="AY195" s="1" t="str">
        <f>IFERROR(__xludf.DUMMYFUNCTION("GOOGLETRANSLATE(AX:AX, ""en"", ""te"")"),"1 × లైమింగ్ AEO-540-D4B5 పిస్టన్ ఇంజిన్, 260 హెచ్‌పి (194 కిలోవాట్)")</f>
        <v>1 × లైమింగ్ AEO-540-D4B5 పిస్టన్ ఇంజిన్, 260 హెచ్‌పి (194 కిలోవాట్)</v>
      </c>
      <c r="BB195" s="1" t="s">
        <v>3950</v>
      </c>
      <c r="BF195" s="1" t="s">
        <v>3951</v>
      </c>
      <c r="BG195" s="2" t="str">
        <f>IFERROR(__xludf.DUMMYFUNCTION("GOOGLETRANSLATE(BF:BF, ""en"", ""te"")"),"భారత వైమానిక దళం")</f>
        <v>భారత వైమానిక దళం</v>
      </c>
      <c r="BH195" s="1" t="s">
        <v>3952</v>
      </c>
      <c r="BT195" s="1" t="s">
        <v>3953</v>
      </c>
      <c r="BX195" s="1"/>
      <c r="BY195" s="1" t="s">
        <v>3954</v>
      </c>
    </row>
    <row r="196">
      <c r="A196" s="1" t="s">
        <v>3955</v>
      </c>
      <c r="B196" s="1" t="str">
        <f>IFERROR(__xludf.DUMMYFUNCTION("GOOGLETRANSLATE(A:A, ""en"", ""te"")"),"ఫోనిక్స్ D.I")</f>
        <v>ఫోనిక్స్ D.I</v>
      </c>
      <c r="C196" s="1" t="s">
        <v>3956</v>
      </c>
      <c r="D196" s="1" t="str">
        <f>IFERROR(__xludf.DUMMYFUNCTION("GOOGLETRANSLATE(C:C, ""en"", ""te"")"),"ఫోనిక్స్ D.I, D.II మరియు D.III వేరియంట్లతో, ఆస్ట్రో-హంగేరియన్ మొదటి ప్రపంచ యుద్ధం బిప్‌లేన్ ఫైటర్, ఇది ఫోనిక్స్ ఫ్లూగ్జ్యూగ్-వర్కే నిర్మించబడింది మరియు హన్సా-బ్రాండెన్‌బర్గ్ D.I. ఫోనిక్స్ D.I అనేది హాన్సా-బ్రాండెన్‌బర్గ్ D.I డిజైన్ ఆధారంగా ఫోనిక్స్ ఫ్లూగ్"&amp;"జ్యూగ్-వర్కే అభివృద్ధి చేసిన రెండవ డిజైన్, ఇది లైసెన్స్ కింద ఉత్పత్తి చేసింది. [1] D.I అనేది అసలు హాన్సా-బ్రాండెన్‌బర్గ్ డిజైన్‌పై మెరుగుదలలతో సింగిల్-సీట్ల బైప్‌లేన్ ఫైటర్, ఇందులో మరింత సమర్థవంతమైన రెక్కలు, మరింత శక్తివంతమైన ఇంజిన్ మరియు నిర్మాణ మెరుగుదల"&amp;"లు ఉన్నాయి. [1] ఒక నమూనా మొదట 1917 లో ఎగురవేయబడింది మరియు వేగంగా కానీ నిర్వహించడం కష్టమని నిరూపించబడింది, కాని యోధుల అత్యవసర అవసరం కారణంగా D.I ఉత్పత్తిలోకి ప్రవేశించింది. సవరించిన వేరియంట్‌ను మెరుగుపరచడానికి, D.II ను సమతుల్య ఎలివేటర్లు మరియు ఎగువ రెక్కలపై"&amp;" సమతుల్య ఐలెరాన్‌లతో ప్రవేశపెట్టారు. ఇంకొక అభివృద్ధి D.III, ఇది రెక్కలపై సమతుల్య ఐలెరాన్స్ మరియు మరింత శక్తివంతమైన 230 HP (170 kW) హిరో 6 ఇన్-లైన్ ఇంజిన్. మూడు రకాల 158 విమానాలలో చివరిది 4 నవంబర్ 1918 న పంపిణీ చేయబడింది. [2] ఆర్మీ D.I యొక్క డిసెంబర్ 1917 "&amp;"లో సేవలోకి ప్రవేశించింది. దీనిని ఎస్కార్ట్ ఫైటర్‌గా ఫ్లిక్స్ 4/D, 15/D, 17/D, 48/D, 54/D మరియు 66/D. . ఇది ఫ్లిక్స్ 14/J, 30/J, 60/J, 61/J మరియు 63/J లలో ఫైటర్‌గా ఉపయోగించబడింది. . ఫ్లయింగ్ ట్విన్-సీటర్లు స్థిరంగా, దృ and మైన మరియు ఎగరడానికి సులభమైనవి. అయ"&amp;"ితే, ఒక ఫిర్యాదు ఏమిటంటే, D.I ""శీఘ్ర పోరాట విన్యాసాలకు చాలా స్థిరంగా ఉంది"". కొన్ని కెమెరాలతో అమర్చబడి ఉన్నాయి మరియు తద్వారా అంకితమైన నిఘా యంత్రాలుగా మార్చబడ్డాయి. [2] అనేక ఆస్ట్రో-హంగేరియన్ ఏసెస్ ఈ విమానాన్ని ఉపయోగించారు, వాటిలో కర్ట్ గ్రుబెర్, రోమన్ ష్"&amp;"మిత్, కార్ల్ టీచ్మాన్, గాడ్విన్ బ్రూమోవ్స్కీ, బెన్నో ఫియాలా రిట్టర్ వాన్ ఫెర్న్‌బ్రూగ్, ఫ్రాంజ్ గ్రెజర్, కార్ల్ నికిట్ష్, కార్ల్ నికిట్ష్, ఫ్రాంక్-క్రోఫోర్డ్ మరియు జెజ్సేఫ్ కిస్ .II మే 24, 1918 న. [3] మొదటి ప్రపంచ యుద్ధం యొక్క ఆస్ట్రో-హంగేరియన్ ఆర్మీ విమా"&amp;"నం నుండి డేటా [2] డేటా [4] సాధారణ లక్షణాల పనితీరు ఆయుధాలు")</f>
        <v>ఫోనిక్స్ D.I, D.II మరియు D.III వేరియంట్లతో, ఆస్ట్రో-హంగేరియన్ మొదటి ప్రపంచ యుద్ధం బిప్‌లేన్ ఫైటర్, ఇది ఫోనిక్స్ ఫ్లూగ్జ్యూగ్-వర్కే నిర్మించబడింది మరియు హన్సా-బ్రాండెన్‌బర్గ్ D.I. ఫోనిక్స్ D.I అనేది హాన్సా-బ్రాండెన్‌బర్గ్ D.I డిజైన్ ఆధారంగా ఫోనిక్స్ ఫ్లూగ్జ్యూగ్-వర్కే అభివృద్ధి చేసిన రెండవ డిజైన్, ఇది లైసెన్స్ కింద ఉత్పత్తి చేసింది. [1] D.I అనేది అసలు హాన్సా-బ్రాండెన్‌బర్గ్ డిజైన్‌పై మెరుగుదలలతో సింగిల్-సీట్ల బైప్‌లేన్ ఫైటర్, ఇందులో మరింత సమర్థవంతమైన రెక్కలు, మరింత శక్తివంతమైన ఇంజిన్ మరియు నిర్మాణ మెరుగుదలలు ఉన్నాయి. [1] ఒక నమూనా మొదట 1917 లో ఎగురవేయబడింది మరియు వేగంగా కానీ నిర్వహించడం కష్టమని నిరూపించబడింది, కాని యోధుల అత్యవసర అవసరం కారణంగా D.I ఉత్పత్తిలోకి ప్రవేశించింది. సవరించిన వేరియంట్‌ను మెరుగుపరచడానికి, D.II ను సమతుల్య ఎలివేటర్లు మరియు ఎగువ రెక్కలపై సమతుల్య ఐలెరాన్‌లతో ప్రవేశపెట్టారు. ఇంకొక అభివృద్ధి D.III, ఇది రెక్కలపై సమతుల్య ఐలెరాన్స్ మరియు మరింత శక్తివంతమైన 230 HP (170 kW) హిరో 6 ఇన్-లైన్ ఇంజిన్. మూడు రకాల 158 విమానాలలో చివరిది 4 నవంబర్ 1918 న పంపిణీ చేయబడింది. [2] ఆర్మీ D.I యొక్క డిసెంబర్ 1917 లో సేవలోకి ప్రవేశించింది. దీనిని ఎస్కార్ట్ ఫైటర్‌గా ఫ్లిక్స్ 4/D, 15/D, 17/D, 48/D, 54/D మరియు 66/D. . ఇది ఫ్లిక్స్ 14/J, 30/J, 60/J, 61/J మరియు 63/J లలో ఫైటర్‌గా ఉపయోగించబడింది. . ఫ్లయింగ్ ట్విన్-సీటర్లు స్థిరంగా, దృ and మైన మరియు ఎగరడానికి సులభమైనవి. అయితే, ఒక ఫిర్యాదు ఏమిటంటే, D.I "శీఘ్ర పోరాట విన్యాసాలకు చాలా స్థిరంగా ఉంది". కొన్ని కెమెరాలతో అమర్చబడి ఉన్నాయి మరియు తద్వారా అంకితమైన నిఘా యంత్రాలుగా మార్చబడ్డాయి. [2] అనేక ఆస్ట్రో-హంగేరియన్ ఏసెస్ ఈ విమానాన్ని ఉపయోగించారు, వాటిలో కర్ట్ గ్రుబెర్, రోమన్ ష్మిత్, కార్ల్ టీచ్మాన్, గాడ్విన్ బ్రూమోవ్స్కీ, బెన్నో ఫియాలా రిట్టర్ వాన్ ఫెర్న్‌బ్రూగ్, ఫ్రాంజ్ గ్రెజర్, కార్ల్ నికిట్ష్, కార్ల్ నికిట్ష్, ఫ్రాంక్-క్రోఫోర్డ్ మరియు జెజ్సేఫ్ కిస్ .II మే 24, 1918 న. [3] మొదటి ప్రపంచ యుద్ధం యొక్క ఆస్ట్రో-హంగేరియన్ ఆర్మీ విమానం నుండి డేటా [2] డేటా [4] సాధారణ లక్షణాల పనితీరు ఆయుధాలు</v>
      </c>
      <c r="E196" s="1" t="s">
        <v>3957</v>
      </c>
      <c r="F196" s="1" t="s">
        <v>3958</v>
      </c>
      <c r="G196" s="1" t="str">
        <f>IFERROR(__xludf.DUMMYFUNCTION("GOOGLETRANSLATE(F:F, ""en"", ""te"")"),"బిప్‌లేన్ ఫైటర్")</f>
        <v>బిప్‌లేన్ ఫైటర్</v>
      </c>
      <c r="H196" s="1" t="s">
        <v>3959</v>
      </c>
      <c r="I196" s="1" t="s">
        <v>3960</v>
      </c>
      <c r="J196" s="1" t="str">
        <f>IFERROR(__xludf.DUMMYFUNCTION("GOOGLETRANSLATE(I:I, ""en"", ""te"")"),"ఆస్ట్రియా-హంగరీ")</f>
        <v>ఆస్ట్రియా-హంగరీ</v>
      </c>
      <c r="L196" s="1" t="s">
        <v>3961</v>
      </c>
      <c r="M196" s="1" t="str">
        <f>IFERROR(__xludf.DUMMYFUNCTION("GOOGLETRANSLATE(L:L, ""en"", ""te"")"),"ఫోనిక్స్ ఫ్లగ్జీగ్-వెర్కే [డి]")</f>
        <v>ఫోనిక్స్ ఫ్లగ్జీగ్-వెర్కే [డి]</v>
      </c>
      <c r="N196" s="1" t="s">
        <v>3962</v>
      </c>
      <c r="R196" s="1">
        <v>1917.0</v>
      </c>
      <c r="S196" s="1">
        <v>158.0</v>
      </c>
      <c r="T196" s="1" t="s">
        <v>3963</v>
      </c>
      <c r="V196" s="1">
        <v>1.0</v>
      </c>
      <c r="W196" s="1" t="s">
        <v>3964</v>
      </c>
      <c r="X196" s="1" t="s">
        <v>918</v>
      </c>
      <c r="Y196" s="1" t="s">
        <v>3965</v>
      </c>
      <c r="AH196" s="1" t="s">
        <v>3966</v>
      </c>
      <c r="AO196" s="5">
        <v>6545.0</v>
      </c>
      <c r="AX196" s="1" t="s">
        <v>3967</v>
      </c>
      <c r="AY196" s="1" t="str">
        <f>IFERROR(__xludf.DUMMYFUNCTION("GOOGLETRANSLATE(AX:AX, ""en"", ""te"")"),"1 × హిరో 6 సిక్స్-సిలిండర్ వాటర్-కూల్డ్ ఇన్-లైన్ పిస్టన్ ఇంజిన్, 150 కిలోవాట్ (200 హెచ్‌పి)")</f>
        <v>1 × హిరో 6 సిక్స్-సిలిండర్ వాటర్-కూల్డ్ ఇన్-లైన్ పిస్టన్ ఇంజిన్, 150 కిలోవాట్ (200 హెచ్‌పి)</v>
      </c>
      <c r="AZ196" s="1" t="s">
        <v>3968</v>
      </c>
      <c r="BA196" s="1" t="str">
        <f>IFERROR(__xludf.DUMMYFUNCTION("GOOGLETRANSLATE(AZ:AZ, ""en"", ""te"")"),"2-బ్లేడెడ్ చెక్క స్థిర-పిచ్ ప్రొపెల్లర్")</f>
        <v>2-బ్లేడెడ్ చెక్క స్థిర-పిచ్ ప్రొపెల్లర్</v>
      </c>
      <c r="BB196" s="1" t="s">
        <v>1601</v>
      </c>
      <c r="BD196" s="1" t="s">
        <v>856</v>
      </c>
      <c r="BF196" s="1" t="s">
        <v>3969</v>
      </c>
      <c r="BG196" s="2" t="str">
        <f>IFERROR(__xludf.DUMMYFUNCTION("GOOGLETRANSLATE(BF:BF, ""en"", ""te"")"),"కుక్ల్ఫ్ట్")</f>
        <v>కుక్ల్ఫ్ట్</v>
      </c>
      <c r="BH196" s="3" t="s">
        <v>3970</v>
      </c>
      <c r="CC196" s="1" t="s">
        <v>3971</v>
      </c>
      <c r="CD196" s="1" t="str">
        <f>IFERROR(__xludf.DUMMYFUNCTION("GOOGLETRANSLATE(CC:CC, ""en"", ""te"")"),"2 X సమకాలీకరించిన స్థిర ఫార్వర్డ్-ఫైరింగ్ 8 మిమీ (0.315 in) స్క్వార్జ్‌లోస్ మెషిన్ గన్స్")</f>
        <v>2 X సమకాలీకరించిన స్థిర ఫార్వర్డ్-ఫైరింగ్ 8 మిమీ (0.315 in) స్క్వార్జ్‌లోస్ మెషిన్ గన్స్</v>
      </c>
    </row>
    <row r="197">
      <c r="A197" s="1" t="s">
        <v>3972</v>
      </c>
      <c r="B197" s="1" t="str">
        <f>IFERROR(__xludf.DUMMYFUNCTION("GOOGLETRANSLATE(A:A, ""en"", ""te"")"),"ఏరో బోరో AB-150")</f>
        <v>ఏరో బోరో AB-150</v>
      </c>
      <c r="C197" s="1" t="s">
        <v>3973</v>
      </c>
      <c r="D197" s="1" t="str">
        <f>IFERROR(__xludf.DUMMYFUNCTION("GOOGLETRANSLATE(C:C, ""en"", ""te"")"),"ఏరో బోరో AB-150 అనేది అర్జెంటీనా సివిల్ యుటిలిటీ విమానం, ఇది AB-180 తో సమాంతరంగా అభివృద్ధి చేయబడింది, ఇది ఆ విమానం యొక్క తక్కువ-ధర, తక్కువ శక్తితో కూడిన సంస్కరణగా. 180 మాదిరిగానే, దీనిని ఏరో బోరో సుదూర మరియు వ్యవసాయ వైవిధ్యాలలో ఉత్పత్తి చేసింది. [1] జేన్ "&amp;"యొక్క అన్ని ప్రపంచ విమానాల నుండి డేటా 1982–83 [2] సాధారణ లక్షణాల పనితీరు సంబంధిత అభివృద్ధి: 1960 ల విమానంపై ఈ వ్యాసం ఒక స్టబ్. వికీపీడియా విస్తరించడం ద్వారా మీరు సహాయపడవచ్చు.")</f>
        <v>ఏరో బోరో AB-150 అనేది అర్జెంటీనా సివిల్ యుటిలిటీ విమానం, ఇది AB-180 తో సమాంతరంగా అభివృద్ధి చేయబడింది, ఇది ఆ విమానం యొక్క తక్కువ-ధర, తక్కువ శక్తితో కూడిన సంస్కరణగా. 180 మాదిరిగానే, దీనిని ఏరో బోరో సుదూర మరియు వ్యవసాయ వైవిధ్యాలలో ఉత్పత్తి చేసింది. [1] జేన్ యొక్క అన్ని ప్రపంచ విమానాల నుండి డేటా 1982–83 [2] సాధారణ లక్షణాల పనితీరు సంబంధిత అభివృద్ధి: 1960 ల విమానంపై ఈ వ్యాసం ఒక స్టబ్. వికీపీడియా విస్తరించడం ద్వారా మీరు సహాయపడవచ్చు.</v>
      </c>
      <c r="F197" s="1" t="s">
        <v>3974</v>
      </c>
      <c r="G197" s="1" t="str">
        <f>IFERROR(__xludf.DUMMYFUNCTION("GOOGLETRANSLATE(F:F, ""en"", ""te"")"),"వినియోగ")</f>
        <v>వినియోగ</v>
      </c>
      <c r="I197" s="1" t="s">
        <v>3975</v>
      </c>
      <c r="J197" s="1" t="str">
        <f>IFERROR(__xludf.DUMMYFUNCTION("GOOGLETRANSLATE(I:I, ""en"", ""te"")"),"అర్జెంటీనా")</f>
        <v>అర్జెంటీనా</v>
      </c>
      <c r="K197" s="3" t="s">
        <v>3976</v>
      </c>
      <c r="L197" s="1" t="s">
        <v>3977</v>
      </c>
      <c r="M197" s="1" t="str">
        <f>IFERROR(__xludf.DUMMYFUNCTION("GOOGLETRANSLATE(L:L, ""en"", ""te"")"),"ఏరో బోరో")</f>
        <v>ఏరో బోరో</v>
      </c>
      <c r="N197" s="1" t="s">
        <v>3978</v>
      </c>
      <c r="S197" s="1" t="s">
        <v>3979</v>
      </c>
      <c r="T197" s="1" t="s">
        <v>3980</v>
      </c>
      <c r="V197" s="1">
        <v>1.0</v>
      </c>
      <c r="W197" s="1" t="s">
        <v>3981</v>
      </c>
      <c r="X197" s="1" t="s">
        <v>3982</v>
      </c>
      <c r="Y197" s="1" t="s">
        <v>3983</v>
      </c>
      <c r="Z197" s="1" t="s">
        <v>3984</v>
      </c>
      <c r="AE197" s="1">
        <v>6.98</v>
      </c>
      <c r="AF197" s="1" t="s">
        <v>3985</v>
      </c>
      <c r="AG197" s="1" t="s">
        <v>3986</v>
      </c>
      <c r="AI197" s="1" t="s">
        <v>3987</v>
      </c>
      <c r="AV197" s="1" t="s">
        <v>2430</v>
      </c>
      <c r="AW197" s="1" t="s">
        <v>3988</v>
      </c>
      <c r="AX197" s="1" t="s">
        <v>3989</v>
      </c>
      <c r="AY197" s="1" t="str">
        <f>IFERROR(__xludf.DUMMYFUNCTION("GOOGLETRANSLATE(AX:AX, ""en"", ""te"")"),"1 × లైమింగ్ O-320-A2B ఎయిర్-కూల్డ్ ఫ్లాట్-ఫోర్ ఇంజిన్, 112 kW (150 HP)")</f>
        <v>1 × లైమింగ్ O-320-A2B ఎయిర్-కూల్డ్ ఫ్లాట్-ఫోర్ ఇంజిన్, 112 kW (150 HP)</v>
      </c>
      <c r="BB197" s="1" t="s">
        <v>2184</v>
      </c>
      <c r="BC197" s="1" t="s">
        <v>3990</v>
      </c>
      <c r="BG197" s="2"/>
      <c r="BX197" s="1"/>
      <c r="BY197" s="1" t="s">
        <v>3991</v>
      </c>
    </row>
    <row r="198">
      <c r="A198" s="1" t="s">
        <v>3992</v>
      </c>
      <c r="B198" s="1" t="str">
        <f>IFERROR(__xludf.DUMMYFUNCTION("GOOGLETRANSLATE(A:A, ""en"", ""te"")"),"స్కీబ్ ఫాల్కే")</f>
        <v>స్కీబ్ ఫాల్కే</v>
      </c>
      <c r="C198" s="1" t="s">
        <v>3993</v>
      </c>
      <c r="D198" s="1" t="str">
        <f>IFERROR(__xludf.DUMMYFUNCTION("GOOGLETRANSLATE(C:C, ""en"", ""te"")"),"స్కీబ్ ఎస్ఎఫ్ -25 ఫాల్కే (ఇంగ్లీష్: ఫాల్కన్) అనేది జర్మన్ టూరింగ్ మోటార్ గ్లైడర్, ఇది స్కీబ్ ఫ్లగ్జీగ్బావు మునుపటి బెర్గ్ఫాల్కే గ్లైడర్ నుండి అభివృద్ధి చేయబడింది. మే 2006 నుండి ఈ వ్యాపారాన్ని స్కీబ్ ఎయిర్క్రాఫ్ట్ GMBH నిర్వహించింది. సంస్థ మోటారు స్పాట్జ్‌"&amp;"ను నిర్మించింది, కాని బెర్గ్‌ఫాల్కే గ్లైడర్ ఆధారంగా మెరుగైన తేలికపాటి విమానాలను ఉత్పత్తి చేయాలని నిర్ణయించుకుంది. ఇది రెండు సైడ్-బై-సైడ్ సీట్లతో పరివేష్టిత కాక్‌పిట్‌తో కొత్త ఫార్వర్డ్ ఫ్యూజ్‌లేజ్‌ను కలిగి ఉంది మరియు వాస్తవానికి ముక్కులో ఒక ఎఫ్ 10 ఎ 2 ఎ ఇ"&amp;"ంజిన్. ఇది మొదట మే 1963 లో SF-25A మోటార్ ఫాల్కేగా ప్రయాణించింది. ప్రారంభ బ్యాచ్ విమానాల తరువాత రెక్కను తగ్గించారు మరియు దీనికి కేవలం SF-25B ఫాల్కే అని పేరు మార్చారు. అనేక వేరియంట్లు వివిధ ఇంజిన్లతో నిర్మించబడ్డాయి మరియు ఈ రకం స్పోర్టివియా-పుట్జర్, ఏరోనాటి"&amp;"కా అంబ్రా (ఇటలీ), లోరావియా (ఫ్రాన్స్) మరియు స్లింగ్స్బై (యునైటెడ్ కింగ్‌డమ్) నిర్మించిన లైసెన్స్. ప్రస్తుత మోడల్ SF 25C. ఇది ప్రస్తుతం మూడు ఇంజిన్ల ఎంపికతో లభిస్తుంది: రోటాక్స్ 912 80 హెచ్‌పి, రోటాక్స్ 912 ఎస్ (100 హెచ్‌పి) మరియు రోటాక్స్ 914 ఎఫ్ 3 (115 హ"&amp;"ెచ్‌పి). [1] [2] నుండి డేటా జనరల్ క్యారెక్టరిస్ట్స్ పెర్ఫార్మెన్స్ బైరాన్ బే గ్లైడింగ్ క్లబ్ (ఆస్ట్రేలియా) జబిరు 2200 ను ఉపయోగించి తిరిగి ఇంజిన్ చేసింది. ""మేము లాగర్‌తో కొలిచిన 500 అడుగుల/నిమిషం ఆరోహణ రేటును పొందుతాము మరియు ఈ విమానం నిజాయితీగా 190 కిలోలు"&amp;" తీసుకుంటుంది 1 గంట ఇంధనంతో లోడ్ చెల్లించండి ""[3]")</f>
        <v>స్కీబ్ ఎస్ఎఫ్ -25 ఫాల్కే (ఇంగ్లీష్: ఫాల్కన్) అనేది జర్మన్ టూరింగ్ మోటార్ గ్లైడర్, ఇది స్కీబ్ ఫ్లగ్జీగ్బావు మునుపటి బెర్గ్ఫాల్కే గ్లైడర్ నుండి అభివృద్ధి చేయబడింది. మే 2006 నుండి ఈ వ్యాపారాన్ని స్కీబ్ ఎయిర్క్రాఫ్ట్ GMBH నిర్వహించింది. సంస్థ మోటారు స్పాట్జ్‌ను నిర్మించింది, కాని బెర్గ్‌ఫాల్కే గ్లైడర్ ఆధారంగా మెరుగైన తేలికపాటి విమానాలను ఉత్పత్తి చేయాలని నిర్ణయించుకుంది. ఇది రెండు సైడ్-బై-సైడ్ సీట్లతో పరివేష్టిత కాక్‌పిట్‌తో కొత్త ఫార్వర్డ్ ఫ్యూజ్‌లేజ్‌ను కలిగి ఉంది మరియు వాస్తవానికి ముక్కులో ఒక ఎఫ్ 10 ఎ 2 ఎ ఇంజిన్. ఇది మొదట మే 1963 లో SF-25A మోటార్ ఫాల్కేగా ప్రయాణించింది. ప్రారంభ బ్యాచ్ విమానాల తరువాత రెక్కను తగ్గించారు మరియు దీనికి కేవలం SF-25B ఫాల్కే అని పేరు మార్చారు. అనేక వేరియంట్లు వివిధ ఇంజిన్లతో నిర్మించబడ్డాయి మరియు ఈ రకం స్పోర్టివియా-పుట్జర్, ఏరోనాటికా అంబ్రా (ఇటలీ), లోరావియా (ఫ్రాన్స్) మరియు స్లింగ్స్బై (యునైటెడ్ కింగ్‌డమ్) నిర్మించిన లైసెన్స్. ప్రస్తుత మోడల్ SF 25C. ఇది ప్రస్తుతం మూడు ఇంజిన్ల ఎంపికతో లభిస్తుంది: రోటాక్స్ 912 80 హెచ్‌పి, రోటాక్స్ 912 ఎస్ (100 హెచ్‌పి) మరియు రోటాక్స్ 914 ఎఫ్ 3 (115 హెచ్‌పి). [1] [2] నుండి డేటా జనరల్ క్యారెక్టరిస్ట్స్ పెర్ఫార్మెన్స్ బైరాన్ బే గ్లైడింగ్ క్లబ్ (ఆస్ట్రేలియా) జబిరు 2200 ను ఉపయోగించి తిరిగి ఇంజిన్ చేసింది. "మేము లాగర్‌తో కొలిచిన 500 అడుగుల/నిమిషం ఆరోహణ రేటును పొందుతాము మరియు ఈ విమానం నిజాయితీగా 190 కిలోలు తీసుకుంటుంది 1 గంట ఇంధనంతో లోడ్ చెల్లించండి "[3]</v>
      </c>
      <c r="E198" s="1" t="s">
        <v>3994</v>
      </c>
      <c r="F198" s="1" t="s">
        <v>3995</v>
      </c>
      <c r="G198" s="1" t="str">
        <f>IFERROR(__xludf.DUMMYFUNCTION("GOOGLETRANSLATE(F:F, ""en"", ""te"")"),"మోటార్ గ్లైడర్")</f>
        <v>మోటార్ గ్లైడర్</v>
      </c>
      <c r="I198" s="1" t="s">
        <v>2991</v>
      </c>
      <c r="J198" s="1" t="str">
        <f>IFERROR(__xludf.DUMMYFUNCTION("GOOGLETRANSLATE(I:I, ""en"", ""te"")"),"పశ్చిమ జర్మనీ")</f>
        <v>పశ్చిమ జర్మనీ</v>
      </c>
      <c r="L198" s="1" t="s">
        <v>3996</v>
      </c>
      <c r="M198" s="1" t="str">
        <f>IFERROR(__xludf.DUMMYFUNCTION("GOOGLETRANSLATE(L:L, ""en"", ""te"")"),"స్కీబ్ ఎయిర్క్రాఫ్ట్ Gmbh")</f>
        <v>స్కీబ్ ఎయిర్క్రాఫ్ట్ Gmbh</v>
      </c>
      <c r="N198" s="1" t="s">
        <v>3997</v>
      </c>
      <c r="R198" s="1">
        <v>1963.0</v>
      </c>
      <c r="S198" s="1" t="s">
        <v>3998</v>
      </c>
      <c r="T198" s="1" t="s">
        <v>3999</v>
      </c>
      <c r="V198" s="1">
        <v>2.0</v>
      </c>
      <c r="W198" s="1" t="s">
        <v>4000</v>
      </c>
      <c r="X198" s="1" t="s">
        <v>4001</v>
      </c>
      <c r="Y198" s="1" t="s">
        <v>4002</v>
      </c>
      <c r="Z198" s="1" t="s">
        <v>4003</v>
      </c>
      <c r="AE198" s="1">
        <v>13.8</v>
      </c>
      <c r="AG198" s="1" t="s">
        <v>4004</v>
      </c>
      <c r="AK198" s="1" t="s">
        <v>4005</v>
      </c>
      <c r="AL198" s="1" t="s">
        <v>4006</v>
      </c>
      <c r="AW198" s="1" t="s">
        <v>4007</v>
      </c>
      <c r="AX198" s="1" t="s">
        <v>4008</v>
      </c>
      <c r="AY198" s="1" t="str">
        <f>IFERROR(__xludf.DUMMYFUNCTION("GOOGLETRANSLATE(AX:AX, ""en"", ""te"")"),"1 × రోటాక్స్ 912 ఒక ఫ్లాట్ -4, వాటర్-కూల్డ్ సిలిండర్ హెడ్స్‌తో ఎయిర్-కూల్డ్, 48 కిలోవాట్ (65 హెచ్‌పి)")</f>
        <v>1 × రోటాక్స్ 912 ఒక ఫ్లాట్ -4, వాటర్-కూల్డ్ సిలిండర్ హెడ్స్‌తో ఎయిర్-కూల్డ్, 48 కిలోవాట్ (65 హెచ్‌పి)</v>
      </c>
      <c r="AZ198" s="1" t="s">
        <v>1547</v>
      </c>
      <c r="BA198" s="1" t="str">
        <f>IFERROR(__xludf.DUMMYFUNCTION("GOOGLETRANSLATE(AZ:AZ, ""en"", ""te"")"),"2-బ్లేడెడ్")</f>
        <v>2-బ్లేడెడ్</v>
      </c>
      <c r="BB198" s="1" t="s">
        <v>1484</v>
      </c>
      <c r="BC198" s="1" t="s">
        <v>4009</v>
      </c>
      <c r="BD198" s="1" t="s">
        <v>4010</v>
      </c>
      <c r="BG198" s="2"/>
      <c r="BI198" s="1" t="s">
        <v>4011</v>
      </c>
      <c r="BR198" s="1" t="s">
        <v>4012</v>
      </c>
      <c r="BT198" s="1" t="s">
        <v>3547</v>
      </c>
      <c r="BX198" s="1"/>
      <c r="BY198" s="1" t="s">
        <v>3480</v>
      </c>
    </row>
    <row r="199">
      <c r="A199" s="1" t="s">
        <v>4013</v>
      </c>
      <c r="B199" s="1" t="str">
        <f>IFERROR(__xludf.DUMMYFUNCTION("GOOGLETRANSLATE(A:A, ""en"", ""te"")"),"ఏరియన్ SBJ")</f>
        <v>ఏరియన్ SBJ</v>
      </c>
      <c r="C199" s="1" t="s">
        <v>4014</v>
      </c>
      <c r="D199" s="1" t="str">
        <f>IFERROR(__xludf.DUMMYFUNCTION("GOOGLETRANSLATE(C:C, ""en"", ""te"")"),"ఏరియన్ SBJ అనేది అమెరికన్ సంస్థ ఏరియన్ కార్పొరేషన్ రూపొందించిన సూపర్సోనిక్ బిజినెస్ జెట్ ప్రాజెక్ట్. 2004 లో ఆవిష్కరించబడిన, డిజైనర్ 7-8 సంవత్సరాలలో 1.2–1.4 బిలియన్ల అభివృద్ధికి ముందు వ్యాపార విమాన తయారీదారుతో జాయింట్ వెంచర్ కోరింది. ఏరియన్ 2014 లో ఏరియన్"&amp;" AS2 గా డిజైన్‌ను విస్తరించే ముందు 50 అక్షరాల యొక్క ఉద్దేశ్యాన్ని అందుకుంది. ఇద్దరు ప్రాట్ &amp; విట్నీ JT8D-219 ఇంజన్లతో నడిచే, 80 మిలియన్ డాలర్ల విమానం 8–12 మంది ప్రయాణీకులను మాక్ 1.6 మరియు 4,000 NMI వరకు రవాణా చేయడం (7,400 కిమీ). మూలధనాన్ని పెంచడానికి అసమర"&amp;"్థత కారణంగా ఇది మూసివేయబడుతుందని మే 21, 2021 న ఏరియన్ అకస్మాత్తుగా ప్రకటించింది. [1] 2003 లో, ఏరియన్ బొంబార్డియర్ ఏరోస్పేస్ మరియు డసాల్ట్ ఏవియేషన్‌తో సహా పెద్ద ఏరోస్పేస్ భాగస్వామి కోసం అన్వేషణను ప్రారంభించింది. [2] యుఎస్ బిలియనీర్ రాబర్ట్ బాస్ మద్దతుతో 20"&amp;"04 NBAA కన్వెన్షన్‌లో SBJ ప్రాజెక్టును ఆవిష్కరించారు, 2011 ను 1.2–1.4 బిలియన్ల అభివృద్ధి వ్యయం కోసం లక్ష్యంగా చేసుకుంది, 10 సంవత్సరాలలో 250–300 విమాన పౌర మార్కెట్‌ను ating హించింది. ఏరియన్ అప్పుడు భాగస్వామ్యాలు మరియు వివరణాత్మక రూపకల్పనకు ముందు, 2005 రెండ"&amp;"వ భాగంలో విండ్ టన్నెల్ పరీక్షను ప్లాన్ చేసింది. [3] గ్లోబల్ ఎక్స్‌ప్రెస్ లీడ్ డిజైనర్ జాన్ హోల్డింగ్ 2008 లో ఏరియన్‌లో చేరాడు. ప్రతి కస్టమర్ $ 250,000 డిపాజిట్ పెట్టారు. [4] 2010 నాటికి, కంపెనీ 50 లేఖలను పేర్కొంది. [5] అప్పటికి, ఏరియన్ ఐదు నుండి ఆరు సంవత్"&amp;"సరాల తరువాత డెలివరీల కోసం వ్యాపార విమాన తయారీదారుతో జాయింట్ వెంచర్ కోరింది. [6] మార్చి 2012 లో, యుకెకు చెందిన ఇండిగో లియాన్ స్విస్ ఎగ్జిక్యూజెట్ ఏవియేషన్ గ్రూపులో ఉత్తర అమెరికా వెలుపల సేల్స్ ఏజెంట్లుగా చేరారు. [7] అక్టోబర్ 2013 నాటికి, 2021 లో మార్కెట్ చే"&amp;"రుకోవడానికి 2019 లో విమాన పరీక్ష ప్రారంభమవుతుందని కంపెనీ భావించింది. [8] సూపర్సోనిక్ విమానంలో యుఎస్ నిషేధం ఉన్నప్పటికీ, వారి డిజైన్ మార్కెట్‌ను కనుగొంటుందని ఏరియన్ అభిప్రాయపడింది, అయితే గల్ఫ్‌స్ట్రీమ్ నిషేధాన్ని నిషేధంగా చూస్తుంది. [9] 2014 లో, డిజైన్ ఏరి"&amp;"యన్ AS2 గా నవీకరించబడింది, కస్టమర్ అభ్యర్థనలకు అనుగుణంగా పొడవు మరియు టేకాఫ్ బరువు పెరిగింది. [10] Million 80 మిలియన్ల విమానం 8–12 మంది ప్రయాణీకులను మాక్ 1.6 మరియు 4,000 ఎన్‌ఎంఐ (7,400 కిమీ) వరకు రవాణా చేస్తుంది. ఇది సాంప్రదాయిక అల్యూమినియం ఫ్యూజ్‌లేజ్ మరి"&amp;"యు మిశ్రమ సూపర్సోనిక్ నేచురల్ లామినార్ ఫ్లో వింగ్ కలిగి ఉంటుంది, ప్రస్తుత ప్రాట్ &amp; విట్నీ JT8D-219 ఇంజిన్‌తో 40,800 కిలోల (90,000 పౌండ్లు) స్థూల-బరువు. [3] అవసరమైనప్పుడు, ఇది మాక్ .95-.99 వద్ద ధ్వని వేగం కంటే సమర్థవంతంగా క్రూజ్ చేయవచ్చు. [11] ఉత్పత్తి చేస"&amp;"్తే, ఇది యూరప్ నుండి ఉత్తర అమెరికాకు మరియు ఒక వ్యాపార రోజులో తిరిగి ఆచరణాత్మక నాన్-స్టాప్ ప్రయాణాన్ని అనుమతిస్తుంది. ఏరియన్ ఎస్బిజె యొక్క కీ ఎనేబుల్ టెక్నాలజీ, సూపర్సోనిక్ నేచురల్ లామినార్ ప్రవాహం, ట్రాన్సోనిక్ విండ్ టన్నెల్ పరీక్షలలో మరియు నాసాతో కలిసి న"&amp;"ిర్వహించిన సూపర్సోనిక్ విమాన పరీక్షలలో నిశ్చయంగా ప్రదర్శించబడింది. 2010 వేసవిలో, ఏరియన్-రూపొందించిన క్రమాంకనం ఫిక్చర్ నాసా ఎఫ్ -15 బిలో పరీక్షించబడింది. [12] ఉపరితల నాణ్యత మరియు అసెంబ్లీ సహనాల కోసం భవిష్యత్ లామినార్ ప్రవాహ ఎయిర్‌ఫాయిల్ తయారీ ప్రమాణాలను ప్"&amp;"రభావితం చేయడానికి ఈ ప్రయోగాలు ఉద్దేశించబడ్డాయి. [13] [14] [15] [16] రెండవ పరీక్ష ఉపరితలం 2013 మొదటి భాగంలో ఎగురవేయబడింది, దీని రూపకల్పన 2010 పరీక్ష ద్వారా మార్గనిర్దేశం చేయబడింది. [17] కొత్త పరీక్ష ఉపరితలం లామినార్ ప్రవాహాన్ని పెద్ద ఎత్తున అందించడానికి రూ"&amp;"పొందించబడింది మరియు ఆకారంలో ఉంటుంది కాబట్టి సరిహద్దు పొర అస్థిరతలు సాపేక్షంగా నెమ్మదిగా మరియు సజావుగా పెరుగుతాయి. ఈ లక్షణాలు కరుకుదనం యొక్క మంచి సరిహద్దు పొర ఇమేజింగ్‌ను మరియు తదుపరి దశలో చేసిన దశ-ఎత్తు ప్రయోగాలను సులభతరం చేయాలి. ఏరియన్ నుండి డేటా [18] సా"&amp;"ధారణ లక్షణాలు పనితీరు సంబంధిత అభివృద్ధి అభివృద్ధి విమానం పోల్చదగిన పాత్ర, కాన్ఫిగరేషన్ మరియు ERA సంబంధిత జాబితాలు")</f>
        <v>ఏరియన్ SBJ అనేది అమెరికన్ సంస్థ ఏరియన్ కార్పొరేషన్ రూపొందించిన సూపర్సోనిక్ బిజినెస్ జెట్ ప్రాజెక్ట్. 2004 లో ఆవిష్కరించబడిన, డిజైనర్ 7-8 సంవత్సరాలలో 1.2–1.4 బిలియన్ల అభివృద్ధికి ముందు వ్యాపార విమాన తయారీదారుతో జాయింట్ వెంచర్ కోరింది. ఏరియన్ 2014 లో ఏరియన్ AS2 గా డిజైన్‌ను విస్తరించే ముందు 50 అక్షరాల యొక్క ఉద్దేశ్యాన్ని అందుకుంది. ఇద్దరు ప్రాట్ &amp; విట్నీ JT8D-219 ఇంజన్లతో నడిచే, 80 మిలియన్ డాలర్ల విమానం 8–12 మంది ప్రయాణీకులను మాక్ 1.6 మరియు 4,000 NMI వరకు రవాణా చేయడం (7,400 కిమీ). మూలధనాన్ని పెంచడానికి అసమర్థత కారణంగా ఇది మూసివేయబడుతుందని మే 21, 2021 న ఏరియన్ అకస్మాత్తుగా ప్రకటించింది. [1] 2003 లో, ఏరియన్ బొంబార్డియర్ ఏరోస్పేస్ మరియు డసాల్ట్ ఏవియేషన్‌తో సహా పెద్ద ఏరోస్పేస్ భాగస్వామి కోసం అన్వేషణను ప్రారంభించింది. [2] యుఎస్ బిలియనీర్ రాబర్ట్ బాస్ మద్దతుతో 2004 NBAA కన్వెన్షన్‌లో SBJ ప్రాజెక్టును ఆవిష్కరించారు, 2011 ను 1.2–1.4 బిలియన్ల అభివృద్ధి వ్యయం కోసం లక్ష్యంగా చేసుకుంది, 10 సంవత్సరాలలో 250–300 విమాన పౌర మార్కెట్‌ను ating హించింది. ఏరియన్ అప్పుడు భాగస్వామ్యాలు మరియు వివరణాత్మక రూపకల్పనకు ముందు, 2005 రెండవ భాగంలో విండ్ టన్నెల్ పరీక్షను ప్లాన్ చేసింది. [3] గ్లోబల్ ఎక్స్‌ప్రెస్ లీడ్ డిజైనర్ జాన్ హోల్డింగ్ 2008 లో ఏరియన్‌లో చేరాడు. ప్రతి కస్టమర్ $ 250,000 డిపాజిట్ పెట్టారు. [4] 2010 నాటికి, కంపెనీ 50 లేఖలను పేర్కొంది. [5] అప్పటికి, ఏరియన్ ఐదు నుండి ఆరు సంవత్సరాల తరువాత డెలివరీల కోసం వ్యాపార విమాన తయారీదారుతో జాయింట్ వెంచర్ కోరింది. [6] మార్చి 2012 లో, యుకెకు చెందిన ఇండిగో లియాన్ స్విస్ ఎగ్జిక్యూజెట్ ఏవియేషన్ గ్రూపులో ఉత్తర అమెరికా వెలుపల సేల్స్ ఏజెంట్లుగా చేరారు. [7] అక్టోబర్ 2013 నాటికి, 2021 లో మార్కెట్ చేరుకోవడానికి 2019 లో విమాన పరీక్ష ప్రారంభమవుతుందని కంపెనీ భావించింది. [8] సూపర్సోనిక్ విమానంలో యుఎస్ నిషేధం ఉన్నప్పటికీ, వారి డిజైన్ మార్కెట్‌ను కనుగొంటుందని ఏరియన్ అభిప్రాయపడింది, అయితే గల్ఫ్‌స్ట్రీమ్ నిషేధాన్ని నిషేధంగా చూస్తుంది. [9] 2014 లో, డిజైన్ ఏరియన్ AS2 గా నవీకరించబడింది, కస్టమర్ అభ్యర్థనలకు అనుగుణంగా పొడవు మరియు టేకాఫ్ బరువు పెరిగింది. [10] Million 80 మిలియన్ల విమానం 8–12 మంది ప్రయాణీకులను మాక్ 1.6 మరియు 4,000 ఎన్‌ఎంఐ (7,400 కిమీ) వరకు రవాణా చేస్తుంది. ఇది సాంప్రదాయిక అల్యూమినియం ఫ్యూజ్‌లేజ్ మరియు మిశ్రమ సూపర్సోనిక్ నేచురల్ లామినార్ ఫ్లో వింగ్ కలిగి ఉంటుంది, ప్రస్తుత ప్రాట్ &amp; విట్నీ JT8D-219 ఇంజిన్‌తో 40,800 కిలోల (90,000 పౌండ్లు) స్థూల-బరువు. [3] అవసరమైనప్పుడు, ఇది మాక్ .95-.99 వద్ద ధ్వని వేగం కంటే సమర్థవంతంగా క్రూజ్ చేయవచ్చు. [11] ఉత్పత్తి చేస్తే, ఇది యూరప్ నుండి ఉత్తర అమెరికాకు మరియు ఒక వ్యాపార రోజులో తిరిగి ఆచరణాత్మక నాన్-స్టాప్ ప్రయాణాన్ని అనుమతిస్తుంది. ఏరియన్ ఎస్బిజె యొక్క కీ ఎనేబుల్ టెక్నాలజీ, సూపర్సోనిక్ నేచురల్ లామినార్ ప్రవాహం, ట్రాన్సోనిక్ విండ్ టన్నెల్ పరీక్షలలో మరియు నాసాతో కలిసి నిర్వహించిన సూపర్సోనిక్ విమాన పరీక్షలలో నిశ్చయంగా ప్రదర్శించబడింది. 2010 వేసవిలో, ఏరియన్-రూపొందించిన క్రమాంకనం ఫిక్చర్ నాసా ఎఫ్ -15 బిలో పరీక్షించబడింది. [12] ఉపరితల నాణ్యత మరియు అసెంబ్లీ సహనాల కోసం భవిష్యత్ లామినార్ ప్రవాహ ఎయిర్‌ఫాయిల్ తయారీ ప్రమాణాలను ప్రభావితం చేయడానికి ఈ ప్రయోగాలు ఉద్దేశించబడ్డాయి. [13] [14] [15] [16] రెండవ పరీక్ష ఉపరితలం 2013 మొదటి భాగంలో ఎగురవేయబడింది, దీని రూపకల్పన 2010 పరీక్ష ద్వారా మార్గనిర్దేశం చేయబడింది. [17] కొత్త పరీక్ష ఉపరితలం లామినార్ ప్రవాహాన్ని పెద్ద ఎత్తున అందించడానికి రూపొందించబడింది మరియు ఆకారంలో ఉంటుంది కాబట్టి సరిహద్దు పొర అస్థిరతలు సాపేక్షంగా నెమ్మదిగా మరియు సజావుగా పెరుగుతాయి. ఈ లక్షణాలు కరుకుదనం యొక్క మంచి సరిహద్దు పొర ఇమేజింగ్‌ను మరియు తదుపరి దశలో చేసిన దశ-ఎత్తు ప్రయోగాలను సులభతరం చేయాలి. ఏరియన్ నుండి డేటా [18] సాధారణ లక్షణాలు పనితీరు సంబంధిత అభివృద్ధి అభివృద్ధి విమానం పోల్చదగిన పాత్ర, కాన్ఫిగరేషన్ మరియు ERA సంబంధిత జాబితాలు</v>
      </c>
      <c r="E199" s="1" t="s">
        <v>4015</v>
      </c>
      <c r="F199" s="1" t="s">
        <v>1750</v>
      </c>
      <c r="G199" s="1" t="str">
        <f>IFERROR(__xludf.DUMMYFUNCTION("GOOGLETRANSLATE(F:F, ""en"", ""te"")"),"సూపర్సోనిక్ బిజినెస్ జెట్")</f>
        <v>సూపర్సోనిక్ బిజినెస్ జెట్</v>
      </c>
      <c r="H199" s="1" t="s">
        <v>1751</v>
      </c>
      <c r="I199" s="1" t="s">
        <v>447</v>
      </c>
      <c r="J199" s="1" t="str">
        <f>IFERROR(__xludf.DUMMYFUNCTION("GOOGLETRANSLATE(I:I, ""en"", ""te"")"),"అమెరికా")</f>
        <v>అమెరికా</v>
      </c>
      <c r="O199" s="1" t="s">
        <v>4016</v>
      </c>
      <c r="P199" s="1" t="str">
        <f>IFERROR(__xludf.DUMMYFUNCTION("GOOGLETRANSLATE(O:O, ""en"", ""te"")"),"ఏరియన్ కార్పొరేషన్")</f>
        <v>ఏరియన్ కార్పొరేషన్</v>
      </c>
      <c r="Q199" s="1" t="s">
        <v>4017</v>
      </c>
      <c r="V199" s="1">
        <v>2.0</v>
      </c>
      <c r="W199" s="1" t="s">
        <v>4018</v>
      </c>
      <c r="X199" s="1" t="s">
        <v>4019</v>
      </c>
      <c r="Y199" s="1" t="s">
        <v>4020</v>
      </c>
      <c r="Z199" s="1" t="s">
        <v>4021</v>
      </c>
      <c r="AE199" s="1">
        <v>3.4</v>
      </c>
      <c r="AG199" s="1" t="s">
        <v>4022</v>
      </c>
      <c r="AM199" s="1" t="s">
        <v>4023</v>
      </c>
      <c r="AV199" s="1" t="s">
        <v>4024</v>
      </c>
      <c r="AW199" s="8">
        <v>45400.0</v>
      </c>
      <c r="AX199" s="1" t="s">
        <v>4025</v>
      </c>
      <c r="AY199" s="1" t="str">
        <f>IFERROR(__xludf.DUMMYFUNCTION("GOOGLETRANSLATE(AX:AX, ""en"", ""te"")"),"2 × P &amp; W JT8D-200 సిరీస్ టర్బోఫాన్, 19,600 ఎల్బిఎఫ్ (87 కెఎన్")</f>
        <v>2 × P &amp; W JT8D-200 సిరీస్ టర్బోఫాన్, 19,600 ఎల్బిఎఫ్ (87 కెఎన్</v>
      </c>
      <c r="BB199" s="1" t="s">
        <v>4026</v>
      </c>
      <c r="BD199" s="1" t="s">
        <v>4027</v>
      </c>
      <c r="BG199" s="2"/>
      <c r="BT199" s="1" t="s">
        <v>4028</v>
      </c>
      <c r="BU199" s="1" t="s">
        <v>4029</v>
      </c>
      <c r="BV199" s="1" t="str">
        <f>IFERROR(__xludf.DUMMYFUNCTION("GOOGLETRANSLATE(BU:BU, ""en"", ""te"")"),"రద్దు")</f>
        <v>రద్దు</v>
      </c>
      <c r="BX199" s="1"/>
      <c r="BY199" s="1" t="s">
        <v>4030</v>
      </c>
      <c r="CR199" s="1" t="s">
        <v>4031</v>
      </c>
      <c r="CS199" s="1" t="s">
        <v>4032</v>
      </c>
      <c r="CU199" s="1" t="s">
        <v>4033</v>
      </c>
      <c r="EC199" s="1">
        <v>0.44</v>
      </c>
      <c r="GI199" s="1" t="s">
        <v>4034</v>
      </c>
      <c r="GJ199" s="1" t="s">
        <v>4035</v>
      </c>
      <c r="GK199" s="1" t="s">
        <v>4036</v>
      </c>
    </row>
    <row r="200">
      <c r="A200" s="1" t="s">
        <v>4037</v>
      </c>
      <c r="B200" s="1" t="str">
        <f>IFERROR(__xludf.DUMMYFUNCTION("GOOGLETRANSLATE(A:A, ""en"", ""te"")"),"AERMACCHI M-290 REDIGO")</f>
        <v>AERMACCHI M-290 REDIGO</v>
      </c>
      <c r="C200" s="1" t="s">
        <v>4038</v>
      </c>
      <c r="D200" s="1" t="str">
        <f>IFERROR(__xludf.DUMMYFUNCTION("GOOGLETRANSLATE(C:C, ""en"", ""te"")"),"ఎర్మాచీ ఎం -290 టిపి రెడిగో టర్బోప్రాప్-శక్తితో పనిచేసే మిలిటరీ బేసిక్ ట్రైనర్ విమానం మరియు అనుసంధాన విమానం. దీనిని మొదట ఫిన్లాండ్ యొక్క వాల్మెట్ ఎల్ -90 టిపి రెడిగోగా తయారు చేసింది, ఇది ఫిన్నిష్ వైమానిక దళం కోసం వారి మునుపటి శిక్షణా విమానాల అభివృద్ధి. L-"&amp;"90 ఫిన్లాండ్‌లో రూపొందించిన మరియు ఉత్పత్తి చేయబడిన చివరి సైనిక విమానం. [1] ఈ ప్రోటోటైప్, సవరించిన L-80 ఫిబ్రవరి 12, 1985 న ఎగిరింది. టర్బోమెకా TP319 టర్బోప్రోప్ చేత శక్తినిచ్చే రెండవ నమూనా, ఆగస్టు 1988 లో జరిగిన ప్రమాదంలో నాశనం చేయబడింది. [2] మొత్తం 29 ఉత"&amp;"్పత్తి విమానం మరియు 2 ప్రోటోటైప్‌లు ఉత్పత్తి చేయబడ్డాయి. ఎర్మాచి 1996 లో తయారీ హక్కులను కొనుగోలు చేశాడు, కాని విమానాన్ని ఉత్పత్తికి తిరిగి ఇవ్వలేదు. [2] ఈ విమానం సాంప్రదాయిక కాన్ఫిగరేషన్‌ను కలిగి ఉంది, ముడుచుకునే ట్రైసైకిల్ గేర్ మరియు తక్కువ వింగ్. విద్యా"&amp;"ర్థి మరియు బోధకుడు పక్కపక్కనే కూర్చుంటారు. చాలా మంది సైనిక శిక్షకులతో విలక్షణమైనట్లుగా, ఇది ఆయుధాల శిక్షణ కోసం తేలికపాటి ఆయుధాన్ని కూడా కలిగి ఉంటుంది లేదా దగ్గరి మద్దతు పాత్రలో ఉపయోగం కోసం. ఫిన్నిష్ వైమానిక దళం L-90 ను అనుసంధాన విమానంగా మాత్రమే ఉపయోగించిం"&amp;"ది. [1] బ్రాస్సీ యొక్క ప్రపంచ విమానం మరియు సిస్టమ్స్ డైరెక్టరీ 1999/2000 నుండి డేటా [4] సాధారణ లక్షణాలు పనితీరు ఆయుధ సంబంధిత అభివృద్ధి అభివృద్ధి విమానం పోల్చదగిన పాత్ర, కాన్ఫిగరేషన్ మరియు ERA సంబంధిత జాబితాలు")</f>
        <v>ఎర్మాచీ ఎం -290 టిపి రెడిగో టర్బోప్రాప్-శక్తితో పనిచేసే మిలిటరీ బేసిక్ ట్రైనర్ విమానం మరియు అనుసంధాన విమానం. దీనిని మొదట ఫిన్లాండ్ యొక్క వాల్మెట్ ఎల్ -90 టిపి రెడిగోగా తయారు చేసింది, ఇది ఫిన్నిష్ వైమానిక దళం కోసం వారి మునుపటి శిక్షణా విమానాల అభివృద్ధి. L-90 ఫిన్లాండ్‌లో రూపొందించిన మరియు ఉత్పత్తి చేయబడిన చివరి సైనిక విమానం. [1] ఈ ప్రోటోటైప్, సవరించిన L-80 ఫిబ్రవరి 12, 1985 న ఎగిరింది. టర్బోమెకా TP319 టర్బోప్రోప్ చేత శక్తినిచ్చే రెండవ నమూనా, ఆగస్టు 1988 లో జరిగిన ప్రమాదంలో నాశనం చేయబడింది. [2] మొత్తం 29 ఉత్పత్తి విమానం మరియు 2 ప్రోటోటైప్‌లు ఉత్పత్తి చేయబడ్డాయి. ఎర్మాచి 1996 లో తయారీ హక్కులను కొనుగోలు చేశాడు, కాని విమానాన్ని ఉత్పత్తికి తిరిగి ఇవ్వలేదు. [2] ఈ విమానం సాంప్రదాయిక కాన్ఫిగరేషన్‌ను కలిగి ఉంది, ముడుచుకునే ట్రైసైకిల్ గేర్ మరియు తక్కువ వింగ్. విద్యార్థి మరియు బోధకుడు పక్కపక్కనే కూర్చుంటారు. చాలా మంది సైనిక శిక్షకులతో విలక్షణమైనట్లుగా, ఇది ఆయుధాల శిక్షణ కోసం తేలికపాటి ఆయుధాన్ని కూడా కలిగి ఉంటుంది లేదా దగ్గరి మద్దతు పాత్రలో ఉపయోగం కోసం. ఫిన్నిష్ వైమానిక దళం L-90 ను అనుసంధాన విమానంగా మాత్రమే ఉపయోగించింది. [1] బ్రాస్సీ యొక్క ప్రపంచ విమానం మరియు సిస్టమ్స్ డైరెక్టరీ 1999/2000 నుండి డేటా [4] సాధారణ లక్షణాలు పనితీరు ఆయుధ సంబంధిత అభివృద్ధి అభివృద్ధి విమానం పోల్చదగిన పాత్ర, కాన్ఫిగరేషన్ మరియు ERA సంబంధిత జాబితాలు</v>
      </c>
      <c r="E200" s="1" t="s">
        <v>4039</v>
      </c>
      <c r="F200" s="1" t="s">
        <v>4040</v>
      </c>
      <c r="G200" s="1" t="str">
        <f>IFERROR(__xludf.DUMMYFUNCTION("GOOGLETRANSLATE(F:F, ""en"", ""te"")"),"శిక్షకుడు / అనుసంధానం")</f>
        <v>శిక్షకుడు / అనుసంధానం</v>
      </c>
      <c r="L200" s="1" t="s">
        <v>4041</v>
      </c>
      <c r="M200" s="1" t="str">
        <f>IFERROR(__xludf.DUMMYFUNCTION("GOOGLETRANSLATE(L:L, ""en"", ""te"")"),"Aermachchivalmet")</f>
        <v>Aermachchivalmet</v>
      </c>
      <c r="N200" s="3" t="s">
        <v>4042</v>
      </c>
      <c r="O200" s="1" t="s">
        <v>4043</v>
      </c>
      <c r="P200" s="1" t="str">
        <f>IFERROR(__xludf.DUMMYFUNCTION("GOOGLETRANSLATE(O:O, ""en"", ""te"")"),"వాల్మెట్")</f>
        <v>వాల్మెట్</v>
      </c>
      <c r="R200" s="6">
        <v>31090.0</v>
      </c>
      <c r="S200" s="1">
        <v>31.0</v>
      </c>
      <c r="T200" s="1" t="s">
        <v>4044</v>
      </c>
      <c r="U200" s="1" t="s">
        <v>4045</v>
      </c>
      <c r="V200" s="1">
        <v>2.0</v>
      </c>
      <c r="W200" s="1" t="s">
        <v>4046</v>
      </c>
      <c r="X200" s="1" t="s">
        <v>2665</v>
      </c>
      <c r="Y200" s="1" t="s">
        <v>4047</v>
      </c>
      <c r="Z200" s="1" t="s">
        <v>4048</v>
      </c>
      <c r="AF200" s="1" t="s">
        <v>247</v>
      </c>
      <c r="AG200" s="1" t="s">
        <v>4049</v>
      </c>
      <c r="AI200" s="1" t="s">
        <v>4050</v>
      </c>
      <c r="AJ200" s="1" t="s">
        <v>4051</v>
      </c>
      <c r="AM200" s="1" t="s">
        <v>4052</v>
      </c>
      <c r="AO200" s="6">
        <v>31113.0</v>
      </c>
      <c r="AS200" s="1" t="s">
        <v>4053</v>
      </c>
      <c r="AT200" s="1"/>
      <c r="AU200" s="1" t="s">
        <v>4054</v>
      </c>
      <c r="AV200" s="1" t="s">
        <v>4055</v>
      </c>
      <c r="AX200" s="1" t="s">
        <v>4056</v>
      </c>
      <c r="AY200" s="1" t="str">
        <f>IFERROR(__xludf.DUMMYFUNCTION("GOOGLETRANSLATE(AX:AX, ""en"", ""te"")"),"1 × అల్లిసన్ 250-బి 17 ఎఫ్ టర్బోప్రాప్, 340 కిలోవాట్ (450 హెచ్‌పి)")</f>
        <v>1 × అల్లిసన్ 250-బి 17 ఎఫ్ టర్బోప్రాప్, 340 కిలోవాట్ (450 హెచ్‌పి)</v>
      </c>
      <c r="BB200" s="1" t="s">
        <v>4057</v>
      </c>
      <c r="BC200" s="1" t="s">
        <v>4058</v>
      </c>
      <c r="BD200" s="1" t="s">
        <v>4059</v>
      </c>
      <c r="BE200" s="1" t="s">
        <v>4060</v>
      </c>
      <c r="BG200" s="2"/>
      <c r="BI200" s="1" t="s">
        <v>4061</v>
      </c>
      <c r="BJ200" s="1" t="s">
        <v>4062</v>
      </c>
      <c r="BR200" s="1" t="s">
        <v>4063</v>
      </c>
      <c r="BS200" s="1" t="s">
        <v>4064</v>
      </c>
      <c r="BT200" s="1" t="s">
        <v>4065</v>
      </c>
      <c r="BU200" s="1" t="s">
        <v>4066</v>
      </c>
      <c r="BV200" s="1" t="str">
        <f>IFERROR(__xludf.DUMMYFUNCTION("GOOGLETRANSLATE(BU:BU, ""en"", ""te"")"),"కార్యాచరణ")</f>
        <v>కార్యాచరణ</v>
      </c>
      <c r="BW200" s="1" t="s">
        <v>4067</v>
      </c>
      <c r="BX200" s="1"/>
      <c r="BY200" s="1" t="s">
        <v>4068</v>
      </c>
      <c r="FQ200" s="1" t="s">
        <v>4069</v>
      </c>
    </row>
    <row r="201">
      <c r="A201" s="1" t="s">
        <v>4070</v>
      </c>
      <c r="B201" s="1" t="str">
        <f>IFERROR(__xludf.DUMMYFUNCTION("GOOGLETRANSLATE(A:A, ""en"", ""te"")"),"2037 బాంబర్")</f>
        <v>2037 బాంబర్</v>
      </c>
      <c r="C201" s="1" t="s">
        <v>4071</v>
      </c>
      <c r="D201" s="1" t="str">
        <f>IFERROR(__xludf.DUMMYFUNCTION("GOOGLETRANSLATE(C:C, ""en"", ""te"")"),"2037 బాంబర్ యు.ఎస్. బాంబర్ విమానాల సేవా జీవితాన్ని ఆధునీకరించడానికి మరియు విస్తరించడానికి స్వల్పకాలిక 1999 అమెరికా వైమానిక దళ ప్రతిపాదనను సూచిస్తుంది మరియు 2037 వరకు ""సామర్ధ్యం"" (వ్యూహాత్మక బాంబర్ లేదా భవిష్యత్ సమాన వేదిక) ను ప్రవేశపెట్టడాన్ని వాయిదా వే"&amp;"స్తుంది. ప్రణాళికను చట్టసభ సభ్యులు మరియు పెంటగాన్ అధికారులు విమర్శించారు, వీరిలో కొందరు ప్రస్తుతం ఉన్న నౌకాదళం కాలం చెల్లిన మరియు అధికంగా మారే ప్రమాదం ఉందని నమ్ముతారు. [1] ఈ వివాదం మధ్య, కొత్త బాంబర్ కోసం వేగవంతమైన కాలక్రమం కోసం వైమానిక దళ అధికారులు 2001 "&amp;"లో ఈ ప్రణాళికను సవరించారు. దీని ప్రకారం 2018 లో బాంబర్‌ను ప్రవేశపెట్టే లక్ష్యంతో తరువాతి తరం బాంబర్ ప్రోగ్రాం ప్రారంభించబడింది, అయితే ఇది 2009 లో రద్దు చేయబడింది. ఈ కార్యక్రమం లాంగ్ రేంజ్ స్ట్రైక్ బాంబర్‌గా పున ar ప్రారంభించబడింది, దీని ఫలితంగా నార్త్రోప్"&amp;" గ్రుమ్మన్ బి -21 రైడర్, ప్రస్తుతం ఉంటుందని భావిస్తున్నారు 2026–2027లో సేవను నమోదు చేయండి. 1998 లో, ఒక కాంగ్రెస్ ప్యానెల్ బి -2 స్పిరిట్ ఉత్పత్తిని తిరిగి ప్రారంభించే యోగ్యతలను అధ్యయనం చేసింది, ఇది 21 విమానాలలో అకాలంగా ముగిసింది, మొదట ప్రణాళికాబద్ధమైన 132"&amp;" స్టీల్త్ బాంబర్లకు చాలా తక్కువ. అయినప్పటికీ ప్యానెల్ ముగింపు ఉత్పత్తిని B-2 నవీకరణల వైపు తిరిగి కేటాయించడానికి లేదా భవిష్యత్ కొత్తగా నిర్మించిన విమానాల కోసం సాంకేతిక పరిజ్ఞానాన్ని అభివృద్ధి చేయడానికి అనుకూలంగా ముగింపు ఉత్పత్తిని ఆమోదించింది. [2] కొద్ది బ"&amp;"ి -52 స్ట్రాటోఫోర్ట్రెస్, బి -1 లాన్సర్లు మరియు బి -2 లు అట్రిషన్ కారణంగా కోల్పోతాయని భావిస్తున్న కాలపరిమితి. [2] [3] కాగితం ప్రకారం, 1992 తో పోల్చితే ""బాంబర్ ప్రాణాంతకతలో పదిరెట్లు పెరుగుదల"" అందించే సేవా పొడిగింపులు మరియు సాంకేతిక మెరుగుదలల ద్వారా వైమా"&amp;"నిక దళం యొక్క సమీప-కాల వ్యూహాత్మక బాంబు దాడులను తీర్చవచ్చు. [2] ఆ రోడ్‌మ్యాప్ ప్రకారం, మిషన్ ఏరియా అసెస్‌మెంట్ 2013 నాటికి 2013 నాటికి పూర్తి చేయాల్సి ఉంటుంది. [4] శ్వేతపత్రం ""సామర్ధ్యం"" ను బాంబర్ లేదా ఏదైనా నిర్దిష్ట విమానాలుగా గుర్తించలేదు, ఎందుకంటే, "&amp;"నివేదిక ప్రకారం, ""సాంకేతిక పురోగతులు మమ్మల్ని కాన్ఫిగరేషన్ లేదా ప్లాట్‌ఫామ్‌కు దారి తీస్తాయి, అది నేటి బాంబర్ విమానాలను ఏ విధంగానూ పోలి ఉండదు."" [5 ] 2035 కి ముందు కొత్త విమానం అవసరమని నమ్ముతున్న కాంగ్రెస్‌లోని కొంతమంది సభ్యులను బాంబర్ విమానాల పరిమాణం మర"&amp;"ియు వయస్సుతో వైమానిక దళం యొక్క సంతృప్తి విభాగం నిరాశపరిచింది. [2] తొందరపడిన కాలక్రమం కోసం కేసు బలపడింది, కొంతమంది పరిశీలకులు DOD యొక్క 2001 క్వాడ్రెనియల్ డిఫెన్స్ రివ్యూ ద్వారా నమ్ముతారు, ఇది యు.ఎస్. పవర్ ప్రొజెక్షన్‌కు పెరుగుతున్న బెదిరింపులను హెచ్చరించి"&amp;"ంది. [6] విరోధి వాయు రక్షణలో పరిణామాలు భవిష్యత్ విభేదాలలో యు.ఎస్. వాయు శక్తిని బెదిరిస్తాయని, మరియు శత్రువు తిరస్కరించబడిన ప్రాంతాలకు ప్రాప్యత స్టీల్త్ విమానాలకు పరిమితం అవుతుందని నివేదిక పేర్కొంది. [7] నవంబర్ 2001 లో తన సేవా జీవిత అంచనాలను నవీకరించినప్పు"&amp;"డు కొత్త బాంబర్ ఇంతకు ముందు అవసరమని వైమానిక దళం అంగీకరించింది. కొత్త కాగితం అణు నిరోధకత నుండి సాంప్రదాయిక బాంబు దాడులకు వ్యూహాత్మక మార్పు కారణంగా సామర్ధ్యం అంతరాన్ని ated హించింది మరియు B-52 యొక్క తక్కువ నష్టం -లెవల్ ఫ్లయింగ్ మిషన్ సామర్ధ్యం. 2012–2015లో "&amp;"వైమానిక దళం తన సముపార్జన కార్యక్రమాన్ని ప్రారంభించాల్సిన అవసరం ఉందని పేపర్ తెలిపింది. [8] కాగితం యొక్క సిఫార్సులను అండర్ డిఫెన్స్ ఫర్ అక్విజిషన్ అండ్ సస్టైన్మెంట్ ఎడ్వర్డ్ సి. ఆల్డ్రిడ్జ్ జూనియర్ కోసం అండర్ డిఫెన్స్ సెక్రటరీ వైమానిక దళ విధానంగా స్వీకరించా"&amp;"రు. [9] రక్షణ శాఖ తరువాత బాంబర్ పరిచయ తేదీ కోసం వాదించడం కొనసాగించింది. డిసెంబర్ 2001 లో పంపిణీ చేసిన అణు భంగిమ సమీక్షలో, 2040 లలో వైమానిక దళం తన తదుపరి బాంబర్‌ను ప్రవేశపెట్టాలని లక్ష్యంగా పెట్టుకున్నట్లు DOD పేర్కొంది. [10] 2006 క్వాడ్రెనియల్ డిఫెన్స్ రి"&amp;"వ్యూ వరకు DOD ఈ ప్రాజెక్టును దాదాపు రెండు దశాబ్దాలు ముందుకు తీసుకురావాలనే ఉద్దేశ్యాన్ని లాంఛనప్రాయంగా చేయలేదు. [11] [12] వైమానిక దళం తరువాత తరువాతి తరం బాంబర్ కార్యక్రమాన్ని ప్రారంభించింది, కాని ఇది 2009 లో నిలిపివేయబడింది. లాంగ్ రేంజ్ స్ట్రైక్ బాంబర్ ప్ర"&amp;"ోగ్రామ్ (ఎల్ఆర్ఎస్బి) కింద పని తిరిగి ప్రారంభమైంది, దీని ఫలితంగా బి -21 రైడర్ వచ్చింది. [13] [10] 2037 బాంబర్ మరియు సుదూర సమ్మె యొక్క భవిష్యత్తు గురించి వైమానిక దళంలో చర్చలు కొనసాగుతాయి. ఎల్‌ఆర్‌ఎస్‌బికి ఫాలో-ఆన్ బాంబర్‌లో వైమానిక దళం యొక్క ఆసక్తి లేదా దా"&amp;"ని లేకపోవడం బహిరంగంగా వెల్లడించబడలేదు. 2007 లో, రక్షణ పరిశ్రమ విశ్లేషకుడు రెబెకా గ్రాంట్ బాంబర్‌ను ""పౌరాణిక మృగం"" అని పిలిచాడు మరియు దానిపై వైమానిక దళం యొక్క నిరంతర స్థిరీకరణను విలపించారు. [14] [15]")</f>
        <v>2037 బాంబర్ యు.ఎస్. బాంబర్ విమానాల సేవా జీవితాన్ని ఆధునీకరించడానికి మరియు విస్తరించడానికి స్వల్పకాలిక 1999 అమెరికా వైమానిక దళ ప్రతిపాదనను సూచిస్తుంది మరియు 2037 వరకు "సామర్ధ్యం" (వ్యూహాత్మక బాంబర్ లేదా భవిష్యత్ సమాన వేదిక) ను ప్రవేశపెట్టడాన్ని వాయిదా వేస్తుంది. ప్రణాళికను చట్టసభ సభ్యులు మరియు పెంటగాన్ అధికారులు విమర్శించారు, వీరిలో కొందరు ప్రస్తుతం ఉన్న నౌకాదళం కాలం చెల్లిన మరియు అధికంగా మారే ప్రమాదం ఉందని నమ్ముతారు. [1] ఈ వివాదం మధ్య, కొత్త బాంబర్ కోసం వేగవంతమైన కాలక్రమం కోసం వైమానిక దళ అధికారులు 2001 లో ఈ ప్రణాళికను సవరించారు. దీని ప్రకారం 2018 లో బాంబర్‌ను ప్రవేశపెట్టే లక్ష్యంతో తరువాతి తరం బాంబర్ ప్రోగ్రాం ప్రారంభించబడింది, అయితే ఇది 2009 లో రద్దు చేయబడింది. ఈ కార్యక్రమం లాంగ్ రేంజ్ స్ట్రైక్ బాంబర్‌గా పున ar ప్రారంభించబడింది, దీని ఫలితంగా నార్త్రోప్ గ్రుమ్మన్ బి -21 రైడర్, ప్రస్తుతం ఉంటుందని భావిస్తున్నారు 2026–2027లో సేవను నమోదు చేయండి. 1998 లో, ఒక కాంగ్రెస్ ప్యానెల్ బి -2 స్పిరిట్ ఉత్పత్తిని తిరిగి ప్రారంభించే యోగ్యతలను అధ్యయనం చేసింది, ఇది 21 విమానాలలో అకాలంగా ముగిసింది, మొదట ప్రణాళికాబద్ధమైన 132 స్టీల్త్ బాంబర్లకు చాలా తక్కువ. అయినప్పటికీ ప్యానెల్ ముగింపు ఉత్పత్తిని B-2 నవీకరణల వైపు తిరిగి కేటాయించడానికి లేదా భవిష్యత్ కొత్తగా నిర్మించిన విమానాల కోసం సాంకేతిక పరిజ్ఞానాన్ని అభివృద్ధి చేయడానికి అనుకూలంగా ముగింపు ఉత్పత్తిని ఆమోదించింది. [2] కొద్ది బి -52 స్ట్రాటోఫోర్ట్రెస్, బి -1 లాన్సర్లు మరియు బి -2 లు అట్రిషన్ కారణంగా కోల్పోతాయని భావిస్తున్న కాలపరిమితి. [2] [3] కాగితం ప్రకారం, 1992 తో పోల్చితే "బాంబర్ ప్రాణాంతకతలో పదిరెట్లు పెరుగుదల" అందించే సేవా పొడిగింపులు మరియు సాంకేతిక మెరుగుదలల ద్వారా వైమానిక దళం యొక్క సమీప-కాల వ్యూహాత్మక బాంబు దాడులను తీర్చవచ్చు. [2] ఆ రోడ్‌మ్యాప్ ప్రకారం, మిషన్ ఏరియా అసెస్‌మెంట్ 2013 నాటికి 2013 నాటికి పూర్తి చేయాల్సి ఉంటుంది. [4] శ్వేతపత్రం "సామర్ధ్యం" ను బాంబర్ లేదా ఏదైనా నిర్దిష్ట విమానాలుగా గుర్తించలేదు, ఎందుకంటే, నివేదిక ప్రకారం, "సాంకేతిక పురోగతులు మమ్మల్ని కాన్ఫిగరేషన్ లేదా ప్లాట్‌ఫామ్‌కు దారి తీస్తాయి, అది నేటి బాంబర్ విమానాలను ఏ విధంగానూ పోలి ఉండదు." [5 ] 2035 కి ముందు కొత్త విమానం అవసరమని నమ్ముతున్న కాంగ్రెస్‌లోని కొంతమంది సభ్యులను బాంబర్ విమానాల పరిమాణం మరియు వయస్సుతో వైమానిక దళం యొక్క సంతృప్తి విభాగం నిరాశపరిచింది. [2] తొందరపడిన కాలక్రమం కోసం కేసు బలపడింది, కొంతమంది పరిశీలకులు DOD యొక్క 2001 క్వాడ్రెనియల్ డిఫెన్స్ రివ్యూ ద్వారా నమ్ముతారు, ఇది యు.ఎస్. పవర్ ప్రొజెక్షన్‌కు పెరుగుతున్న బెదిరింపులను హెచ్చరించింది. [6] విరోధి వాయు రక్షణలో పరిణామాలు భవిష్యత్ విభేదాలలో యు.ఎస్. వాయు శక్తిని బెదిరిస్తాయని, మరియు శత్రువు తిరస్కరించబడిన ప్రాంతాలకు ప్రాప్యత స్టీల్త్ విమానాలకు పరిమితం అవుతుందని నివేదిక పేర్కొంది. [7] నవంబర్ 2001 లో తన సేవా జీవిత అంచనాలను నవీకరించినప్పుడు కొత్త బాంబర్ ఇంతకు ముందు అవసరమని వైమానిక దళం అంగీకరించింది. కొత్త కాగితం అణు నిరోధకత నుండి సాంప్రదాయిక బాంబు దాడులకు వ్యూహాత్మక మార్పు కారణంగా సామర్ధ్యం అంతరాన్ని ated హించింది మరియు B-52 యొక్క తక్కువ నష్టం -లెవల్ ఫ్లయింగ్ మిషన్ సామర్ధ్యం. 2012–2015లో వైమానిక దళం తన సముపార్జన కార్యక్రమాన్ని ప్రారంభించాల్సిన అవసరం ఉందని పేపర్ తెలిపింది. [8] కాగితం యొక్క సిఫార్సులను అండర్ డిఫెన్స్ ఫర్ అక్విజిషన్ అండ్ సస్టైన్మెంట్ ఎడ్వర్డ్ సి. ఆల్డ్రిడ్జ్ జూనియర్ కోసం అండర్ డిఫెన్స్ సెక్రటరీ వైమానిక దళ విధానంగా స్వీకరించారు. [9] రక్షణ శాఖ తరువాత బాంబర్ పరిచయ తేదీ కోసం వాదించడం కొనసాగించింది. డిసెంబర్ 2001 లో పంపిణీ చేసిన అణు భంగిమ సమీక్షలో, 2040 లలో వైమానిక దళం తన తదుపరి బాంబర్‌ను ప్రవేశపెట్టాలని లక్ష్యంగా పెట్టుకున్నట్లు DOD పేర్కొంది. [10] 2006 క్వాడ్రెనియల్ డిఫెన్స్ రివ్యూ వరకు DOD ఈ ప్రాజెక్టును దాదాపు రెండు దశాబ్దాలు ముందుకు తీసుకురావాలనే ఉద్దేశ్యాన్ని లాంఛనప్రాయంగా చేయలేదు. [11] [12] వైమానిక దళం తరువాత తరువాతి తరం బాంబర్ కార్యక్రమాన్ని ప్రారంభించింది, కాని ఇది 2009 లో నిలిపివేయబడింది. లాంగ్ రేంజ్ స్ట్రైక్ బాంబర్ ప్రోగ్రామ్ (ఎల్ఆర్ఎస్బి) కింద పని తిరిగి ప్రారంభమైంది, దీని ఫలితంగా బి -21 రైడర్ వచ్చింది. [13] [10] 2037 బాంబర్ మరియు సుదూర సమ్మె యొక్క భవిష్యత్తు గురించి వైమానిక దళంలో చర్చలు కొనసాగుతాయి. ఎల్‌ఆర్‌ఎస్‌బికి ఫాలో-ఆన్ బాంబర్‌లో వైమానిక దళం యొక్క ఆసక్తి లేదా దాని లేకపోవడం బహిరంగంగా వెల్లడించబడలేదు. 2007 లో, రక్షణ పరిశ్రమ విశ్లేషకుడు రెబెకా గ్రాంట్ బాంబర్‌ను "పౌరాణిక మృగం" అని పిలిచాడు మరియు దానిపై వైమానిక దళం యొక్క నిరంతర స్థిరీకరణను విలపించారు. [14] [15]</v>
      </c>
      <c r="BG201" s="2"/>
      <c r="GL201" s="1" t="s">
        <v>487</v>
      </c>
      <c r="GM201" s="1" t="s">
        <v>488</v>
      </c>
      <c r="GN201" s="1" t="s">
        <v>4072</v>
      </c>
      <c r="GO201" s="1" t="s">
        <v>4073</v>
      </c>
    </row>
    <row r="202">
      <c r="BG202" s="2"/>
    </row>
    <row r="203">
      <c r="BG203" s="2"/>
    </row>
  </sheetData>
  <conditionalFormatting sqref="D1:D203 G1:G203">
    <cfRule type="notContainsBlanks" dxfId="0" priority="1">
      <formula>LEN(TRIM(D1))&gt;0</formula>
    </cfRule>
  </conditionalFormatting>
  <hyperlinks>
    <hyperlink r:id="rId1" ref="H2"/>
    <hyperlink r:id="rId2" ref="K2"/>
    <hyperlink r:id="rId3" ref="H3"/>
    <hyperlink r:id="rId4" ref="AN3"/>
    <hyperlink r:id="rId5" ref="AP3"/>
    <hyperlink r:id="rId6" ref="AR3"/>
    <hyperlink r:id="rId7" ref="N8"/>
    <hyperlink r:id="rId8" ref="AP8"/>
    <hyperlink r:id="rId9" ref="N11"/>
    <hyperlink r:id="rId10" ref="K12"/>
    <hyperlink r:id="rId11" ref="K13"/>
    <hyperlink r:id="rId12" ref="N15"/>
    <hyperlink r:id="rId13" ref="N17"/>
    <hyperlink r:id="rId14" ref="N18"/>
    <hyperlink r:id="rId15" ref="BH18"/>
    <hyperlink r:id="rId16" ref="N19"/>
    <hyperlink r:id="rId17" ref="N20"/>
    <hyperlink r:id="rId18" ref="K22"/>
    <hyperlink r:id="rId19" ref="N24"/>
    <hyperlink r:id="rId20" ref="H28"/>
    <hyperlink r:id="rId21" ref="AP31"/>
    <hyperlink r:id="rId22" ref="AR31"/>
    <hyperlink r:id="rId23" ref="AN32"/>
    <hyperlink r:id="rId24" ref="AP32"/>
    <hyperlink r:id="rId25" ref="K33"/>
    <hyperlink r:id="rId26" ref="N33"/>
    <hyperlink r:id="rId27" ref="AU34"/>
    <hyperlink r:id="rId28" ref="K35"/>
    <hyperlink r:id="rId29" ref="N35"/>
    <hyperlink r:id="rId30" ref="N36"/>
    <hyperlink r:id="rId31" ref="K38"/>
    <hyperlink r:id="rId32" ref="K43"/>
    <hyperlink r:id="rId33" ref="N44"/>
    <hyperlink r:id="rId34" ref="N48"/>
    <hyperlink r:id="rId35" ref="N49"/>
    <hyperlink r:id="rId36" ref="N51"/>
    <hyperlink r:id="rId37" ref="AP52"/>
    <hyperlink r:id="rId38" ref="BH53"/>
    <hyperlink r:id="rId39" ref="AP54"/>
    <hyperlink r:id="rId40" ref="N55"/>
    <hyperlink r:id="rId41" ref="K56"/>
    <hyperlink r:id="rId42" ref="N56"/>
    <hyperlink r:id="rId43" ref="N58"/>
    <hyperlink r:id="rId44" ref="H59"/>
    <hyperlink r:id="rId45" ref="N59"/>
    <hyperlink r:id="rId46" ref="AP59"/>
    <hyperlink r:id="rId47" ref="H64"/>
    <hyperlink r:id="rId48" ref="K66"/>
    <hyperlink r:id="rId49" ref="H67"/>
    <hyperlink r:id="rId50" ref="N68"/>
    <hyperlink r:id="rId51" ref="AN68"/>
    <hyperlink r:id="rId52" ref="N69"/>
    <hyperlink r:id="rId53" ref="K71"/>
    <hyperlink r:id="rId54" ref="N74"/>
    <hyperlink r:id="rId55" ref="K78"/>
    <hyperlink r:id="rId56" ref="N81"/>
    <hyperlink r:id="rId57" ref="AP82"/>
    <hyperlink r:id="rId58" ref="K85"/>
    <hyperlink r:id="rId59" ref="K87"/>
    <hyperlink r:id="rId60" ref="N87"/>
    <hyperlink r:id="rId61" ref="N88"/>
    <hyperlink r:id="rId62" ref="N89"/>
    <hyperlink r:id="rId63" ref="K93"/>
    <hyperlink r:id="rId64" ref="H94"/>
    <hyperlink r:id="rId65" ref="N94"/>
    <hyperlink r:id="rId66" ref="BH94"/>
    <hyperlink r:id="rId67" ref="N98"/>
    <hyperlink r:id="rId68" ref="H99"/>
    <hyperlink r:id="rId69" ref="N99"/>
    <hyperlink r:id="rId70" ref="N100"/>
    <hyperlink r:id="rId71" ref="N102"/>
    <hyperlink r:id="rId72" ref="N103"/>
    <hyperlink r:id="rId73" ref="N104"/>
    <hyperlink r:id="rId74" ref="AR105"/>
    <hyperlink r:id="rId75" ref="K109"/>
    <hyperlink r:id="rId76" ref="N110"/>
    <hyperlink r:id="rId77" ref="N111"/>
    <hyperlink r:id="rId78" ref="H112"/>
    <hyperlink r:id="rId79" ref="AN115"/>
    <hyperlink r:id="rId80" ref="N117"/>
    <hyperlink r:id="rId81" ref="BH117"/>
    <hyperlink r:id="rId82" ref="N118"/>
    <hyperlink r:id="rId83" ref="K119"/>
    <hyperlink r:id="rId84" ref="H120"/>
    <hyperlink r:id="rId85" ref="N121"/>
    <hyperlink r:id="rId86" ref="N122"/>
    <hyperlink r:id="rId87" ref="K123"/>
    <hyperlink r:id="rId88" ref="N123"/>
    <hyperlink r:id="rId89" ref="N125"/>
    <hyperlink r:id="rId90" ref="AN126"/>
    <hyperlink r:id="rId91" ref="AP126"/>
    <hyperlink r:id="rId92" ref="N128"/>
    <hyperlink r:id="rId93" ref="K129"/>
    <hyperlink r:id="rId94" ref="N129"/>
    <hyperlink r:id="rId95" ref="K130"/>
    <hyperlink r:id="rId96" ref="AN131"/>
    <hyperlink r:id="rId97" ref="N132"/>
    <hyperlink r:id="rId98" ref="K133"/>
    <hyperlink r:id="rId99" ref="N135"/>
    <hyperlink r:id="rId100" ref="AR137"/>
    <hyperlink r:id="rId101" ref="BH137"/>
    <hyperlink r:id="rId102" ref="DH137"/>
    <hyperlink r:id="rId103" ref="BH140"/>
    <hyperlink r:id="rId104" ref="N146"/>
    <hyperlink r:id="rId105" ref="N148"/>
    <hyperlink r:id="rId106" ref="FI149"/>
    <hyperlink r:id="rId107" ref="FP149"/>
    <hyperlink r:id="rId108" ref="K150"/>
    <hyperlink r:id="rId109" ref="N150"/>
    <hyperlink r:id="rId110" ref="N151"/>
    <hyperlink r:id="rId111" ref="N152"/>
    <hyperlink r:id="rId112" ref="Q152"/>
    <hyperlink r:id="rId113" ref="N155"/>
    <hyperlink r:id="rId114" ref="N156"/>
    <hyperlink r:id="rId115" ref="N158"/>
    <hyperlink r:id="rId116" ref="BH158"/>
    <hyperlink r:id="rId117" ref="N159"/>
    <hyperlink r:id="rId118" ref="N161"/>
    <hyperlink r:id="rId119" ref="Q161"/>
    <hyperlink r:id="rId120" ref="H163"/>
    <hyperlink r:id="rId121" ref="N164"/>
    <hyperlink r:id="rId122" ref="N165"/>
    <hyperlink r:id="rId123" ref="AN165"/>
    <hyperlink r:id="rId124" ref="AP165"/>
    <hyperlink r:id="rId125" ref="AR165"/>
    <hyperlink r:id="rId126" ref="N171"/>
    <hyperlink r:id="rId127" ref="AN171"/>
    <hyperlink r:id="rId128" ref="AR171"/>
    <hyperlink r:id="rId129" ref="AN173"/>
    <hyperlink r:id="rId130" ref="AP173"/>
    <hyperlink r:id="rId131" ref="K174"/>
    <hyperlink r:id="rId132" ref="N174"/>
    <hyperlink r:id="rId133" ref="K176"/>
    <hyperlink r:id="rId134" ref="K177"/>
    <hyperlink r:id="rId135" ref="N181"/>
    <hyperlink r:id="rId136" ref="AN181"/>
    <hyperlink r:id="rId137" ref="N186"/>
    <hyperlink r:id="rId138" ref="AN186"/>
    <hyperlink r:id="rId139" ref="K188"/>
    <hyperlink r:id="rId140" ref="N188"/>
    <hyperlink r:id="rId141" ref="H189"/>
    <hyperlink r:id="rId142" ref="AP191"/>
    <hyperlink r:id="rId143" ref="N193"/>
    <hyperlink r:id="rId144" ref="K194"/>
    <hyperlink r:id="rId145" ref="BH196"/>
    <hyperlink r:id="rId146" ref="K197"/>
    <hyperlink r:id="rId147" ref="N200"/>
  </hyperlinks>
  <drawing r:id="rId148"/>
</worksheet>
</file>