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1000" sheetId="1" r:id="rId4"/>
  </sheets>
  <definedNames/>
  <calcPr/>
</workbook>
</file>

<file path=xl/sharedStrings.xml><?xml version="1.0" encoding="utf-8"?>
<sst xmlns="http://schemas.openxmlformats.org/spreadsheetml/2006/main" count="4449" uniqueCount="3386">
  <si>
    <t>name</t>
  </si>
  <si>
    <t>Description</t>
  </si>
  <si>
    <t>img</t>
  </si>
  <si>
    <t>Role</t>
  </si>
  <si>
    <t>Rolelink</t>
  </si>
  <si>
    <t>Manufacturer</t>
  </si>
  <si>
    <t>Manufacturerlink</t>
  </si>
  <si>
    <t>Designer</t>
  </si>
  <si>
    <t>Designerlink</t>
  </si>
  <si>
    <t>Number built</t>
  </si>
  <si>
    <t>Developed from</t>
  </si>
  <si>
    <t>Developed fromlink</t>
  </si>
  <si>
    <t>Crew</t>
  </si>
  <si>
    <t>Capacity</t>
  </si>
  <si>
    <t>Length</t>
  </si>
  <si>
    <t>Wingspan</t>
  </si>
  <si>
    <t>Wing area</t>
  </si>
  <si>
    <t>Empty weight</t>
  </si>
  <si>
    <t>Gross weight</t>
  </si>
  <si>
    <t>Max takeoff weight</t>
  </si>
  <si>
    <t>Powerplant</t>
  </si>
  <si>
    <t>Cruise speed</t>
  </si>
  <si>
    <t>Stall speed</t>
  </si>
  <si>
    <t>Range</t>
  </si>
  <si>
    <t>Rate of climb</t>
  </si>
  <si>
    <t>Power/mass</t>
  </si>
  <si>
    <t>National origin</t>
  </si>
  <si>
    <t>National originlink</t>
  </si>
  <si>
    <t>Variants</t>
  </si>
  <si>
    <t>Height</t>
  </si>
  <si>
    <t>Airfoil</t>
  </si>
  <si>
    <t>Fuel capacity</t>
  </si>
  <si>
    <t>Maximum speed</t>
  </si>
  <si>
    <t>Never exceed speed</t>
  </si>
  <si>
    <t>Service ceiling</t>
  </si>
  <si>
    <t>First flight</t>
  </si>
  <si>
    <t>Primary user</t>
  </si>
  <si>
    <t>Primary userlink</t>
  </si>
  <si>
    <t>Propellers</t>
  </si>
  <si>
    <t>Status</t>
  </si>
  <si>
    <t>g limits</t>
  </si>
  <si>
    <t>Wing loading</t>
  </si>
  <si>
    <t>Endurance</t>
  </si>
  <si>
    <t>Maximum glide ratio</t>
  </si>
  <si>
    <t>Introduction</t>
  </si>
  <si>
    <t>Developed into</t>
  </si>
  <si>
    <t>Developed intolink</t>
  </si>
  <si>
    <t>Upper wingspan</t>
  </si>
  <si>
    <t>Lower wingspan</t>
  </si>
  <si>
    <t>Time to altitude</t>
  </si>
  <si>
    <t>Variantslink</t>
  </si>
  <si>
    <t>Aspect ratio</t>
  </si>
  <si>
    <t>Aerotow speed</t>
  </si>
  <si>
    <t>Winch launch speed</t>
  </si>
  <si>
    <t>Rate of sink</t>
  </si>
  <si>
    <t>First flightlink</t>
  </si>
  <si>
    <t>Produced</t>
  </si>
  <si>
    <t>Max aero-tow speed</t>
  </si>
  <si>
    <t>Max winch-launch speed</t>
  </si>
  <si>
    <t>Best glide speed</t>
  </si>
  <si>
    <t>Retired</t>
  </si>
  <si>
    <t>Primary users</t>
  </si>
  <si>
    <t>Primary userslink</t>
  </si>
  <si>
    <t>Main rotor diameter</t>
  </si>
  <si>
    <t>Main rotor area</t>
  </si>
  <si>
    <t>Guns</t>
  </si>
  <si>
    <t>Introductionlink</t>
  </si>
  <si>
    <t>Ferry range</t>
  </si>
  <si>
    <t>Roll rate</t>
  </si>
  <si>
    <t>Serial</t>
  </si>
  <si>
    <t>In service</t>
  </si>
  <si>
    <t>Width</t>
  </si>
  <si>
    <t>Takeoff distance to 50 ft (15 m)</t>
  </si>
  <si>
    <t>Landing distance from 50 ft (15 m)</t>
  </si>
  <si>
    <t>Retiredlink</t>
  </si>
  <si>
    <t>Rotor systems</t>
  </si>
  <si>
    <t>Hardpoints</t>
  </si>
  <si>
    <t>Missiles</t>
  </si>
  <si>
    <t>Torpedoes</t>
  </si>
  <si>
    <t>Take-off run</t>
  </si>
  <si>
    <t>Landing speed</t>
  </si>
  <si>
    <t>Useful load</t>
  </si>
  <si>
    <t>Take-off distance</t>
  </si>
  <si>
    <t>Landing distance</t>
  </si>
  <si>
    <t>Mid wingspan</t>
  </si>
  <si>
    <t>Bombs</t>
  </si>
  <si>
    <t>Model 145B</t>
  </si>
  <si>
    <t>Combat range</t>
  </si>
  <si>
    <t>Propeller pitch</t>
  </si>
  <si>
    <t>Propeller speed</t>
  </si>
  <si>
    <t>Take-off run to 20 m (66 ft)</t>
  </si>
  <si>
    <t>Landing run from 20 m (66 ft)</t>
  </si>
  <si>
    <t>Lift-to-drag</t>
  </si>
  <si>
    <t>Minimum control speed</t>
  </si>
  <si>
    <t>Type</t>
  </si>
  <si>
    <t>Typelink</t>
  </si>
  <si>
    <t>Registration</t>
  </si>
  <si>
    <t>Owners and operators</t>
  </si>
  <si>
    <t>Fate</t>
  </si>
  <si>
    <t>Blade section</t>
  </si>
  <si>
    <t>Construction number</t>
  </si>
  <si>
    <t>Radio code</t>
  </si>
  <si>
    <t>Radio codelink</t>
  </si>
  <si>
    <t>Owners and operatorslink</t>
  </si>
  <si>
    <t>Preserved at</t>
  </si>
  <si>
    <t>Preserved atlink</t>
  </si>
  <si>
    <t>Diameter</t>
  </si>
  <si>
    <t>Volume</t>
  </si>
  <si>
    <t>Useful lift</t>
  </si>
  <si>
    <t>Ballonets</t>
  </si>
  <si>
    <t>Manufactured</t>
  </si>
  <si>
    <t>Total hours</t>
  </si>
  <si>
    <t>Flights</t>
  </si>
  <si>
    <t>Total distance</t>
  </si>
  <si>
    <t>Fatelink</t>
  </si>
  <si>
    <t>Landing run</t>
  </si>
  <si>
    <t>Source</t>
  </si>
  <si>
    <t>Zenith STOL CH 801</t>
  </si>
  <si>
    <t>The Zenith STOL CH 801 is a four-seat sport STOL aircraft developed by Chris Heintz and available in kit form from the Zenith Aircraft Company.[1][2][3][4] The CH 801 is based on the general design and features of the smaller two-place STOL CH 701 model. It offers a useful load of 1,000 lb (450 kg), which is double the 701's 500 lb (230 kg). While both aircraft look alike they do not share any common parts.[2][4] The STOL CH 801 is made from sheet aluminium and employs a deep wing chord, full-length leading edge slots and trailing edge flaperons to develop high lift at low speed, while maintaining a short wing-span for maximum strength and ground maneuverability.[2][4] By the end of 2011 160 CH 801s had been completed and were flying.[1] Data from Source: Kitplanes magazine[3]General characteristics Performance</t>
  </si>
  <si>
    <t>//upload.wikimedia.org/wikipedia/commons/thumb/d/da/Zenair_STOL_CH-801_AN1465207.jpg/300px-Zenair_STOL_CH-801_AN1465207.jpg</t>
  </si>
  <si>
    <t>STOL aircraft</t>
  </si>
  <si>
    <t>https://en.wikipedia.org/STOL aircraft</t>
  </si>
  <si>
    <t>Zenith Aircraft Company</t>
  </si>
  <si>
    <t>https://en.wikipedia.org/Zenith Aircraft Company</t>
  </si>
  <si>
    <t>Chris Heintz</t>
  </si>
  <si>
    <t>https://en.wikipedia.org/Chris Heintz</t>
  </si>
  <si>
    <t>160 (December 2011)[1]</t>
  </si>
  <si>
    <t>Zenith STOL CH701</t>
  </si>
  <si>
    <t>https://en.wikipedia.org/Zenith STOL CH701</t>
  </si>
  <si>
    <t>one pilot</t>
  </si>
  <si>
    <t>three passengers and 1050 lb (475 kg) useful load</t>
  </si>
  <si>
    <t>24 ft 6 in (7.47 m)</t>
  </si>
  <si>
    <t>27 ft 0 in (8.23 m)</t>
  </si>
  <si>
    <t>167 sq ft (15.5 m2)</t>
  </si>
  <si>
    <t>1,150 lb (523 kg)</t>
  </si>
  <si>
    <t>2,200 lb (998 kg)</t>
  </si>
  <si>
    <t>1 × Lycoming O-360 , 180 hp (135 kW)</t>
  </si>
  <si>
    <t>105 mph (170 km/h, 91 kn)</t>
  </si>
  <si>
    <t>39 mph (63 km/h, 34 kn)</t>
  </si>
  <si>
    <t>370 mi (600 km, 320 nmi)</t>
  </si>
  <si>
    <t>1,200 ft/min (6.2 m/s)</t>
  </si>
  <si>
    <t>12.2 lb/hp (0.13 kW/kg)</t>
  </si>
  <si>
    <t>Zlin Savage</t>
  </si>
  <si>
    <t>The Zlin Savage is a series of light sport aircraft similar in construction to the Piper Cub.[1][2][3] The Zlin Savage series are strut-braced, high-wing aircraft with conventional landing gear. The fuselage is constructed with welded steel tubing. The wings are constructed with aluminum spars and wing ribs with aircraft fabric covering. Fuel is stored in two wing root tanks. The control surfaces use aluminum skins.[1][2][3] The design is an accepted Federal Aviation Administration special light-sport aircraft under the marketing names of Savage, Classic, Cruiser, Cub, iCub, Cub S, Bobber, Nomad and Outback.[4] Data from manufacturerGeneral characteristics Performance</t>
  </si>
  <si>
    <t>//upload.wikimedia.org/wikipedia/commons/thumb/9/9a/ZlinSavageiCub.jpg/300px-ZlinSavageiCub.jpg</t>
  </si>
  <si>
    <t>light sport aircraft</t>
  </si>
  <si>
    <t>Zlin Aviation</t>
  </si>
  <si>
    <t>https://en.wikipedia.org/Zlin Aviation</t>
  </si>
  <si>
    <t>6.39 m (21 ft 0 in)</t>
  </si>
  <si>
    <t>9.31 m (30 ft 7 in)</t>
  </si>
  <si>
    <t>14.2 m2 (153 sq ft)</t>
  </si>
  <si>
    <t>288 kg (635 lb)</t>
  </si>
  <si>
    <t>560 kg (1,235 lb)</t>
  </si>
  <si>
    <t>1 × Rotax 912UL Four cylinder horizontally opposed piston, 60 kW (80 hp)</t>
  </si>
  <si>
    <t>170 km/h (110 mph, 92 kn)</t>
  </si>
  <si>
    <t>62 km/h (39 mph, 33 kn)</t>
  </si>
  <si>
    <t>720 km (450 mi, 390 nmi)</t>
  </si>
  <si>
    <t>4.8 m/s (940 ft/min)</t>
  </si>
  <si>
    <t>Czech Republic</t>
  </si>
  <si>
    <t>https://en.wikipedia.org/Czech Republic</t>
  </si>
  <si>
    <t>{'Savage Cub': 'in Savage modified with Piper Super Cub appearance and features, with optional tundra tires.[2]'}</t>
  </si>
  <si>
    <t>2.03 m (6 ft 8 in)</t>
  </si>
  <si>
    <t>Modified NACA 4412</t>
  </si>
  <si>
    <t>64 litres (14 imp gal; 17 US gal)</t>
  </si>
  <si>
    <t>188 km/h (117 mph, 102 kn)</t>
  </si>
  <si>
    <t>205 km/h (127 mph, 111 kn)</t>
  </si>
  <si>
    <t>4,400 m (14,400 ft)</t>
  </si>
  <si>
    <t>Hydra Technologies Gavilán</t>
  </si>
  <si>
    <t>The E1 Gavilán is an unmanned electrical-surveillance airplane of design and manufacturing by the Mexican firm Hydra Technologies of Mexico. The aircraft is a remotely controlled unmanned aerial vehicle.[1] The Gavilán was presented on June 10 of 2008 in San Diego, California by 'Hydra Technologies of Mexico' in AUVSI (Association for Unmanned Vehicle Systems International) North America 2008, the biggest global expo of this particular industry in the world. Just a month after its introduction in the America, E1 Gavilán was also presented at the Farnborough Airshow, July 14. Gavilán is the Spanish word for Sparrowhawk. The Gavilán is an unmanned aerial system for surveillance that assures multiple uses and functionalities without risking human lives. This airplane offers capabilities that require more speed and less space that the established by its brother-system: the S4 Ehécatl. The aircraft’s most important innovation is its lack of dependency on runways to execute its take-off, exchanging this necessity for a hand-made departure, making ground maneuvering easier on uneven terrain. The aircraft has a 90-minutes flight autonomy, it can fly by day or night and its controlled by a single user by means of a portable GCS. Like the S4, this system is the result of a joint effort between the Mexican Federal Government, Nafinsa and academic or scientific institutions such as CONACYT, Instituto Politécnico Nacional, Universidad Autónoma de Guadalajara and ITESO. El E1 Gavilán in flight El E1 Gavilán in flight</t>
  </si>
  <si>
    <t>//upload.wikimedia.org/wikipedia/commons/thumb/7/74/Gavilan1.jpg/300px-Gavilan1.jpg</t>
  </si>
  <si>
    <t>Unmanned aerial vehicle</t>
  </si>
  <si>
    <t>https://en.wikipedia.org/Unmanned aerial vehicle</t>
  </si>
  <si>
    <t>Hydra Technologies of Mexico</t>
  </si>
  <si>
    <t>https://en.wikipedia.org/Hydra Technologies of Mexico</t>
  </si>
  <si>
    <t>Secretariat of Public Security</t>
  </si>
  <si>
    <t>https://en.wikipedia.org/Secretariat of Public Security</t>
  </si>
  <si>
    <t>Thulin E (aircraft)</t>
  </si>
  <si>
    <t>The Thulin E was a Swedish reconnaissance aircraft built in the late 1910s. The Thulin E was the first indigenous design conceived by Enoch Thulin's company. It was a two-seat biplane with the lower wings mounted at the bottom of the fuselage. The upper wing was supported by four wing struts and four V-shaped fuselage struts. Only the upper wings were fitted with ailerons. The fuselage was provided with two open cockpits, in tandem, under the upper wing. The rear landing gear was a fixed spur spring. An attempt was made to equip the biplane with floats. Data from [1]General characteristics Performance     Related lists</t>
  </si>
  <si>
    <t>//upload.wikimedia.org/wikipedia/commons/thumb/b/b5/Thulin_typ_E.jpg/300px-Thulin_typ_E.jpg</t>
  </si>
  <si>
    <t>Reconnaissance aircraft</t>
  </si>
  <si>
    <t>AB Thulinverken</t>
  </si>
  <si>
    <t>https://en.wikipedia.org/AB Thulinverken</t>
  </si>
  <si>
    <t>Enoch Thulin</t>
  </si>
  <si>
    <t>https://en.wikipedia.org/Enoch Thulin</t>
  </si>
  <si>
    <t>6.45 m (21 ft 2 in)</t>
  </si>
  <si>
    <t>11.4 m (37 ft 5 in)</t>
  </si>
  <si>
    <t>655 kg (1,444 lb)</t>
  </si>
  <si>
    <t>1 × Thulin A nine-cylinder air-cooled rotary aircraft engine, 67 kW (90 hp)</t>
  </si>
  <si>
    <t>80 km/h (50 mph, 43 kn)</t>
  </si>
  <si>
    <t>2.96 m (9 ft 9 in)</t>
  </si>
  <si>
    <t>110 km/h (68 mph, 59 kn)</t>
  </si>
  <si>
    <t>Swedish Air Force</t>
  </si>
  <si>
    <t>https://en.wikipedia.org/Swedish Air Force</t>
  </si>
  <si>
    <t>2-bladed fixed pitch propeller</t>
  </si>
  <si>
    <t>Wright F2W</t>
  </si>
  <si>
    <t>The Wright F2W was an American racing aircraft built by Wright Aeronautical Corporation for the US Navy. The F2W was ordered by the US Navy to enter in the 1923 Pulitzer Trophy. Wright built the aircraft primarily of wood, covered in fabric, and was powered by the Wright T-3 Tornado engine. The first F2W flew for the first time on 2 August 1923.[1] During the Pulitzer Race, the first F2W ran out of fuel and crashed. The second F2W, which carried twice as much fuel, finished third at 230.06 mph (370.25 km/h). It was later converted into a floatplane as the F2W-2 to take part in the 1924 Schneider Trophy race. During testing it was very unstable, and on its only flight, on 11 October 1924, crashed into the Delaware River at Philadelphia, Pennsylvania, when the tremendous torque of the Tornado engine flipped it onto its back while attempting to land.[2] The pilot, badly injured, extricated himself from the wreckage.[3] Data from The American Fighter from 1917 to the present [1]General characteristics Performance</t>
  </si>
  <si>
    <t>//upload.wikimedia.org/wikipedia/commons/thumb/9/91/Wright_F2W-1.jpg/300px-Wright_F2W-1.jpg</t>
  </si>
  <si>
    <t>Racer</t>
  </si>
  <si>
    <t>Wright Aeronautical Corporation</t>
  </si>
  <si>
    <t>https://en.wikipedia.org/Wright Aeronautical Corporation</t>
  </si>
  <si>
    <t>19 ft 9 in (6.92 m)</t>
  </si>
  <si>
    <t>22 ft 6 in (6.85 m)</t>
  </si>
  <si>
    <t>174 sq ft (16.16 m2)</t>
  </si>
  <si>
    <t>2,468 lb (1,119 kg)</t>
  </si>
  <si>
    <t>3,086 lb (1,400 kg)</t>
  </si>
  <si>
    <t>1 × Wright T-3 Tornado , 780 hp (582 kW)</t>
  </si>
  <si>
    <t>America</t>
  </si>
  <si>
    <t>https://en.wikipedia.org/America</t>
  </si>
  <si>
    <t>9 ft 4 in (2.84 m)</t>
  </si>
  <si>
    <t>240 mph (386 km/h, 210 kn)</t>
  </si>
  <si>
    <t>2 August 1923[1]</t>
  </si>
  <si>
    <t>Destroyed</t>
  </si>
  <si>
    <t>Zenair CH 640</t>
  </si>
  <si>
    <t>The Zenair Zodiac CH 640 is a Canadian light aircraft that was designed by Chris Heintz and is produced by Zenair in the form of a kit for amateur construction.[1][2] The CH 640 was developed from the two-seat type certified AMD Alarus, also called the Zenair CH 2000, by increasing the span of the wings and stabilator, to accommodate the larger engine and increase in gross weight.  The design was also influenced by the Zenith CH 601 and the Zenair CH 300. The design goals were to produce a simple four-seat aircraft capable of flying cross country flights with full seats.[2] The CH 640 is a four-seat, low-wing touring aircraft with tricycle landing gear and a single engine in tractor configuration. It has a standard empty weight of 1,147 lb (520 kg), a gross weight of 2,200 lb (998 kg) and an acceptable engine power range of 150 to 240 hp (112 to 179 kW). The recommended engine is the Lycoming O-360 of 180 hp (134 kW).[1][2] The aircraft is made from 6061-T6 aluminum. Its 31.5 ft (9.6 m) span wing is a cantilever structure and is equipped with flaps. The 46 in (116.8 cm) wide cabin is accessed via two gull-winged doors. The construction time from the factory-supplied standard kit is estimated at 1250 hours to complete and the quick-build kit at 750 hours. In 2011 the kit cost US$28,995, while finishing a completed aircraft was estimated to cost between US$45,000 to $99,000, depending on options, engine and avionics installed. In December 2011 there were 50 completed and flying.[1][2] In evaluating the CH 640 AeroNews Network said, "It's a tremendously stable little airplane and a fair amount faster than what you might think."[2] Data from Kitplanes[1][3]General characteristics Performance</t>
  </si>
  <si>
    <t>//upload.wikimedia.org/wikipedia/commons/thumb/c/cc/Zenair_Zodiac_CH-640_N756GA.jpg/300px-Zenair_Zodiac_CH-640_N756GA.jpg</t>
  </si>
  <si>
    <t>Kit aircraft</t>
  </si>
  <si>
    <t>https://en.wikipedia.org/Kit aircraft</t>
  </si>
  <si>
    <t>Zenair</t>
  </si>
  <si>
    <t>https://en.wikipedia.org/Zenair</t>
  </si>
  <si>
    <t>50 (Dec 2011)[1]</t>
  </si>
  <si>
    <t>AMD Alarus</t>
  </si>
  <si>
    <t>https://en.wikipedia.org/AMD Alarus</t>
  </si>
  <si>
    <t>one</t>
  </si>
  <si>
    <t>three passengers</t>
  </si>
  <si>
    <t>23 ft 0 in (7.01 m)</t>
  </si>
  <si>
    <t>31 ft 6 in (9.60 m)</t>
  </si>
  <si>
    <t>150 sq ft (14 m2)</t>
  </si>
  <si>
    <t>1,147 lb (520 kg)</t>
  </si>
  <si>
    <t>1 × Lycoming O-360 four cylinder, horizontally opposed, four-stroke piston engine, 180 hp (130 kW)</t>
  </si>
  <si>
    <t>150 mph (240 km/h, 130 kn)</t>
  </si>
  <si>
    <t>47 mph (76 km/h, 41 kn) flaps down</t>
  </si>
  <si>
    <t>510 mi (820 km, 440 nmi)</t>
  </si>
  <si>
    <t>950 ft/min (4.8 m/s)</t>
  </si>
  <si>
    <t>Canada</t>
  </si>
  <si>
    <t>https://en.wikipedia.org/Canada</t>
  </si>
  <si>
    <t>7 ft 4 in (2.24 m)</t>
  </si>
  <si>
    <t>standard tanks</t>
  </si>
  <si>
    <t>160 mph (260 km/h, 140 kn)</t>
  </si>
  <si>
    <t>175 mph (282 km/h, 152 kn)</t>
  </si>
  <si>
    <t>2-bladed metal propeller</t>
  </si>
  <si>
    <t>In production</t>
  </si>
  <si>
    <t>+5.7/-2.9</t>
  </si>
  <si>
    <t>14.6 lb/sq ft (71 kg/m2)</t>
  </si>
  <si>
    <t>Foxcon Terrier 200</t>
  </si>
  <si>
    <t>The Foxcon Terrier 200 is an Australian light-sport aircraft, designed and produced by Foxcon Aviation of Mackay, Queensland. The aircraft is supplied as a kit for amateur construction or as a complete ready-to-fly-aircraft.[1][2] The Terrier 200 was designed to comply with the US light-sport aircraft rules. It features a strut-braced high-wing, a two-seats-in-side-by-side configuration enclosed cockpit, fixed tricycle landing gear and a single engine in tractor configuration.[1][2] The aircraft is made from vacuum-molded composites with the design goal of strength at a light weight. Its 8.7 m (28.5 ft) span wing employs a Chris Mark 4 airfoil and mounts flaps. The standard engines available in 2012 were the 80 hp (60 kW) D-Motor LF26, the 100 hp (75 kW) Rotax 912ULS, the 100 hp (75 kW) Subaru EA 81 and the 116 hp (87 kW) Lycoming IO-233-LSA four-stroke powerplants. By 2015 only the Subaru EA 81 and Rotax 912ULS were still offered. Floats for water operations are optional.[1][2][3][4][5] Data from Bayerl and Foxcon[1][3]General characteristics Performance</t>
  </si>
  <si>
    <t>//upload.wikimedia.org/wikipedia/commons/thumb/1/18/19-4229_Foxcon_Terrier_200C_%2810617554244%29.jpg/300px-19-4229_Foxcon_Terrier_200C_%2810617554244%29.jpg</t>
  </si>
  <si>
    <t>Light-sport aircraft</t>
  </si>
  <si>
    <t>https://en.wikipedia.org/Light-sport aircraft</t>
  </si>
  <si>
    <t>Foxcon Aviation</t>
  </si>
  <si>
    <t>https://en.wikipedia.org/Foxcon Aviation</t>
  </si>
  <si>
    <t>one passenger</t>
  </si>
  <si>
    <t>6.10 m (20 ft 0 in)</t>
  </si>
  <si>
    <t>8.7 m (28 ft 7 in)</t>
  </si>
  <si>
    <t>340 kg (750 lb)</t>
  </si>
  <si>
    <t>600 kg (1,323 lb)</t>
  </si>
  <si>
    <t>1 × Subaru EA 81 four cylinder, liquid-cooled, four stroke automotive engine, 75 kW (101 hp)</t>
  </si>
  <si>
    <t>200 km/h (130 mph, 110 kn)</t>
  </si>
  <si>
    <t>70 km/h (44 mph, 38 kn)</t>
  </si>
  <si>
    <t>7.5 m/s (1,480 ft/min)</t>
  </si>
  <si>
    <t>Australia</t>
  </si>
  <si>
    <t>https://en.wikipedia.org/Australia</t>
  </si>
  <si>
    <t>{}</t>
  </si>
  <si>
    <t>2.30 m (7 ft 7 in)</t>
  </si>
  <si>
    <t>Chris Mark 4</t>
  </si>
  <si>
    <t>88 litres (19 imp gal; 23 US gal)</t>
  </si>
  <si>
    <t>220 km/h (140 mph, 120 kn)</t>
  </si>
  <si>
    <t>240 km/h (150 mph, 130 kn)</t>
  </si>
  <si>
    <t>+6/-4</t>
  </si>
  <si>
    <t>6 hours</t>
  </si>
  <si>
    <t>Supermarine Channel</t>
  </si>
  <si>
    <t>The Supermarine Channel (originally the Supermarine Channel Type) was a modified version of the AD Flying Boat, purchased by Supermarine from the British Air Ministry and modified for the civil market with the intention of beginning regular air flights across the English Channel. The aircraft were given airworthiness certificates in July 1919. The Mark I version, later called the Channel I, was powered with a 160 horsepower (120 kW) Beardmore engine; a variant designated as Channel II was fitted with a 240 horsepower (180 kW) Armstrong Siddeley Puma engine. Designed by Supermarine to accommodate up to four passengers, the company produced a series of interchangeable interiors that could be used at short notice, which enabled the Channel to be used as a fighter or for training purposes. The Channel was first used from August 1919, when it flew passengers across the Solent and to the Isle of Wight. Norway's first airline Det Norske Luftfartsreder A/S of Christiania purchased three of the aircraft in 1920, and four aircraft were ordered for the Norwegian Armed Forces, which began operating from May that year. A Channel was used by the New Zealand Flying School, and Channel II aircraft were sent to Bermuda as part of a project to promote aviation in the region and transported to Venezuela to be used to undertake the survey for oil at the delta of the Orinoco. In 1921 the Imperial Japanese Navy Air Service acquired three Channel II flying boats which were shipped out with the British-led Sempill Mission to Japan. The ban on commercial flights in the United Kingdom imposed during World War I was lifted in May 1919. With the intention of beginning regular air flights over short-haul sea routes across the English Channel, Supermarine purchased ten AD Flying Boats that during the war had been kept in storage by the military after their construction. The AD Flying Boat was designed in 1915 by the British yacht designer Linton Hope.[1] After acquiring the AD Flying Boats, Supermarine modified them for the civil market, before being given airworthiness certificates in July 1919.[2][3] The aircraft was redesigned to accommodate up to four passengers, although limited to three if amphibian landing gear was fitted.[4] the modified aircraft were rebranded as the Supermarine Channel Type, with the name 'Channel' first appearing on 2 April 1920.[5][6] Attention was paid towards the comfort of the passengers, who were provided with compartments that could be either closed over or left open (with a windscreen included to protect them from the wind and spray), and seats that were kept clean by being designed to spring up when not in use.[7] In October 1920, the aeronautical magazine Flight described the aircraft as able “to delight the heart of any sea-faring man, for they are pre-eminently the product of men who know and understand the sea and its ways”.[7] The Channel's engine was a 160 horsepower (120 kW) Beardmore 160 hp,[8] separated from the wing structure and fixed at the top of an A-shaped frame to prevent vibrations from passing to the wings. Because of the position of the engine, the tail unit was made with two planes.[7] The Channel was equipped with an anchor and a boathook. Mitchell's team produced a series of interchangeable interiors that could be used at short notice, enabling it to be used as a fighter or for training purposes.[8][9] The Supermarine Commercial Amphibian, a passenger-carrying flying boat that was the first aircraft to be designed by Mitchell, was based on the Supermarine Channel. It was built at the company's works at Woolston, Southampton for an Air Ministry competition that took place during September 1920.[10] The new civilian air services from the Port of Southampton to Bournemouth and to the Isle of Wight began in early August 1919.[11] Of the ten Channels, five were put to regular use, whilst the others were held in reserve, so allowing plenty of time for maintenance work to be done on them all.[3] The new service was used in a variety of different ways: ferry passengers who had missed their boat to the Isle of Wight could embark from Bournemouth Pier for the flight across the Solent; and spectators attending the Cowes Regatta had the opportunity to view the yachting from the air in a Channel.[12] During the British railway strike of 1919, Channels were used to deliver newspapers around the south coast. On 28 September 1919, Supermarine operated the first international flying boat service,[13] when Channel I aircraft for a short period carried paying passengers from Woolston to Le Havre,[14] replacing the steam packets that had stopped operating in support of the railway strike.[15] Supermarine suspended flights to the Isle of Wight during the winter months, and whenever poor weather conditions occurred.[6] In May 1920 Norway's first airline Det Norske Luftfartsreder A/S of Christiania purchased three Supermarine Channels.[6][16] The Bergen-Haugesund-Stavanger service was inaugurated in August 1920, carrying mail and passengers. The airline later acquired three Friedrichshafen floatplanes, which with their more powerful engines, made it difficult for the Channels to keep up with them. Over 200 flights were completed up to December 1920, after which the service was withdrawn due to a lack of passengers and the high cost of mail delivery by air.[16] The Norwegian government issued a specification for eight naval seaplanes in June 1919, and after accepting Supermarine's tender for Channels, four aircraft were ordered for the Norwegian Armed Forces, which began operating from May 1920.[17][18] During their operational history, two of the aircraft (planes F-40 and F-44) were re-engined with more powerful Puma engines. After noting the improvement to the performance of the Norwegians' aircraft, Supermarine re-engined their own Channel flying boats, later allotting them with the name Channel II.[19] In 1921 a Channel I was delivered to the New Zealand company Walsh Brothers for use by the New Zealand Flying School. On 4 October 1921 the aircraft, by then registered as G-NZAI, made the first flight from Auckland to Wellington. Fiji was surveyed when the Channel made the first flight to the islands in July 1921. G-NZAI was broken up when the New Zealand government took over the Flying School's assets after it was forced to close in 1924.[20] In 1920, Channels saw service in Bermuda, when three of the aircraft were used as part of a project to promote aviation in the region.[19] Hal Kitchener of the Royal Flying Corps returned to Bermuda and in the spring of that year formed with a partner the short-lived Bermuda and West Atlantic Aviation Company, with the aim of making Bermuda a base for aerial surveys. Several aircraft were delivered to the company, including three Avro 504 sea planes and three Channel I flying boats; and hangars and a slipway were built at Hinson's Island.[21][22][23] In 1921 the British Controlled Oilfields Company contracted the Bermuda and West Atlantic Aviation Company Limited with the aim of producing an aerial survey of the delta region of the Orinoco. After being modified to be equipped with specialist camera equipment and tested in Britain, two Channel II aircraft were transported by ship across the Atlantic Ocean to be used to undertake the survey.[24][25] The expedition team, led by Cochran Patrick, included two pilots, three mechanics and four photographers, surveyed the numerous unmapped small streams and mangrove swamps, a task that was considered to be near impossible without the use of aircraft.[26] On 14 March 1921, the Channel was demonstrated to a Japanese naval delegation that included the chief of the Imperial Japanese Navy Air Service, who was aboard when it flew around the Isle of Wight and the Solent during a strong gale.[27] The delegation was impressed enough by the aircraft's performance for three Channel II flying boats to be acquired by the Japanese and shipped out with the British-led Sempill Mission to Japan.[18][28] Data from Supermarine Aircraft since 1914[8]General characteristics Performance</t>
  </si>
  <si>
    <t>//upload.wikimedia.org/wikipedia/commons/thumb/5/58/Supermarine_Channel_illustrated_in_Aeroplane_November_16th_1921.jpg/300px-Supermarine_Channel_illustrated_in_Aeroplane_November_16th_1921.jpg</t>
  </si>
  <si>
    <t>Flying boat, designed to be operated as a commercial aircraft, or by the military</t>
  </si>
  <si>
    <t>https://en.wikipedia.org/Flying boat, designed to be operated as a commercial aircraft, or by the military</t>
  </si>
  <si>
    <t>Supermarine</t>
  </si>
  <si>
    <t>https://en.wikipedia.org/Supermarine</t>
  </si>
  <si>
    <t>R.J. Mitchell</t>
  </si>
  <si>
    <t>https://en.wikipedia.org/R.J. Mitchell</t>
  </si>
  <si>
    <t>AD Flying Boat</t>
  </si>
  <si>
    <t>https://en.wikipedia.org/AD Flying Boat</t>
  </si>
  <si>
    <t>five, pilot and four passengers</t>
  </si>
  <si>
    <t>30 ft (9.1 m)</t>
  </si>
  <si>
    <t>453 sq ft (42.1 m2)</t>
  </si>
  <si>
    <t>2,356 lb (1,069 kg)</t>
  </si>
  <si>
    <t>3,400 lb (1,542 kg)</t>
  </si>
  <si>
    <t>1 × Beardmore Piston aero engine, 160 hp (120 kW)</t>
  </si>
  <si>
    <t>53 mph (85 km/h, 46 kn)</t>
  </si>
  <si>
    <t>200 ft/min (1.0 m/s)</t>
  </si>
  <si>
    <t>13 ft (4.0 m)</t>
  </si>
  <si>
    <t>80 mph (130 km/h, 70 kn) at 2,000 ft (610 m)</t>
  </si>
  <si>
    <t>3,000 ft (910 m)</t>
  </si>
  <si>
    <t>3 hr</t>
  </si>
  <si>
    <t>Supermarine Commercial Amphibian</t>
  </si>
  <si>
    <t>https://en.wikipedia.org/Supermarine Commercial Amphibian</t>
  </si>
  <si>
    <t>50 ft 5 in (15.37 m)</t>
  </si>
  <si>
    <t>39 ft 7 in (12.07 m)</t>
  </si>
  <si>
    <t>30 min to 10,000 ft (3,050 m)</t>
  </si>
  <si>
    <t>Mainair Blade</t>
  </si>
  <si>
    <t>The Mainair Blade is a British ultralight trike that was designed and produced by Mainair Sports and later P&amp;M Aviation. The aircraft was supplied as a completed aircraft.[1][2][3] In the early 2000s Mainair was merged with rival Pegasus Aviation into P&amp;M Aviation, but production of the Blade continued. As the company rationalized the two aircraft lines, Blade production ended. By 2012 the manufacturer indicated, "This aircraft is no longer in production...Full spares and support are still available and will remain so for the foreseeable future. Complete aircraft can still be manufactured but by special request only."[2][4] The aircraft was designed as a high-end touring trike, to comply with the Fédération Aéronautique Internationale microlight category, including the category's maximum gross weight of 450 kg (992 lb) and is also certified to comply with UK BCAR Section "S". The aircraft has a maximum gross weight of 390 kg (860 lb). It features a cable-braced hang glider-style high-wing, weight-shift controls, a two-seats-in-tandem, open cockpit, tricycle landing gear and a single engine in pusher configuration.[1] The aircraft is made from bolted-together aluminium tubing, with its double-surface wing covered in Dacron sailcloth. Its 10.6 m (34.8 ft) span wing is supported by a single tube-type kingpost and uses an "A" frame control bar. The occupants are accommodated in tandem seating, with a fibreglass cockpit fairing that includes a small windshield. Engines factory supplied include the 37 kW (50 hp) Rotax 503 twin cylinder, two-stroke, air cooled powerplant as well as the twin cylinder, two-stroke, liquid cooled 48 kW (64 hp) Rotax 582 and the four cylinder, four-stroke 60 kW (80 hp) Rotax 912UL and 74.5 kW (100 hp) Rotax 912ULS.[1][2] Blades have been used for a number of microlight record distance flights, including a flight to Australia by Colin Bodill and Simon Reeve and a flight around the world by Bodhill.[2] The Blade 912 set the record for London to Sydney by microlight of 49 days (175 hours of flying) at an average speed of 124 km/h (77 mph).[3] Data from Bertrand and Kitplanes[2][3]General characteristics Performance</t>
  </si>
  <si>
    <t>//upload.wikimedia.org/wikipedia/commons/thumb/f/fd/Mainair_blade_ultralight_g-mzbl_kemble_arp.jpg/300px-Mainair_blade_ultralight_g-mzbl_kemble_arp.jpg</t>
  </si>
  <si>
    <t>Ultralight trike</t>
  </si>
  <si>
    <t>https://en.wikipedia.org/Ultralight trike</t>
  </si>
  <si>
    <t>Mainair SportsP&amp;M Aviation</t>
  </si>
  <si>
    <t>https://en.wikipedia.org/Mainair SportsP&amp;M Aviation</t>
  </si>
  <si>
    <t>60 (February 2000)</t>
  </si>
  <si>
    <t>10.6 m (34 ft 9 in)</t>
  </si>
  <si>
    <t>15.6 m2 (168 sq ft)</t>
  </si>
  <si>
    <t>190 kg (419 lb)</t>
  </si>
  <si>
    <t>390 kg (860 lb)</t>
  </si>
  <si>
    <t>1 × Rotax 912 four cylinder, four-stroke aircraft engine, 60 kW (80 hp)</t>
  </si>
  <si>
    <t>106 km/h (66 mph, 57 kn)</t>
  </si>
  <si>
    <t>48 km/h (30 mph, 26 kn)</t>
  </si>
  <si>
    <t>410 km (250 mi, 220 nmi)</t>
  </si>
  <si>
    <t>6.35 m/s (1,250 ft/min)</t>
  </si>
  <si>
    <t>United Kingdom</t>
  </si>
  <si>
    <t>65 litres (14 imp gal; 17 US gal)</t>
  </si>
  <si>
    <t>145 km/h (90 mph, 78 kn)</t>
  </si>
  <si>
    <t>3,000 m (10,000 ft)</t>
  </si>
  <si>
    <t>Production completed</t>
  </si>
  <si>
    <t>25.0 kg/m2 (5.1 lb/sq ft)</t>
  </si>
  <si>
    <t>https://en.wikipedia.org/Mainair Rapier</t>
  </si>
  <si>
    <t>Mentzel Baltic Fox</t>
  </si>
  <si>
    <t>The Mentzel Baltic Fox is a German ultralight and light-sport flying boat that was designed by Anno Claus Mentzel and produced by Ing Büro Mentzel of Prinzhöfte, certified in 2009. The aircraft is supplied as a complete ready-to-fly-aircraft, disassembled for transport.[1][2] The Baltic Fox was designed as a specialist aircraft for use by expeditions and, as such, it was intended to be disassembled for shipping in boxes to its destination and then rapidly reassembled and flown. It was intended to comply with the Fédération Aéronautique Internationale microlight rules and US light-sport aircraft rules. It features a strut-braced high-wing, a two-seats-in-side-by-side configuration open cockpit, retractible tricycle landing gear and a single engine in pusher configuration.[1][2] The aircraft is made from bolted-together aluminum tubing, with its flying surfaces covered in Dacron sailcloth. Its 10 m (32.8 ft) span wing has an area of 16.1 m2 (173 sq ft). The standard engine available is the 84 hp (63 kW) Hirth 3702 three cylinder two-stroke powerplant.[1][2] Data from Bayerl and Tacke[1][2]General characteristics Performance</t>
  </si>
  <si>
    <t>Ultralight aircraft and light-sport aircraft</t>
  </si>
  <si>
    <t>https://en.wikipedia.org/Ultralight aircraft and light-sport aircraft</t>
  </si>
  <si>
    <t>Ing Büro Mentzel</t>
  </si>
  <si>
    <t>https://en.wikipedia.org/Ing Büro Mentzel</t>
  </si>
  <si>
    <t>Anno Claus Mentzel</t>
  </si>
  <si>
    <t>10.0 m (32 ft 10 in)</t>
  </si>
  <si>
    <t>16.1 m2 (173 sq ft)</t>
  </si>
  <si>
    <t>330 kg (728 lb)</t>
  </si>
  <si>
    <t>517.5 kg (1,141 lb)</t>
  </si>
  <si>
    <t>1 × Hirth 3702 three cylinder, air-cooled, two stroke aircraft engine, 60 kW (80 hp)</t>
  </si>
  <si>
    <t>120 km/h (75 mph, 65 kn)</t>
  </si>
  <si>
    <t>55 km/h (34 mph, 30 kn)</t>
  </si>
  <si>
    <t>Germany</t>
  </si>
  <si>
    <t>https://en.wikipedia.org/Germany</t>
  </si>
  <si>
    <t>60 litres (13 imp gal; 16 US gal)</t>
  </si>
  <si>
    <t>140 km/h (87 mph, 76 kn)</t>
  </si>
  <si>
    <t>In production (2012)</t>
  </si>
  <si>
    <t>32.1 kg/m2 (6.6 lb/sq ft)</t>
  </si>
  <si>
    <t>Marawing 1-L Malamut</t>
  </si>
  <si>
    <t>The Marawing 1-L Malamut is a Czech ultralight aircraft, designed and produced by Marawing of Kolín. The aircraft is supplied as a complete ready-to-fly-aircraft.[1][2] The Malamut was developed from the classic Piper J-3 Cub. It was designed to comply with the Fédération Aéronautique Internationale microlight rules. It features a strut-braced high-wing, a two-seats-in-tandem enclosed cockpit, fixed conventional landing gear and a single engine in tractor configuration.[1][2] The aircraft is constructed in the same manner as the Cub. The fuselage is made from welded steel tubing, while the wings have a wooden structure, all covered in doped aircraft fabric. Its 10.1 m (33.1 ft) span wing has an area of 15.1 m2 (163 sq ft) and flaps. The standard engine available is the 80 hp (60 kW) Rotax 912UL four-stroke powerplant.[1][2] Data from Bayerl &amp; Tacke[1][2]General characteristics Performance</t>
  </si>
  <si>
    <t>Ultralight aircraft</t>
  </si>
  <si>
    <t>https://en.wikipedia.org/Ultralight aircraft</t>
  </si>
  <si>
    <t>Marawing</t>
  </si>
  <si>
    <t>https://en.wikipedia.org/Marawing</t>
  </si>
  <si>
    <t>Piper J-3 Cub</t>
  </si>
  <si>
    <t>https://en.wikipedia.org/Piper J-3 Cub</t>
  </si>
  <si>
    <t>10.1 m (33 ft 2 in)</t>
  </si>
  <si>
    <t>15.1 m2 (163 sq ft)</t>
  </si>
  <si>
    <t>295 kg (650 lb)</t>
  </si>
  <si>
    <t>472.5 kg (1,042 lb)</t>
  </si>
  <si>
    <t>1 × Rotax 912UL four cylinder, liquid and air-cooled, four stroke aircraft engine, 60 kW (80 hp)</t>
  </si>
  <si>
    <t>165 km/h (103 mph, 89 kn)</t>
  </si>
  <si>
    <t>50 km/h (31 mph, 27 kn)</t>
  </si>
  <si>
    <t>5 m/s (980 ft/min)</t>
  </si>
  <si>
    <t>160 litres (35 imp gal; 42 US gal)</t>
  </si>
  <si>
    <t>198 km/h (123 mph, 107 kn)</t>
  </si>
  <si>
    <t>31.3 kg/m2 (6.4 lb/sq ft)</t>
  </si>
  <si>
    <t>Martinsyde Semiquaver</t>
  </si>
  <si>
    <t>The Martinsyde Semiquaver was a British single-seat racing biplane built by Martinsyde in 1920. It won the 1920 Aerial Derby and was entered for the 1920 Gordon Bennett Trophy, but did not finish the course. In 1921 the fuselage was used as the basis for the Alula Monoplane, an experimental aircraft intended to investigate the performance of a radical wing design by A. A Holle. The Semiquaver was a single-bay tractor biplane with an upper wing of slightly greater span and chord than the lower. Ailerons were fitted to the top wing only, which was mounted directly on top of the deep rectangular-section fuselage. The pilot sat in an open cockpit behind the upper wing's trailing edge. Construction was of wood, with fabric covering on the wings, tail surfaces and rear part of the fuselage: the front of the fuselage was covered with plywood. Painted red and given the civil registration G-EAPX, it was flown by F. P. Raynham to set a new British speed record of 161.434 mph (259.75 km/h) on 21 March 1920 at Martlesham Heath.[1] Piloted by Frank Courtney, who replaced Raynham as pilot owing to an injury, it won the 1920 Aerial Derby, completing the 200 mi (320 km) course at a speed of 153.45 mph (246.95 km/h).  On touching down at the end of the race Courtney hit a bump on the airfield and was thrown back into the air, touched the ground with one wingtip, and turned over. He was unhurt.[2] It was repaired, with  a slight reduction in wingspan, and entered for the 1920 Gordon Bennett Trophy competition, flown by Raynham, who transported the aircraft to France by towing it behind his car. It did not finish the course owing to the failure of the oil pump.[3] The Alula Wing was a novel design which resembled a bow, having a straight trailing edge and a curved leading edge coming to  a point at the wingtips. It was also unusual in being an unbraced monocoque structure, having  no spars, only light spanwise stringers, strength being provided by the wood covering. It was developed by the Dutch engineer A.A. Holle and backed by a company called the Commercial Aeroplane Wing Syndicate, which  took over Holle's patents from the Varioplane company, and was associated with Blackburn Aircraft,[4] who carried out the construction and testing work.  A test aircraft was built, with the wing mounted high above the fuselage of a D.H.6 re-engined with a 200 hp (150 kW) Bentley BR2 rotary engine. This was first flown in January 1921 by Capt. Clinch.[5] The characteristics of the wing in wind-tunnel tests carried out at the East London College[6] indicated that it would be of most use for aircraft intended to carry a heavy load at lower speeds (an aircraft capable of carrying four tons, the Pelican Aero-Lorry was planned)[7] but with the intention of demonstrating the wing's capabilities at higher speeds a version of the wing was fitted to the fuselage of the Semiquaver, the wing being mounted on struts above the fuselage. Called the Alula Monoplane, with a span of 28 ft 6 in and an area of 106.25 sq ft this was entered for the 1921 Aerial Derby with Frank Courtney as pilot, but Courtney was unhappy with its ground handling characteristics, due to the combination of a high centre of gravity and a narrow-track undercarriage, and it was not flown in the competition.[8] After the original landing gear has been replaced by one having a much wider track it was flown by R. W. Kenworthy at Northolt on 27 August, the takeoff speed being a high 110 mph (180 km/h)[9][10] Data from [11]General characteristics Performance</t>
  </si>
  <si>
    <t>//upload.wikimedia.org/wikipedia/commons/thumb/1/16/Martinsyde_Semiquaver.jpg/300px-Martinsyde_Semiquaver.jpg</t>
  </si>
  <si>
    <t>Racing aircraft</t>
  </si>
  <si>
    <t>https://en.wikipedia.org/Racing aircraft</t>
  </si>
  <si>
    <t>Martinsyde</t>
  </si>
  <si>
    <t>https://en.wikipedia.org/Martinsyde</t>
  </si>
  <si>
    <t>19 ft 3 in (5.87 m)</t>
  </si>
  <si>
    <t>20 ft 2 in (6.15 m)</t>
  </si>
  <si>
    <t>1 × Hispano-Suiza -water-cooled V-8, 300 hp (220 kW)</t>
  </si>
  <si>
    <t>https://en.wikipedia.org/United Kingdom</t>
  </si>
  <si>
    <t>161 mph (259 km/h, 140 kn)</t>
  </si>
  <si>
    <t>2-bladed</t>
  </si>
  <si>
    <t>Micro Aviation B22 Bantam</t>
  </si>
  <si>
    <t>The Micro Aviation B22 Bantam is a New Zealand ultralight aircraft, designed and produced by Micro Aviation NZ of Hamilton, New Zealand and later of Mandeville, New Zealand. The aircraft is supplied as a complete ready-to-fly-aircraft.[1][2] The aircraft complies with the Fédération Aéronautique Internationale microlight rules as well as the United Kingdom BCAR Section "S" regulations. It features a strut-braced high-wing, a two-seats-in-side-by-side configuration enclosed cockpit, fixed tricycle landing gear and a single engine in tractor configuration.[1][2] The aircraft is made from bolted-together aluminum tubing, with its flying surfaces covered in Dacron sailcloth. Its 9.03 m (29.6 ft) span wing has an area of 15.1 m2 (163 sq ft) and is supported by V-struts and jury struts. The engine is mounted above the cockpit on the forward end of the main keel tube. Standard engines available are the 64 hp (48 kW) Rotax 582 two-stroke and the 85 hp (63 kW) Jabiru 2200 four-stroke powerplant.[1][2] Two Bantams are in use by park rangers in Kruger National Park in South Africa.[3][4] Total production has exceeded 300 aircraft.[1][2] The World Directory of Leisure Aviation reviewed the Bantam and described it as "a simple practical aircraft characterized by its agility, vice-free handling and ease of maintenance."[1][2] Data from Bayerl &amp; Tacke[1][2]General characteristics Performance</t>
  </si>
  <si>
    <t>//upload.wikimedia.org/wikipedia/commons/thumb/7/75/Micro_Aviation_B22J_Bantam_-_WOW_Flight_School1.jpg/300px-Micro_Aviation_B22J_Bantam_-_WOW_Flight_School1.jpg</t>
  </si>
  <si>
    <t>Micro Aviation NZ</t>
  </si>
  <si>
    <t>https://en.wikipedia.org/Micro Aviation NZ</t>
  </si>
  <si>
    <t>More than 300 (2011)</t>
  </si>
  <si>
    <t>9.03 m (29 ft 8 in)</t>
  </si>
  <si>
    <t>215 kg (474 lb)</t>
  </si>
  <si>
    <t>430 kg (948 lb)</t>
  </si>
  <si>
    <t>1 × Jabiru 2200A four cylinder, air-cooled, four stroke aircraft engine, 60 kW (80 hp)</t>
  </si>
  <si>
    <t>3.4 m/s (670 ft/min)</t>
  </si>
  <si>
    <t>New Zealand</t>
  </si>
  <si>
    <t>https://en.wikipedia.org/New Zealand</t>
  </si>
  <si>
    <t>50 litres (11 imp gal; 13 US gal)</t>
  </si>
  <si>
    <t>150 km/h (93 mph, 81 kn)</t>
  </si>
  <si>
    <t>28.5 kg/m2 (5.8 lb/sq ft)</t>
  </si>
  <si>
    <t>MKEK-1</t>
  </si>
  <si>
    <t>The MKEK-1 Gözcü (Turkish - "Observer") was a projected aircraft that was to have provided the Turkish Army with a domestically designed and produced airborne observation post for artillery spotting and general liaison duties.[1] It was the first aircraft design undertaken by MKEK following its acquisition of THK's manufacturing facilities in 1952.[1] However, the wide availability of the Piper Cub and Super Cub led to the Army's selection of that aircraft instead, and work on the MKEK-1 was abandoned.[1]        This article on an aircraft of the 1950s is a stub. You can help Wikipedia by expanding it.</t>
  </si>
  <si>
    <t>Observation aircraft</t>
  </si>
  <si>
    <t>MKEK</t>
  </si>
  <si>
    <t>https://en.wikipedia.org/MKEK</t>
  </si>
  <si>
    <t>Turkey</t>
  </si>
  <si>
    <t>Abandoned project</t>
  </si>
  <si>
    <t>Marske XM-1</t>
  </si>
  <si>
    <t>The Marske XM-1 was an American mid-wing, single-seat, experimental tailless glider that was designed and built by Jim Marske in 1957.[1][2][3][4] Experimentation with the XM-1 lead to the final configuration of the later Marske Pioneer.[1] The first of Marske's flying wings was the XM-1, a design inspired by the flying wing designs of Charles Fauvel and Al Backstrom. He built the XM-1 when he was 19 years old. The aircraft went through several versions, each a modification of the same basic airframe as Marske experimented with configurations. The aircraft started off with fins on the wing tips and was later converted to a single fin at the rear of the short fuselage in its "XM-1D" configuration.[1][4] The XM-1 was built with a welded steel tube fuselage covered in fiberglass. The 40 ft (12.2 m) wing was fabricated from wood and covered with doped aircraft fabric. The wing employed a 14% Fauvel airfoil. The landing gear was a fixed monowheel.[1] Only one XM-1 was built. It was registered with the US Federal Aviation Administration in the Experimental - Amateur-built category.[1][2] The XM-1 was described by Soaring Magazine as "easy to fly". The aircraft was stall and spin proof. Marske sold the aircraft and it went through a series of owners. The XM-1 was later removed from the FAA register and likely no longer exists.[1][2] Data from The World's Sailplanes:Die Segelflugzeuge der Welt:Les Planeurs du Monde Volume II[5]General characteristics Performance     Related lists</t>
  </si>
  <si>
    <t>//upload.wikimedia.org/wikipedia/en/thumb/b/b5/Marske_XM-1_N5823N.jpg/300px-Marske_XM-1_N5823N.jpg</t>
  </si>
  <si>
    <t>Glider</t>
  </si>
  <si>
    <t>https://en.wikipedia.org/Glider</t>
  </si>
  <si>
    <t>Jim Marske</t>
  </si>
  <si>
    <t>https://en.wikipedia.org/Jim Marske</t>
  </si>
  <si>
    <t>8 ft 2 in (2.48 m)</t>
  </si>
  <si>
    <t>38 ft 1 in (11.6 m)</t>
  </si>
  <si>
    <t>160 sq ft (15 m2)</t>
  </si>
  <si>
    <t>311 lb (141 kg)</t>
  </si>
  <si>
    <t>551 lb (250 kg)</t>
  </si>
  <si>
    <t>{'XM-1-A': 'itial configuration with wing tip fins and rudders.[1]', 'XM-1-B': 'th minor improvements over the XM-1-A', 'XM-1-C': 'dified with a central fin only.', 'XM-1D': 'nal configuration with a central fin and rudder.[1]'}</t>
  </si>
  <si>
    <t>3 ft 10 in (1.16 m) at cockpit</t>
  </si>
  <si>
    <t>14% Fauvel</t>
  </si>
  <si>
    <t>140 mph (226 km/h, 122 kn)</t>
  </si>
  <si>
    <t>Sole example no longer on FAA registry</t>
  </si>
  <si>
    <t>+4 -3 at 65.25 mph (56.7 kn; 105.0 km/h)</t>
  </si>
  <si>
    <t>3.4 lb/sq ft (16.7 kg/m2)</t>
  </si>
  <si>
    <t>104.5 mph (90.8 kn; 168.2 km/h)</t>
  </si>
  <si>
    <t>105 km/h (65.2 mph; 56.7 kn)</t>
  </si>
  <si>
    <t>175 ft/min (0.89 m/s) at 39.8 mph (34.6 kn; 64.1 km/h)</t>
  </si>
  <si>
    <t>Meyers OTW</t>
  </si>
  <si>
    <t>The Meyers OTW (Out To Win) was a 1930s America training biplane designed by Allen Meyers and built by his Meyers Aircraft Company from 1936 to 1944. In anticipation for a demand for training aircraft caused by the introduction of a civilian war training scheme (in which civil flying schools would provide primary training for the military), Allen Meyers designed the OTW and formed the Meyers Aircraft Company to build it. The OTW was a conventional biplane with tandem seating for two in open cockpits and a fixed tailwheel landing gear.  The prototype was powered by a 125 hp (93 kW) Warner Scarab engine and it first flew on 10 May 1936. The aircraft was produced in two main variants; the OTW-145 powered by a 145 hp (108 kW) Warner Super Scarab, and the OTW-160 powered by a 160 hp (119 kW) Kinner R-5 engine. Data from Jane's all the World's Aircraft 1947.[6]General characteristics Performance Related development</t>
  </si>
  <si>
    <t>//upload.wikimedia.org/wikipedia/commons/thumb/c/c4/Meyers_OTW_%28N26489%29.jpg/300px-Meyers_OTW_%28N26489%29.jpg</t>
  </si>
  <si>
    <t>Training biplane</t>
  </si>
  <si>
    <t>Meyers Aircraft Company</t>
  </si>
  <si>
    <t>https://en.wikipedia.org/Meyers Aircraft Company</t>
  </si>
  <si>
    <t>Allen Meyers</t>
  </si>
  <si>
    <t>https://en.wikipedia.org/Allen Meyers</t>
  </si>
  <si>
    <t>25 ft 11 in (7.91 m)</t>
  </si>
  <si>
    <t>30 ft 0 in (9.14 m)</t>
  </si>
  <si>
    <t>262 sq ft (24.3 m2)</t>
  </si>
  <si>
    <t>1,340 lb (608 kg)</t>
  </si>
  <si>
    <t>1,910 lb (866 kg)</t>
  </si>
  <si>
    <t>1 × Kinner R-56 5-cyl. air-cooled radial piston engine, 160 hp (120 kW)</t>
  </si>
  <si>
    <t>105 mph (169 km/h, 91 kn) * Landing speed</t>
  </si>
  <si>
    <t>400 mi (640 km, 350 nmi)</t>
  </si>
  <si>
    <t>1,200 ft/min (6.1 m/s)</t>
  </si>
  <si>
    <t>11.81 lb/hp (7.17 kg/kW)</t>
  </si>
  <si>
    <t>8 ft 6 in (2.59 m)</t>
  </si>
  <si>
    <t>26 US gal (22 imp gal; 98 l)</t>
  </si>
  <si>
    <t>120 mph (190 km/h, 100 kn)</t>
  </si>
  <si>
    <t>17,500 ft (5,300 m)</t>
  </si>
  <si>
    <t>7.25 lb/sq ft (35.4 kg/m2)</t>
  </si>
  <si>
    <t>https://en.wikipedia.org/1936</t>
  </si>
  <si>
    <t>1936-1944</t>
  </si>
  <si>
    <t>Mil Mi-X1</t>
  </si>
  <si>
    <t>Mil Mi-X1 is a high-speed helicopter being proposed by Mil of Russia. The aircraft belongs to the same program as its competitor Kamov Ka-92 intended to create a new generation of middle-class helicopters cruising at about 500 km/h (312 mph). Its preliminary design and early specifications were unveiled at HeliRussia 2009 exhibition near Moscow. The design is competing for a US$1.3 billion project by the Russian government and Kamov is the other competitor.[1] [2] [3] [4] The Mi-X1 is designed to have a take-off weight of just 10 tons, seat 25 passengers and fly to 1,500 km. It has one main rotor and a rear mount lift rotor. The helicopter's single main rotor means that in order to travel at high speeds it will have to overcome the retreating blade stall (RBS). This phenomenon occurs at airspeeds of some 300 km/h, and leads to vibrations that may ultimately destroy the rotor. Mil’s solution to fighting the onset of the RBS is to offload the rotor with the help of the proprietary Stall Local Elimination System (SLES).[5][6][7] According to Mil Chief Designer Nikolay Pavlenko, the designers have already agreed to test SLES at Russia’s TsAGI Central Aerohydrodynamics Institute. Earlier the manufacturer asserted that using SLES alone would give the Mi-X1 a speed of 450–500 km/h. According to the updated information made public at HeliRussia 2009, the helicopter will have a cruise speed of 475 km/h and a dash speed of 495 to 520 km/h. This will be possible through the use of a pusher propeller and a number of aerodynamic improvements, including a retractable landing gear and streamlined forward and rear fuselage sections. The Mi-X1 may be powered by two uprated Klimov VK-2500 turboshafts or two future Klimov VK-3000 currently under development. Similar engines are installed on Mil Mi-28 and Kamov Ka-50 attack helicopters. Development of the Mi-X1 and Ka-92 was switched from Ministry for Industry and Trade to Ministry of Defence in 2015 due to reduced government funding and high operating cost. A Russian Air Force general expects a prototype to fly in 2018, with production in 2022.[8][9][10] Russia started a single seat "flying laboratory" based on the Mil Mi-24 in 2015, intended to go 400 kilometers per hour (248 miles per hour).[citation needed]   Aircraft of comparable role, configuration, and era</t>
  </si>
  <si>
    <t>High-speed transport helicopter</t>
  </si>
  <si>
    <t>Mil</t>
  </si>
  <si>
    <t>https://en.wikipedia.org/Mil</t>
  </si>
  <si>
    <t>Russia</t>
  </si>
  <si>
    <t>https://en.wikipedia.org/Russia</t>
  </si>
  <si>
    <t>Design study for competition</t>
  </si>
  <si>
    <t>Lucas L7</t>
  </si>
  <si>
    <t>The Lucas L7, also called the L 7 and L-7, is a French amateur-built aircraft that was designed by Emile Lucas of Lagny-le-Sec. The aircraft is supplied in the form of plans for amateur construction.[1][2] The L7 features a strut-braced high-wing, a two-seats-in-side-by-side configuration enclosed cockpit with doors for access, fixed main tricycle landing gear with a retractable nosewheel and a single engine in tractor configuration.[1][2] The aircraft is made from sheet aluminum. Its 10 m (32.8 ft) span wing has an area of 12 m2 (130 sq ft) and mounts both flaps and leading edge slots for STOL performance. The standard engine used is the 118 hp (88 kW) Lycoming O-235 four-stroke powerplant which provides a cruise speed of 175 km/h (109 mph).[1][2] Reviewers Roy Beisswenger and Marino Boric described the design in a 2015 review as have a "somewhat boxy shape".[2] Data from Bayerl and tacke[1][2]General characteristics Performance</t>
  </si>
  <si>
    <t>Amateur-built aircraft</t>
  </si>
  <si>
    <t>https://en.wikipedia.org/Amateur-built aircraft</t>
  </si>
  <si>
    <t>Emile Lucas</t>
  </si>
  <si>
    <t>https://en.wikipedia.org/Emile Lucas</t>
  </si>
  <si>
    <t>10 m (32 ft 10 in)</t>
  </si>
  <si>
    <t>12 m2 (130 sq ft)</t>
  </si>
  <si>
    <t>500 kg (1,102 lb)</t>
  </si>
  <si>
    <t>750 kg (1,653 lb)</t>
  </si>
  <si>
    <t>1 × Lycoming O-235 four cylinder, air-cooled, four stroke aircraft engine, 88 kW (118 hp)</t>
  </si>
  <si>
    <t>175 km/h (109 mph, 94 kn)</t>
  </si>
  <si>
    <t>70 km/h (43 mph, 38 kn)</t>
  </si>
  <si>
    <t>3.5 m/s (690 ft/min)</t>
  </si>
  <si>
    <t>France</t>
  </si>
  <si>
    <t>https://en.wikipedia.org/France</t>
  </si>
  <si>
    <t>120 litres (26 imp gal; 32 US gal)</t>
  </si>
  <si>
    <t>190 km/h (120 mph, 100 kn)</t>
  </si>
  <si>
    <t>2-bladed netal</t>
  </si>
  <si>
    <t>Plans available (2012)</t>
  </si>
  <si>
    <t>62.5 kg/m2 (12.8 lb/sq ft)</t>
  </si>
  <si>
    <t>MAC Mamba</t>
  </si>
  <si>
    <t>Stress Engineer Merv Reed The MAC Mamba, Mamba Range is an Australian two-seat light aircraft designed and built by the Melbourne Aircraft Corporation.[2] The Mamba is a strut-braced, high-wing monoplane designed over two years and first flown on 25 January 1989. It has fixed tricycle landing gear and is powered by a 116 hp (87 kW) Lycoming O-235 flat-four piston engine. It has an enclosed glazed cabin with side-by-side configuration seating for two. The fuselage is constructed of welded steel tubing with stressed aluminum skin.[1] It was intended to introduce four-seat and military versions of the Mamba.[2] The military version was built under contract by Australian Aircraft Industries as the AA-2S Mamba powered by an IO-360.[citation needed] Data from Jane's All the World's Aircraft 1989-90[2]General characteristics Performance   Aircraft of comparable role, configuration, and era    This article on an aircraft of the 1990s is a stub. You can help Wikipedia by expanding it.</t>
  </si>
  <si>
    <t>Two-seat light cabin monoplane</t>
  </si>
  <si>
    <t>https://en.wikipedia.org/Two-seat light cabin monoplane</t>
  </si>
  <si>
    <t>Melbourne Aircraft Corporation (Mamba Aircraft Company)Australian Aircraft Industries</t>
  </si>
  <si>
    <t>https://en.wikipedia.org/Melbourne Aircraft Corporation (Mamba Aircraft Company)Australian Aircraft Industries</t>
  </si>
  <si>
    <t>Jess Smith[1] Stress Engineer Merv Reed</t>
  </si>
  <si>
    <t>7.00 m (22 ft 11.5 in)</t>
  </si>
  <si>
    <t>8.68 m (28 ft 5.75 in)</t>
  </si>
  <si>
    <t>10.13 m2 (109.04 sq ft)</t>
  </si>
  <si>
    <t>680 kg (1,499 lb)</t>
  </si>
  <si>
    <t>1 × Lycoming O-235-N2C flat-four piston engine , 86 kW (116 hp)</t>
  </si>
  <si>
    <t>7.6 m/s (1,500 ft/min)</t>
  </si>
  <si>
    <t>2.38 m (7 ft 9.75 in)</t>
  </si>
  <si>
    <t>250 km/h (155 mph, 135 kn)</t>
  </si>
  <si>
    <t>development continuing</t>
  </si>
  <si>
    <t>5 hours 42 minutes</t>
  </si>
  <si>
    <t>civil and military</t>
  </si>
  <si>
    <t>Maestranza Central de Aviación HF XX-02</t>
  </si>
  <si>
    <t>The Maestranza Central de Aviación HF XX-02 was a military trainer aircraft developed in Chile in the 1950s.[1] Designed by Hugo Fuentes[2] (hence the HF in the designation),[2] the HF XX-02 was a conventional, low-wing cantilever monoplane of mixed construction with fixed tailwheel undercarriage.[2] The pilot and instructor sat side by side.[2] Two prototypes were constructed at El Bosque Air Base, designated XX-02 and XX-02B.[3] Development was abandoned due to difficulties maneuvering at lower altitudes, which in one case, led to a crash in which the instructor was killed while attempting to land after a tight turn at low altitude. The design was subsequently refined by Francisco Bravo[2] and an improved version, the HFB XX-02 flew in 1958 powered by a Continental O-470 engine in place of the Ranger L-440 that powered the original.[2] Data from The Illustrated Encyclopedia of Aircraft p.1997General characteristics Performance</t>
  </si>
  <si>
    <t>Military trainer</t>
  </si>
  <si>
    <t>https://en.wikipedia.org/Military trainer</t>
  </si>
  <si>
    <t>Maestranza Central de Aviación</t>
  </si>
  <si>
    <t>https://en.wikipedia.org/Maestranza Central de Aviación</t>
  </si>
  <si>
    <t>Hugo Fuentes</t>
  </si>
  <si>
    <t>https://en.wikipedia.org/Hugo Fuentes</t>
  </si>
  <si>
    <t>Two, pilot and instructor</t>
  </si>
  <si>
    <t>6.60 m (21 ft 8 in)</t>
  </si>
  <si>
    <t>10.10 m (33 ft 2 in)</t>
  </si>
  <si>
    <t>16.0 m2 (172 sq ft)</t>
  </si>
  <si>
    <t>760 kg (1,675 lb)</t>
  </si>
  <si>
    <t>1,060 kg (2,337 lb)</t>
  </si>
  <si>
    <t>1 × Continental O-470-B , 168 kW (225 hp)</t>
  </si>
  <si>
    <t>800 km (500 mi, 430 nmi)</t>
  </si>
  <si>
    <t>Chile</t>
  </si>
  <si>
    <t>2.15 m (7 ft 1 in)</t>
  </si>
  <si>
    <t>195 km/h (121 mph, 105 kn)</t>
  </si>
  <si>
    <t>4,570 m (15,000 ft)</t>
  </si>
  <si>
    <t>MSL Aero H80</t>
  </si>
  <si>
    <t>The MSL Aero H80 is a French ultralight aircraft that was designed by Massimo Tedesco and Sebastian Lefebre and produced by MSL Aero of Limoges-Fourches.[1][2] The company seem to have gone out of business in early 2015 and production ended.[3] The aircraft was designed to comply with the Fédération Aéronautique Internationale microlight rules. It features a strut-braced high-wing, a two-seats-in-side-by-side configuration enclosed cockpit, fixed tricycle landing gear and a single engine in tractor configuration.[1][2] The aircraft is made from sheet aluminum. Its 8.60 m (28.2 ft) span wing has an area of 10.6 m2 (114 sq ft) and flaps. The wing is supported by V-struts and jury struts. Standard engines available are the 80 hp (60 kW) Rotax 912UL and the 100 hp (75 kW) Rotax 912ULS four-stroke powerplants.[1][2] Data from Bayerl and Tacke [1][2]General characteristics Performance</t>
  </si>
  <si>
    <t>MSL Aero</t>
  </si>
  <si>
    <t>https://en.wikipedia.org/MSL Aero</t>
  </si>
  <si>
    <t>Massimo Tedesco and Sebastian Lefebre</t>
  </si>
  <si>
    <t>8.60 m (28 ft 3 in)</t>
  </si>
  <si>
    <t>10.6 m2 (114 sq ft)</t>
  </si>
  <si>
    <t>280 kg (617 lb)</t>
  </si>
  <si>
    <t>58 km/h (36 mph, 31 kn)</t>
  </si>
  <si>
    <t>5.6 m/s (1,100 ft/min)</t>
  </si>
  <si>
    <t>87 litres (19 imp gal; 23 US gal)</t>
  </si>
  <si>
    <t>210 km/h (130 mph, 110 kn)</t>
  </si>
  <si>
    <t>44.6 kg/m2 (9.1 lb/sq ft)</t>
  </si>
  <si>
    <t>Marske Pioneer</t>
  </si>
  <si>
    <t>The Marske Pioneer is a family of American, single-seat, mid-wing, tailless gliders that was designed by Jim Marske. The Pioneer II version was available as plans and in kit form from Marske Aircraft Corporation for amateur construction.[2][3][4] The first Pioneer began as an aircraft construction project of Walt MacFarlane in 1965, but he did not complete the aircraft. The partially completed project was purchased by Bill Daniels and Jim Marske in 1967, who completed it and first flew the aircraft in 1968. That prototype, serial number 1, registered N7910 was still registered to Daniels in 2011.[2][3][5] In its original configuration the Pioneer had a 40 ft (12.2 m) wingspan. The aircraft was constructed with a wood and doped fabric wing, with the fuselage made from steel tube and fiberglass. The design features a fixed monowheel landing gear, flaps for glide-path control and spoilers for roll control instead of the more usual ailerons.[3][4] The original Pioneer was modified with wing extensions, bringing the span to 46 ft (14.0 m) and it was re-designated the Pioneer IA. In this configuration the aircraft can fly as slowly as 28 kn (52 km/h) or as fast as 140 kn (259 km/h).[2][3] The original design was simplified for homebuilt construction, retaining the wood and fabric wing construction, but the fuselage was changed to a fiberglass structure. The wingspan was shortened to 42.64 ft (13.0 m) to allow the wings to be built in a standard 20 ft (6.1 m) deep garage. Unlike on the original design, roll control was changed to ailerons, with upper surface spoilers paired with lower surface dive brakes for glidepath control. Because the aircraft is tailless the centre of gravity range is very narrow. To simplify weight and balance considerations the monowheel landing gear is located on the desired C of G and the pilot's seat is adjustable fore-and-aft. The pilot simply moves the seat until the aircraft balances on the wheel to ensure that the balance is within the center-of-gravity range. The empty weight is 390 lb (177 kg) with a gross weight of 630 lb (286 kg). The aircraft manages a 35:1 glide ratio and a minimum sink of 2.26 ft/s (0.69 m/s).[2][3] Starting in 1972 the Pioneer II was made available as plans or as a kit. The kit included a pre-made fiberglass fuselage shell. Reported building times range from 600 to 2000 hours. At least one Pioneer II was modified with a 45.93 ft (14.0 m) wingspan.[2][3] Marske has built a prototype Pioneer III, an all-composite variant of the basic design. The Pioneer III is intended to be 100 lb (45 kg) lighter than the Pioneer II, produce a 20% drag reduction and be optimized for flight in weak lift conditions.[6] Pioneer IIs have made flights of over 300 mi (483 km).[3] In March 2011 there were seven Pioneer IIs registered in the US, along with the original Pioneer IA and the prototype Pioneer 3.[7][8] In March 2011 there were four Pioneer IIs registered in Canada.[9] Data from Jane's All the World's Aircraft 1988-89[1]General characteristics Performance</t>
  </si>
  <si>
    <t>//upload.wikimedia.org/wikipedia/commons/thumb/e/e3/Pioneer_IId_talihina.jpg/300px-Pioneer_IId_talihina.jpg</t>
  </si>
  <si>
    <t>Marske Aircraft Corporation</t>
  </si>
  <si>
    <t>https://en.wikipedia.org/Marske Aircraft Corporation</t>
  </si>
  <si>
    <t>1 (Pioneer I) at least 16 (Pioneer II)[1]</t>
  </si>
  <si>
    <t>https://en.wikipedia.org/Marske XM-1</t>
  </si>
  <si>
    <t>12 ft 6 in (3.81 m)</t>
  </si>
  <si>
    <t>46 ft 0 in (14.02 m)</t>
  </si>
  <si>
    <t>144 sq ft (13.4 m2)</t>
  </si>
  <si>
    <t>360 lb (163 kg)</t>
  </si>
  <si>
    <t>650 lb (295 kg)</t>
  </si>
  <si>
    <t>6 ft 6 in (1.98 m)</t>
  </si>
  <si>
    <t>modified root</t>
  </si>
  <si>
    <t>113 kn (130 mph, 209 km/h) in rough and smooth air</t>
  </si>
  <si>
    <t>+5.3 -2.65</t>
  </si>
  <si>
    <t>4.5 lb/sq ft (22 kg/m2)</t>
  </si>
  <si>
    <t>140 ft/min (0.7 m/s) *Minimum sink speed</t>
  </si>
  <si>
    <t>87 kn; 100 mph (161 km/h)</t>
  </si>
  <si>
    <t>61 kn; 70 mph (113 km/h)</t>
  </si>
  <si>
    <t>52 kn; 60 mph (97 km/h)</t>
  </si>
  <si>
    <t>Martin-Handasyde No. 3</t>
  </si>
  <si>
    <t>The Martin Handasyde No.3 was an early British  single-seat monoplane design, built in partnership by H.P. Martin and George Handasyde. Only one was built. The  Martin-Handasyde No.3 bore a strong resemblance to the Antoinette monoplanes, with a slender  wood-covered triangular section fuselage, and tapered wings which were braced by mid-span kingposts.  Lateral control was by wing-warping and the angle of incidence of the wings varied from 5° at the wing root to zero at the tip.  The undercarriage consisted of a pair of wheels on a cross-axle supplemented by a forward-projecting curved skid.  It was initially powered by a 60 hp (45 kW) Antoinette V-8 engine. This was later changed for a 40 hp (30 kW) J.A.P.[1] It was first flown at Brooklands by H.P. Martin during November 1910, and was flown throughout 1912 by Graham Gilmour, who was eventually killed in the aircraft when it suffered a mid-air structural failure over Richmond Park on 17 February 1912.[1] A two-seater version of the aircraft, the Martin Handasyde 4B, also called the Dragonfly, with a wingspan of 37 ft (11 m) was built for Thomas Sopwith and was displayed at the 1911 Aero Show at Olympia. Data from Lewis[1]General characteristics Performance</t>
  </si>
  <si>
    <t>//upload.wikimedia.org/wikipedia/commons/thumb/f/fb/Martin-Handasyde_4B_Dragonfly.jpg/300px-Martin-Handasyde_4B_Dragonfly.jpg</t>
  </si>
  <si>
    <t>Sports aircraft</t>
  </si>
  <si>
    <t>Martin-Handasyde</t>
  </si>
  <si>
    <t>https://en.wikipedia.org/Martin-Handasyde</t>
  </si>
  <si>
    <t>One</t>
  </si>
  <si>
    <t>28 ft 0 in (8.53 m)</t>
  </si>
  <si>
    <t>32 ft 0 in (9.75 m)</t>
  </si>
  <si>
    <t>175 sq ft (16.3 m2)</t>
  </si>
  <si>
    <t>560 lb (254 kg)</t>
  </si>
  <si>
    <t>1 × J.A.P. , 40 hp (30 kW)</t>
  </si>
  <si>
    <t>60 mph (97 km/h, 52 kn)</t>
  </si>
  <si>
    <t>2-bladed, 7 ft 0 in (2.13 m) diameter</t>
  </si>
  <si>
    <t>Medway Av8R</t>
  </si>
  <si>
    <t>The Medway Av8R (English: Aviator) is a British ultralight trike designed and produced by Medway Microlights. The aircraft is supplied fully factory-built.[1][2][3] The aircraft was designed as a touring trike, to comply with the Fédération Aéronautique Internationale microlight category, including the category's maximum gross weight of 450 kg (992 lb). The aircraft has a maximum gross weight of 415 kg (915 lb). The Av8R is certified to the British BCAR Section "S" standard. It features a cable-braced hang glider-style high-wing, weight-shift controls, a two-seats-in-tandem open cockpit, tricycle landing gear and a single engine in pusher configuration.[1][2] The aircraft is made from tubing, with its double-surface Raven wing covered in Dacron sailcloth. Its 11.0 m (36.1 ft) span wing is supported by a single tube-type kingpost and uses an "A" frame control bar. The carriage features a cockpit fairing with a windshield and wheel spats. The seats and engine mount are fixed and the wing's mast folds down into a slot in the carriage for rigging and storage. Hydraulic brakes are standard equipment. The engines available are the four-cylinder, four-stroke 60 kW (80 hp) Rotax 912UL and the 74.5 kW (100 hp) Rotax 912ULS.[1][2][3] Data from Bertrand and Bayerl[1][2]General characteristics Performance</t>
  </si>
  <si>
    <t>Medway Microlights</t>
  </si>
  <si>
    <t>https://en.wikipedia.org/Medway Microlights</t>
  </si>
  <si>
    <t>11.0 m (36 ft 1 in)</t>
  </si>
  <si>
    <t>15.0 m2 (161 sq ft)</t>
  </si>
  <si>
    <t>415 kg (915 lb)</t>
  </si>
  <si>
    <t>1 × Rotax 912UL four-stroke, four-cylinder aircraft engine, 60 kW (80 hp)</t>
  </si>
  <si>
    <t>100 km/h (62 mph, 54 kn)</t>
  </si>
  <si>
    <t>4.1 m/s (810 ft/min)</t>
  </si>
  <si>
    <t>80 litres (18 imp gal; 21 US gal)</t>
  </si>
  <si>
    <t>129 km/h (80 mph, 70 kn)</t>
  </si>
  <si>
    <t>In production (2013)</t>
  </si>
  <si>
    <t>27.7 kg/m2 (5.7 lb/sq ft)</t>
  </si>
  <si>
    <t>Miles Mohawk</t>
  </si>
  <si>
    <t>The Miles M.12 Mohawk was a 1930s British two-seat, tandem cabin monoplane built by Phillip &amp; Powis Aircraft (later to become Miles Aircraft) to the order of Charles Lindbergh in 1936. After being used by Lindbergh in Europe it was impressed into service with Royal Air Force as a communications aircraft in 1941. In 1936, after Lindbergh had moved to England, he asked  George Herbert Miles to build a fast, long-range machine for use between the various capitals. As a result of close co-operation between the pilot and designer, a first-class design was produced.[1] The M.12 Mohawk followed earlier Miles Nighthawk and Miles Hawcon designs and practice in having a low wing cantilever monoplane design of spruce structure covered in plywood. The centre section had no dihedral and of constant section, with outer sections having dihedral and taper towards the tip. The fuselage was similarly a spruce structure with plywood covering. The M.12 was a conventional taildragger with fixed main wheels, each encased in an aerodynamic fairing beneath the wing and featuring a tail wheel. As a purpose-built aircraft to Lindbergh's specifications and in incorporating an American 200 hp Menasco Buccaneer B6S engine to the classic Miles low-wing configuration,[2] the M.12 was distinctly an Anglo-American machine.[3] A second set of Miles M.12 wings were used in the M.7A hybrid.[4] The M.12 was registered G-AEKW on 17 July 1936 but it first flew on 22 August 1936, wearing the test serial U8.[5]  The Mohawk received its certificate of airworthiness on 28 January 1937 and started a series of test flights, including flights by Lindbergh.[5]  On 1 February 1937, the aircraft was officially handed over to Lindbergh at a ceremony at Woodley.[5]  As soon as the aircraft was handed over, Lindbergh and his wife departed in it on a trip to India.[5] In the following few years, the Lindberghs flew the aircraft all over Europe until Charles Lindbergh flew it in to Woodley on 4 April 1939, placing the aircraft in storage as Lindbergh returned to the America.[5] In August 1939, the aircraft was inspected by the Air Ministry for possible impressment into military service. On 31 October 1941, it was impressed into service with the Royal Air Force and given the military serial number HM503. The aircraft was delivered to RAF Turnhouse in Scotland on 8 November 1941.[5] Following the installation of a Fairey-Reed propeller in May 1943, it was delivered to RAF Andover for use by the Maintenance Command Communications Squadron.[5] The M.12 was little used because of difficulties with the Menasco Buccaneer engine, and when the squadron moved to Babdown Farm, they left the Mohawk at Andover.[5] In February 1944, the aircraft was delivered to No. 5 Maintenance Unit at RAF Kemble for storage and was not flown by the RAF again.[5] In May 1946, the Mohawk was bought by Southern Aircraft (Gatwick) Limited and following refurbishment was advertised for sale in July 1947.[5] In August 1947, the Mohawk was flown into second place at the Folkstone Trophy Air Race at a speed of 138.5 mph.[5] By October 1949, the aircraft was owned by Bruno Pini who along with Neville Browning flew it to North Africa to participate in the Oran International Rally.[5] On 1 January 1950, on the journey home, they were forced to land the aircraft in Spain. Although the aircraft had little damage, it was abandoned, with the pair returning to England. The Miles Mohawk was not to fly again.[5] In 1973, the Miles Mohawk was discovered in a junkyard near Seville and was rescued by Lew Casey, a curator at the Smithsonian National Air &amp; Space Museum, and taken to the America for restoration.[5] After many moves and a slow restoration effort, Casey decided to donate the Mohawk to the Royal Air Force Museum.[5] In October 2002, the aircraft was shipped to the United Kingdom and the museum began restoring the aircraft for static display.[5] In August 2008, the restored aircraft was put on display at the "Milestones of Flight" exhibition at the RAF Museum Hendon.[5] Data from [6]General characteristics Performance Related development Aircraft of comparable role, configuration, and era  Related lists</t>
  </si>
  <si>
    <t>//upload.wikimedia.org/wikipedia/commons/thumb/b/b0/Miles_m12_mohawk.jpg/300px-Miles_m12_mohawk.jpg</t>
  </si>
  <si>
    <t>Civil touring aircraft, trainer</t>
  </si>
  <si>
    <t>Phillips &amp; Powis Aircraft</t>
  </si>
  <si>
    <t>https://en.wikipedia.org/Phillips &amp; Powis Aircraft</t>
  </si>
  <si>
    <t>G.H. Miles</t>
  </si>
  <si>
    <t>25 ft 6 in (7.77 m)</t>
  </si>
  <si>
    <t>35 ft (11 m)</t>
  </si>
  <si>
    <t>182.75 sq ft (16.978 m2)</t>
  </si>
  <si>
    <t>1,605 lb (728 kg)</t>
  </si>
  <si>
    <t>2,700 lb (1,225 kg)</t>
  </si>
  <si>
    <t>1 × Menasco Buccaneer B6S air-cooled inverted 6-cylinder inline engine, 200 hp (150 kW)</t>
  </si>
  <si>
    <t>170 mph (270 km/h, 150 kn) [7]</t>
  </si>
  <si>
    <t>190 mph (310 km/h, 170 kn) [7]</t>
  </si>
  <si>
    <t>On display</t>
  </si>
  <si>
    <t>Charles LindberghRoyal Air Force</t>
  </si>
  <si>
    <t>https://en.wikipedia.org/Charles LindberghRoyal Air Force</t>
  </si>
  <si>
    <t>Magni M-16 Tandem Trainer</t>
  </si>
  <si>
    <t>The Magni M-16 Tandem Trainer is an Italian sport autogyro, seating two in tandem, designed and produced by Magni Gyro srl of Besnate. It and the M-22 Voyager,  a touring variant with baggage space and increased endurance, remain in production in 2010 with over 150 sold. Magni Gyro currently (2010) produces five sport autogyro models, all with similar pod and low boom, pusher engine layouts.  They differ chiefly in the accommodation: both the M-16 and the newer, closely similar M-22 Voyager have open cockpits and tandem seats.[1] An 85 kW (114 hp) Rotax 914UL flat four engine is mounted high and uncowled behind the pod, driving a 3-bladed pusher propeller. Below it the slender flat-sided boom carries the fibreglass empennage, which consists of a swept horizontal stabilizer with end-plate fins and a larger, central, fin and rudder.  The 2-bladed rotor, mounted on a mast above the pod, is of composite construction. The open cockpits are fitted with dual controls. The M-16 has a tricycle undercarriage with the faired mainwheels on spring cantilever legs.  The steerable nosewheel is unfaired.[1] The newer M-22 is optimised for touring with the inclusion of a pair of long side pods into the lower fuselage.  These have their own access doors and together provide 150 L (5.3 cu ft) of baggage space. The M-22 is flown only from the front seat.[1] By mid-2010 there were 114 M-16s and 44 M-22s on European (Russia excluded) civil aviation registers.[2][3] At least 6 have appeared on the registers of South Africa and the US.[4] Most have been used as sports and recreational aircraft but some have been employed in agricultural spraying and survey work over nature reserves, traffic observation, fire prevention and photographic mapping.[5] In 2015, an M-16 was used for a record attempt in USA.[6][7]  In May 2016 American pilot Paul Salmon flew an M-22 to set a new Fédération Aéronautique Internationale distance record for gyroplanes in the 500 to 1,000 kg (1,102 to 2,205 lb) class of 770 nmi (1,426 km) in 10 hours and 37 minutes, during a nonstop flight from Cape Girardeau, Missouri, to Longview, Texas, America.[8] In 2019 UK pilot James Ketchell flew an M-16C around the world, in 122 stages over 175 days.[9] Data from Jane's All the World's Aircraft 2010/11[1] except where specified. Data from Jane's All the World's Aircraft 2010/11[1]General characteristics Performance</t>
  </si>
  <si>
    <t>//upload.wikimedia.org/wikipedia/commons/thumb/3/35/Magni.JPG/300px-Magni.JPG</t>
  </si>
  <si>
    <t>Two seat autogyro</t>
  </si>
  <si>
    <t>Magni Gyro srl, Besnate</t>
  </si>
  <si>
    <t>https://en.wikipedia.org/Magni Gyro srl, Besnate</t>
  </si>
  <si>
    <t>M-16&gt;120; M-22&gt;44</t>
  </si>
  <si>
    <t>4.70 m (15 ft 5 in) overall</t>
  </si>
  <si>
    <t>261 kg (575 lb)</t>
  </si>
  <si>
    <t>450 kg (992 lb) European ultralight limit (USA</t>
  </si>
  <si>
    <t>1 × Rotax 914UL turbocharged flat four, 85 kW (114 hp)</t>
  </si>
  <si>
    <t>480 km (300 mi, 260 nmi) no reserves</t>
  </si>
  <si>
    <t>5.0 m/s (980 ft/min) at sea level</t>
  </si>
  <si>
    <t>Italy</t>
  </si>
  <si>
    <t>{'M-16 Tandem Trainer': 'itial version. Normally powered by a Rotax 914UL, but a 74\xa0kW (99\xa0hp) Rotax 912 ULS may be fitted. Introduced 2000.', 'M-16-2006 Tandem Trainer': 'proved lubrication, cooling, centre of gravity position and avionics. Introduced 2006.', 'M-19 Shark': 'closed cockpit version.[10] Only three prototypes built, no production.[11]', 'M-22 Voyager': 'uring version with baggage space.  An increase in fuel capacity to 80 L (17.6 Imp gal or 21.1 US gal) gives it an endurance of 4 hrs.  Other specifications are as M-16 apart from an empty weight increase to 280\xa0kg (617\xa0lb).[Notes 1] Introduced June 2005.'}</t>
  </si>
  <si>
    <t>2.70 m (8 ft 10 in)</t>
  </si>
  <si>
    <t>72 L (15.8 Imp gal; 19.0 US gal)</t>
  </si>
  <si>
    <t>185 km/h (115 mph, 100 kn)</t>
  </si>
  <si>
    <t>3,500 m (11,500 ft) service</t>
  </si>
  <si>
    <t>3-bladed Arplast, ground adjustable pitch, 1.70 m (5 ft 7 in) diameter</t>
  </si>
  <si>
    <t>8.23 m (27 ft 0 in)</t>
  </si>
  <si>
    <t>53.20 m2 (572.6 sq ft) [Notes 1]</t>
  </si>
  <si>
    <t>MSW Votec 221</t>
  </si>
  <si>
    <t>The MSW Votec 221 is a single engine, single seat kitbuilt light-sport aircraft, designed and built in Switzerland. The Votec 221 is a single seat, low wing monoplane, designed for engines in the power range 90-180 kW (120-240 hp). The first prototype, completed in 2009, has a 157 kW (210 hp) Lycoming AEIO-390 flat-four engine and the second, finished the following year, a 134 kW (180 hp) engine. MSW's numerical designation has two digits indicating power in hp/10, followed by the number of seats, suggesting an optimum 220 hp power unit.[1] Externally, the Votec 221 resembles a scaled down (span, 80%) MSW Votec 351. It has low aspect ratio straight tapered wings with blunt, almost square tips. Ailerons are assisted by external spades. The empennage is also straight tapered, with a forward set tailplane mounted on top of the fuselage, far enough forward on the fin to require only a small cut-out for movement of the deep rudder. Both elevators have trim tabs and the rudder is horn balanced. The cockpit, placed over the wing, is covered with a single piece, starboard hinged canopy. Like the Votec 351, the 321 has a conventional undercarriage. The mainwheels are mounted on curved, sprung cantilever legs and enclosed by long fairings. It has a steerable tailwheel on a long cantilever.[1] The first prototype is Swiss-registered and the second German, the latter appearing at Aero 2011, held at Friedrichshafen that April.[1] First flight dates were not released by late 2011 but the first prototype was certainly flying by late May 2012.[2] A full scale non-flying mock up has also been exhibited.[1] Data from Jane's All the World's Aircraft 2012-13[1]General characteristics Performance</t>
  </si>
  <si>
    <t>//upload.wikimedia.org/wikipedia/commons/thumb/a/a2/RIAS_2014_Hamilton_Votec_221.jpg/300px-RIAS_2014_Hamilton_Votec_221.jpg</t>
  </si>
  <si>
    <t>Single seat homebuilt light-sport aircraft</t>
  </si>
  <si>
    <t>https://en.wikipedia.org/Single seat homebuilt light-sport aircraft</t>
  </si>
  <si>
    <t>MSW Aviation</t>
  </si>
  <si>
    <t>https://en.wikipedia.org/MSW Aviation</t>
  </si>
  <si>
    <t>5.66 m (18 ft 7 in)</t>
  </si>
  <si>
    <t>5.85 m (19 ft 2 in)</t>
  </si>
  <si>
    <t>7.10 m2 (76.4 sq ft)</t>
  </si>
  <si>
    <t>420 kg (926 lb)</t>
  </si>
  <si>
    <t>1 × Lycoming AEIO-390 flat-four engine, 160 kW (210 hp)</t>
  </si>
  <si>
    <t>1,398 km (869 mi, 755 nmi)</t>
  </si>
  <si>
    <t>Switzerland</t>
  </si>
  <si>
    <t>https://en.wikipedia.org/Switzerland</t>
  </si>
  <si>
    <t>3-bladed MT-Propeller MTV-12-B-C.C183-17e, 2.03 m (6 ft 8 in) diameter (diameter from[5])</t>
  </si>
  <si>
    <t>10/-10</t>
  </si>
  <si>
    <t>84.54 kg/m2 (17.32 lb/sq ft) maximum</t>
  </si>
  <si>
    <t>Martin N2M</t>
  </si>
  <si>
    <t>The Martin N2M was a prototype American primary training biplane, built for the America Navy by the Glenn L. Martin Company. It was never accepted by the Navy and only the prototype was built.[1] The prototype was designated N2M-1 by the America Navy, and it first flew in 1924.[2] The N2M-1 was based on the Martin 66 Night Mail and was a biplane powered by a 200 hp (149 kW) Wright-Hisso E-4 engine. It had two open cockpits in tandem for a crew of two.[2] Data from [2]General characteristics Performance     Related lists</t>
  </si>
  <si>
    <t>//upload.wikimedia.org/wikipedia/commons/thumb/e/ea/Martin_N2M-1.jpg/300px-Martin_N2M-1.jpg</t>
  </si>
  <si>
    <t>Military training biplane</t>
  </si>
  <si>
    <t>https://en.wikipedia.org/Military training biplane</t>
  </si>
  <si>
    <t>Martin</t>
  </si>
  <si>
    <t>https://en.wikipedia.org/Martin</t>
  </si>
  <si>
    <t>two</t>
  </si>
  <si>
    <t>27 ft 10 in (8.48 m)</t>
  </si>
  <si>
    <t>41 ft 0 in (12.50 m)</t>
  </si>
  <si>
    <t>1 × Wright-Hisso E-4 , 200 hp (150 kW)</t>
  </si>
  <si>
    <t>112 mph (180 km/h, 97 kn)</t>
  </si>
  <si>
    <t>19,000 ft (5,800 m)</t>
  </si>
  <si>
    <t>Martinsyde F.1</t>
  </si>
  <si>
    <t>The Martinsyde F.1 was a British two-seat biplane fighter designed and built by Martinsyde Limited, only two prototypes were built.[1] The F.1 was designed as a fighter for the Royal Flying Corps and it was a large tractor biplane powered by a 250 hp (186 kW) Rolls-Royce Mk III piston engine.[1] It had two tandem open cockpits with unusually the observer forward and the pilot behind.[1] A rectangular aperture was cut-out of the upper wing  above the observer's cockpit which would allow the observer to use a gun.[2] It was tested at Martlesham Heath in July 1917, where it demonstrated good handling but was criticised for the awkward crew arrangement.[2] It was not ordered into production and only one prototype (of two ordered) was built. It continued in use at Farnborough until after the end of the war.[1][3][4] Data from War Planes of the First World War: Volume 1 Fighters[3]General characteristics Performance Armament</t>
  </si>
  <si>
    <t>//upload.wikimedia.org/wikipedia/commons/thumb/e/ee/Martinsyde_F1.jpg/300px-Martinsyde_F1.jpg</t>
  </si>
  <si>
    <t>Biplane fighter aircraft</t>
  </si>
  <si>
    <t>https://en.wikipedia.org/Biplane fighter aircraft</t>
  </si>
  <si>
    <t>29 ft 1 in (8.86 m)</t>
  </si>
  <si>
    <t>467 sq ft (43.4 m2)</t>
  </si>
  <si>
    <t>2,198 lb (997 kg)</t>
  </si>
  <si>
    <t>3,260 lb (1,479 kg)</t>
  </si>
  <si>
    <t>1 × Rolls-Royce Mk III water-cooled V-12 engine, 250 hp (190 kW)</t>
  </si>
  <si>
    <t>109.5 mph (176.2 km/h, 95.2 kn) at 6,500 ft (1,980 m)</t>
  </si>
  <si>
    <t>16,500 ft (5,000 m)</t>
  </si>
  <si>
    <t>Royal Flying Corps</t>
  </si>
  <si>
    <t>https://en.wikipedia.org/Royal Flying Corps</t>
  </si>
  <si>
    <t>3 hr 45 min</t>
  </si>
  <si>
    <t>44 ft 6 in (13.56 m)</t>
  </si>
  <si>
    <t>44 ft 2 in (13.46 m)</t>
  </si>
  <si>
    <t>13 min 40 s to 10,000 ft (3,050 m)</t>
  </si>
  <si>
    <t>Possibly 1× Lewis gun operated by observer</t>
  </si>
  <si>
    <t>Miles Gemini</t>
  </si>
  <si>
    <t>The Miles M.65 Gemini was a British twin-engined four-seat touring aircraft designed and built by Miles Aircraft at Woodley Aerodrome. It was the last Miles aircraft to be produced in quantity.[2] Development of the Gemini was conducted at a rapid pace following the end of the Second World War, the company being keen to bring its new designs to the postwar civil aviation sector. The speed of development was greatly bolstered by basing the design on the single-engined Miles Messenger. First flying on 26 October 1945, the company's confidence in the aircraft was such that sales demonstrations using the prototype started only days later, while efforts to commence large scale production were started immediately. Within its first year of availability, 130 Geminis had been sold, proving its popularity. It performance was such that it became a successful racing aircraft, with one example alone winning numerous competitions. The company endeavoured to introduce numerous improvements upon the type, along with early work to produce a successor to the Gemini. However, these ambitions were cut short by the company's collapse after its bankruptcy in 1947. While efforts to revive production were made, including the development of the improved Miles M.75 Aries, the type was never able to regain momentum. In the aftermath of the Second World War, the Air Ministry relinquished much of its wartime control over the British aircraft manufacturing sector; one such manufacturer, Miles Aircraft, was particularly keen to rapidly pursue its own endeavours that were largely orientated towards the civil aviation market.[3] George Miles recognised that there was a vacant niche in this market for a modern twin engined aircraft, and observed that the company could readily develop a derivative of the existing single-engined Miles Messenger that could ideally fit the envisioned role. Deciding to proceed, development proved to be relatively straightforward and progress was made rapidly.[3] On 26 October 1945, the prototype Gemini performed its maiden flight; it was initially flown with a temporary fixed undercarriage, unlike future aircraft that featured a retractable arrangement instead.[3] Pilots reported that the type was pleasant to fly from the onset. There were relatively few issues encountered with the prototype; while there was an airflow issue discovered that negatively affected three point landings, this was rapidly resolved via the addition of leading edge slats between the fuselage and the engine nacelles.[4] Such was the company's confidence that the prototype was first used to perform flying demonstrations to potential customers only days following its first flight.[5] The Gemini was put into large scale production straight away; it was also recognised that the superior performance of the type had eliminated for the Miles Mercury, thus production plans for the latter were abandoned in favour of concentrating the company's resources on the Gemini.[2] Such was the market's positive response to the type that 130 Geminis had been sold within its first year of availability. It would in fact be the last Miles-designed aircraft to attain large scale production.[2] While the company had commenced work on developing a Gemini successor, wider events would derail such ambitions.[1] Miles, recognising the value of the Gemini in its lineup, sought to further develop and improve the type. However, even as the company was finalising work on numerous improvements, including the adoption of new engines, the firm was forced to declare bankruptcy due to the poor state of its finances.[6] Following the collapse of the company during 1947 and the subsequent purchase of the Reading aircraft factory and other assets by rival aircraft manufacturer Handley Page, eight aircraft that had not been completed were assembled; two by Handley Page at Woodley in 1950, five by Wolverhampton Aviation at Pendeford Aerodrome in 1951, and one by F. G. Miles Limited at Redhill Aerodrome.[7] The Gemini was a four-seat low-wing cantilever monoplane developed for civil transport duties. It was primarily built from plastic-bonded plywood construction.[3] It was furnished with a one-piece wing that was fitted with non-retractable auxiliary aerofoil flaps. Various aspects of the Gemini were shared with the Messenger; while a similar tail unit was one such shared feature, the Gemini had only twin vertical tail units instead of the more complex triple arrangement of the Messenger as the higher wing loading and elevated landing speed raised of the latter made the twin arrangement practical.[3] The flight controls of the Gemini was well-harmonised and remained effective right up to the stall margin; the characteristics of a typical stall were relatively benign as well and free of any tendency to spin while recovery was rapid.[3] The controls were effective to the extent that the final approach could be performed only barely above touch down speed. One of the few adverse handling characteristics was a marked tendency for the aircraft to swing on takeoff, which was easily addressed by the pilot using full rudder and differential throttle settings to counteract.[8] While not typically fitted as such, a handful of Geminis were outfitted with dual controls.[9] Originally powered by 90 hp (67,5 kW) Blackburn Cirrus Minor engines, the later-built Gemini variants were powered by several different engines.[6] To give the aircraft its relatively long range, the aircraft featured a pair of 15 gallon outboard tanks that supplemented the two 18 gallon tanks that the design shared with the Messenger.[2] The Gemini was frequently promoted by its manufacturer as being the "safest light aeroplane in the world".[10] The Gemini quickly proved to be popular with private owners for touring throughout Europe. In addition, large numbers were exported to Australia, New Zealand, South Africa and numerous other Commonwealth countries. Furthermore, two-thirds of all Geminis that had been initially sold to British customers would be subsequently resold aboard, the type being fairly desirable upon the secondary sales market.[5] During the late 1940s and early 1950s, individual Geminis were frequently entered in air races; in one example, G-AKDC, flown by J.N. 'Nat' Somers AFC, emerged as the victor of the 1949 King's Cup Air Race (a handicapped event) at 164.25 mph; this aircraft was fitted with de Havilland Gipsy Major engines that were rated at 145 hp each.[11][12] Being refitted with even more powerful engines, this same Gemini won several further races, including the Siddeley Trophy in 1953, the Kemsley Trophy in 1954, and the Goodyear Trophy in 1955. The racing motorist Prince Bira of Siam also opted to procure an single aircraft for his own purposes.[6] Several aircraft were used as light business transports by commercial firms, including Shell-Mex &amp; BP, Fairey Aviation and B.K.S Engineering. Other examples were flown by UK independent airlines on light charter work within the British Isles and Europe; the British Overseas Airways Corporation (BOAC) being one such operator. A number were also purchased by the Ministry of Civil Aviation for licence testing and radio calibration work.[5] During 1951, a pair of aircraft were completed by F. G. Miles that were fitted with 155 hp (116 kW) Blackburn Cirrus Major III engines, along with enlarged and heightened fins for better handling during single-engine operations.[13] To reflect the revised design, which gave the aircraft an increased payload amongst other performance changes, they were re-designated Miles M.75 Aries. Although quantity production of this model was not performed, a handful of existing Geminis were retrofitted with some of this changes.[14] Six aircraft are currently registered on the British Civil Aircraft register as of 2017.[17] One Gemini 1A is also active in the Swedish aircraft register. One aircraft, registered ZK-ANT, is on static display in New Zealand at the Museum of Transport &amp; Technology. LN-TAH, Gemini 1A is being restored for static display in the terminal at Kristiansand Airport, Kjevik. This is ex. G-AKKA. Data from British Civil Aircraft 1919-1972: Volume III,[18] Jane's all the World's Aircraft 1947[19]General characteristics Performance  Related development Aircraft of comparable role, configuration, and era</t>
  </si>
  <si>
    <t>//upload.wikimedia.org/wikipedia/commons/thumb/5/55/Miles_Gemini_in_flight.JPG/300px-Miles_Gemini_in_flight.JPG</t>
  </si>
  <si>
    <t>Twin-engined touring aircraft</t>
  </si>
  <si>
    <t>Miles Aircraft</t>
  </si>
  <si>
    <t>https://en.wikipedia.org/Miles Aircraft</t>
  </si>
  <si>
    <t>170[1]</t>
  </si>
  <si>
    <t>Miles Messenger</t>
  </si>
  <si>
    <t>https://en.wikipedia.org/Miles Messenger</t>
  </si>
  <si>
    <t>3 passengers</t>
  </si>
  <si>
    <t>22 ft 3 in (6.78 m)</t>
  </si>
  <si>
    <t>36 ft 2 in (11.02 m)</t>
  </si>
  <si>
    <t>191 sq ft (17.7 m2)</t>
  </si>
  <si>
    <t>3,000 lb (1,361 kg)</t>
  </si>
  <si>
    <t>2 × Blackburn Cirrus Minor II 4-cyl inverted air-cooled in-line piston engines, 100 hp (75 kW)  each</t>
  </si>
  <si>
    <t>130 mph (210 km/h, 110 kn)</t>
  </si>
  <si>
    <t>35 mph (56 km/h, 30 kn)</t>
  </si>
  <si>
    <t>520 mi (840 km, 450 nmi) still air with 36 imp gal (43 US gal; 160 l) fuel</t>
  </si>
  <si>
    <t>870 ft/min (4.4 m/s)</t>
  </si>
  <si>
    <t>15 lb/hp (9.124 kg/kW)</t>
  </si>
  <si>
    <t>7 ft 6 in (2.29 m)</t>
  </si>
  <si>
    <t>36 imp gal (43 US gal; 160 l) in two centre-section tanks + optional 24 imp gal (29 US gal; 110 l) in two cabin tanks; 4 imp gal (4.8 US gal; 18 l) oil</t>
  </si>
  <si>
    <t>150 mph (240 km/h, 130 kn) at 2,800 lb (1,300 kg)</t>
  </si>
  <si>
    <t>13,500 ft (4,100 m)</t>
  </si>
  <si>
    <t>2-bladed fixed-pitch airscrews</t>
  </si>
  <si>
    <t>15.7 lb/sq ft (77 kg/m2) at MTOW</t>
  </si>
  <si>
    <t>5.8 hours</t>
  </si>
  <si>
    <t>https://en.wikipedia.org/26 October 1945</t>
  </si>
  <si>
    <t>1945-1947</t>
  </si>
  <si>
    <t>https://en.wikipedia.org/1946</t>
  </si>
  <si>
    <t>820 mi (1,320 km, 710 nmi) still air with 60 imp gal (72 US gal; 270 l) fuel</t>
  </si>
  <si>
    <t>Lucas L-6A</t>
  </si>
  <si>
    <t>The Lucas L-6A, also called the L6A, is a French low-wing, two-seats in tandem motor glider that was designed by Emile Lucas of Lagny-le-Sec in the form of plans for amateur construction.[1][2][3][4] The L-6A was developed as a motor glider version of the Lucas L6 light aircraft.[1][2][3][4] The L-6A is of all-metal construction. The 14 m (46 ft) span wing can be folded for ground transportation or storage and the wing tips are removable. The landing gear is of a retractable conventional landing gear configuration. The recommended engines are the Lycoming O-235 of 75 to 100 kW (101 to 134 hp) or the Limbach L2000 of 60 kW (80 hp).[1][2][3][4] The L-6A was only available as plans and no kits or completed aircraft were factory-made. The plans cost US$400 in 2002 and at that time two examples were reported complete and flying. The construction time is estimated as 4000 hours.[1][2][3][4] Data from Purdy[1]General characteristics Performance</t>
  </si>
  <si>
    <t>Motor glider</t>
  </si>
  <si>
    <t>https://en.wikipedia.org/Motor glider</t>
  </si>
  <si>
    <t>2 (2002)</t>
  </si>
  <si>
    <t>Lucas L6</t>
  </si>
  <si>
    <t>https://en.wikipedia.org/Lucas L6</t>
  </si>
  <si>
    <t>7.9 m (26 ft)</t>
  </si>
  <si>
    <t>14 m (46 ft)</t>
  </si>
  <si>
    <t>435 kg (960 lb)</t>
  </si>
  <si>
    <t>626 kg (1,380 lb)</t>
  </si>
  <si>
    <t>1 × Limbach L2000 , 60 kW (80 hp)</t>
  </si>
  <si>
    <t>121 km/h (75 mph, 65 kn)</t>
  </si>
  <si>
    <t>76 km/h (47 mph, 41 kn)</t>
  </si>
  <si>
    <t>Lucas L-6B</t>
  </si>
  <si>
    <t>95 litres (21 imp gal; 25 US gal)</t>
  </si>
  <si>
    <t>140 km/h (90 mph, 78 kn)</t>
  </si>
  <si>
    <t>5,800 m (19,000 ft)</t>
  </si>
  <si>
    <t>2-bladed variable pitch</t>
  </si>
  <si>
    <t>39.2 kg/m2 (8.02 lb/sq ft)</t>
  </si>
  <si>
    <t>https://en.wikipedia.org/Lucas L-6B</t>
  </si>
  <si>
    <t>Lucas L8</t>
  </si>
  <si>
    <t>The Lucas L8, also called the L 8 and L-8, is a French amateur-built aircraft that was designed by Emile Lucas of Lagny-le-Sec. The aircraft is supplied in the form of plans for amateur construction.[1][2] The L8 is the most popular Lucas design. It features a cantilever low-wing, a two-seats-in-side-by-side configuration enclosed cockpit under a bubble canopy, fixed or optionally retractable tricycle landing gear and a single engine in tractor configuration.[1][2] The aircraft is made from sheet aluminum. Its 8 m (26.2 ft) span wing has an area of 10 m2 (110 sq ft) and flaps. The standard engine used is the 180 hp (134 kW) Lycoming O-360 four-stroke powerplant which provides a cruise speed of 260 km/h (160 mph) for the retractable gear model.[1][2] Data from Bayerl and Tacke[1][2]General characteristics Performance</t>
  </si>
  <si>
    <t>8 m (26 ft 3 in)</t>
  </si>
  <si>
    <t>10 m2 (110 sq ft)</t>
  </si>
  <si>
    <t>510 kg (1,124 lb)</t>
  </si>
  <si>
    <t>850 kg (1,874 lb)</t>
  </si>
  <si>
    <t>1 × Lycoming O-360 four cylinder, air-cooled, four stroke aircraft engine, 130 kW (180 hp)</t>
  </si>
  <si>
    <t>260 km/h (160 mph, 140 kn)</t>
  </si>
  <si>
    <t>7 m/s (1,400 ft/min)</t>
  </si>
  <si>
    <t>140 litres (31 imp gal; 37 US gal)</t>
  </si>
  <si>
    <t>290 km/h (180 mph, 160 kn)</t>
  </si>
  <si>
    <t>2-bladed constant speed propeller</t>
  </si>
  <si>
    <t>Plans available (2015)</t>
  </si>
  <si>
    <t>85.0 kg/m2 (17.4 lb/sq ft)</t>
  </si>
  <si>
    <t>MSW Votec 322</t>
  </si>
  <si>
    <t>The MSW Votec 322 is a Swiss two-seat low-wing monoplane based on the Rihn DR-107 One Design and designed for amateur construction by MSW Aviation of Wohlen.[1] The MSW 322 was designed by Max Vogelsang and derived from the Rihn DR-107 One Design which MSW Aviation had bought. The first prototype, registered HB-YJY first flew on 6 April 2001. The Votec 322 is a low-wing cantilever monoplane with a steel-tube fuselage, wooden wings with a carbon fibre fuselage skin, and a  conventional landing gear with a steerable tailwheel. The aircraft is powered by a 330 hp (246 kW) Lycoming AEIO-540 flat-six piston engine driving a three-bladed tractor propeller. Later a four-bladed propeller was installed to reduce noise. The cockpit has room for two in tandem with a one-piece side-hinged canopy.[1][2][3] In 2006 the eighth Votec 322 was converted into the first and, as of October 2011, the only Votec 351, a single seater. This flew for the first time on 23 September 2006. It has the same external dimensions as the Votec 322 but is 50 kg (110 lb) lighter when empty and has the more powerful 261 kW (350 hp) Lycoming AEIO-580 flat six engine. One consequence is an improvement in the rate of climb of about 0.3%.[4] The Votec 452T, another Votec 322 variant, first flew on 4 June 2010. It is similar to its predecessor in span and weight but has a 336 kW (451 hp) Rolls-Royce M250-B17D turboprop engine and is .mw-parser-output .frac{white-space:nowrap}.mw-parser-output .frac .num,.mw-parser-output .frac .den{font-size:80%;line-height:0;vertical-align:super}.mw-parser-output .frac .den{vertical-align:sub}.mw-parser-output .sr-only{border:0;clip:rect(0,0,0,0);height:1px;margin:-1px;overflow:hidden;padding:0;position:absolute;width:1px}700 mm (27+1⁄2 in) longer. The prototype remains the only example in October 2011.[4] In mid 2010 six Votec 322 aircraft appeared on the European civil registers, together with the lone 351 and the 452T.[5] Data from Jane's All the World's Aircraft 1989-90[1]General characteristics Performance</t>
  </si>
  <si>
    <t>//upload.wikimedia.org/wikipedia/commons/thumb/6/66/Votec_322C_Ambri.jpg/300px-Votec_322C_Ambri.jpg</t>
  </si>
  <si>
    <t>Two-seat homebuilt sportplane</t>
  </si>
  <si>
    <t>https://en.wikipedia.org/Two-seat homebuilt sportplane</t>
  </si>
  <si>
    <t>Max Vogelsang</t>
  </si>
  <si>
    <t>Rihn DR-107 One Design</t>
  </si>
  <si>
    <t>https://en.wikipedia.org/Rihn DR-107 One Design</t>
  </si>
  <si>
    <t>1 passenger</t>
  </si>
  <si>
    <t>6.50 m (21 ft 4 in)</t>
  </si>
  <si>
    <t>7.30 m (23 ft 11.5 in)</t>
  </si>
  <si>
    <t>630 kg (1,389 lb)</t>
  </si>
  <si>
    <t>950 kg (2,094 lb)</t>
  </si>
  <si>
    <t>1 × Lycoming AEIO-540 flat-six , 246 kW (330 hp)</t>
  </si>
  <si>
    <t>322 km/h (200 mph, 170 kn)</t>
  </si>
  <si>
    <t>105 km/h (65 mph, 56 kn)</t>
  </si>
  <si>
    <t>17.8 m/s (3,500 ft/min)</t>
  </si>
  <si>
    <t>2.50 m (8 ft 2.5 in)</t>
  </si>
  <si>
    <t>418 km/h (260 mph, 230 kn)</t>
  </si>
  <si>
    <t>±10</t>
  </si>
  <si>
    <t>3 hours 0 minutes</t>
  </si>
  <si>
    <t>Votec 252T</t>
  </si>
  <si>
    <t>https://en.wikipedia.org/Votec 252T</t>
  </si>
  <si>
    <t>420°/s</t>
  </si>
  <si>
    <t>Medway EclipseR</t>
  </si>
  <si>
    <t>The Medway EclipseR is a British ultralight trike designed and produced by Medway Microlights. The aircraft is supplied fully factory-built.[1][2][3][4] The aircraft was designed as a touring trike, to comply with the Fédération Aéronautique Internationale microlight category, including the category's maximum gross weight of 450 kg (992 lb). The aircraft has a maximum gross weight of 415 kg (915 lb). The EclipseR is certified to the British BCAR Section "S" standard. It features a cable-braced hang glider-style high-wing, weight-shift controls, a two-seats-in-tandem open cockpit, tricycle landing gear and a single engine in pusher configuration.[2][3] The aircraft is made from tubing, with its double-surface Raven wing covered in Dacron sailcloth. Its 11.0 m (36.1 ft) span wing is supported by a single tube-type kingpost and uses an "A" frame control bar. The carriage features a cockpit fairing with a windshield and wheel spats. Hydraulic brakes are standard equipment. The standard engine is the four-cylinder, four-stroke 60 kW (80 hp) Rotax 912UL.[2][3][4] Data from Bertrand, Bayerl and Medway[2][3][4]General characteristics Performance</t>
  </si>
  <si>
    <t>208 kg (459 lb)</t>
  </si>
  <si>
    <t>42 litres (9.2 imp gal; 11 US gal)</t>
  </si>
  <si>
    <t>Mignet HM.14</t>
  </si>
  <si>
    <t>The Mignet HM.14 Flying Flea (Pou du Ciel literally "Louse of the Sky" in French) is a single-seat light aircraft first flown in 1933, designed for amateur construction. It was the first of a family of aircraft collectively known as Flying Fleas. The HM.14 was designed by French radio engineer Henri Mignet. It was the result of his ambition to design a safe aeroplane that could be built quickly and cheaply by any amateur familiar with simple woodwork and metalwork skills. It followed a progressive series of designs, of which the HM.8 monoplane was already successful as an amateur-built aircraft. On 10 September 1933, at the Bois de Bouleaux near Soissons, Mignet piloted the first flight of the HM.14. In the following months, he made many flights with progressive modifications to improve its handling and performance, totalling 10 hours test-flying time. He described the HM.14 as his Pou no.4, presumably counting from the HM.11, that featured a large pivoting flap between the fixed front and rear wings. The prototype HM.14 had a wingspan of 6 m (20 ft). It was powered by an Aubier et Dunne 540 cc three-cylinder two-stroke motorcycle engine, producing about 17 hp (13 kW) at 4,000 rpm. The engine was connected to the propeller shaft via a chain drive with a 2.5:1 reduction ratio. Subsequent examples were built with many optional engine and wingspan variations.[1] In September 1934, the French aeronautical magazine Les Ailes published Mignet's article Le Pou du Ciel, in which he described the HM.14. In November 1934, he published his book Le Sport de l'Air that gave all the dimensioned details of materials, plus descriptions and techniques, to enable readers to construct and fly their own HM.14s without further specialist help. In September 1935, the Air League published an English translation of Le Sport de l'Air, and it was also serialised in the October, November and December 1935 issues of the magazine Newnes' Practical Mechanics.[1] The HM.14 is most commonly described as a tandem wing aircraft, although the main wing overlaps the rear wing in the basic design, so it almost qualifies as a highly staggered biplane without horizontal tail. Construction of the airframe employs mostly birch plywood sheet, spruce laths, steel tubing, steel cables, proprietary metal fittings and fixings, adhesives, and linen fabric.[1] Unlike conventional aircraft, the HM.14 has no ailerons or elevators, and no foot-operated flight controls. The flight control system comprises a conventional control stick. Fore-and-aft movement of the stick is transmitted via cables to the rear underside of the main wing, that is supported by a single pivot at the front underside, mounted on a pylon on the fuselage. Rearward movement of the stick pulls the cables, and increases the pitch and therefore the lift of the main wing. The aircraft will then pitch up, due to the centre of pressure being forward of the center of gravity. Forward stick movement has the reverse effect. Resistance to stick movement is usually an aerodynamic force from the main wing, but there is also a rubber spring (bungee) pulling down on the leading edge of the wing, and a telescopic strut behind the pilot's head limits the total wing movement. Side-to-side movement of the stick controls the all-moving rudder via cables. In flight, this produces a stable rolling motion, as required in a banked turn, because the wings both have dihedral. That rolling characteristic is not safely available during take-off or landing, so crosswinds are not easily tolerated.[1][2] Mignet provided drawings for alternative 6 m and 5 m span wings. The choice usually depended on the power and weight of the intended engine. He specified no particular engine, and the choice often depended on local availability and cost. In France, engines for HM.14s in the 1930s included 17 hp Aubier et Dunne 540 cc three-cylinder two-stroke, 25 hp Mengin B (Poinsard) four-stroke two-cylinder boxer, 16 hp Clerget, 40 hp Salmson radial. In the UK, popular air-cooled engines were 16 hp Scott Flying Squirrel A2S 650 cc, 25 hp Anzani 1100 cc V-twin, 17–23 hp Douglas Sprite 500–750 cc, 34 hp Bristol Cherub 1100 cc. Conversions of water-cooled engines included 28 hp Carden-Ford 1200 cc and 13 hp Austin 7 750 cc four-cylinder types. The choice of engine and propeller combination also determined the option to drive the propeller directly from the crankshaft, or via a reduction chain drive or gearing.[1][5] On 14 July 1935, at Heston Aerodrome, Stephen Appleby piloted the first flight of his HM.14 (G-ADMH), the first to fly in the UK. On 24 July 1935, the Air Ministry awarded it the first ever Authorisation to Fly document, being equivalent to a UK Certificate of Airworthiness with additional conditions and limitations. Following a forced landing, it was repaired with modifications designed by L.E. Baynes, at the factory of  Abbott-Baynes Sailplanes. The modifications included a new 6 metres (20 ft) span front wing with a repositioned wing pivot, a partial engine cowling, and a low-mounted radiator for the existing water-cooled Carden-Ford engine. The aircraft was later converted to replace the wing control cables with twin "push-rods". Following the publicity of the aircraft and those personalities, many British HM.14s under construction acquired similar features. In April 1936, Baynes made improvements to the Flying Flea design, similar to those on Appleby's HM.14, plus further major modifications. Those included a 6.7 metres (22 ft) newly designed front wing with two outboard wing pivots, that eliminated wing-bracing wires, hence the name Baynes Cantilever Pou. The prototype of that (G-AEGD), plus a later example (G-AEJD), were extensively test-flown and demonstrated by Appleby.[2][3][5] In the UK, variations of the HM.14 were made by about 200 serious amateurs. A handful of companies also hoped to produce kits and completed HM.14s, including Abbott-Baynes Aircraft, Dart Aircraft, F. Hills &amp; Son, Luton Aircraft, E.G. Perman and Company, and Puttnam Aircraft Company. Up to the start of World War II in September 1939, UK Authorisations to Fly were issued to 76 HM.14s, while registrations were issued for a further 45 projected examples.[1] By March 1936, Algerian and Swiss authorities had banned the flying of HM.14s, and the French Air Ministry stepped up its actions from cautionary notices to flight testing by the Armée de l'air, that resulted in an inconclusive published report. In June 1936, the French Minister for Air stopped all Flea flights in France, pending full-size wind tunnel tests at Chalais-Meudon. In July 1936, the published report described how pitch-up control could be lost in a shallow nose-down attitude, because the pivoting front wing reduced the separation from the rear wing (the "slot effect"), so that the aircraft could not be recovered from a dive into the ground. The effect was worsened if the centre of gravity had not been correctly calculated and adjusted. Mignet responded with several design changes, such as pivoting rear wing, different aerofoil contours on both wings, elimination of the overlap between the wings, and an adjustable fore-and-aft wing pivot location relative to the fuselage. In late 1936, those features, together with rigid wing control struts ("push-rods"), were embodied in an updated edition of his book Le Sport de l'Air. In August 1936, the Royal Aircraft Establishment (RAE) at Farnborough started full-size wind tunnel tests using HM.14 G-AEFV. In October 1936, the report was published, confirming the French test findings. The Air Ministry then stopped renewing the Authorisation to Fly documents of all HM.14-related aircraft that had not received approved modifications. After World War II, no HM.14s were granted UK Authorisations to Fly, although several further examples were built.[1] Data from British light aeroplanes : their evolution, development and perfection, 1920-1940[5]General characteristics Performance</t>
  </si>
  <si>
    <t>//upload.wikimedia.org/wikipedia/commons/thumb/0/01/Flying-Flea_light_aircraft.jpg/300px-Flying-Flea_light_aircraft.jpg</t>
  </si>
  <si>
    <t>Single-seat light aircraft</t>
  </si>
  <si>
    <t>homebuilt aircraft</t>
  </si>
  <si>
    <t>https://en.wikipedia.org/homebuilt aircraft</t>
  </si>
  <si>
    <t>Henri Mignet</t>
  </si>
  <si>
    <t>https://en.wikipedia.org/Henri Mignet</t>
  </si>
  <si>
    <t>3.96 m (13 ft 0 in)</t>
  </si>
  <si>
    <t>6 m (19 ft 8 in)</t>
  </si>
  <si>
    <t>12.73 m2 (137.0 sq ft)</t>
  </si>
  <si>
    <t>159 kg (351 lb)</t>
  </si>
  <si>
    <t>247 kg (545 lb)</t>
  </si>
  <si>
    <t>1 × Carden-Ford 4-cylinder water-cooled in-line piston  engine, 23 kW (31 hp)</t>
  </si>
  <si>
    <t>52 km/h (32 mph, 28 kn)</t>
  </si>
  <si>
    <t>243 km (151 mi, 131 nmi)</t>
  </si>
  <si>
    <t>1.53 m/s (301 ft/min)</t>
  </si>
  <si>
    <t>0.163 kW/kg (0.099 hp/lb)</t>
  </si>
  <si>
    <t>1.68 m (5 ft 6 in)</t>
  </si>
  <si>
    <t>133 km/h (83 mph, 72 kn)</t>
  </si>
  <si>
    <t>19.4 kg/m2 (4.0 lb/sq ft)</t>
  </si>
  <si>
    <t>1933-today</t>
  </si>
  <si>
    <t>Military Aircraft HM-1</t>
  </si>
  <si>
    <t>The Military Aircraft HM-1, derived from the earlier Hawks Miller HM-1 racing aircraft nicknamed, "Time Flies" was an American prototype attack/observation aircraft. The HM-1 did not achieve production after the sole example was destroyed during testing. In 1936, Frank Hawks had approached Howell W. "Pete" Miller, chief engineer for the Granville Brothers and responsible for their famous Gee Bee racers, to create a racing aircraft from his own design, the Hawks Miller HM-1. With an advanced aircraft design that still relied heavily on wood construction, the HM-1 featured innovative design elements, including the unusual feature of "burying" the cockpit with a curved windshield contoured to fit the fuselage top, creating a very streamlined shape. The cockpit was extended for takeoff and landing, but retracted in flight, with the pilot's seat lowered and the windshield becoming flush with the fuselage.  After its first flight on October 18, 1936, Hawks flew "Time Flies", from Hartford, Connecticut to Miami, Florida on April 13, 1937, in 4 hours and 55 minutes.[1] He then flew to Newark Airport, New Jersey, in 4 hours and 21 minutes, but bounced on landing at Newark, and broke a wooden spar in the right wing with other spars also damaged.[2] Short of funds, Hawks decided not to rebuild the aircraft and sold the rights to the design, including engineering data to Tri-American Aviation, a concern that wanted to convert the design into a fast two-seat attack/observation aircraft.[3] The aircraft was redesigned to include two machine guns in the wings and another machine gun mounted in a flexible mount in the new rear cockpit.[N 1] The principals of Tri-American Aviation, Leigh Wade and Edward Connerton, engaged Miller to rebuild the aircraft in 1938 as a two-seater with a more conventional greenhouse canopy added, looking a great deal like Miller's earlier Gee Bee Q.E.D. design. The aircraft was first renamed the Miller HM-2, but when company was reorganized as the Miller Aircraft Co., it was called the MAC-1 and Military Aircraft HM-1, although often described in the press as the "Hawks Military Racer", although Hawks was no longer actively involved.[1] With the intention to demonstrate the aircraft's potential, pilot Leigh Wade entered the MAC-1/HM-1 in the 1938 Thompson Trophy race.[5]  In essentially military configuration with dummy machine guns fitted, Wade flew the aircraft to a fourth-place finish.[3][N 2] Despite the showing in the Thompson race, the U.S. military considered the predominantly wood construction in the design as unsuitable. Air racer and test pilot Earl Ortman was hired to fly the HM-1 at East Hartford, Connecticut where a 25 miles (40 km) course was laid out to display flight capabilities for foreign military interests, and seek out military contracts.[N 3] On August 23, 1938, Ortman flew above Rentschler Field, adjacent to the Pratt &amp; Whitney Aircraft factory where their employees and Hamilton Standard technicians were available. He made four passes over the course in the HM-1, achieving an average speed of 369 mph (594 km/h). The next phase of the testing called for determination of climb rates. From 1,000 ft (304.93 m), Ortman climbed to 10,000 ft (3,048 m), then to dive down to 1,000 ft (304.93 m) and start up on another climb.[4] On his final dive, at a reported 425 mph (684 km/h), the fuel in tanks was being transferred when the stresses placed on the wings were too great and a wing sheared off.[4] Ortman was able to bail out safely, but the aircraft was demolished and the project was abandoned.[7][N 4] General characteristics Performance</t>
  </si>
  <si>
    <t>//upload.wikimedia.org/wikipedia/commons/thumb/7/72/Military_Aircraft_HM-1.jpg/300px-Military_Aircraft_HM-1.jpg</t>
  </si>
  <si>
    <t>Miller Aviation Corporation</t>
  </si>
  <si>
    <t>https://en.wikipedia.org/Miller Aviation Corporation</t>
  </si>
  <si>
    <t>Howell W. "Pete" Miller</t>
  </si>
  <si>
    <t>Hawks Miller HM-1</t>
  </si>
  <si>
    <t>https://en.wikipedia.org/Hawks Miller HM-1</t>
  </si>
  <si>
    <t>23 ft 6 in (7.16 m)</t>
  </si>
  <si>
    <t>525.0 sq ft (48.77 m2)</t>
  </si>
  <si>
    <t>1,840 lb (835 kg)</t>
  </si>
  <si>
    <t>1 × Pratt &amp; Whitney R-1830 Twin Wasp 14-cyl. two-row air-cooled radial piston engine, 1,150 hp (860 kW)</t>
  </si>
  <si>
    <t>375 mph (604 km/h, 326 kn)</t>
  </si>
  <si>
    <t>October 18, 1936 (earlier Hawks Miller HM-1)</t>
  </si>
  <si>
    <t>https://en.wikipedia.org/October 18, 1936 (earlier Hawks Miller HM-1)</t>
  </si>
  <si>
    <t>Lublin R-X</t>
  </si>
  <si>
    <t>The Lublin R-X was a Polish single-engined, two seat liaison aircraft, built in 1929 in the Plage i Laśkiewicz factory in Lublin. Seven were completed, two of them prototypes. Four served with Polish air regiments and another made several notable long flights and tours. In 1927, the Polish War Ministry opened a contest for a military liaison and observation plane for use by Army land units operating from casual airfields. The private factory Plage i Laśkiewicz in Lublin proposed the Lublin R-X, designed in 1928 by Jerzy Rudlicki. Fitted with skis, the prototype was first flown, off snow, on 8 February 1929, followed by a second prototype in the spring.  They were extensively tested and handled very well. During these tests, both prototypes became the first Polish aircraft to be fitted with Townend rings around their normally uncowled radial engines. Five pre-series aircraft followed 1929, the first four differing from the prototypes in having a detachable ring mounting for a 7.7 mm (0.30 in) Lewis gun in the rear cockpit. The fifth, designated the R-Xa, was built as a strengthened, unarmed, long-distance tourer with a modified exhaust system and a fuel capacity of 1,000 l (220 imp gal; 260 US gal) that gave it an endurance of 18 hours.[1] The R-X was a braced parasol wing design of mixed construction (steel and wood) and conventional in layout. Its wing was built in two parts based on two wooden spars, with plywood around the leading edge and fabric covered elsewhere. In plan the wing was rectangular centrally, with semi-elliptical tips. It was braced by a pair of parallel steel struts to the lower fuselage and held over the fuselage by an inverted-V cabane.[1] Structurally its fuselage was a rectangular section frame formed with welded steel tubes. The forward part was covered  with duralumin sheet and the rest with fabric. It was powered by a 220 hp (160 kW) Wright Whirlwind J-5Ab, an air-cooled, nine-cylinder radial engine licence built in Poland by Skoda. This was usually uncowled, though Townend rings were fitted to some examples from time to time. Both wood and metal propellers of 3.0 m (9 ft 10 in) diameter were used. There was a droppable fuel tank in the forward fuselage. The R-X had two open cockpits in tandem, fitted with dual controls; the rear cockpit had a gun-mounting ring.[1][2] Its empennage was conventional and structurally similar to the fuselage, with steel tube frames and fabric covering. The tailplane was mounted on top of the fuselage and braced from below by a pair of parallel struts on each side.[1] In plan the tailplane and elevator had constant chord out to semi-elliptical tips. Fin and rudder were more rounded, the latter extended down to the keel, operating in an elevator cut-out.[2] The R-X had a divided undercarriage with a track of 3.0 m (9 ft 10 in). Each mainwheel was on a half-axle and a radius rod, each hinged on the lower fuselage longeron, with a shock-absorbing oleo strut attached to the forward wing strut at a point where it was strengthened by a strut to the rear wing strut base and another to the upper longeron.[1] For ease of transport, the R-X's wings could be folded back flat alongside the fuselage, leading edges down, once the tailplanes had been folded upwards.[1] The pre-series R-Xs were used by the Polish Air Force from 1929 as liaison aircraft and staff transports.[1] The R-Xa, registered as SP-ABW and named "Srebrny Ptak" (Silver Bird) was used for several long-distance flights. In summer 1929 there were international exhibitions in both Poznań and Barcelona which included  the aviation industry.  On August 25, 1929, the R-Xa flew non-stop between  the cities, piloted by Waclaw Makovskia. He and his passenger covered 1,700 km (1,100 mi; 920 nmi) in 12 hr 15 min. In October it took part in the 1st Tour of Southwestern Poland.[1] In 1931 Stanisław Karpiński was planning a long flight to the Middle East. To test the suitability of the R-Xa he made three tours of Poland and then made a five-day round trip from  Warsaw via Bucharest, Istanbul, Rome, Turin and London, a distance of 6,450 km (4,010 mi; 3,480 nmi). This experience led to modifications to his aircraft, including fuel distribution, a strengthening of the undercarriage, together with aerodynamic refinements including a Townend ring and spatted wheels.  After the changes the type was sometimes referred to as the R-Xa bis.[1] IStarting on 2 October 1932 he began his planned journey from Warsaw to Kabul through Istanbul, Baghdad, Teheran and Herat. He returned the same way as far as Baghdad, then flew to Cairo, Jerusalem, Aleppo and Istanbul, reaching Warsaw on 24 October via Lublin.  This was a journey of 14,390 km (8,940 mi; 7,770 nmi), with a flight time of 108 hr 50 m.[1] Although the R-X never reached series production, a descendant, the Lublin R-XIII, was built in large numbers.[3] Data from Jane's all the World's Aircraft 1931,[4] Polish Aircraft 1893–1939[1]General characteristics Performance Armament   Aircraft of comparable role, configuration, and era</t>
  </si>
  <si>
    <t>//upload.wikimedia.org/wikipedia/commons/thumb/d/db/Lublin_R-X_Poznan.jpg/300px-Lublin_R-X_Poznan.jpg</t>
  </si>
  <si>
    <t>Liaison aircraft</t>
  </si>
  <si>
    <t>https://en.wikipedia.org/Liaison aircraft</t>
  </si>
  <si>
    <t>Plage i Laśkiewicz</t>
  </si>
  <si>
    <t>https://en.wikipedia.org/Plage i Laśkiewicz</t>
  </si>
  <si>
    <t>Jerzy Rudlicki</t>
  </si>
  <si>
    <t>https://en.wikipedia.org/Jerzy Rudlicki</t>
  </si>
  <si>
    <t>8.33 m (27 ft 4 in)</t>
  </si>
  <si>
    <t>13.5 m (44 ft 3 in)</t>
  </si>
  <si>
    <t>26 m2 (280 sq ft)</t>
  </si>
  <si>
    <t>900 kg (1,984 lb)</t>
  </si>
  <si>
    <t>1,300 kg (2,866 lb)</t>
  </si>
  <si>
    <t>1 × Polish-Skoda J-5 Whirlwind 9-cylinder air-cooled radial piston engine, 170 kW (230 hp)</t>
  </si>
  <si>
    <t>65 km/h (40 mph, 35 kn)</t>
  </si>
  <si>
    <t>750 km (470 mi, 400 nmi)</t>
  </si>
  <si>
    <t>0.1325 kW/kg (0.0806 hp/lb)</t>
  </si>
  <si>
    <t>2.98 m (9 ft 9 in)</t>
  </si>
  <si>
    <t>Clark Y (modified)</t>
  </si>
  <si>
    <t>Approx. 300 l (79 US gal; 66 imp gal)[citation needed] jettisonable fuel tank in the fwd. fuselage; R-Xa Long-range record attempt aircraft had a 1,000 l (260 US gal; 220 imp gal) fuel tank</t>
  </si>
  <si>
    <t>180 km/h (110 mph, 97 kn)</t>
  </si>
  <si>
    <t>6,000 m (20,000 ft)</t>
  </si>
  <si>
    <t>Polish Air Force</t>
  </si>
  <si>
    <t>https://en.wikipedia.org/Polish Air Force</t>
  </si>
  <si>
    <t>2-bladed fixed-pitch wooden propeller</t>
  </si>
  <si>
    <t>50 kg/m2 (10 lb/sq ft)</t>
  </si>
  <si>
    <t>5 hours ; R-Xa 18 hours</t>
  </si>
  <si>
    <t>Lublin R-XIII</t>
  </si>
  <si>
    <t>https://en.wikipedia.org/Lublin R-XIII</t>
  </si>
  <si>
    <t>1x flexibly mounted 7.7 mm (0.303 in) Lewis gun in the rear cockpit</t>
  </si>
  <si>
    <t>M-Squared Breese</t>
  </si>
  <si>
    <t>The M-Squared Breese is a large family of high-wing, strut-braced, pusher configuration, tricycle gear, ultralight aircraft produced by M-Squared Aircraft of St. Elmo, Alabama in kit form, for amateur construction.[1][2][3][4][5][6][7][8] The M-Squared line of aircraft was started in 1996 when a former Quicksilver Manufacturing employee, Paul Mather, decided to offer retrofit kits to convert the Quicksilver II from cable-braced wings to a strut-braced configuration with jury struts. The kits proved popular and Mather expanded to market complete aircraft based on the basic Quicksilver layout. The first two aircraft in the series were the two-seat double surface wing Sport 1000 and the two-seat single surface wing Sprint 1000.[1][2] The series all share similar construction featuring a bolted aluminium tube structure with the flying surfaces covered in pre-sewn Dacron sailcloth envelopes. All models are open-cockpit, but some have optional streamlined pods available. All models use tricycle landing gear and steerable nosewheels.[1] The Breese 2 DS and SS have been accepted by the US Federal Aviation Administration as approved special light-sport aircraft.[9][10] Data from Cliche[1] and M-Squared[16]General characteristics Performance Avionics</t>
  </si>
  <si>
    <t>//upload.wikimedia.org/wikipedia/commons/thumb/c/cc/BreeseFlight.jpg/300px-BreeseFlight.jpg</t>
  </si>
  <si>
    <t>M-Squared Aircraft</t>
  </si>
  <si>
    <t>https://en.wikipedia.org/M-Squared Aircraft</t>
  </si>
  <si>
    <t>Paul Mather</t>
  </si>
  <si>
    <t>Eipper Quicksilver</t>
  </si>
  <si>
    <t>https://en.wikipedia.org/Eipper Quicksilver</t>
  </si>
  <si>
    <t>19 ft 0 in (5.79 m)</t>
  </si>
  <si>
    <t>32 ft 9 in (9.98 m)</t>
  </si>
  <si>
    <t>180 sq ft (17 m2)</t>
  </si>
  <si>
    <t>475 lb (215 kg)</t>
  </si>
  <si>
    <t>1,400 lb (635 kg)</t>
  </si>
  <si>
    <t>1 × Rotax 582 , 64 hp (48 kW)</t>
  </si>
  <si>
    <t>63 mph (101 km/h, 55 kn)</t>
  </si>
  <si>
    <t>34 mph (55 km/h, 30 kn) power off</t>
  </si>
  <si>
    <t>90 mi (140 km, 78 nmi) at 75% power</t>
  </si>
  <si>
    <t>{'Breese 2 SS': 'o-seat aircraft designed for the US light-sport aircraft category, 64\xa0hp (48\xa0kW) Rotax 582 two-stroke powerplant, 1,320\xa0lb (599\xa0kg) gross weight, single surface sailcloth wing. In production.[7][8][14]'}</t>
  </si>
  <si>
    <t>7 ft 10 in (2.39 m)</t>
  </si>
  <si>
    <t>8 US gallons (30 litres)</t>
  </si>
  <si>
    <t>77 mph (124 km/h, 67 kn)</t>
  </si>
  <si>
    <t>100 mph (160 km/h, 87 kn)</t>
  </si>
  <si>
    <t>2-bladed, 5 ft 8 in (1.73 m) diameter</t>
  </si>
  <si>
    <t>7.8 lb/sq ft (38 kg/m2)</t>
  </si>
  <si>
    <t>Magni M-24 Orion</t>
  </si>
  <si>
    <t>The Magni M-24 Orion is an Italian sport autogyro, seating two side-by-side in an enclosed cabin. It was designed and produced by Magni Gyro srl of Besnate. Magni Gyro currently produces five sport autogyro models, all with similar pod and low boom, pusher engine layouts and the M-24 Orion have side by side seating and an enclosed cabin. It has a steel airframe with a carbon fibre cabin and engine-enclosing pod.  Transparent, top hinged doors on either side give access to the two seats, which are slightly staggered to make the most of the cabin width.  The 2-bladed rotor, mounted on a mast above the pod, is of composite construction.[1] An 85 kW (114 hp) Rotax 914ULS flat four engine is mounted at cabin-top height and drives a 3-bladed pusher propeller. Below it, the slender flat-sided boom carries the fibreglass empennage, which consists of a swept horizontal stabilizer with end-plate fins and a larger, central, fin and rudder.  The Orion has a tricycle undercarriage with the faired mainwheels, fitted with brakes, on spring cantilever legs.  The nosewheel is unfaired.[1] The Orion's immediate precursor is the XM-23 Orion, which first flew on 1 February 2007, but both share many components with the tandem, open cockpit M-16 and M-22.[1] The Orion was first seen in public in August 2008 and a pre-production run of 10 aircraft was initiated that autumn, with full-scale production starting in 2009.[1] By mid-2010 there were 11 Orions on the mainland European (Russian excluded) registers, the majority in France.[2] UK type approval was reached in 2010,[3] 4 aircraft are currently (November 2010) on the UK register,[4] and at least one on Canadian register.[5] Data from Jane's All the World's Aircraft 2010/11[1]General characteristics Performance</t>
  </si>
  <si>
    <t>//upload.wikimedia.org/wikipedia/commons/thumb/f/f4/Salon_du_Bourget_20090619_014.jpg/300px-Salon_du_Bourget_20090619_014.jpg</t>
  </si>
  <si>
    <t>https://en.wikipedia.org/Two seat autogyro</t>
  </si>
  <si>
    <t>&gt;300</t>
  </si>
  <si>
    <t>XM-23 Orion</t>
  </si>
  <si>
    <t>4.33 m (14 ft 2 in) overall</t>
  </si>
  <si>
    <t>285 kg (628 lb)</t>
  </si>
  <si>
    <t>1 × Rotax 914ULS flat four, 85 kW (114 hp)</t>
  </si>
  <si>
    <t>https://en.wikipedia.org/Italy</t>
  </si>
  <si>
    <t>2.80 m (9 ft 2 in)</t>
  </si>
  <si>
    <t>82 L (18.0 Imp gal; 21.7 US gal)</t>
  </si>
  <si>
    <t>194 km/h (121 mph, 105 kn)</t>
  </si>
  <si>
    <t>4,000 m (13,000 ft) service</t>
  </si>
  <si>
    <t>in production</t>
  </si>
  <si>
    <t>53.20 m2 (572.6 sq ft)</t>
  </si>
  <si>
    <t>McDonnell Douglas F-4 Phantom II in Australian service</t>
  </si>
  <si>
    <t>The Royal Australian Air Force (RAAF) operated 24 McDonnell Douglas F-4E Phantom II fighter-bomber aircraft in the ground attack role between 1970 and 1973. The Phantoms were leased from the America Air Force (USAF) as an interim measure owing to delays in the delivery of the RAAF's 24 General Dynamics F-111C bombers. The F-4Es were considered successful in this role, but the government did not agree to a proposal from the RAAF to retain the aircraft after the F-111s entered service in 1973. The F-4C variant of the Phantom II was among the aircraft evaluated by the RAAF in 1963 as part of the project to replace its English Electric Canberra bombers. The F-111 was selected, but when that project was delayed in the late 1960s due to long-running technical faults with the aircraft, the RAAF determined that the F-4E Phantom II would be the best alternative. As a result of continued problems with the F-111s, the Australian and America Governments negotiated an agreement in 1970 whereby the RAAF leased 24 F-4Es and their support equipment from the USAF. The RAAF's F-4Es entered service in September 1970, and proved to be highly effective. Used in the air-to-ground role, they prepared aircrew to operate the sophisticated F-111s, and the intensive training program undertaken using the aircraft improved the RAAF's professional standards. One of the Phantoms was destroyed in a flying accident in June 1971, and another was repaired by the RAAF after it sustained heavy damage during a crash landing. The 23 surviving aircraft were returned to the USAF in two batches during October 1972 and June 1973. The McDonnell Douglas F-4C Phantom II was one of the aircraft types evaluated by the RAAF as a potential replacement for its aging English Electric Canberra bombers in the early 1960s. In mid-1963 a team of senior RAAF officers headed by the Chief of the Air Staff, Air Marshal Valston Hancock, travelled to the America to evaluate the General Dynamics F-111 (then known as the "TFX"), North American A-5 Vigilante and F-4C Phantom II strike aircraft. While in the America, the team also inspected the Boeing KC-135 Stratotanker, which was considered necessary to support these aircraft. In addition, the RAAF officers travelled to the United Kingdom and France to evaluate the BAC TSR-2 and Dassault Mirage IV, respectively.[3] In its final report, the team rejected the F-4C on the grounds that the aircraft lacked the range, performance at low altitude and reconnaissance capability that the RAAF required. The F-111 was considered to be the most suitable aircraft of those considered, but the team proposed that the RAAF acquire 36 Vigilantes as they also met the force's requirements and could be delivered within a shorter time frame.[4] The Australian Government rejected this advice, and decided to purchase 24 F-111s. At the time the order was placed in late 1963 these aircraft were scheduled to be delivered in 1967;[5] the delivery date was pushed back to 1968 after Australia decided to order the unique F-111C variant.[6] In late 1963 the America Government offered to lend Australia 24 Boeing B-47 Stratojet bombers until the F-111s were delivered. The Australian Air Board[Note 1] opposed acquiring these aircraft on the grounds that they were obsolete and would be expensive to operate. Instead, it recommended to Cabinet that a package of F-4C strike aircraft, the RF-4C reconnaissance variant of this design, and KC-135 tankers be leased from the America if an interim force was considered necessary. Cabinet considered the two options during 1964, and rejected both of them.[8] Between 1965 and 1970 six Australian pilots serving on exchange postings to the America Air Force (USAF) flew Phantoms in combat during the Vietnam War.[9][10] The F-111 program experienced significant problems during the late 1960s. As a result of delays to the development of the RF-111 reconnaissance variant of the F-111, of which Australia had ordered four, the RAAF considered purchasing eight RF-4C or RF-4E reconnaissance aircraft and two tankers in early 1968. The Air Force and government eventually concluded that it was too early to make a decision on this matter, and no action was taken.[11] The RAAF accepted all 24 F-111Cs at a ceremony held at Fort Worth, Texas, on 4 September 1968.[12] At this time the F-111 program was in crisis owing to technical problems with the design of the aircraft's wing assembly, and all F-111s were grounded after an American F-111 crashed on 23 September. Subsequent testing revealed further problems with F-111 components not meeting their intended lifespan, and the Australian aircraft were placed in storage at Fort Worth until these flaws could be rectified.[6][13] The RAAF subsequently evaluated the F-4E Phantom II, Blackburn Buccaneer, LTV A-7 Corsair II and Grumman A-6 Intruder as possible replacements for the F-111. Only the F-4E was considered to come close to meeting the RAAF's requirements, though its relatively short range and lack of terrain-following radar and electronic countermeasures were considered problematic.[14] By 1970 the F-111Cs were still not airworthy, and the Australian Government was under pressure to cancel the order or acquire an interim design. In April of that year Minister for Defence Malcolm Fraser signed an agreement with his American counterpart, Melvin R. Laird, which specified the conditions under which the Australian Government would accept the F-111s. As part of the negotiations leading to this agreement, Laird offered to lease Australia 24 F-4E Phantoms at a reduced price. The Cabinet agreed to Fraser's recommendation that this offer be taken up, a move supported by the Air Board.[15][16] The RAAF remained committed to the F-111C, however, and the Air Board issued a statement during May arguing that these aircraft would "meet the RAAF operational requirement more effectively than the F-4E by a decisive margin".[14] An RAAF team headed by the Deputy Chief of the Air Staff, Air Vice Marshal Charles Read, was sent to the America in May 1970 to negotiate the lease arrangements. After considering the proposed deal, Read recommended that it go ahead; according to RAAF historian Alan Stephens this decision "delighted RAAF senior officers and aircrews".[17] The Cabinet subsequently approved the lease of 24 Phantoms for two years at a total cost of $US 41.554 million (including training, spare parts and technical advice) and the formal agreement to do so was signed on 29 June 1970. The USAF designated this project Peace Reef.[16] The terms of the lease agreement allowed the Australian Government to purchase the Phantoms outright if the F-111C program was cancelled,[18] but also allowed the USAF to demand the immediate return of the aircraft and their support equipment in the event of a national emergency. Laird provided Fraser with a written commitment that this option would not be exercised, and it was never publicised.[17] Laird also promised that USAF tankers would be made available to support the Australian Phantoms during crises, subject to American national requirements and the terms of relevant agreements between the two countries.[17] The RAAF's Phantoms were delivered soon after the lease agreement was completed. Australian pilots and navigators from the two units that were to operate the aircraft, No. 1 and No. 6 Squadrons, began to arrive in the America for conversion training in July 1970. Most of this training was provided by the 4530th Tactical Training Squadron, 1st Tactical Fighter Wing, at MacDill Air Force Base in Florida, and involved 32 hours of flying.[18][19] USAF personnel were also posted to RAAF Base Amberley in Queensland, where the F-4Es were to be based, to train Australian ground crew.[18] The Australian Phantoms were diverted from USAF orders and were brand new. The RAAF accepted all 24 aircraft in September 1970, and they were subsequently ferried to Amberley in four groups of six aircraft; the first three groups arrived on 14, 19 and 26 September, and the final group arrived on 3 October. The Phantom was allocated the RAAF serial number prefix "A69", but this was never applied to the aircraft, and they retained their USAF serials.[18] The Phantom represented a significant improvement to the RAAF's ground attack capabilities. The F-4Es were more technologically advanced than the Canberra, as they could fly at supersonic speeds, were equipped with air-to-air radar and missiles, and had an inertial navigation system, ground-attack computer and a cannon.[19] The Phantoms were capable of operating in several roles; the RAAF primarily used them as strike aircraft. This role was selected to prepare aircrew to operate F-111s, and most training exercises were focused on tasks that the F-111s would also be able to perform.[20] Aircrew training using the F-4Es began three days after the aircraft first arrived at Amberley. The aircraft were initially operated as a pool controlled by No. 82 Wing (the parent headquarters for No. 1 and No. 6 Squadrons) and were allocated between the two squadrons only after all the Phantoms, aircrew and ground crew had arrived in Australia. The training program gradually increased in complexity, with night flying beginning in October, practice-bombing sorties commencing in late November and air-to-air sorties being flown from January 1971. Ground attack missions were practiced from February 1971, and in June that year the Phantoms began dropping live bombs during exercises. The introduction of several of the aircraft into service was delayed by an initial shortage of spare parts, but all were operational by the end of 1970.[21] During their service with the RAAF, the Phantoms were operated alongside the RAAF's Dassault Mirage III fighters and the Royal Australian Navy's Douglas A-4 Skyhawk ground attack aircraft. In addition to routine training flights, the Phantoms participated in major air defence exercises and also flew practice sorties against warships.[20] The F-4Es also took part in airshows, including four that formed part of the flying displays conducted in different parts of Australia to mark the RAAF's 50th anniversary during March and April 1971.[22] Maintenance of the Phantoms was undertaken by No. 482 Squadron and No. 3 Aircraft Depot, both of which were located at Amberley. In addition to routine servicing, these units modified the Phantoms' AN/APQ-120 radars during early 1971. In response to problems detected during maintenance, RAAF technical personnel checked all the aircraft for defects to their emergency flap system in September 1971 and used X-ray testing to detect any cracks in their stabilators during early 1972.[23] The RAAF's Phantoms suffered several accidents. The first occurred on 19 October 1970 when the systems needed to power the brake skid and nosewheel steering on board Phantom A69-7234 failed during flight. It was decided to use Amberley's arresting equipment to slow the aircraft as it landed, but this system failed after A69-7234's tail hook engaged the wires, causing the Phantom to slide off the runway. The pilot only suffered minor injuries and the navigator was unhurt, but A69-7234 was badly damaged.[24] The aircraft was subsequently rebuilt by No. 3 Aircraft Depot and returned to service on 30 September 1971; at the time this was the most complex Phantom repair task to have been undertaken by military personnel in any of the countries operating the aircraft.[25] The next serious accident occurred on the night of 16 June 1971 when A69-7203 crashed into the sea during an exercise near Evans Head, New South Wales, resulting in the death of the aircraft's pilot and navigator.[26]  The cost of this aircraft was written off against that of an Australian Lockheed P-3B Orion that had crashed in the America during 1968 before being delivered to the RAAF.[27] Other accidents involving the Phantom included A67-7220 being over-stressed in flight during February 1971 (which led to its engines being sent back to the America for repairs) and A69-7206's nosewheel collapsing during takeoff in January 1972.[28] The RAAF was highly satisfied with the performance of the F-4Es, and they played an important role in preparing No. 82 Wing to operate the F-111. Many personnel in the Air Force believed that it would have been very difficult for the wing to have transitioned directly from the Canberra to the much more complicated F-111.[27] In particular, the Phantoms gave RAAF personnel experience operating aircraft fitted with sophisticated avionics and capable of using a wide range of weapons, and the intensive training program undertaken by No. 82 Wing during this period significantly improved its professionalism. In his book Going Solo: The Royal Australian Air Force 1946–1971, Alan Stephens also argued that the speed with which the Air Force's aircrew and technical personnel adapted to operating Phantoms "illustrated the RAAF's exceptional technical competence".[29] Repairs to the RAAF's F-111Cs were undertaken from late 1971, and all 24 were accepted on 15 March 1973.[30] The RAAF considered retaining the Phantoms after the F-111s entered service, and the US Government offered to sell the 23 remaining aircraft to Australia for $54 million.[31] Studies found that the upfront cost of keeping the F-4Es would be $77 million, and that one of the Mirage III squadrons would need to be disbanded to man the Phantom-equipped units. Nevertheless, the Air Board recommended that the aircraft be retained, but a proposal to do so was rejected by the Cabinet in 1972 on advice from the Treasury.[32] If the Phantoms had remained in service they would have been used to provide close air support for the Army.[33] The Phantoms began to be returned to the USAF in 1972. No. 6 Squadron ceased operating the aircraft on 4 October 1972. Six F-4Es departed for the America on 25 October that year, followed by a further five in early November. The first six F-111s arrived at Amberley on 1 June 1973, and six Phantoms left for the America five days later. The final RAAF Phantom flight was made on 20 June, and four of the aircraft departed the next day. The last two Phantoms left Amberley on 21 June.[33] All but two of the former RAAF Phantoms were subsequently converted to specialist Wild Weasel aircraft.[33] A former USAF F-4E is on display at the RAAF Museum in Melbourne. This aircraft, which did not serve with the RAAF, was presented to the RAAF by the National Museum of the America Air Force in 1990, and is painted as one of the Phantoms operated by No. 82 Wing.[34]  Media related to F-4 Phantom II in service with Australia at Wikimedia Commons</t>
  </si>
  <si>
    <t>//upload.wikimedia.org/wikipedia/commons/thumb/f/f1/F-4E_Phantom_out_of_RAAF_Amberly_at_Pearce_ADEX_March_1971.jpg/300px-F-4E_Phantom_out_of_RAAF_Amberly_at_Pearce_ADEX_March_1971.jpg</t>
  </si>
  <si>
    <t>Fighter-bomber, used primarily as strike aircraft in RAAF service[1]</t>
  </si>
  <si>
    <t>https://en.wikipedia.org/Fighter-bomber, used primarily as strike aircraft in RAAF service[1]</t>
  </si>
  <si>
    <t>McDonnell Douglas</t>
  </si>
  <si>
    <t>https://en.wikipedia.org/McDonnell Douglas</t>
  </si>
  <si>
    <t>A69-0304 to A69-0307, A69-7201 to A69-7217, A69-7219 to A69-7220 and A69-7234[2]</t>
  </si>
  <si>
    <t>1970–73</t>
  </si>
  <si>
    <t>Midwest Hornet</t>
  </si>
  <si>
    <t>The Midwest Hornet is an American autogyro that was designed by Don Shoebridge and made available by Midwest Engineering &amp; Design in the form of free plans for amateur construction.[1] The Hornet is a development of the Taggart GyroBee and was introduced in 1997. The Hornet was designed to comply with the US FAR 103 Ultralight Vehicles rules, including the category's maximum empty weight of 254 lb (115 kg). The aircraft has a standard empty weight of 254 lb (115 kg). It features a single main rotor, a single-seat, open cockpit without a windshield, tricycle landing gear and a twin cylinder, air-cooled, two-stroke, single-ignition 40 hp (30 kW) Rotax 447 engine in pusher configuration. The 50 hp (37 kW) Rotax 503 engine can also be fitted.[1] The aircraft fuselage is made from bolted-together aluminum tubing, while the landing gear and flight controls are fabricated from 4130 steel. The rotor has a diameter of 24 ft (7.3 m), while the propeller recommended is a Powerfin composite model with a diameter of 60 to 66 in (152 to 168 cm). With an empty weight of 254 lb (115 kg) and a gross weight of 534 lb (242 kg) the design offers a useful load of 280 lb (127 kg). Without a pre-rotator fitted the Hornet requires 600 to 800 ft (183 to 244 m) to become airborne.[1][2] Data from Bayerl and Midwest[1][2]General characteristics Performance</t>
  </si>
  <si>
    <t>Autogyro</t>
  </si>
  <si>
    <t>https://en.wikipedia.org/Autogyro</t>
  </si>
  <si>
    <t>Midwest Engineering &amp; Design</t>
  </si>
  <si>
    <t>https://en.wikipedia.org/Midwest Engineering &amp; Design</t>
  </si>
  <si>
    <t>Don Shoebridge</t>
  </si>
  <si>
    <t>Taggart GyroBee</t>
  </si>
  <si>
    <t>https://en.wikipedia.org/Taggart GyroBee</t>
  </si>
  <si>
    <t>11 ft 4.5 in (3.467 m) not including rotor</t>
  </si>
  <si>
    <t>254 lb (115 kg)</t>
  </si>
  <si>
    <t>534 lb (242 kg)</t>
  </si>
  <si>
    <t>1 × Rotax 447 twin cylinder, air-cooled, two-stroke, single-ignition aircraft engine, 40 hp (30 kW)</t>
  </si>
  <si>
    <t>50 mph (80 km/h, 43 kn)</t>
  </si>
  <si>
    <t>55 mi (89 km, 48 nmi)</t>
  </si>
  <si>
    <t>750 ft/min (3.8 m/s)</t>
  </si>
  <si>
    <t>5 U.S. gallons (19 L; 4.2 imp gal)</t>
  </si>
  <si>
    <t>3-bladed Powerfin, 5 ft 6 in (1.68 m) diameter</t>
  </si>
  <si>
    <t>Plans available (2013)</t>
  </si>
  <si>
    <t>24 ft (7.3 m)</t>
  </si>
  <si>
    <t>6 ft 2 in (1.88 m)</t>
  </si>
  <si>
    <t>Lockheed Martin SR-72</t>
  </si>
  <si>
    <t>The Lockheed Martin SR-72, colloquially referred to as "Son of Blackbird",[1] is an American hypersonic UAV concept intended for intelligence, surveillance and reconnaissance proposed privately in 2013 by Lockheed Martin as a successor to the retired Lockheed SR-71 Blackbird. The company expected that an SR-72 test vehicle could fly by 2025. The SR-71 Blackbird was retired by the USAF in 1998,[2] leaving what was considered a coverage gap between surveillance satellites, manned aircraft, and unmanned aerial vehicles for intelligence, surveillance and reconnaissance (ISR) and strike missions. With the growth of anti-satellite weapons, anti-access/area denial tactics, and counter-stealth technologies, it was thought that a high-speed aircraft could penetrate protected airspace and observe or strike a target before enemies could detect or intercept it. The proposed reliance on extremely high speed to penetrate defended airspace is considered a significant conceptual departure from the emphasis on stealth in fifth-generation jet fighter programs and projected drone developments.[3] Unconfirmed reports about the SR-72 date back to 2007, when various sources disclosed that Lockheed Martin was developing an airplane able to fly six times the speed of sound or Mach 6 (4,000 mph; 6,400 km/h; 3,500 kn) for the America Air Force.[4][5] Lockheed Martin Skunk Works' development work on the SR-72 was first published by Aviation Week &amp; Space Technology on 1 November 2013.[6][2] Public attention to the news was large enough to overwhelm the Aviation Week servers.[7] To attain its design speeds, Lockheed Martin has been collaborating with Aerojet Rocketdyne since 2006 on an appropriate engine. The company is developing the system from the scramjet-powered HTV-3X, which was canceled in 2008. The SR-72 is envisioned with an air-breathing hypersonic propulsion system that has the ability to accelerate from standstill to Mach 6 using the same engine, making it about twice as fast as the SR-71.[6] The challenge is to design an engine to encompass the flight regimes of subsonic, supersonic and hypersonic speeds. Using turbine compression, turbojet engines can work at zero speed and usually perform best up to Mach 2.2.[8] Ramjets, using aerodynamic compression with subsonic combustion, perform poorly under Mach 0.5 and are most efficient around Mach 3, being able to go up to around Mach 6. The SR-71's specially designed engines converted to low-speed ramjets by redirecting the airflow around the core and into the afterburner for speeds greater than Mach 2.5. Finally, scramjets with supersonic combustion cover the range of high supersonic to hypersonic speeds. The SR-72 is to use a turbine-based combined cycle (TBCC) system to use a turbine engine at low speeds and a scramjet engine at high speeds.[2] The turbine and ramjet engines share common inlet and nozzle, but with separate airflow paths.[9][10] At speeds of Mach 5 and above, aerodynamic heating creates temperatures hot enough to melt conventional metallic airframes, so engineers are considering composites such as high-performance carbon, ceramic, and metal mixes, for fabrication of critical components. Such composites have been used in intercontinental ballistic missiles and the retired Space Shuttle. As of May 2015[update], the SR-72 was envisioned as an ISR and strike platform, but no payloads were specified, likely because current payloads would be insufficient on an aircraft flying at Mach 6 up to 80,000 feet (24,400 m) high requiring hundreds of miles to turn.  New sensors and weapons would likely have to be created specifically to operate at such speeds.[11] In November 2013, construction of an optionally-piloted scaled demonstrator was planned to start in 2018.  The demonstrator was to be about 60 ft (18 m) long, about the size of a Lockheed Martin F-22 Raptor, and powered by one full-scale engine to fly for several minutes at Mach 6.[6][2] SR-72 flight testing was planned to follow the timeline for the hypersonic High Speed Strike Weapon.  The SR-72 is to be similar in size to the SR-71 at over 100 ft (30 m) long and have the same range, with entry into service by 2030. The SR-72 follows the US Air Force's hypersonic road map for developing a hypersonic strike weapon by 2020, and a penetrating ISR aircraft by 2030. At the time of the concept's unveiling, Lockheed Martin had engaged in talks with government officials, but has not secured funding for the demonstrator or engine.[6][2] On 13 November 2013, Air Force Chief of Staff General Mark Welsh revealed that the service was interested in the SR-72's hypersonic capabilities, but had not spoken with Lockheed Martin about the aircraft.  Its high speed appeals to the service to reduce the time an adversary would have to react to an operation.  They are pursuing hypersonic technology, but do not yet have the material ability to construct a full-size plane like the unmanned SR-72.  The SR-72 was unveiled in the midst of sequestration budget cuts that have required the Air Force to balance capability, capacity, and mission readiness.  By the mid-2020s, it is believed that foreign countries will produce and export advanced aerial technologies that could end up in battlespaces against the U.S.  This drives the Air Force to further develop new systems, including hypersonic, to replace outclassed legacy systems.[12] In 2013, it was reported that the SR-72 may face significant challenges to being accepted by the Air Force, as they are opting to develop the Northrop Grumman RQ-180 stealth UAV to perform the task of conducting ISR missions in contested airspace.  Compared to the SR-72, the RQ-180 is less complex to design and manufacture, less prone to problems with the acquisition, and could enter service as soon as 2015.[13] In December 2014, NASA awarded Lockheed Martin a contract to study the feasibility of building the SR-72's propulsion system using existing turbine engine technologies, The $892,292 contract funds a design study to determine the viability of a TBCC propulsion system by combining one of several current turbine engines, with a very low Mach ignition Dual Mode Ramjet (DMRJ).  NASA previously funded a Lockheed Martin study that found speeds up to Mach 7 could be achieved with a dual-mode engine combining turbine and ramjet technologies.  The problem with hypersonic propulsion has always been the gap between the highest speed capabilities of a turbojet, from around Mach 2.2 to the lowest speed of a scramjet at Mach 4. Typical turbine engines cannot achieve high enough speeds for a scramjet to take over and continue accelerating.  The NASA-Lockheed Martin study is looking at the possibility of a higher-speed turbine engine or a scramjet that can function in a turbine engine's slower flight envelope; the DARPA HTV-3X had demonstrated a low-speed ramjet (Dual Mode Ram Jet) that could operate below Mach 3.  Existing turbofan engines powering jet fighters and other experimental designs are being considered for modification.  If the study is successful, NASA will fund a demonstrator to test the DMRJ in a flight research vehicle.[14] Aerojet Rocketdyne was awarded a $1,099,916 contract by NASA's Glenn Research Center on 15 December 2014 during mode transition.[10] The two firms were reported to be collaborating on turbine-based combined cycle (TBCC) propulsion system prior to the development of the SR-72 hypersonic demonstrator expected to commence in 2018, with the first flight expected in 2023.[15] In March 2016, Lockheed Martin CEO Hewson stated that the company was on the verge of a technological breakthrough that would allow its conceptual SR-72 hypersonic plane to reach Mach 6. A hypersonic demonstrator aircraft the size of an F-22 stealth fighter could be built for less than $1 billion.[16][17][18][19] In June 2017, Lockheed Martin announced that the SR-72 would be in development by the early 2020s, with top speed in excess of Mach 6. Executive Vice President Rob Weiss commented that "We've been saying hypersonics [are] two years away for the last 20 years, but all I can say is the technology is mature and we, along with DARPA and the services, are working hard to get that capability into the hands of our warfighters as soon as possible."[20] In January 2018, Lockheed Vice President Jack O'Banion gave a presentation that credited the advancements in additive manufacturing and computer modeling, stating that it would not have been possible to make the airplane five years ago and that 3D printing allowed a cooling system to be embedded in the engine.[21][22] In February 2018, Orlando Carvalho, Executive Vice President of aeronautics at Lockheed Martin, pushed back on reports of the SR-72's development stating that no SR-72 had been produced. He also clarified that hypersonic research is fueling weapons systems development, and that "Eventually as that technology is matured, it could ultimately enable the development of a reusable vehicle. Prior to this we may have referred to it as a "like an SR-72", but now the terminology of choice is "reusable vehicle".[22] In November 2018, Lockheed Martin stated that a prototype of the SR-72 was scheduled to fly by 2025. The aircraft will be capable of firing hypersonic missiles.[23]</t>
  </si>
  <si>
    <t>//upload.wikimedia.org/wikipedia/en/thumb/4/4a/Lockheed_Martin_SR-72_concept.png/300px-Lockheed_Martin_SR-72_concept.png</t>
  </si>
  <si>
    <t>Hypersonic strategic reconnaissance UAV</t>
  </si>
  <si>
    <t>https://en.wikipedia.org/Hypersonic strategic reconnaissance UAV</t>
  </si>
  <si>
    <t>Lockheed Martin</t>
  </si>
  <si>
    <t>https://en.wikipedia.org/Lockheed Martin</t>
  </si>
  <si>
    <t>Design proposal</t>
  </si>
  <si>
    <t>Stemme ASP S15</t>
  </si>
  <si>
    <t>The Stemme ASP S15 is a German two-seat powered sailplane designed and built by Stemme for use as an Airborne Systems Platform. The ASP S15 is a two-seat single-engined, all composite construction, powered sailplane with the engine mounted in the center fuselage. The cockpit has room for two in side-by-side configuration.[1] It has a shoulder wing, a conventional T-tail and a retractable nose wheel landing gear.[1] It can also be fitted with a 2-axis autopilot and external underwing payload pods.[1] The ASP S15-1 was granted a restricted type certificate by the European Aviation Safety Agency in October 2013.[1] Data from [1]General characteristics Performance</t>
  </si>
  <si>
    <t>//upload.wikimedia.org/wikipedia/commons/thumb/9/9c/Safran_Electronics_%26_Defense_Patroller.jpg/300px-Safran_Electronics_%26_Defense_Patroller.jpg</t>
  </si>
  <si>
    <t>Stemme</t>
  </si>
  <si>
    <t>https://en.wikipedia.org/Stemme</t>
  </si>
  <si>
    <t>8.52 m (27 ft 11 in)</t>
  </si>
  <si>
    <t>18 m (59 ft 1 in)</t>
  </si>
  <si>
    <t>17.4 m2 (187 sq ft)</t>
  </si>
  <si>
    <t>1,100 kg (2,425 lb)</t>
  </si>
  <si>
    <t>1 × Rotax 914 F2 , 84.5 kW (113.3 hp)</t>
  </si>
  <si>
    <t>SAGEM Patroller</t>
  </si>
  <si>
    <t>2.45 m (8 ft 0 in)</t>
  </si>
  <si>
    <t>265 km/h (165 mph, 143 kn)</t>
  </si>
  <si>
    <t>3-bladed Mühlbauer Type MTV-7-A / 170/051, 1.7 m (5 ft 7 in) diameter</t>
  </si>
  <si>
    <t>https://en.wikipedia.org/SAGEM Patroller</t>
  </si>
  <si>
    <t>Storm 300</t>
  </si>
  <si>
    <t>The Storm 300 is an Italian homebuilt aircraft that was designed and produced by Storm Aircraft of Sabaudia. Storm Aircraft was originally called SG Aviation srl. When it was available the aircraft was supplied as a kit for amateur construction.[1] The original model Storm 300 features a cantilever low-wing, a two-seats-in-side-by-side configuration enclosed cockpit under a bubble canopy, fixed conventional landing gear or optionally tricycle landing gear, both with wheel pants, and a single engine in tractor configuration.[1] The aircraft is made from aluminum sheet with some fibreglass parts. Its 7.92 m (26.0 ft) span wing employs a GA 3OU-6135 Mod airfoil, mounts flaps and has a wing area of 11.055 m2 (119.00 sq ft). The cabin width is 112 cm (44 in). The acceptable power range is 100 to 125 hp (75 to 93 kW) and the standard engines used are the 100 hp (75 kW) Rotax 912ULS and the 115 hp (86 kW) Rotax 914 turbocharged powerplant.[1][2] The Storm 300 has a typical empty weight of 322 kg (710 lb) and a gross weight of 524 kg (1,155 lb), giving a useful load of 202 kg (445 lb). With full fuel of 144 litres (32 imp gal; 38 US gal) the payload for pilot, passenger and baggage is 99 kg (218 lb).[1] The standard day, sea level, no wind, take off with a 115 hp (86 kW) engine is 137 m (449 ft) and the landing roll is 110 m (361 ft).[1] The manufacturer estimated the construction time from the supplied kit as 500 hours or 350 hours from the quick-build kit.[1] The Storm 300 was later developed into the Storm Century and then the retractable gear Storm RG.[3] By 1998 the company reported that 20 kits had been sold and 12 aircraft were completed and flying.[1] In February 2014 one example was registered in the America with the Federal Aviation Administration and one with Transport Canada.[4][5] Data from AeroCrafter and The Incomplete Guide to Airfoil Usage[1][2]General characteristics Performance</t>
  </si>
  <si>
    <t>//upload.wikimedia.org/wikipedia/commons/thumb/e/e9/Flyer_Storm_300B_AN0873113.jpg/300px-Flyer_Storm_300B_AN0873113.jpg</t>
  </si>
  <si>
    <t>Homebuilt aircraft</t>
  </si>
  <si>
    <t>https://en.wikipedia.org/Homebuilt aircraft</t>
  </si>
  <si>
    <t>Storm Aircraft</t>
  </si>
  <si>
    <t>https://en.wikipedia.org/Storm Aircraft</t>
  </si>
  <si>
    <t>12 (1998)</t>
  </si>
  <si>
    <t>6.55 m (21 ft 6 in)</t>
  </si>
  <si>
    <t>7.92 m (26 ft 0 in)</t>
  </si>
  <si>
    <t>11.06 m2 (119.0 sq ft)</t>
  </si>
  <si>
    <t>322 kg (710 lb)</t>
  </si>
  <si>
    <t>524 kg (1,155 lb)</t>
  </si>
  <si>
    <t>1 × Rotax 914 four cylinder, air and liquid-cooled, four stroke turbocharged aircraft engine, 86 kW (115 hp)</t>
  </si>
  <si>
    <t>275 km/h (171 mph, 149 kn)</t>
  </si>
  <si>
    <t>56 km/h (35 mph, 30 kn) flaps down</t>
  </si>
  <si>
    <t>2,660 km (1,650 mi, 1,430 nmi)</t>
  </si>
  <si>
    <t>Storm CenturyStorm RG</t>
  </si>
  <si>
    <t>GA 3OU-6135 Mod</t>
  </si>
  <si>
    <t>144 litres (32 imp gal; 38 US gal)</t>
  </si>
  <si>
    <t>320 km/h (200 mph, 170 kn)</t>
  </si>
  <si>
    <t>3,700 m (12,000 ft)</t>
  </si>
  <si>
    <t>3-bladed ground adjustable composite</t>
  </si>
  <si>
    <t>47.4 kg/m2 (9.70 lb/sq ft)</t>
  </si>
  <si>
    <t>https://en.wikipedia.org/Storm CenturyStorm RG</t>
  </si>
  <si>
    <t>North American FJ-2/-3 Fury</t>
  </si>
  <si>
    <t>The North American FJ-2 and FJ-3 Fury are a series of swept-wing carrier-capable fighters for the America Navy and Marine Corps. The FJ-2 resulted from an effort to navalise the North American F-86 Sabre operated by the America Air Force. These aircraft feature folding wings, and a longer nose landing strut designed to increase angle of attack upon launch and to accommodate a longer oleo to absorb the shock of hard landings on an aircraft carrier deck. Although sharing a U.S. Navy designation with its distant predecessor, the straight-winged North American FJ-1 Fury, the FJ-2/-3 were completely different aircraft. (The later FJ-4 was again, a complete structural redesign of the FJ-3). The FJ-2 was one of the aircraft used to evaluate the first steam catapult on a US Navy aircraft-carrier.[1] By 1951, the Navy's existing straight-wing fighters were inferior in performance to the swept-wing Soviet Mikoyan-Gurevich MiG-15 then operating in the Korean War; the swept-wing fighters in the Navy's development pipeline, such as the Vought F7U Cutlass and Grumman F9F Cougar, were not yet ready for deployment. As an interim measure, the Navy's Bureau of Aeronautics ordered a direct development of the swept-wing North American F-86E Sabres as the FJ-2. As the F-86 had not been designed to be carrier-capable, this involved some risk, but Navy pilots had observed that the F-86A actually had a lower landing speed than the Grumman F9F Panther. During carrier qualification trials the Navy informed Grumman that if the F9F-5 stall speed was not reduced by 12 mph (19 km/h) it would be removed from carrier operations at the same time that the FJ-2 was already making its debut into navy squadrons.[2] North American's chief engineer at the time stated that the swept-wing Sabre had handling and stall characteristics at low speeds comparable to the best straight winged airplanes.[3]  The urgency behind the program was such that 300 (later reduced to 200) FJ-2 fighters were ordered before the prototypes had flown. The first prototype to fly was actually the third aircraft ordered: Designated XFJ-2B and first flown on 27 December 1951, it differed only from a standard F-86E-10 in its armament, having four 20 mm (0.8 in) Colt Mk 12 cannons instead of the six Colt-Browning M3 .50 in (12.7 mm) machine guns of the Sabre. The second and third aircraft to fly were designated XFJ-2 and lacked armament, but were modified to be carrier-capable. They had arrester hooks and longer nosewheel legs to increase angle of attack at take-off and landing, and catapult fittings. In August 1952 carrier trials were flown on USS Midway, followed by carrier qualification trials on USS Coral Sea in October–December 1952. Results were less than satisfactory: Low-speed handling was poor, while the arrester hook and nose gear leg weren't strong enough. The first production aircraft flew on 22 November 1952. This FJ-2 incorporated further modifications for carrier operations: The track of the main landing gear was widened by eight inches, the outer wing panels folded upward, and the windscreen was modified to give the pilot a better view during approach. The FJ-2 also featured an all-moving "flying tail" without dihedral.[4] Because of problems experienced during launches with steam catapults, a number of FJ-2 later received a stronger nosewheel strut. Outwardly, the FJ-2 was hard to distinguish from an F-86, apart from navy paint and the gun muzzles of the 20 mm (0.8 in) cannons. The engine was the General Electric J47-GE-2, a navalized version of the J47-GE-27 used in the F-86F. The naval modifications of the FJ-2 had increased weight by about 1,100 lb (500 kg) over the F-86F, but had not succeeded in delivering a fully carrier-capable fighter. A decision had already been made to give it to land-based squadrons of the US Marine Corps. Construction was slowed due to demand for the F-86 in Korea; the FJ-2 was not produced in large numbers until after that conflict had concluded. Only seven aircraft had been delivered by the end of 1953, and it was January 1954 before the first aircraft was delivered to a Marine squadron, VMF-122. The Navy preferred the lighter F9F Cougar due to its superior slow-speed performance for carrier operations, and the 200 FJ-2 models built were delivered to the America Marine Corps. The Marines did make several cruises aboard carriers and tried to solve the type's carrier handling problems, but the FJ-2 was never really satisfactory. In 1956, the FJ-2 already disappeared from front-line service, and reserve units retired it in 1957.[5] Even while development of the FJ-2 was ongoing, the development was planned of a version powered by the Wright J65, a license-built version of the British Armstrong Siddeley Sapphire turbojet. The Sapphire promised to deliver 28% more thrust than the J47, for little gain in weight. The new version was designated FJ-3, and an order for 389 aircraft was placed in March 1952.[citation needed] To test the new engine a single FJ-2, BuNo 131931, was modified, but the first true production FJ-3 flew on 3 July 1953.[6] The only externally visible change required by the new engine was a deeper intake to accommodate the larger mass flow. Early FJ-3s had the same wing as the FJ-2, but from 1955 onwards the FJ-3 was built with a so-called "6-3" wing, with a leading edge that was extended 6 in (150 mm) at the root and 3 in (76 mm) at the tip. This modification, first introduced on the F-86F, enhanced maneuverability at the expense of a small increase in landing speed due to deletion of the leading edge slats. The version introduced on the FJ-3 was different from that fitted to the F-86F, as camber was applied to the underside of the leading edge to improve low-speed handling. On the FJ-3, the new wing leading edges also held extra fuel. From the 345th aircraft onwards, the wings were provided with four stations for external loads, up to 1,000 lb (450 kg) on the inboard stations and 500 lb (230 kg) on the outboard stations.[citation needed] Deliveries began in September 1954, and the FJ-3 joined the fleet in May 1955. An FJ-3 was the first fighter to land aboard the new supercarrier USS Forrestal in 1956. Problems were encountered with the J65 engine, including failures of its lubrication system under the acceleration of launch or during manoeuvres, and failures of the turbine blades. Nevertheless, the Navy was more satisfied with the FJ-3 than it had been with the FJ-2, and in March 1954 ordered an additional 149 aircraft. Because of its more powerful engine, the FJ-3 was superior to most models of the F-86, except the F-86H. A total of 538 FJ-3s were built. Of these 194 were modified to FJ-3Ms with the ability to carry AIM-9 Sidewinder air-to-air missiles. Some FJ-3s were later modified to control Regulus missiles (KDU-1), and Grumman F9F-6K Cougar target drones. In 1956 the Navy retro-fitted all its FJ-3s with probe-and-drogue air refueling equipment, a long probe being fitted under the left wing.[7] Data from Combat Aircraft since 1945[17]General characteristics Performance Armament  Related development Aircraft of comparable role, configuration, and era  Related lists</t>
  </si>
  <si>
    <t>//upload.wikimedia.org/wikipedia/commons/thumb/4/4a/FJ-3M_VF-121_in_flight_1957.jpg/300px-FJ-3M_VF-121_in_flight_1957.jpg</t>
  </si>
  <si>
    <t>Fighter aircraft</t>
  </si>
  <si>
    <t>https://en.wikipedia.org/Fighter aircraft</t>
  </si>
  <si>
    <t>North American Aviation</t>
  </si>
  <si>
    <t>https://en.wikipedia.org/North American Aviation</t>
  </si>
  <si>
    <t>North American F-86 Sabre</t>
  </si>
  <si>
    <t>https://en.wikipedia.org/North American F-86 Sabre</t>
  </si>
  <si>
    <t>North American FJ-4 Fury</t>
  </si>
  <si>
    <t>https://en.wikipedia.org/North American FJ-4 Fury</t>
  </si>
  <si>
    <t>America NavyAmerica Marine Corps</t>
  </si>
  <si>
    <t>https://en.wikipedia.org/America NavyAmerica Marine Corps</t>
  </si>
  <si>
    <t>Auster AOP.9</t>
  </si>
  <si>
    <t>The Auster AOP.9 was a British military air observation aircraft ("Air Observation Post") produced by Auster Aircraft Limited to replace the Auster AOP.6. The Auster AOP.9 was designed as a successor to the Auster AOP.6. Like its predecessor, it was a braced high-wing single engined monoplane with a fixed tailwheel undercarriage.[2] Although having the same general appearance, the AOP.9 was a new design, with larger wing area and a more powerful engine. The wing and tail were metal-skinned, but the fuselage and ailerons were fabric-covered.[2] The fin and rudder assembly were more angular in the new aircraft with a noticeable dorsal fillet.[3] A combination of the more powerful 180 hp (134 kW) Blackburn Cirrus Bombardier engine, larger wings and large flaps gave it an improved take-off and landing performance compared with the AOP.6. It could operate from ploughed fields and muddy surfaces using low pressure tyres and strengthened undercarriage.[4] The cabin held three seats, pilot and passenger side-by-side and the observer behind, facing either forwards or rearwards.[2] The aircraft was also designed to be convertible into a two-seat light transport with an interchangeable rear floor.[4] In this configuration the observer sat alongside the pilot. The prototype WZ662 first flew 19 March 1954.[2] Auster Aircraft allotted its model designation B5 to the AOP.9 design.[5] Deliveries started to the Royal Air Force in February 1955,[2] replacing AOP.6s in the regular AOP squadrons, the auxiliary squadrons disbanding in March 1957 before receiving AOP.9s. Until the formation of the Army Air Corps (AAC) in September 1957, Army personnel flew RAF aircraft based in RAF squadrons. The aircraft were in action with No. 656 Squadron from September 1955,[6] flying an average of 1,200 sorties per month.[7] By the end of Operation Firedog in Malaya on 31 July 1960, 656 Squadron's AOP.6 and AOP.9s had carried out 143,000 sorties.[8] The AOP.9s were involved in several of Britain's other end of Empire conflicts; 653 Squadron AAC used them in Aden in the early 1960s, flying from Falaise, Little Aden.[9][10] They stayed in service until 1966 and were the last fixed wing AOP aircraft used by the AAC,[9] though their light transport role was taken over by Beavers. The South African Air Force operated its AOP.9s from 1957 to 1967. The Army Historic Aircraft Flight maintain an AOP.9[11] in flying condition at Middle Wallop. In the 1970s, 19 AOP.9s joined the UK civil register, and in 2008 14 remained, though only about three of these had a current certificate of airworthiness.[12] The sole Beagle E3/Auster AOP.11 G-ASCC was flying[13] until an accident in 2007.[14] Data from [2]General characteristics Performance     Related lists  Media related to Auster AOP.9 at Wikimedia Commons</t>
  </si>
  <si>
    <t>//upload.wikimedia.org/wikipedia/commons/thumb/5/5d/Auster_AOP.9_XK417_Farnborough_09.56.jpg/300px-Auster_AOP.9_XK417_Farnborough_09.56.jpg</t>
  </si>
  <si>
    <t>military observation aircraft</t>
  </si>
  <si>
    <t>Auster Aircraft Limited</t>
  </si>
  <si>
    <t>https://en.wikipedia.org/Auster Aircraft Limited</t>
  </si>
  <si>
    <t>182[1]</t>
  </si>
  <si>
    <t>23 ft 8+1⁄2 in (7.226 m)</t>
  </si>
  <si>
    <t>36 ft 5 in (11.10 m)</t>
  </si>
  <si>
    <t>197.6 sq ft (18.36 m2)</t>
  </si>
  <si>
    <t>1,460 lb (662 kg)</t>
  </si>
  <si>
    <t>2,100 lb (953 kg)</t>
  </si>
  <si>
    <t>1 × Blackburn Cirrus Bombardier 203 4-cylinder inverted inline piston, 173 hp (129 kW)</t>
  </si>
  <si>
    <t>110 mph (180 km/h, 96 kn)</t>
  </si>
  <si>
    <t>242 mi (389 km, 210 nmi)</t>
  </si>
  <si>
    <t>920 ft/min (4.7 m/s)</t>
  </si>
  <si>
    <t>{'Auster AOP.9': 'ly production version, 182 built.[1]', 'Auster AOP.11': 'ree-seat AOP machine with a 260 hp Continental IO-470-D 6-cylinder horizontally opposed more powerful engine, that raised the maximum speed to 142 mph (228 km/h) and the empty weight to 1,806 lb (816 kg).[15] Apart from the engine, the AOP.11 was almost identical to its predecessor. Early in its career (photo, right), the undercarriage had spats, though these were later removed.[15] Only one, a converted AOP.9[1] was produced, making its first flight on 18 August 1961 with serial XP254.[16] A year later it was registered to Beagle aircraft, that had taken over Auster in 1960, as G-ASCC where it was known as the Beagle Mk 11, the E.3 or as the A.115.[1] It was sold into private hands in 1971.[13]', 'Auster 9M': 'number of army surplus aircraft were bought by Captain Mike Somerton-Rayner in 1967. One was converted as an Auster 9M with a 180 hp (134 kW) Avco Lycoming O-360-A1D piston engine.[17] The 9M first flew on 4 January 1968, and gained a Certificate of Airworthiness on 30 April 1968[17] The aircraft was still airworthy in 2009.[18][19]'}</t>
  </si>
  <si>
    <t>8 ft 11 in (2.72 m)</t>
  </si>
  <si>
    <t>NACA 23012</t>
  </si>
  <si>
    <t>16 imp gal (19 US gal; 73 L) (normal)</t>
  </si>
  <si>
    <t>127 mph (204 km/h, 110 kn)</t>
  </si>
  <si>
    <t>18,500 ft (5,600 m) (absolute ceiling)</t>
  </si>
  <si>
    <t>Army Air CorpsRoyal Air Force, Indian Air Force</t>
  </si>
  <si>
    <t>https://en.wikipedia.org/Army Air CorpsRoyal Air Force, Indian Air Force</t>
  </si>
  <si>
    <t>630 ft (190 m)</t>
  </si>
  <si>
    <t>450 ft (140 m)</t>
  </si>
  <si>
    <t>SkyHook JHL-40</t>
  </si>
  <si>
    <t>The SkyHook JHL-40 was a proposed hybrid airship/helicopter. On July 9, 2008, Boeing announced that it had teamed up with SkyHook International, a Canadian company, to develop this aircraft.[1][2][3]  No further press releases appear after 2009 and Skyhook International has abandoned its domain name registration since 2010 as shown by the Internet Archive. According to company spokespeople, the aircraft would combine the best features of a blimp and a helicopter, and would be capable of carrying a 40 ton load up to 200 miles (320 km) without refueling. At 302 feet (92 m) long, it would classify as the largest helicopter in the world, and would be capable of flying up to 800 miles (1,300 km) without a load.[4] The craft would use helium to provide enough lift to carry its own weight, and would use four helicopter rotors to lift the load and to propel the aircraft.[3] By using both helium and helicopter rotors, the aircraft can avoid having to jettison helium after unloading.[1] In comparison, the CH-47 Chinook helicopter can carry a load the same distance, but can only lift a maximum of 10 tons.[3] SkyHook claimed that the aircraft will provide environmental benefits over traditional methods of delivering heavy loads, as it would require less fuel than a helicopter and will not require building big roads for construction equipment.[1] The JHL-40, or Jess Heavy Lifter, is named after Pete Jess, the President and Chief operating officer of SkyHook International, the company that owns the patent for the aircraft.[1] The planned aircraft has yet to be certified by Transport Canada and the U.S. Federal Aviation Administration.[2] Currently the aircraft's overall performance and layout have been established. The next major program milestone, never reached, was to be Detailed Design in 2011, which would have centered on the design, analysis and specification of all hardware, software and related aircraft and ground support systems interfaces. Boeing planned to design and fabricate a production SkyHook HLV prototype at its Rotorcraft Systems facility in Ridley Park, Pennsylvania. The new aircraft will enter commercial service after it is certified by Transport Canada and the U.S. Federal Aviation Administration. The first SkyHook HLV aircraft was scheduled to fly in 2014.[5] On September 13, 2010 however, Financial Times Deutschland revealed that development was halted until an infusion of 100 million dollar in public funding would be available.[6]   Aircraft of comparable role, configuration, and era</t>
  </si>
  <si>
    <t>//upload.wikimedia.org/wikipedia/en/thumb/5/55/SkyHook_JHL-40.jpg/300px-SkyHook_JHL-40.jpg</t>
  </si>
  <si>
    <t>Heavy lifter</t>
  </si>
  <si>
    <t>Boeing</t>
  </si>
  <si>
    <t>https://en.wikipedia.org/Boeing</t>
  </si>
  <si>
    <t>Canada / America</t>
  </si>
  <si>
    <t>https://en.wikipedia.org/Canada / America</t>
  </si>
  <si>
    <t>Proposed</t>
  </si>
  <si>
    <t>Lockheed XFM-2</t>
  </si>
  <si>
    <t>The Lockheed XPB-3, later designated XFM-2, (PB - Pursuit, Biplace / FM - Fighter, Multi-seat), was a proposed American heavy fighter aircraft, developed by the Lockheed Corporation during the mid-1930s. Intended as a heavy fighter and bomber destroyer for operation by the America Army Air Corps, it failed to win a contract for construction of a prototype, the Bell YFM-1 Airacuda being preferred. Given the Lockheed designation Model 11,[1] the XFM-2 was developed in response to a America Army Air Corps requirement for a heavy, twin-engined "bomber destroyer". Originally designated XPB-3 in the 'pursuit, biplace' category, it was redesignated 'XFM-2', for 'fighter, multiplace' early in development. Intended to be powered by two Allison V-1710 supercharged engines, the aircraft was designed for an armament of two 37mm cannon, one mounted in a nose turret and the other in a dorsal turret behind the cockpit.[2] The XFM-2 featured a tricycle landing gear configuration, and was a mid-wing monoplane of nearly medium bomber size. The empennage featured a twin-tail arrangement.[3] Although the XFM-2 design was evaluated favorably by the Air Corps, the Bell YFM-1 Airacuda was selected to fill the bomber destroyer requirement, and further work on the XFM-2 was abandoned.[4]   Aircraft of comparable role, configuration, and era  Related lists</t>
  </si>
  <si>
    <t>Heavy fighter/bomber destroyer</t>
  </si>
  <si>
    <t>Lockheed Corporation</t>
  </si>
  <si>
    <t>https://en.wikipedia.org/Lockheed Corporation</t>
  </si>
  <si>
    <t>n/a</t>
  </si>
  <si>
    <t>America Army Air Corps</t>
  </si>
  <si>
    <t>https://en.wikipedia.org/America Army Air Corps</t>
  </si>
  <si>
    <t>Cancelled in 1936</t>
  </si>
  <si>
    <t>NWT Spruce Coupe</t>
  </si>
  <si>
    <t>The NWT Spruce Coupe is an American homebuilt aircraft that was designed and produced by NWT Co of Charleston, Maine. When it was available the aircraft was supplied as a kit and also in the form of plans for amateur construction.[1] The Spruce Coupe features a strut-braced low-wing, a single-seat enclosed cockpit, fixed conventional landing gear and a single engine in tractor configuration.[1] The aircraft is made from a combination of spruce or pine, and fir, birch, mahogany plywood with its flying surfaces covered in doped aircraft fabric. Its 22.00 ft (6.7 m) span wing has a wing area of 88.00 sq ft (8.175 m2), mounts Junkers ailerons and is braced with "V" struts to the landing gear. The cabin width is 23 in (58 cm). The acceptable power range is 40 to 50 hp (30 to 37 kW) and the standard engine used is the 45 hp (34 kW) Zenoah G-50 twin-cylinder, horizontally opposed, two stroke, carburetted aircraft engine.[1] The Spruce Coupe has a typical empty weight of 300 lb (140 kg) and a gross weight of 600 lb (270 kg), giving a useful load of 300 lb (140 kg). With full fuel of 6 U.S. gallons (23 L; 5.0 imp gal) the payload for the pilot, passengers and baggage is 270 lb (120 kg).[1] The aircraft is noted for its STOL capabilities and the standard day, sea level, no wind, take off with a 45 hp (34 kW) engine is 75 ft (23 m) and the landing roll is 100 ft (30 m).[1] The manufacturer estimates the construction time from the supplied kit as 500 hours.[1] By 1998 the company reported that one aircraft had been completed and was flying.[1] Data from AeroCrafter[1]General characteristics Performance</t>
  </si>
  <si>
    <t>NWT Co</t>
  </si>
  <si>
    <t>https://en.wikipedia.org/NWT Co</t>
  </si>
  <si>
    <t>at least two</t>
  </si>
  <si>
    <t>16 ft 4 in (4.98 m)</t>
  </si>
  <si>
    <t>22 ft 0 in (6.71 m)</t>
  </si>
  <si>
    <t>88.00 sq ft (8.175 m2)</t>
  </si>
  <si>
    <t>300 lb (136 kg)</t>
  </si>
  <si>
    <t>600 lb (272 kg)</t>
  </si>
  <si>
    <t>1 × Zenoah G-50 twin-cylinder, horizontally opposed, two stroke, carburetted aircraft engine, 45 hp (34 kW)</t>
  </si>
  <si>
    <t>80 mi (130 km, 70 nmi)</t>
  </si>
  <si>
    <t>6 U.S. gallons (23 L; 5.0 imp gal)</t>
  </si>
  <si>
    <t>75 mph (121 km/h, 65 kn)</t>
  </si>
  <si>
    <t>2-bladed wooden fixed pitch</t>
  </si>
  <si>
    <t>Production completed (2014)</t>
  </si>
  <si>
    <t>6.8 lb/sq ft (33 kg/m2)</t>
  </si>
  <si>
    <t>Pipistrel Spider</t>
  </si>
  <si>
    <t>The Pipistrel Spider is a Slovenian ultralight trike, designed and produced by Pipistrel of Ajdovščina. The aircraft is supplied as a kit for amateur construction or as a complete ready-to-fly-aircraft.[1] The Spider was sold in Europe by Flight Team UG &amp; Company AG of Ippesheim, Germany and was sometimes called the Flight Team Spider.[2] By October 2018 it was listed as a "legacy" product and production had ended.[3] The aircraft was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with an optional cockpit fairing, tricycle landing gear with wheel pants and a single engine in pusher configuration.[1] The aircraft is made from composites and steel tubing, with its double surface wing covered in Dacron sailcloth. A number of different wings can be fitted to the basic carriage, but typical is a 10.50 m (34.4 ft) span wing is supported by a single tube-type kingpost and uses an "A" frame weight-shift control bar. The powerplant is a twin cylinder, air-cooled, two-stroke, dual-ignition 50 hp (37 kW) Rotax 503 or the twin cylinder, liquid-cooled, two-stroke, dual-ignition 64 hp (48 kW) Rotax 582 engine. The aircraft has an empty weight of 130 kg (287 lb) and a gross weight of 450 kg (992 lb), giving a useful load of 320 kg (705 lb). With full fuel of 42 litres (9.2 imp gal; 11 US gal) the payload is 290 kg (639 lb).[1][4] The standard day, sea level, no wind, take off and landing roll with a 50 hp (37 kW) engine is 30 m (98 ft).[1] The manufacturer estimates the construction time from the supplied kit as 150 hours.[1] By 1998 the company reported that 250 kits had been sold were flying.[1] Data from Purdy[1]General characteristics Performance</t>
  </si>
  <si>
    <t>Pipistrel</t>
  </si>
  <si>
    <t>https://en.wikipedia.org/Pipistrel</t>
  </si>
  <si>
    <t>250 (1998)[1]</t>
  </si>
  <si>
    <t>10.50 m (34 ft 5 in)</t>
  </si>
  <si>
    <t>129.75 kg (286 lb)</t>
  </si>
  <si>
    <t>450 kg (992 lb)</t>
  </si>
  <si>
    <t>1 × Rotax 503 twin cylinder, liquid-cooled, two stroke aircraft engine, 37 kW (50 hp)</t>
  </si>
  <si>
    <t>500 km (310 mi, 270 nmi)</t>
  </si>
  <si>
    <t>5.00 m/s (984 ft/min)</t>
  </si>
  <si>
    <t>Slovenia</t>
  </si>
  <si>
    <t>https://en.wikipedia.org/Slovenia</t>
  </si>
  <si>
    <t>179 km/h (111 mph, 96 kn)</t>
  </si>
  <si>
    <t>6,700 m (22,000 ft)</t>
  </si>
  <si>
    <t>4-bladed ground adjustable composite</t>
  </si>
  <si>
    <t>Production complete (2018)</t>
  </si>
  <si>
    <t>1980s</t>
  </si>
  <si>
    <t>1980s - present</t>
  </si>
  <si>
    <t>Tecnam Astore</t>
  </si>
  <si>
    <t>The Tecnam Astore (English: Goshawk) is an Italian light-sport aircraft, under development by Tecnam of Naples. It was first flown in early June, 2013 and introduced at the AERO Friedrichshafen show in 2013. It is supplied complete and ready-to-fly.[1][2] The Astore replaced the Tecnam P2002 Sierra in ultralight production, although not the certified P2002JF model.[2] The aircraft was designed to comply with the US Light Sport Aircraft (LSA) rules. It features a cantilever low-wing, two seats in side-by-side configuration, an enclosed cockpit under a bubble canopy, fixed tricycle landing gear with wheel pants and a single engine in tractor configuration.[1][2][3] The aircraft is made from aluminum sheet. Its wing has a span of 8.65 m (28.4 ft) and is equipped with flaps. Standard engines available are the 100 hp (75 kW) Rotax 912ULS and 912iULS, plus the 115 hp (86 kW) Rotax 914 four-stroke powerplants.[2][3] The Astore achieved its FAA LSA compliance in April 2014. More than thirty had been delivered by September 2014.[4] Reviewer Marino Boric described the design in a 2015 review as "beautiful".[2] Data from AOPA, Pew and Tecnam [1][3][5]General characteristics Performance Avionics</t>
  </si>
  <si>
    <t>//upload.wikimedia.org/wikipedia/commons/thumb/9/9c/Tecnam_Astore_VH-ARL_%2847695556711%29.jpg/300px-Tecnam_Astore_VH-ARL_%2847695556711%29.jpg</t>
  </si>
  <si>
    <t>Tecnam</t>
  </si>
  <si>
    <t>https://en.wikipedia.org/Tecnam</t>
  </si>
  <si>
    <t>Luigi Pascale</t>
  </si>
  <si>
    <t>30 (2014)</t>
  </si>
  <si>
    <t>7 m (23 ft 0 in)</t>
  </si>
  <si>
    <t>8.65 m (28 ft 5 in)</t>
  </si>
  <si>
    <t>12.2 m2 (131 sq ft)</t>
  </si>
  <si>
    <t>1 × Rotax 912ULS four cylinder, liquid and air-cooled, four stroke aircraft engine, 75 kW (101 hp)</t>
  </si>
  <si>
    <t>65 km/h (40 mph, 35 kn) flaps down</t>
  </si>
  <si>
    <t>6.1 m/s (1,200 ft/min)</t>
  </si>
  <si>
    <t>2.3 m (7 ft 7 in)</t>
  </si>
  <si>
    <t>110 litres (24 imp gal; 29 US gal) in two tanks of 55 litres (12 imp gal; 15 US gal) each</t>
  </si>
  <si>
    <t>244 km/h (152 mph, 135 kn)</t>
  </si>
  <si>
    <t>280 km/h (170 mph, 150 kn)</t>
  </si>
  <si>
    <t>4,572 m (15,000 ft)</t>
  </si>
  <si>
    <t>June 2013[1]</t>
  </si>
  <si>
    <t>2-bladed fixed pitch</t>
  </si>
  <si>
    <t>+4/-2</t>
  </si>
  <si>
    <t>2013-present</t>
  </si>
  <si>
    <t>Kaman SH-2G Super Seasprite</t>
  </si>
  <si>
    <t>The Kaman SH-2G Super Seasprite is an American ship-based helicopter with anti-submarine, anti-surface threat capability, including over-the-horizon targeting. This aircraft extends and increases shipboard sensor and weapon capabilities against several types of enemy threats, including submarines of all types, surface ships, and patrol craft that may be armed with anti-ship missiles. It was originally developed for the America Navy in 1980s as a reengined version of the older Kaman SH-2 Seasprite. The SH-2G's primary missions include anti-submarine and anti-surface warfare, anti-ship missile defense, and anti-ship surveillance and targeting. Secondary missions may include medical evacuation, search and rescue, personnel and cargo transfer, as well as small boat interdiction, amphibious assault air support, gun fire spotting, mine detection and battle damage assessment. In 1985, the SH-2G program was started. The US Navy wanted better anti-submarine capabilities and felt upgrading current helicopters would be a more cost-effective approach; moreover legacy Knox-class and early "short-hull" Perry-class frigates operating the SH-2F could not operate the larger SH-60B Seahawk. The prototype YSH-2G first flew on 2 April 1985. The prototype was a modified SH-2F fitted with two more powerful General Electric T700-GE-401/401C engines.[1] The G-model has a reinforced upper fuselage to support the heavier new engines.[1] The SH-2G also has multifunctional displays and new avionic systems.[2] The Navy began receiving Airborne Mine Counter Measures (AMCM) hardware with the Kaman Magic Lantern laser mine detection system in December 1996.[3] The US Navy's final production order of the SH-2F was in Fiscal Year 1986 with the last six orders switched to the SH-2G variant.[1] In the 1990s, the Royal Australian Navy (RAN) decided that it needed an intermediate helicopter to operate from the  Anzac-class frigates and the planned offshore patrol vessel (OPV), a proposed cooperative project with Malaysia; however, due to its size, the OPV could operate only a small helicopter. In 1997, the Australian Government signed a A$667 million contract with Kaman to purchase 11 upgraded Super Seasprites.[4] By 2005, up to 40 deficiencies in the helicopter had been identified, including the inability to operate in bad weather and low-light conditions, and its failure to meet Australian airworthiness standards.[5] The helicopters were initially restricted to transport duties during good weather before being grounded in May 2006.[5][6] By early 2007, ten Super Seasprites had been delivered to 805 Squadron.[4][5] In February 2007, The Australian announced that the Seasprite project was "almost certain to be scrapped".[4] At this point, the project was six years over schedule and its cost had grown to A$1.1 billion, with an additional A$45 million forecast as required for further upgrades.[4] If approved the squadron would still not reach operational status until 2010.[4] The sale or scrapping of the fleet was under consideration, possible replacements included the NHIndustries NH90 or further orders of Sikorsky SH-60 Seahawks.[4] On 25 May 2007, The Age reported the government would continue to support the Seasprite; Defence Minister Brendan Nelson commented that progress on the project was being closely monitored.[7] Following the election of the new Labor government, The Australian reported on 31 January 2008 that the SH-2G(A) program was likely to be canceled due to cost overruns; additionally it was still not operational despite the original contract being signed in 1997. The same article also noted that Sikorsky had submitted an offer of several 'off the shelf' helicopters to replace Australia's SH-2G(A)s.[8] On 5 March 2008, the project was canceled by the government; Kaman noted the project's end "on mutually agreed terms".[9][10][11] Opposition parties also supported the decision to cancel.[12] The remaining aircraft were returned to Kaman.[13] Following the cancellation of the Super Seasprite, S-70 Seahawks from 816 Squadron were assigned to the Anzac-class frigates. In 1995, Egypt signed a contract for 10 SH-2Gs for use by the Egyptian Navy. These helicopters had been equipped for anti-submarine duties and to be deployed on the Navy's ships as required; the procurement included AQS-18A dipping sonar, search radars, and an electronic support suite. They are often operated alongside Egypt's fleet of Westland Sea Kings.[14] The Royal New Zealand Navy (RNZN) replaced its Westland Wasps with four interim SH-2F Seasprites (ex-US Navy), to operate with Anzac-class frigates until the fleet of five new SH-2G Super Seasprites were delivered. The Navy air element was transferred to No. 6 Squadron RNZAF at RNZAF Base Auckland in Whenuapai in October 2005. RNZN Seasprites have seen service in East Timor.[15] New Zealand purchased five SH-2Gs at the same time as Australia. However, New Zealand opted for new-build airframes that were outfitted with different avionics. The SH-2G purchase was completed at NZ$12 million under the $338 million budgeted (excluding GST). The first RNZN SH-2G(NZ) was delivered in mid-2001, and the last was delivered February 2003. The Royal New Zealand Navy (RNZN) operates the type from its two Anzac-class frigates, two Protector-class offshore patrol vessels, and the multi-role vessel HMNZS Canterbury. They were initially operated by the Naval Support Flight of No. 3 Squadron RNZAF, but now from No. 6 Squadron RNZAF. In May 2012, Defence Minister Jonathan Coleman announced that Cabinet had given Defence officials approval to negotiate with Kaman Corporation for the 11 helicopters and flight simulator from the canceled Australian SH-2G(A) Super Seasprite project. It is thought the 11 helicopters, worth NZ$1.4 billion in 2008, would cost New Zealand between NZ$130 million to NZ$230 million.[16] A decision to purchase ten of the helicopters for $NZ242 million was announced on 19 April 2013.[17][18] Eight of the aircraft will enter service with the RNZAF to replace the existing five Seasprites, and the remaining two will be used as a source of spare parts.[19] The New Zealand Ministry of Defence accepted the first of the helicopters in the America on 1 December 2014, and two more were delivered to Auckland in early 2015. Deliveries were completed by the end of 2015.[20] All the aircraft were in service by 2016.[19] The NZDF's five SH-2G(NZ) Seasprites were officially retired on 14 April 2016, and will conduct their last flight on 21 April after serving since August 2001.  They will be replaced with eight re-manufactured SH-2G(I) models, allowing the Navy to embark up to three helicopters from ships at once instead of two.  The "I" model also replaces the AGM-65 Maverick with the AGM-119 Penguin anti-ship missile.[21] New Zealand's five SH-2G(NZ) models were sold to the Peruvian Navy in October 2014 and replaced by the Eight SH-2G(I) models.[22] Four ex-New Zealand SH-2Gs will be re-manufactured and upgraded by Kaman before they are introduced to service with the Peruvian Navy. The "implementation phase" of Peru's Seasprite purchase is expected to conclude in 2018.[23] The helicopters will be operated from the Navy's  Lupo-class frigates.[24] The Polish Navy operates four of these aircraft, which were included in the purchase of two  Oliver Hazard Perry-class frigates from the America Navy. The frigates are now operating as ORP Generał Tadeusz Kościuszko and Generał Kazimierz Pułaski. In 2007 they were modified to carry one MU90 Impact torpedo and a 7.62 mm PK machine gun on pivot mounting.[25] Beginning in 1991, the US Navy received 24 SH-2Gs, which were assigned to US Navy Reserve units. The Super Seasprite entered service with HSL-84 in 1993.[3] The SH-2 served in some 600 Navy deployments and flew 1.5 million flight hours. The Navy Reserve retired the last of the helicopters by June 2001.[3][26] Data from The International Directory of Military Aircraft[2]General characteristics Performance Armament  Related development Aircraft of comparable role, configuration, and era  Related lists</t>
  </si>
  <si>
    <t>//upload.wikimedia.org/wikipedia/commons/thumb/a/a1/US_Navy_080730-N-5384B-013_he_Royal_New_Zealand_Navy_SH-2G_Sea_Sprite_prepares_to_land_aboard_the_Nimitz-class_aircraft_carrier_USS_Abraham_Lincoln_%28CVN_72%29.jpg/300px-US_Navy_080730-N-5384B-013_he_Royal_New_Zealand_Navy_SH-2G_Sea_Sprite_prepares_to_land_aboard_the_Nimitz-class_aircraft_carrier_USS_Abraham_Lincoln_%28CVN_72%29.jpg</t>
  </si>
  <si>
    <t>ASW helicopter</t>
  </si>
  <si>
    <t>https://en.wikipedia.org/ASW helicopter</t>
  </si>
  <si>
    <t>Kaman Aircraft</t>
  </si>
  <si>
    <t>https://en.wikipedia.org/Kaman Aircraft</t>
  </si>
  <si>
    <t>Kaman SH-2 Seasprite</t>
  </si>
  <si>
    <t>https://en.wikipedia.org/Kaman SH-2 Seasprite</t>
  </si>
  <si>
    <t>3 (USN</t>
  </si>
  <si>
    <t>4,390 lb (1,991 kg) useful load</t>
  </si>
  <si>
    <t>52 ft 9 in (15.9 m)</t>
  </si>
  <si>
    <t>9,200 lb (4,170 kg)</t>
  </si>
  <si>
    <t>13,500 lb (6,120 kg)</t>
  </si>
  <si>
    <t>2 × T700-GE-401/401C turboshaft, 1,723 shp (1,285 kW) each</t>
  </si>
  <si>
    <t>120 kn (138 mph, 222 km/h)</t>
  </si>
  <si>
    <t>540 nmi (869 mi, 1,000 km)</t>
  </si>
  <si>
    <t>2,500 ft/min (12.7 m/s)</t>
  </si>
  <si>
    <t>15 ft 0 in (4.5 m)</t>
  </si>
  <si>
    <t>138 kn (159 mph, 256 km/h)</t>
  </si>
  <si>
    <t>150 kn (173 mph, 278 km/h)</t>
  </si>
  <si>
    <t>18,000 ft (3,000 m)</t>
  </si>
  <si>
    <t>5 hr with 2 external tanks</t>
  </si>
  <si>
    <t>1985–1995</t>
  </si>
  <si>
    <t>US Navy in 2001; Royal Australian Navy in 2008</t>
  </si>
  <si>
    <t>America Navy (historical)Egyptian Navy Royal New Zealand Navy Polish Navy</t>
  </si>
  <si>
    <t>https://en.wikipedia.org/America Navy (historical)Egyptian Navy Royal New Zealand Navy Polish Navy</t>
  </si>
  <si>
    <t>45 ft 0 in (13.4 m)</t>
  </si>
  <si>
    <t>FN MAG58 General-purpose machine gun x 1 (equipped on the right door only for the Royal New Zealand Navy)</t>
  </si>
  <si>
    <t>https://en.wikipedia.org/US Navy in 2001; Royal Australian Navy in 2008</t>
  </si>
  <si>
    <t>4 blades on main rotor and tail rotor. Main rotor blades are controlled by servo flaps rather than a swashplate</t>
  </si>
  <si>
    <t>Two bomb racks behind the main landing gear (for drop tanks and depth charges)</t>
  </si>
  <si>
    <t>Export type only, equipped with 2 AGM-65D air-to-ground missiles or 2 AGM-119 short-range anti-ship missiles</t>
  </si>
  <si>
    <t>2× Mk 46 or Mk 50 ASW torpedoes</t>
  </si>
  <si>
    <t>Dornier Do 29 (1934)</t>
  </si>
  <si>
    <t>The Dornier Do 29 was a proposed zerstörer, or heavy fighter, designed by Dornier as a competitor to the Messerschmitt Bf 110. The design answered the Reich Air Ministry requirement in autumn 1934 for a heavy fighter. Highly derivative of the earlier Do 17, the design was rejected before the prototype stage, and work stopped in 1936. Data from Luftwaffe secret projects : ground attack &amp; special purpose aircraft [1]General characteristics Performance Armament  Related development Aircraft of comparable role, configuration, and era  Related lists  This aircraft of the 1930s article is a stub. You can help Wikipedia by expanding it.</t>
  </si>
  <si>
    <t>Zerstorer ("Destroyer")</t>
  </si>
  <si>
    <t>https://en.wikipedia.org/Zerstorer ("Destroyer")</t>
  </si>
  <si>
    <t>Dornier</t>
  </si>
  <si>
    <t>https://en.wikipedia.org/Dornier</t>
  </si>
  <si>
    <t>Dornier Do 17</t>
  </si>
  <si>
    <t>https://en.wikipedia.org/Dornier Do 17</t>
  </si>
  <si>
    <t>15.35 m (50 ft 4 in)</t>
  </si>
  <si>
    <t>17.56 m (57 ft 7 in)</t>
  </si>
  <si>
    <t>55 m2 (590 sq ft)</t>
  </si>
  <si>
    <t>4,270 kg (9,414 lb)</t>
  </si>
  <si>
    <t>1 × Bramo 323B 9-cylinder air-cooled radial piston engines, 628 kW (842 hp)  RH rotation</t>
  </si>
  <si>
    <t>4.6 m (15 ft 1 in)</t>
  </si>
  <si>
    <t>460 km/h (290 mph, 250 kn)</t>
  </si>
  <si>
    <t>Luftwaffe</t>
  </si>
  <si>
    <t>https://en.wikipedia.org/Luftwaffe</t>
  </si>
  <si>
    <t>3-bladed variable-pitch propellers</t>
  </si>
  <si>
    <t>Design only</t>
  </si>
  <si>
    <t>6 × 7.92 mm (.312 in) MG 17 machine guns in nose + 1 × 7.92 (.312 in) MG 15 machine gun dorsal</t>
  </si>
  <si>
    <t>Potez-CAMS 161</t>
  </si>
  <si>
    <t>The Potez-CAMS 161 was a large, French six-engined flying boat airliner, designed to operate on the North Atlantic routes that were opening up in the late 1930s.  Its development was almost halted by World War II. Just one was built and partially tested before its destruction by Allied forces near the war's end. The Potez-CAMS 161 was one of three French large, six-engined flying boats intended as airliners on the North Atlantic route.  The others were the Latécoère 631 and the SNCASE SE.200.  In the summer of 1938, the 161's aerodynamics had been investigated and refined with the Potez-CAMS 160, a 5/13 scale flight model.[1]  Very different dates for the first flight appear in the literature: a contemporary report in Flight gives it as within few weeks before 7 December 1939,[2] with "further flying tests" in the first half of 1942,[2] whereas Hartmann[3] has 20 March 1942 as the first flight date. In either case the CAMS machine was the first of the three to fly. The 161 was an all-metal monoplane with a high, semi-cantilever wing, braced on each side by a pair of parallel struts between the lower fuselage and the wing near the first outboard engine. The engines were mounted on a constant chord central section but the outer panels were tapered,[3] with ailerons interconnected to Handley Page slots near the wing tips.[1]  The trailing edges carried split flaps.  The flying boat's wing stabilizing floats retracted vertically to the outer engine cowlings.[1]  The tail unit was of the twin endplate fin type with the tailplane, mounted with marked dihedral, on a fuselage pedestal and externally braced from below. The D-shaped fins were fixed to the tailplane a little below their horizontal mid-lines and were also lightly braced, with struts between them and the upper tailplane surfaces.[4] The CAMS 161 was powered by six 664 kW (890 hp) Hispano-Suiza 12Ydrs liquid cooled V-12 engines[1] driving three blade propellers.[4]  These were cooled via both wing surface and frontal radiators, the latter retracted after take-off.[1] Its two step hull[3] was flat sided forward of the wing but more rounded aft; there were long wing root fillets.[4]  Ten square windows on each side lit the passenger cabin, where twenty were provided with seating and sleeping compartments and flown and looked after by six crew.[1][5] Full flight trials and performance measurements were never done, so the figures remain estimates, but there is clear evidence that the empty weight had increased by about 33% from the 1938 estimates by the time the 161 was flying, with a corresponding 16% increase in gross weight.[1][5] In Hartmann's account,[3] the March flight was from the Seine, with the aircraft in German markings.  Earlier it had been painted in Air France Atlantique trim and at some point it received a French civil registration.  It seems to have been destroyed by enemy fire toward the end of World War II, but there is disagreement on exactly when and where: Hartmann locates the event to the Baltic, others to Lake Constance.[4]  Cuny states that the SE.200 and the Laté 631 were destroyed on the lake early in 1944, but that the Potez escaped.[6] Data from Jane's All the World's Aircraft 1938[1][Notes 1]General characteristics Performance</t>
  </si>
  <si>
    <t>//upload.wikimedia.org/wikipedia/commons/thumb/2/24/Potez-CAMS_161.png/300px-Potez-CAMS_161.png</t>
  </si>
  <si>
    <t>Flying boat airliner</t>
  </si>
  <si>
    <t>https://en.wikipedia.org/Flying boat airliner</t>
  </si>
  <si>
    <t>CAMS</t>
  </si>
  <si>
    <t>https://en.wikipedia.org/CAMS</t>
  </si>
  <si>
    <t>Six</t>
  </si>
  <si>
    <t>Twenty passengers</t>
  </si>
  <si>
    <t>32.11 m (105 ft 4 in)</t>
  </si>
  <si>
    <t>46 m (150 ft 11 in)</t>
  </si>
  <si>
    <t>261 m2 (2,810 sq ft)</t>
  </si>
  <si>
    <t>17,220 kg (37,964 lb) ; Flight (1942)[5] has 22,979 kg (50,660 lb)</t>
  </si>
  <si>
    <t>37,000 kg (81,571 lb) ; Flight (1942)[5] has 43,001 kg (94,800 lb)</t>
  </si>
  <si>
    <t>6 × Hispano-Suiza 12Ydrs liquid cooled V-12, 660 kW (890 hp)  each</t>
  </si>
  <si>
    <t>300 km/h (190 mph, 160 kn) at 4,000 m (13,123 ft)</t>
  </si>
  <si>
    <t>6,000 km (3,700 mi, 3,200 nmi) in a 60 km/h (37 mph) wind, with full payload and standard fuel capacity</t>
  </si>
  <si>
    <t>8.87 m (29 ft 1 in)</t>
  </si>
  <si>
    <t>15,500 kg (34,172 lb) including oil</t>
  </si>
  <si>
    <t>335 km/h (208 mph, 181 kn) at 1,000 m (3,281 ft)</t>
  </si>
  <si>
    <t>3-bladed</t>
  </si>
  <si>
    <t>Sido S.1</t>
  </si>
  <si>
    <t>The Sido S.1 was a Polish two seat, parasol wing trainer aircraft, first flown in 1930. In the late 1920s the LOPP issued a requirement for a low cost, 60 kW (80 hp) club trainer.  In 1929 the Sido S.1  was designed in response by the amateur Józef Sido, who was a student at the Mining Academy in Kraków.  Positive reactions from both LOPP and the Kraków Academic Aeroclub led to the parallel construction of three airframes in the workshops of the local Air Regiment, differing primarily in their engines. The first, powered by a 63 kW (85 hp) Cirrus III inline, flew for the first time on ether 21[1] or 28 July 1930.[2]  The second airframe flew in September 1930, initially known as the S.2 and fitted with a 60 kW (80 hp) Avia W.Z.7, a Polish seven cylinder radial engine. The third, initially known as the S.3, had the Cirrus engine but had modified the wing bracing struts and undercarriage. In the late summer of 1931 the two later aircraft were modified to the standards and engine of the S.1 and were referred to by that designation.[1][2] The wooden parasol wing of the Sido S.1 was built in two parts. Each had two spars, plywood skinned leading edges and was fabric covered. In plan the wing was straight tapered and its section varied outboard from S.T.Ae 74 to Göttingen Gö 398. Each halfwing was joined to the lower fuselage longerons with V-struts to the spars and the centre section, formed from the fuel tank, was held well above the fuselage on steel tube struts to the upper fuselage.[1] Its flat-sided fuselage was built around a steel tube structure and fabric covered apart from plywood decking. There were two open, tandem cockpits equipped with dual control. The upward field of view from the rear cockpit was improved with a wide, rounded, trailing edge cut-out and access to the front cockpit with a starboard-side door. The S.1 had a triangular fin and a large rudder with a leading edge that extended the straight edge of the fin but with a full, rounded trailing edge down to the keel. The tailplane was mounted on top of the fuselage, strut braced from below, and the elevators had a cut-out for rudder movement.[1] The S.1 had conventional, fixed landing gear. Each maninwheel was on a half-axle hinged from the lower fuselage longeron, as was the radius arm. The landing leg, which incorporated a compressed rubber shock absorber, was hinged from the upper longeron.[1] The Polish military aviation authorities considered the S.1 alongside the PZL.5 and the M.N.5 for their trainer requirements. Despite its good performance, the lack of an established manufacturing facility for this amateur design prevented its military adoption. There was more enthusiasm from the civilian aeroclubs and a series of five airframes, designated S.1bis Z, powered by the Avia engine in a Townend ring cowling and fitted with streamlined wing struts, was begun in the newly established Central Aeroclubs' Workshops (C.W.A.). C.W.A went bankrupt after producing only three, the last of which had a 60 kW (80 hp) Siemens-Halske Sh 11 radial.[1] The S.1s was a frequent competitor in Polish meetings, including the National Lightplane Contests and many local and regional meetings and rallies through the early 1930s, though without major successes. It also served as a reliable and forgiving club trainer, the small production numbers reflecting the failure to find an established constructor for the aircraft rather than its qualities.[1] One remained in use until 1939[1] and may have been evacuated to Romania.[2] Data from J. Cynk (1971)[1]General characteristics Performance</t>
  </si>
  <si>
    <t>//upload.wikimedia.org/wikipedia/commons/thumb/8/85/Sido_S-1_1.jpg/300px-Sido_S-1_1.jpg</t>
  </si>
  <si>
    <t>Trainer aircraft</t>
  </si>
  <si>
    <t>https://en.wikipedia.org/Trainer aircraft</t>
  </si>
  <si>
    <t>Józef Sido</t>
  </si>
  <si>
    <t>Two</t>
  </si>
  <si>
    <t>7.8 m (25 ft 7 in)</t>
  </si>
  <si>
    <t>17 m2 (180 sq ft)</t>
  </si>
  <si>
    <t>456 kg (1,005 lb)</t>
  </si>
  <si>
    <t>700 kg (1,543 lb)</t>
  </si>
  <si>
    <t>1 × Cirrus III air-cooled 4-cylinder inline, 63 kW (85 hp)</t>
  </si>
  <si>
    <t>700 km (430 mi, 380 nmi)</t>
  </si>
  <si>
    <t>Poland</t>
  </si>
  <si>
    <t>https://en.wikipedia.org/Poland</t>
  </si>
  <si>
    <t>2.5 m (8 ft 2 in)</t>
  </si>
  <si>
    <t>170 km/h (110 mph, 92 kn) at sea level</t>
  </si>
  <si>
    <t>4,500 m (14,800 ft)</t>
  </si>
  <si>
    <t>late July 1930</t>
  </si>
  <si>
    <t>6 min to 1,000 m (3,300 ft)</t>
  </si>
  <si>
    <t>90 m (300 ft)</t>
  </si>
  <si>
    <t>60 km/h (37 mph)</t>
  </si>
  <si>
    <t>Mirage Marathon</t>
  </si>
  <si>
    <t>The Mirage Marathon is an American homebuilt aircraft, designed and produced by Mirage Aircraft Corporation of Prescott Valley, Arizona. The aircraft is supplied in the form of plans for amateur construction, with materials kits supplied by Aircraft Spruce &amp; Specialty Co. and Wicks Aircraft Supply as well as some specialized parts supplied by the manufacturer.[1][2] The Marathon is a fixed landing gear development of the retractable landing gear equipped Mirage Celerity which was designed by Larry Burton. The design goals include high performance cross county flying at low cost.[1][2] The Marathon features a cantilever low-wing, a two-seats-in-side-by-side configuration enclosed cockpit, fixed tricycle landing gear or optionally conventional landing gear with wheel pants and a single engine in tractor configuration.[1] The aircraft is made from wood, foam and fiberglass. Its 25.00 ft (7.6 m) span wing mounts flaps and has a wing area of 100.0 sq ft (9.29 m2). The cabin width is 40 in (100 cm). The acceptable power range is 150 to 180 hp (112 to 134 kW) and the standard engines used are the 160 hp (119 kW) Chevrolet V-6 automobile conversion powerplant along with Lycoming aircraft engines, as well as Subaru, Mazda and Ford Motors V-6 automotive engines.[1] The factory provides some specialized parts for the construction of the aircraft, including leading edge fuel tanks, the aircraft canopy and landing gear.[1][2] The Marathon has a typical empty weight of 1,119 lb (508 kg) and a gross weight of 1,825 lb (828 kg), giving a useful load of 706 lb (320 kg). With full fuel of 50 U.S. gallons (190 L; 42 imp gal) the payload for the pilot, passenger and baggage is 406 lb (184 kg).[1] The standard day, sea level, no wind, take off with a 160 hp (119 kW) engine is 800 ft (244 m) and the landing roll is 1,000 ft (305 m).[1] By 1998 the company reported that ten kits had been sold.[1] In January 2014 one example was registered in the America with the Federal Aviation Administration.[3] Data from AeroCrafter[1]General characteristics Performance</t>
  </si>
  <si>
    <t>Mirage Aircraft Corporation</t>
  </si>
  <si>
    <t>https://en.wikipedia.org/Mirage Aircraft Corporation</t>
  </si>
  <si>
    <t>Mirage Celerity</t>
  </si>
  <si>
    <t>https://en.wikipedia.org/Mirage Celerity</t>
  </si>
  <si>
    <t>22.80 ft (6.95 m)</t>
  </si>
  <si>
    <t>25 ft 0 in (7.62 m)</t>
  </si>
  <si>
    <t>100.0 sq ft (9.29 m2)</t>
  </si>
  <si>
    <t>1,119 lb (508 kg)</t>
  </si>
  <si>
    <t>1,825 lb (828 kg)</t>
  </si>
  <si>
    <t>1 × Chevrolet V-6 cylinder, liquid-cooled, four stroke automotive engine, 160 hp (120 kW)</t>
  </si>
  <si>
    <t>185 mph (298 km/h, 161 kn)</t>
  </si>
  <si>
    <t>55 mph (89 km/h, 48 kn) flaps down</t>
  </si>
  <si>
    <t>800 mi (1,300 km, 700 nmi)</t>
  </si>
  <si>
    <t>1,500 ft/min (7.6 m/s)</t>
  </si>
  <si>
    <t>50 U.S. gallons (190 L; 42 imp gal)</t>
  </si>
  <si>
    <t>200 mph (320 km/h, 170 kn)</t>
  </si>
  <si>
    <t>20,000 ft (6,100 m)</t>
  </si>
  <si>
    <t>In production (2014)</t>
  </si>
  <si>
    <t>18.25 lb/sq ft (89.1 kg/m2)</t>
  </si>
  <si>
    <t>AeroVelo Atlas</t>
  </si>
  <si>
    <t>The AeroVelo Atlas is a human-powered helicopter (HPH) that was built for AHS International's Igor I. Sikorsky Human Powered Helicopter Competition. On 13 June 2013, it became the first aircraft to achieve the goals of the competition and thus won the prize. AeroVelo, a team of students and graduates of the University of Toronto, began flight testing its Atlas quad rotor HPH on 28 August 2012.[1] The core team of AeroVelo is the same group that created Snowbird, the first successful human-powered ornithopter.[2] The Atlas is the largest HPH ever flown,[3] and has a tip-to-tip rotor span of 154 ft (47 m), second only to the Russian Mil V-12.[4][5][6][7] The peak power of 1.1 kW (1.5 hp) was generated only during the first few seconds to climb to the required 3-metre (9.8 ft) altitude. By the end of the flight, power had reduced to 600 W (0.80 hp). Todd Reichert, the pilot and a racing cyclist, had specifically trained for such a power profile.[8] The design specifically took advantage of the ground effect possible by the altitude required to win the prize.[7] Control was created by leaning the bike, which flexed the entire helicopter frame, tilting the rotor axes.[8] On 13 June 2013, AeroVelo flew its Atlas HPH and submitted data from the flight to AHS International. During the 13 June 2013 flight, occurring at 12:43PM EDT, the team managed to keep Atlas in the air for 64.11 seconds, reach a peak altitude of 3.3 m (11 ft) and drift no more than 9.8 m (32 ft) from the starting point.[9][10] After its panel of vertical flight technical experts reviewed the data from the flight, AHS International announced that the flight had met the requirements of the competition and that AeroVelo had officially won the $250,000 prize on 11 July 2013.[11][12] A section was donated to the New England Air Museum in 2017.[13] Data from Aviation Week and Space Technology 15 July 2013[8]General characteristics Performance</t>
  </si>
  <si>
    <t>//upload.wikimedia.org/wikipedia/commons/thumb/e/e3/AeroVelo_Atlas_top_view.jpg/300px-AeroVelo_Atlas_top_view.jpg</t>
  </si>
  <si>
    <t>Human-powered helicopter</t>
  </si>
  <si>
    <t>https://en.wikipedia.org/Human-powered helicopter</t>
  </si>
  <si>
    <t>AeroVelo</t>
  </si>
  <si>
    <t>https://en.wikipedia.org/AeroVelo</t>
  </si>
  <si>
    <t>55 kg (122 lb)</t>
  </si>
  <si>
    <t>128 kg (282 lb)</t>
  </si>
  <si>
    <t>1 × human , 1.1 kW (1.5 hp)</t>
  </si>
  <si>
    <t>3.3 m (11 ft)</t>
  </si>
  <si>
    <t>4 × 20.2 m (66 ft 2 in)</t>
  </si>
  <si>
    <t>1,282 m2 (13,768 sq ft)</t>
  </si>
  <si>
    <t>UMS Skeldar V-200</t>
  </si>
  <si>
    <t>The UMS Skeldar V-200 is a medium-range VTOL (Vertical Take Off and Landing) UAV (Unmanned Aerial Vehicle) developed by the Swedish aerospace company Saab. The Skeldar can be used for surveillance, intelligence gathering, light cargo transportation, and electronic warfare. The Skeldar is a derivative of CybAero’s APID 55 UAV system, and its development started in 2005.[1] In June 2006 the Skeldar V-150 was unveiled at the Eurosatory exhibition in Paris, France.[2] The Skeldar V-200 is the designation for the developed version of the system.[3] The Skeldar V-200 can take-off and land on an area of 15x15 meters. Take-off and landings can be made autonomously. Skeldar V-200 is modular in the sense that payloads can be changed depending on the mission characteristics, for example it can be equipped with laser pointers, range finders, electro-optical &amp; infrared (EO/IR) 3D mapping, a light cargo hook and SIGINT (Signals Intelligence)[4] The Skeldar V-200 can be operated in both in land and naval operations, by 2–4 people. A UAS Control Station can be integrated into a ground-vehicle such as an APC or truck.[5] For naval operations the control station can be integrated into a ships normal operator consoles and combat management systems.[6] In 2009 Saab partnered with Swiss UAV to jointly develop and market three VTOL (Vertical Take Off and Landing) designs: the Skeldar V-200 and Swiss UAV's Neo S-300 and Koax X 240. The three systems can be controlled from a Saab common ground control station.[7] In the end of 2015 Saab partnered with UMS and created the company UMS Skeldar.[8] In September 2018, UMS Skeldar V-200B was selected by the German Navy for use on board K130 Braunschweig class corvettes.[9] The Royal Netherlands Navy and Belgian Navy Component will use the V-200 on their future MCMV's (mine countermeasure vessels), of which the first will be operational in 2024. [1] Source: Saab Skeldar V-200 Technical specifications[12] Length: 4 m Width: 1.2 m Height: 1.3 m Main Rotor Diameter: 4.7 m Max takeoff weight: 235 kg Max takeoff altitude: 2400 m  Payload: 40 kg Maximum speed: 140 km/h  Mission radius: 100 km  Endurance: Up to 6 hours  Power rating: 55 hp  Service ceiling: 3000 m  Takeoff preparation time: &lt;15 min</t>
  </si>
  <si>
    <t>//upload.wikimedia.org/wikipedia/commons/thumb/7/71/V-200.2.jpg/300px-V-200.2.jpg</t>
  </si>
  <si>
    <t>UAV helicopter</t>
  </si>
  <si>
    <t>https://en.wikipedia.org/UAV helicopter</t>
  </si>
  <si>
    <t>UMS Skeldar</t>
  </si>
  <si>
    <t>https://en.wikipedia.org/UMS Skeldar</t>
  </si>
  <si>
    <t>Caudron C.25</t>
  </si>
  <si>
    <t>The Caudron C.25 was a large, three-engined, biplane airliner, designed and built in France soon after the end of World War I. Its enclosed cabin could accommodate up to eighteen passengers. After the end of world War I, some Caudron C.23s, a large trimotor night bomber, were modified to act as passenger aircraft, but the C.25 was the first aircraft Caudron had designed from the beginning to carry passengers. It was large, with a 25 m (82 ft 0 in) span,[1] so Caudron built in hinges to allow the wings to be folded for easier handling on the ground. The wings were rectangular in plan, mounted without stagger and fabric covered. It was a three-bay biplane with unusually thin, wooden, parallel, vertical interplane struts, assisted by flying wires of thicker than usual gauge.  The engine mountings, two pairs of parallel struts, defined the inner bay. The outer pair of these struts were doubled since this was where the wing folded, and so the ends of the wing either side of the fold retained their struts.  Four vertical cabane struts braced the centre of the upper wing from the upper fuselage.[2] There were ailerons on both lower and lower planes, extending over more than half the span. These were not aerodynamically balanced in the usual way but were connected to each other by three vertical rods which halfway up were hinged to the trailing edge of a narrower and shorter horizontal surface which rotated about an axis well behind its aerodynamic centre. The wires from the cockpit operated these ancillary surfaces, which then moved the ailerons, just as the leading edge of a conventional balanced aileron, extending forward of the hinge, assists the pilot's input.[1][2] The Caudron C.23 was powered by three 186 kW (250 hp) Salmson 9Z nine cylinder water-cooled radial engines, each neatly cowled. Two were mounted halfway between the wings in flat-sided nacelles which curved to a point at the rear and the third was nose-mounted. The wing-mounted engines had fuel tanks in the nacelles, and the nose engine was served by a tank behind it.  Behind it the fuselage was rectangular in section and plywood covered to the rear of the passenger cabin, after which it was fabric covered.  The two crew sat in separate, wide, side-by-side open cockpits in the upper part of the fuselage ahead of the wing leading edge. The protrusion of their cockpits into the lower fuselage divided  the passenger space into a main cabin behind and a smaller one forwards, accessed by ducking under the bottom of the cockpits. The interior had large windows and was carefully furnished, with wicker armchairs and tables, lighting and decorated walls;[2] a toilet was provided.[3] The horizontal tail was a biplane unit with the lower tailplane attached  to the bottom of the fuselage and the upper one on top of a small, shallow fin. The rectangular tailplanes were braced together by two interplane struts on each side; both were rectangular and carried elevators. Three rudders occupied the gap between the elevators, the tips cut away for elevator movement. Only the outer rudders were balanced, but these were directly connected to the central one, assisting it. The C.25 had fixed tailskid conventional landing gear with main wheels in pairs under each engine, assisted by another pair under the nose to prevent noseovers.[1][2] The C.25 was on display at the Paris Aero Show in 1919, though it may not have flown by then.[2]  Little is recorded on its subsequent history. Data from Hauet (2001) p.142[1]General characteristics Performance</t>
  </si>
  <si>
    <t>//upload.wikimedia.org/wikipedia/en/thumb/b/b3/Caudron_C.25.png/300px-Caudron_C.25.png</t>
  </si>
  <si>
    <t>16–18-passenger airliner</t>
  </si>
  <si>
    <t>https://en.wikipedia.org/16–18-passenger airliner</t>
  </si>
  <si>
    <t>Caudron</t>
  </si>
  <si>
    <t>https://en.wikipedia.org/Caudron</t>
  </si>
  <si>
    <t>Paul Deville</t>
  </si>
  <si>
    <t>One pilot plus second pilot/engineer/ radio operator</t>
  </si>
  <si>
    <t>16-18</t>
  </si>
  <si>
    <t>19.00 m (62 ft 4 in)</t>
  </si>
  <si>
    <t>25.00 m (82 ft 0 in)</t>
  </si>
  <si>
    <t>155 m2 (1,670 sq ft)</t>
  </si>
  <si>
    <t>3,400 kg (7,496 lb)</t>
  </si>
  <si>
    <t>5,500 kg (12,125 lb)</t>
  </si>
  <si>
    <t>3 × Salmson 9Z water-cooled 9-cylinder radial, 190 kW (250 hp)  each</t>
  </si>
  <si>
    <t>5.45 m (17 ft 11 in)</t>
  </si>
  <si>
    <t>165 km/h (103 mph, 89 kn) at sea level</t>
  </si>
  <si>
    <t>2-bladed [2]</t>
  </si>
  <si>
    <t>6 hr</t>
  </si>
  <si>
    <t>Caudron C.33</t>
  </si>
  <si>
    <t>The Caudron C.33 "Landaulet Monsieur-Madame" was a French twin engined biplane with four seats, two in open cockpits and two in an enclosed cabin. Between 1919 and 1922 Caudron built a series of multi-engined civil passenger transport biplanes of similar design but increasing size and engine power, the C.33, C.37, C.39, C.43 and C.61. The C.33 was the only twin engined aircraft in the series and the smallest in span and passenger capacity, while the others had three or five engines.[1] Rather than being a small airliner taking paying passengers, the Landaulet Monsieur-Madame was intended as the equivalent of a chauffeur driven car carrying a couple and one other member of the household, as its name suggested.[2] The C.33 was a three bay biplane with fabric covered, rectangular plan wings mounted without stagger. Only the shorter lower wings had dihedral, which began outboard of the engines. The wings were joined by vertical pairs of interplane struts, the forward members attached near the leading edges, and the centre section was supported by similar, shorter cabane struts from the upper forward fuselage. Each inner bay was defined by two close pairs of parallel interplane struts, supporting a 60 kW (80 hp) Le Rhône 9C nine cylinder rotary engine between them, about halfway between the wings. Each wing mounted engine was in a long, tapered cowling, open at the rear.[2] Fuel was held in wedge shaped tanks within the cowlings, their horizontal rear edges visible from behind.[3] Each held 100 l (22 imp gal; 26 US gal).  Both upper and lower wings carried ailerons, which were not balanced.[2] The fuselage of the C.33 was rectangular in section. Two open cockpits were located in tandem in the wedge shaped nose. A passenger sat in front with the pilot behind.  Behind the pilot there was an enclosed cabin, with a window on each side and a port side door.[2] It contained a pair of upholstered wicker chairs mounted on swivels.[3] Behind the wings the fuselage tapered gently to a broad, triangular fin which carried a vertical edged balanced rudder that reached down to the keel. The tailplane  was mounted on top of the fuselage so its elevators had a notch for rudder movement. The C.37 had a fixed tailskid undercarriage. There were pairs of main wheels mounted on single axles attached at their centre to a longitudinal bar held under the engine at each end on short, forward raked V-struts.[2] The Landaulet Monsieur-Madame probably first flew late in 1919 or early in the next year.  It was on display at the Paris Aero Show of 1919,[3] though possibly unflown. Two appeared on the French civil register, remaining on it until 1931.[4] Data from Hauet (2001) p.143[2]General characteristics Performance</t>
  </si>
  <si>
    <t>//upload.wikimedia.org/wikipedia/en/thumb/1/14/Caudron_C.33.png/300px-Caudron_C.33.png</t>
  </si>
  <si>
    <t>Three seat passenger transport</t>
  </si>
  <si>
    <t>One pilot</t>
  </si>
  <si>
    <t>Three passengers</t>
  </si>
  <si>
    <t>9.35 m (30 ft 8 in)</t>
  </si>
  <si>
    <t>46.75 m2 (503.2 sq ft)</t>
  </si>
  <si>
    <t>885 kg (1,951 lb)</t>
  </si>
  <si>
    <t>1,385 kg (3,053 lb)</t>
  </si>
  <si>
    <t>2 × Le Rhône 9C 9-cylinder air-cooled rotary engine, 60 kW (80 hp)  each</t>
  </si>
  <si>
    <t>3.00 m (9 ft 10 in)</t>
  </si>
  <si>
    <t>200 l (44 imp gal; 53 US gal) and 42 l (9 imp gal; 11 US gal) oil</t>
  </si>
  <si>
    <t>130 km/h (81 mph, 70 kn)</t>
  </si>
  <si>
    <t>1919-20</t>
  </si>
  <si>
    <t>15.50 m (50 ft 10 in)</t>
  </si>
  <si>
    <t>14.20 m (46 ft 7 in)</t>
  </si>
  <si>
    <t>316 kg (697 lb)</t>
  </si>
  <si>
    <t>Caudron C.67</t>
  </si>
  <si>
    <t>The Caudron C.67 was a simple single seat biplane with a low powered engine. It was built and flown in France in 1922. The C.67 was, apart from its undercarriage, an all wood-framed aircraft with fabric covering.  It was a single bay biplane with wings that were rectangular in plan apart from angled tips, had equal spans and were mounted without stagger.  The lower wings were mounted on the lower fuselage longerons, with the upper wing braced to it by parallel pairs of vertical interplane struts. Four similar but shorter cabane struts connected the upper fuselage and upper wing centre section;  bracing wires ensured structural stability. The upper wing was built in two parts and carried the ailerons.[1] Its fuselage was also simple, with a rectangular section apart from the curved upper decking. The underside curved upwards strongly near the nose, where its three-cylinder Anzani radial engine was cowled with its cylinders projecting for cooling.  There was a single, open cockpit under the wing, which had a wide cut-out in its trailing edge to improve upward visibility. At the rear a broad, triangular fin carried an angular, unbalanced rudder, which reached down to the keel. Since the tailplane, with a plan similar to that of the wings, was mounted on top of the fuselage, the elevators required a cut-out for rudder movement. The C.67 had a fixed tailskid undercarriage. its mainwheels were on a steel single axle sprung to a pair a steel V-form struts, assisted by wire bracing.[1] The C.67 was flying regularly by mid-May 1922, piloted by Poirée, and performing aerobatics.[2] It was exhibited at the 1922 Paris Salon that December.[3] The prototype was the only example of the C.67. Data from Hauet (2001)[1]General characteristics Performance</t>
  </si>
  <si>
    <t>//upload.wikimedia.org/wikipedia/commons/thumb/b/b1/Caudron_C.67_L%27A%C3%A9ronautique_May%2C1922.jpg/300px-Caudron_C.67_L%27A%C3%A9ronautique_May%2C1922.jpg</t>
  </si>
  <si>
    <t>Sport aircraft</t>
  </si>
  <si>
    <t>5.80 m (19 ft 0 in)</t>
  </si>
  <si>
    <t>7.30 m (23 ft 11 in)</t>
  </si>
  <si>
    <t>14.00 m2 (150.7 sq ft)</t>
  </si>
  <si>
    <t>210 kg (463 lb)</t>
  </si>
  <si>
    <t>324 kg (714 lb)</t>
  </si>
  <si>
    <t>1 × Anzani 3-cylinder air-cooled inverted Y or radial, 19 kW (25 hp)</t>
  </si>
  <si>
    <t>2.40 m (7 ft 10 in)</t>
  </si>
  <si>
    <t>34 kg (75 lb)</t>
  </si>
  <si>
    <t>95 km/h (59 mph, 51 kn)</t>
  </si>
  <si>
    <t>1,300 m (4,300 ft)</t>
  </si>
  <si>
    <t>April or May 1922</t>
  </si>
  <si>
    <t>Rapier Unmanned Helicopter</t>
  </si>
  <si>
    <t>The Rapier is an unmanned autonomous helicopter that can provide reconnaissance, surveillance, situational awareness, electronic warfare, aerial fire support and precision targeting support for ground, air and sea forces. VTOL (Vertical Take Off Landing) helicopters are more comfortable for use- take off and land vertically on any kind of terrain (small ships or even vehicles), there is no need for a runway, there is more possibility for monitoring and recording. The helicopter is designed to carry various payloads such as radar systems, radar confusion transmissions, surveillance equipment (color TV camera, low light level TV camera, thermal imaging camera, laser target designation) and even weapons.  This article on an unmanned aerial vehicle is a stub. You can help Wikipedia by expanding it.</t>
  </si>
  <si>
    <t>//upload.wikimedia.org/wikipedia/commons/thumb/f/ff/Flag_of_Serbia.svg/23px-Flag_of_Serbia.svg.png</t>
  </si>
  <si>
    <t>Unmanned combat aerial vehicle</t>
  </si>
  <si>
    <t>https://en.wikipedia.org/Unmanned combat aerial vehicle</t>
  </si>
  <si>
    <t>EdePro</t>
  </si>
  <si>
    <t>https://en.wikipedia.org/EdePro</t>
  </si>
  <si>
    <t>1+</t>
  </si>
  <si>
    <t>Serbia</t>
  </si>
  <si>
    <t>https://en.wikipedia.org/Serbia</t>
  </si>
  <si>
    <t>Developing</t>
  </si>
  <si>
    <t>Caudron Type B</t>
  </si>
  <si>
    <t>The Caudron Type B was a 1911 development of the earliest Caudron type, the Caudron Type A, with a nacelle style fuselage and more powerful engine.  Initially an equal span biplane, it was modified into a sesquiplane. Pilots of the earliest Caudron aircraft, the Caudron Type A, sat unprotected on the wing. One Type A placed the tractor engine and pilot within a short, unskinned nacelle frame, mounted above the lower wing and the Type Abis introduced a similar but enclosed nacelle with an open cockpit. This became the standard arrangement on Caudron's twin-boom biplanes from the Type B to the Caudron Type F and, with minor modification, through to the widely used World War I Caudron G.3.[1] In its original form, the Type B was an equal span, wire braced two bay biplane, though the inner bay was only about half the width of the outer.  The two spar fabric covered wings had the same rectangular plan apart from angled tips.  There was no stagger, so the three sets of parallel interplane struts were parallel and vertical; the innermost pair defined the centre section and supported the nacelle with the assistance of further cabane struts. The rear spar was ahead of mid-chord, leaving the ribs in the rear part of the wing flexible and allowing roll control by wing warping.  A second Type B, the B2 which appeared in August 1911 with similar wings, was six months later modified into a sesquiplane with an upper wing span of 11.6 m (38 ft 1 in), a lower span of 7.30 m (23 ft 11 in) and a total wing area of 32 m2 (344 sq ft).  The upper overhang was supported by parallel, outward leaning struts from the bases of the outer interplane struts.  Many later Caudron designs were similarly braced sesquiplanes.[2] The nacelle was a simple, flat sided structure with the 37 kW (50 hp) Gnome Omega rotary engine in the front. A 37 kW (50 hp)  Anzani 6-cylinder radial engine may also have been fitted. There was a transversely mounted, cylindrical fuel tank behind the engine, its upper half visible at the front of the open cockpit. Initially the Caudron catalogue described the type B as a three-seater, then as a two-seater, with the pilot always in the extreme rear of the nacelle.  Photographs show the B in its earliest form with two aboard, then later, after another tank had been fitted in the gap between the nacelle and lower wing, with three.[2] The empennage of the type B was supported on a pair of girders arranged parallel to one another in plan. The upper girder members were attached to the upper wing spars at the tops of the innermost interplane struts and the lower ones ran under the lower wing, mounted on interplane strut extensions. These lower members, which supported the aircraft on the ground as skids, each carried twin landing wheels and curved upwards ahead of them, strengthened by diagonal struts back to the forward interplane strut under the wing. Behind the wing the upper and lower members converged to the rear. There were three vertical cross braces on each girder but the only lateral inter-girder struts were near the tail, though there was wire bracing. The broad chord, roughly rectangular, warping tailplane was mounted a little below the upper girder member. Above it, a pair of rectangular rudders were separated by one third of the tailplane span.[2] The Type B first flew on 28 January 1911.  The European Circuit competition which started in June 1911 involved flights between towns in France, Belgium, the Netherlands and England.[3] Duval took part with the Caudron Type Abis but had to abandon it towards the end of the fifth stage, near Brussels. He collected the Type B from the Caudron factory at Rue on 4 July and flew it via Calais to Brighton and Dover, destinations on the English part of the circuit.[2] In 1912 the B2 was bought by Auguste Maïcon who announced that on 16 February he would begin a flight to Porto Maurizio and thence to Nice.[2] Details of his journey are not known but on 18 August he flew from Allasio, some 21 km (13 mi) from Porto Maurizio, to Nice, a flight of 150 km (93 mi).[4] Another but unrelated Type B appeared in Caudron's 1912 catalogue, the Type B Multiplace.  It was a large three bay biplane with wings of unequal span and, uniquely for Caudrons of the period 1910-15, a conventional enclosed, full length fuselage. As the name asserts, it was intended to carry several passengers.[5] Data from Hauet (2001) p.21[2]General characteristics</t>
  </si>
  <si>
    <t>Two seat biplane</t>
  </si>
  <si>
    <t>https://en.wikipedia.org/Two seat biplane</t>
  </si>
  <si>
    <t>Caudron Type A</t>
  </si>
  <si>
    <t>https://en.wikipedia.org/Caudron Type A</t>
  </si>
  <si>
    <t>one or two passengers</t>
  </si>
  <si>
    <t>9.0 m (29 ft 6 in)</t>
  </si>
  <si>
    <t>40 m2 (430 sq ft)</t>
  </si>
  <si>
    <t>310 kg (683 lb)</t>
  </si>
  <si>
    <t>1 × Gnome Omega 7-cylinder rotary engine, 37 kW (50 hp)   or an  Anzani 6-cylinder 45 kW (60 hp) radial engine</t>
  </si>
  <si>
    <t>88 km/h (55 mph, 48 kn) [citation needed]</t>
  </si>
  <si>
    <t>170 km (110 mi, 92 nmi) [citation needed]</t>
  </si>
  <si>
    <t>100 km/h (62 mph, 54 kn) [citation needed]</t>
  </si>
  <si>
    <t>2-bladed Normale[3]</t>
  </si>
  <si>
    <t>retired</t>
  </si>
  <si>
    <t>Explorair Relax MV</t>
  </si>
  <si>
    <t>The Explorair Relax MV is a German powered parachute that was designed by Mathias Mauch and produced by Explorair of Ebringen, Breisgau-Hochschwarzwald in Baden-Württemberg. Now out of production, when it was available the aircraft was supplied as a complete ready-to-fly-aircraft.[1] The aircraft was introduced in about 2002 and production ended when the company went out of business in 2004.[2] The Relax MV was designed to comply with the Fédération Aéronautique Internationale microlight category and the US FAR 103 Ultralight Vehicles rules.[1] The Relax MV features a 42 m2 (450 sq ft) parachute-style wing, single-place accommodation, tricycle landing gear and a single 28 hp (21 kW) Explorair-converted Briggs &amp; Stratton four stroke engine in pusher configuration. The aircraft carriage is built from a combination of composite material and bolted aluminium tubing.[1] The carriage can be converted for use with a hang glider wing as an ultralight trike.[1] The aircraft has an empty weight of 115 kg (254 lb) and a gross weight of 250 kg (551 lb), giving a useful load of 135 kg (298 lb). With full fuel of 22 litres (4.8 imp gal; 5.8 US gal) the payload for pilot and baggage is 119 kg (262 lb).[1] Data from Bertrand[1]General characteristics Performance</t>
  </si>
  <si>
    <t>Powered parachute and ultralight trike</t>
  </si>
  <si>
    <t>https://en.wikipedia.org/Powered parachute and ultralight trike</t>
  </si>
  <si>
    <t>Explorair</t>
  </si>
  <si>
    <t>https://en.wikipedia.org/Explorair</t>
  </si>
  <si>
    <t>Mathias Mauch</t>
  </si>
  <si>
    <t>42 m2 (450 sq ft)</t>
  </si>
  <si>
    <t>115 kg (254 lb)</t>
  </si>
  <si>
    <t>250 kg (551 lb)</t>
  </si>
  <si>
    <t>1 × Briggs &amp; Stratton four-stroke, air-cooled engine, 21 kW (28 hp)</t>
  </si>
  <si>
    <t>25 km/h (16 mph, 13 kn)</t>
  </si>
  <si>
    <t>22 litres (4.8 imp gal; 5.8 US gal)</t>
  </si>
  <si>
    <t>Production completed (2004)</t>
  </si>
  <si>
    <t>5.95 kg/m2 (1.22 lb/sq ft)</t>
  </si>
  <si>
    <t>circa 2002</t>
  </si>
  <si>
    <t>2002-2004</t>
  </si>
  <si>
    <t>High Speed Target Drone</t>
  </si>
  <si>
    <t>Target drone is intended as a system with ground to air defense role and as well as training role. The drone has a modern Ground Control Station which enables mission planning and re-tasking, mission rehearsal and playback and training of operators for system usage. A wide and flexible selection of mission payloads installed inside the fuselage, effectively complies with the requirements of most complex missile systems engagement scenarios for training and weapon systems test and evaluation purposes. First time show by EdePro. This article on an unmanned aerial vehicle is a stub. You can help Wikipedia by expanding it.</t>
  </si>
  <si>
    <t>Caudron C.251</t>
  </si>
  <si>
    <t>The Caudron C.251 Et-2 was a French tandem seat, open cockpit biplane designed as an intermediate trainer and built in 1931. It did not go into production. The two seat, open cockpit C.251 was designed to replace the ubiquitous Caudron C.59, dating from 1922, as an intermediate trainer aircraft.  It was a single bay biplane with N-form interplane struts, its upper wing supported over the fuselage on a pair of short, vertical, N-form cabane struts. The slightly shorter span lower wing was mounted on the lower fuselage longerons a little above the fuselage underside and, unlike the upper wing had some dihedral.  The wings had significant stagger but were of similar plan, with equal and constant chord except near the straight but angled wing tip.  Only the lower wings carried ailerons.[1] It was powered by a 180 kW (240 hp) Lorraine 7Me Mizar seven cylinder radial engine which had a Townend ring type cowling and drove a two blade metal propeller with a conical spinner.  Behind the engine the fuselage was fabric covered and flat sided, though with a polygonal underside and decking. The forward cockpit was under the upper wing trailing edge where a slight cut-out improved the pupil's upward view. The instructor's cockpit was further back. The C.251s empennage was conventional, with tailplane and elevators mounted on top of the fuselage and having a planform similar to the wins, apart from a cut-out for rudder movement.  The fin profile was a shallow triangle; the rudder continued its upper line to a rounded tip and straight, vertical trailing edge.[1] The C.251 had a fixed tail wheel undercarriage and the rudder was slightly cut away below to give the tail wheel leg room for movement. The main wheels were mounted on half-axles attached on the central fuselage underside and hinged on faired V-struts from the lower fuselage longerons.  Landing loads were absorbed by legs also mounted on the lower longerons.[1] The C.251 flew for the first time in the first half of 1931.[2] That October it went to the military testing department at Villacoublay[1] and was still there in January 1932.[3] No production order followed and by February the sole C.251 was at Saint-Cyr, on its way to the Istres aviation school.[4] Data from Hauet (2001) p.236[1]General characteristics Performance</t>
  </si>
  <si>
    <t>8.07 m (26 ft 6 in)</t>
  </si>
  <si>
    <t>27.83 m2 (299.6 sq ft) upper area 14.72 m2 (158.4 sq ft), lower 13.11 m2 (141.1 sq ft)</t>
  </si>
  <si>
    <t>798 kg (1,759 lb)</t>
  </si>
  <si>
    <t>1,210 kg (2,668 lb)</t>
  </si>
  <si>
    <t>1 × Lorraine 7Me Mizar air-cooled, 7 cylinder radial, 180 kW (240 hp) 240 ch</t>
  </si>
  <si>
    <t>78 km/h (48 mph, 42 kn)</t>
  </si>
  <si>
    <t>3.27 m (10 ft 9 in)</t>
  </si>
  <si>
    <t>290 l (64 imp gal; 77 US gal)</t>
  </si>
  <si>
    <t>220 km/h (140 mph, 120 kn) at sea level</t>
  </si>
  <si>
    <t>First half of 1931</t>
  </si>
  <si>
    <t>2-bladed Chauvière, 2.70 m (8 ft 10 in) diameter metal</t>
  </si>
  <si>
    <t>10.24 m (33 ft 7 in)</t>
  </si>
  <si>
    <t>upper wing 7.1</t>
  </si>
  <si>
    <t>80 m (262 ft)</t>
  </si>
  <si>
    <t>100 m (328 ft)</t>
  </si>
  <si>
    <t>Caudron C.27</t>
  </si>
  <si>
    <t>The Caudron C.27 was a French biplane, a two-seat basic trainer which also competed successfully in the 1920s. When it was shown at the 1922 Paris Salon, the C.27 was presented as the second in a triplet of increasingly demanding trainers, starting with the Caudron G.3 and ending with the more powerful Caudron C.59,[1] though Hauet[2] describes it as a basic trainer. It was a two bay biplane, without stagger or significant dihedral. It had rectangular plan wings,[2] each built around two wooden spars[3] and fabric covered. These were braced with parallel interplane struts, assisted by piano-wire bracing. There were simple parallel cabane struts between the upper wing centre section and the upper fuselage longerons.[2] Ailerons were fitted only to the upper wing.[3] The C.27 was powered by an 80 hp (60 kW) Le Rhône 9C nine cylinder air-cooled rotary engine, driving a two blade propeller and with a cowling which surrounded its upper three-quarters.[2] Behind the engine the fuselage had a cross-braced beam structure.[3] The open cockpits were in tandem between the wings, the pupil's slightly forward of mid-chord and the instructor's close behind under the trailing edge, which had a rounded cut-out to improve his vision. At the rear a long, shallow triangular fin carried a straight edged balanced rudder which reached down to the keel. The tailplane was mounted on top of the fuselage and the elevators were cut away centrally to allow rudder movement. The C.27 had a fixed tail skid undercarriage with its wheels on a single axle supported by two pairs of V-struts from the lower fuselage. The forward members of these were originally double with a shock absorber in their upper parts, together with an elaborately wire braced central skid to prevent nose-overs, but the skid was soon abandoned and the double struts replaced by single ones.[2] At least one C.27 flew with a 80 hp (60 kW) Anzani engine.[2] The name C.27 was used to at least mid-1924 but at the Paris Salon L'Aérophile noted that the designation had changed to C.127.[3][4] From 1925 several were fitted with 130 hp (97 kW) Clerget 9B nine cylinder rotary engines and designated C.125.[5] The C.128 was again very similar but powered by a 120 hp (89 kW) Salmson 9AC, a nine-cylinder, air cooled radial engine. This had a smaller diameter than the rotaries and was mounted in a tapered nose with its cylinders exposed. There was a 14% increase in empty weight from the C.127 and a slight increase in span and area.[6] At least five were built or converted.[7] At least twenty-one C.27, C.125, C.127 and C.128 aircraft appeared on the French civil register.[7] The exact date of the first flight, piloted by Boulard,[2] is not known but the aircraft was flown publicly at Orly at the end of June 1922. It was piloted by Thoret, who particularly impressed onlookers with a polished aerobatic performance, the last part with his engine off.[8]  Two years later a C.27 piloted by Patin won the 1924 Zenith Cup, a trophy based on fuel consumption and load carrying ability, and Adrienne Bolland set a women's record in another C.27 when she completed 212 consecutive loops.[2] A C.128 came second in the 1926 Zenith Cup and in September 1927 one carried five people to win a competition at a rally in Auvergne. In September 1927 a C.128 won a prize by carrying five people. In September 1928 pilots Mauler and Baud, with cameraman Cohendy set out on a flight, made in stages of about 350–400 km (220–250 mi) from Paris to the Cape of Good Hope via the West African coast. The flight was organised by Le Peit Paisien newspaper and by Paramount films, for whom Cohendy recorded their journey. It was the first flight from France to the Cape. They then flew back to Paris after a round trip of about 35,000 km (22,000 mi).[6] In 1930 a modified C.128, ordered by the Société Pour le Développement de l'Aviation (Society for the development of aviation) and designated C.128/2 was equipped to allow an acrobat to hang on a trapeze under the aircraft and also to permit wing-walking.[6] Data from Hauet (2001) pp.188-9[4]General characteristics Performance</t>
  </si>
  <si>
    <t>//upload.wikimedia.org/wikipedia/commons/thumb/5/5e/Caudron_C.27_L%27Aerophile_July%2C1922.jpg/300px-Caudron_C.27_L%27Aerophile_July%2C1922.jpg</t>
  </si>
  <si>
    <t>Basic trainer</t>
  </si>
  <si>
    <t>https://en.wikipedia.org/Basic trainer</t>
  </si>
  <si>
    <t>https://en.wikipedia.org/Paul Deville</t>
  </si>
  <si>
    <t>more than 20</t>
  </si>
  <si>
    <t>8.30 m (27 ft 3 in)</t>
  </si>
  <si>
    <t>12.00 m (39 ft 4 in)</t>
  </si>
  <si>
    <t>34.50 m2 (371.4 sq ft)</t>
  </si>
  <si>
    <t>794 kg (1,750 lb)</t>
  </si>
  <si>
    <t>1 × Le Rhône 9C 9-cylinder air-cooled rotary, 60 kW (80 hp)</t>
  </si>
  <si>
    <t>{'C.27': 'iginal aircraft with 80\xa0hp (60\xa0kW) Le Rhône 9C. 70–80\xa0hp (52–60\xa0kW) Anzani engines were also fitted.', 'C.125': ' C.27/127 but with 130\xa0hp (97\xa0kW) Clerget 9B engine.', 'C.127': 'iginal type redesignated with only minor changes, same Le Rhône 9C engine.', 'C.128': ' C.27/127 but with 120\xa0hp (89\xa0kW) Salmson 9AC engine and greater span. Some were three seaters, with a third cockpit a little further aft.'}</t>
  </si>
  <si>
    <t>2.83 m (9 ft 3 in)</t>
  </si>
  <si>
    <t>107 kg (236 lb)</t>
  </si>
  <si>
    <t>132 km/h (82 mph, 71 kn)</t>
  </si>
  <si>
    <t>4,000 m (13,000 ft)</t>
  </si>
  <si>
    <t>first half of 1922</t>
  </si>
  <si>
    <t>23.0 kg/m2 (4.7 lb/sq ft)</t>
  </si>
  <si>
    <t>Caudron C.37</t>
  </si>
  <si>
    <t>The Caudron C.37 was a French three-engined biplane passenger transport, built in 1920. It could carry six passengers. Between 1919 and 1922 Caudron built a series of multi-engined civil passenger transport biplanes of similar design but increasing size and engine power, the C.33, C.37, C.39, C.43 and C.61.[1] The C.37 was the first trimotor in this series.[2] The C.37 was a three bay biplane with fabric-covered, rectangular-plan wings mounted without stagger. The lower wing had dihedral outboard of the engines, and the upper carried the ailerons, which were not balanced as they were on the later aircraft. The wings were joined by vertical pairs of interplane struts, the forward members attached near the leading edges, and the centre section was supported by similar, shorter cabane struts from the upper fuselage. Each inner bay was defined by two close pairs of leaning interplane struts, supporting an 60 kW (80 hp) Le Rhône 9C nine-cylinder rotary engine about halfway between the wings. Each wing-mounted engine was in a long, tapered cowling, open at the rear.  There was a third cowled Le Rhône in the nose. The airliner could fly on only two engines when carrying six passengers.[2] Behind the engine the fuselage was flat-sided, with a wide, open cockpit with its windscreen immediately under the upper leading edge. With a useful load of 450 kg (992 lb) the C.37 was capable of carrying six passengers, though it is not certain if windows or seats were fitted. Behind the wings the fuselage tapered gently to a broad, triangular fin which carried a vertical-edged rudder that reached down to the keel. The tailplane was mounted on top of the fuselage so its elevators had a notch for rudder movement.[2] The C.37 had a fixed tailskid undercarriage. There were pairs of main wheels mounted on single axles attached at their centre to a longitudinal bar held under the engine at each end on short, forward-raked V-struts. To prevent nose-overs, there was a fifth wheel mounted under the nose.[2] Data from Hauet (2001) p.145[2]General characteristics Performance</t>
  </si>
  <si>
    <t>Six passenger airliner</t>
  </si>
  <si>
    <t>https://en.wikipedia.org/Six passenger airliner</t>
  </si>
  <si>
    <t>Six seat passengers</t>
  </si>
  <si>
    <t>11.60 m (38 ft 1 in)</t>
  </si>
  <si>
    <t>17.00 m (55 ft 9 in)</t>
  </si>
  <si>
    <t>65 m2 (700 sq ft)</t>
  </si>
  <si>
    <t>2,100 kg (4,630 lb)</t>
  </si>
  <si>
    <t>3 × Le Rhône 9C 9-cylinder air-cooled rotary engines, 60 kW (80 hp)  each</t>
  </si>
  <si>
    <t>3.90 m (12 ft 10 in)</t>
  </si>
  <si>
    <t>350 kg (772 lb)</t>
  </si>
  <si>
    <t>5 hr</t>
  </si>
  <si>
    <t>Caudron C.74</t>
  </si>
  <si>
    <t>The Caudron C.74 was a ten-seat, four engine passenger biplane built in France in 1922. It showed promise but the sole prototype crashed fatally in a competition and no more were completed. The C.74 was a large biplane, powered by four 224 kW (300 hp) Hispano-Suiza 8Fb water-cooled, upright V-8 engines mounted in two pairs, each pair with one engine in tractor configuration and the other as a pusher. It was built from wood and steel and covered in plywood and fabric.[1]  An enclosed cabin could accommodate ten passengers.[2] The C.74 had rectangular plan wings, with the upper plane slightly greater in span than the lower. It was a three bay biplane without stagger, with two sets of parallel, vertical interplane struts outboard and two sets of leaning parallel struts inboard on each wing.  The latter met on the lower wing but diverged upwards in a narrow V, forming a cradle for an engine pair. Cabane struts joined the wing centre section to the upper fuselage longerons.[1] The airliner had a flat sided fuselage with two open cockpits in tandem for the crew, one ahead of the wing leading edge and the other close behind but under the wing. The cabin had five flat side windows, arranged in a group of three in front of the cockpits and two behind, plus a curved window in the cylindrical nose. Aft of the last window was a port side cabin entry door. At the rear, the C.74's fin was triangular and broad, carrying a vertically edged balanced rudder that reached down to the keel.  The tailplane was mounted on top of the fuselage and the elevators required a cut-out for rudder movement.[1] Its landing gear was essentially of the tailskid type.  On each side, vertical V-form legs from the lower fuselage longerons and from under the meeting points of the two engine support struts carried a single axle with a mainwheel at either end. In addition, a third axle, similarly mounted from the fuselage but forward of the wing, carried a pair of slightly smaller wheels intended to prevent nose-overs.  On each lower wing a pair of backward trailing thin skids, attached below each of the two rear outboard interplane struts and lightly braced from the trailing edge extended well behind, giving protection against accidental ground contact.[1] The C.74 was first flown in 1922 and seemed likely to sell well.  Entered into Le Grand Prix des Avions des Transports (The Great Prize for Transport Aircraft) competition held in early November 1922, it was well regarded by the jury. On 14 November, as it took off from Le Bourget, bolts securing one of the propellers failed and the C.74 crashed killing all three crew members, the pilot Alphonse Poirée and mechanics Courcy and Bovillier. No more were built.[1] Data from Hauet (2001) p.175[1]General characteristics Performance</t>
  </si>
  <si>
    <t>//upload.wikimedia.org/wikipedia/commons/thumb/3/38/Caudron_C.74_L%27A%C3%A9ronautique_December%2C1922.jpg/300px-Caudron_C.74_L%27A%C3%A9ronautique_December%2C1922.jpg</t>
  </si>
  <si>
    <t>Ten seat airliner</t>
  </si>
  <si>
    <t>https://en.wikipedia.org/Ten seat airliner</t>
  </si>
  <si>
    <t>Ten passengers[2]</t>
  </si>
  <si>
    <t>16.60 m (54 ft 6 in)</t>
  </si>
  <si>
    <t>130.00 m2 (1,399.3 sq ft)</t>
  </si>
  <si>
    <t>3,850 kg (8,488 lb)</t>
  </si>
  <si>
    <t>6,000 kg (13,228 lb)</t>
  </si>
  <si>
    <t>4 × Hispano-Suiza 8Fb water-cooled, upright V-8, 220 kW (300 hp)  each , mounted in push-pull pairs</t>
  </si>
  <si>
    <t>4.67 m (15 ft 4 in)</t>
  </si>
  <si>
    <t>24.20 m (79 ft 5 in)</t>
  </si>
  <si>
    <t>Caudron Type F</t>
  </si>
  <si>
    <t>The Caudron Type F was a French single seat biplane produced just before World War I. A dozen were bought by China and at least two other examples, with different engines, competed in 1913, coming first and second in the biplane category of the cross-country race at Reims.  Flown by Pierre Chanteloup, one was the first biplane to loop-the-loop. The Type F was a single seat biplane with the same layout as all other Caudron landbased biplanes before it, apart from the Type B Multiplace. They were all twin boom tractor configuration aircraft with a short central nacelle and twin fins. Compared to the Type B to Type E range, the Type F differed most obviously in the nacelle design and the vertical tail shape. By 1913, when the Type F appeared, at least one of each of the earlier types had been modified from an equal span biplane to a sesquiplane; like the Type E, the Type F was a sesquiplane from the start.[1][2] Like these earlier Caudrons, the Type F was a wire braced two bay biplane with two spar fabric covered wings having the same rectangular plan apart from angled tips. Upper and lower spans were in the ratio 1.8. There was no stagger, so the two sets of parallel interplane struts were parallel and vertical. The outer sections of the upper wings were supported by parallel pairs of outward leaning struts from the bases of the outer interplane struts, at the tip of the lower wing. The rear spar was ahead of mid-chord, leaving the ribs in the rear part of the wing flexible and allowing roll control by wing warping.[2] The nacelle was a development of the earlier simple, flat sided structures, but no longer with its sides curving upwards in profile to the engine. Instead, the upper edges of this structure were straight, with a curved decking which ran forward, rounding into a cowling around the 37 kW (50 hp) Gnome Omega seven cylinder radial engine. The cowling was more complete than on the earlier models, though in the manner of the time there was a gap at the bottom to allowed lost oil to escape. At least one Type F had an uncowled Anzani 10-cylinder radial engine.  The cockpit's forward rim was raised up, making it more enclosed and better defined; similar protection had been introduced on the Type D2 and Type E.  As before, the nacelle was supported above the lower wing on two more pairs of interplane struts; these were enclosed by the nacelle, as on the Type D.[2] The empennage of the type F was supported on a pair of girders arranged parallel to one another in plan. The upper girder members were attached to the upper wing spars at the tops of the innermost interplane struts and the lower ones ran under the lower wing, mounted on inverted W-form struts from the bottom of the inner interplane pairs. These lower members, which supported the aircraft on the ground as skids, each carried twin, rubber sprung landing wheels. Behind the wing the upper and lower members converged to the rear, the drag on the lower members reducing the landing run.  There were three vertical cross braces on each girder but the only lateral inter-girder cross-members were near the tail, though there was wire bracing. The broad chord, roughly rectangular, warping tailplane was mounted just below the upper girder member. Above it and instead of the earlier rectangular rudders there was a pair of small triangular fins, each mounting a broad rudder with a gently rounded leading edges and a straight, vertical trailing edge. The fins were separated by about one third of the tailplane span.[2] In 1913 Caudron had already sold at least two of the earlier two seat Type Ds to China[3] and by early 1913 they had obtained an order for twelve of the single seat Type Fs.  Emile Obre, from Caudron, and Bon, from the French colonial forces, went to Beijing to organise an aviation centre.[4] Two Type Fs competed at the Reims meeting at the end of September 1913, one Anzani powered and flown by Gaston Caudron and the other, Gnome powered flown by his brother René. René won first prize in the biplane category of the cross country event at an average speed of 94 km/h (58 mph) and another for setting the fastest lap time.  His brother finished second at an average speed of 94 km/h (58 mph).[2][5]  On 21 November 1913 Pierre Chanteloup in the Gnome powered Type F performed the first commanded loops in a biplane, as well as other aerobatic manoeuvres, at Issy-les-Moulineaux.[2][6] Data from Hauet (2001) p.62-4[2]General characteristics Performance</t>
  </si>
  <si>
    <t>//upload.wikimedia.org/wikipedia/en/thumb/e/e8/Caudron_Type_F.png/300px-Caudron_Type_F.png</t>
  </si>
  <si>
    <t>Single seat tractor configuration biplane</t>
  </si>
  <si>
    <t>https://en.wikipedia.org/Single seat tractor configuration biplane</t>
  </si>
  <si>
    <t>Caudron Type E</t>
  </si>
  <si>
    <t>https://en.wikipedia.org/Caudron Type E</t>
  </si>
  <si>
    <t>6.40 m (21 ft 0 in)</t>
  </si>
  <si>
    <t>22 m2 (240 sq ft)</t>
  </si>
  <si>
    <t>1 × Gnome Omega 7-cylinder rotary, 37 kW (50 hp)</t>
  </si>
  <si>
    <t>2.60 m (8 ft 6 in)</t>
  </si>
  <si>
    <t>Early 1913</t>
  </si>
  <si>
    <t>at least 4.5 hr[4]</t>
  </si>
  <si>
    <t>Caudron Type G</t>
  </si>
  <si>
    <t>https://en.wikipedia.org/Caudron Type G</t>
  </si>
  <si>
    <t>5.75 m (18 ft 10 in)</t>
  </si>
  <si>
    <t>5 min to 500 m (1,600 ft) when fuelled for 4.5 hrs flight[4]</t>
  </si>
  <si>
    <t>40 km/h (25 mph)</t>
  </si>
  <si>
    <t>Caudron Types M and N</t>
  </si>
  <si>
    <t>The Caudron Types M and N were small, fast French sports monoplanes, flown 1911–13 under a wide range of engine powers. There was also a military version. Although almost all the aircraft designed by the Caudron brothers in the twenty years from their first attempts in 1908 were biplanes, they did in 1911-2 produce three monoplane types.  These were the single seat racing Types M and N and the related but somewhat larger Type M2 military version.[1]  The Types M and N were very similar and, though the designations were reported together with some details in contemporary accounts, for example in l'Aérophile in 1912,[2] it has proved difficult for modern historians to distinguish them.[1]  They shared the same fuselage and both used a variety of engines but a comparison of data from different contemporary sources suggests that the Type M had a larger wing than the Type N. Though there is some scatter, the span of the Type M was close to 8.7 m (28 ft 7 in) and of the Type N to 8.0 m (26 ft 3 in). In contrast, wing area varied within types.[1] Around this time, various French manufacturers like Voisin and Farman were hoping to improve the stability of aircraft against gusts by using wings that were partly flexible like those of birds[2] and the Caudron Types M and N also included this feature. Each wing had two steel tube, wood filled spars, one at the leading edge and the other 500 mm (19.7 in)[2] aft, a little behind one third chord, with ash ribs and wire bracing. The number of ribs varied between 10, 11 and 12 and they were conventionally rigid between the spars. Behind the rear spar the upper part of each rib was also rigid, ending at about 70% chord; the lower part was completed by a thin, flexible extension strip for about 60% of the chord. The wing was then fabric covered, though the flexible portion was only covered on the upper side.[1][3] The wings were supported from above by landing wires from a four-legged pylon above the fuselage and by lifting wires from another below, shorter on the Type N than on the Type M. On the latter the tip of the lower pylon was braced by a horizontal, longitudinal strut to the centre of the undercarriage frame. Lateral control was by wing warping.[1] The structural fuselage of the Types M and N was a rectangular section, ash framed lattice girder with wire cross bracing. Poplar formers and stringers produced a more rounded, fabric covered section. The pilot sat well down in an open cockpit over the wing and behind the upper pylon.[3] A wide range of engines were fitted, including the 35 hp (26 kW) Anzani three cylinder inverted Y radial engine, the 45 hp (34 kW) Anzani 6-cylinder two row radial and the 50 hp (37 kW) Gnome. The last, a rotary engine, was usually covered over the upper part to screen the pilot from oil spray; the Anzanis were mounted uncowled. They all drove large, rather broad chord propellers.  The very broad chord, low aspect ratio tailplane was constructed like the wing with a flexible rear surface acting both to improve stability and, by warping, act like conventional elevators, its trailing edge extending well beyond the end of the fuselage.  A small, near rectangular, one piece, rigid fin was pivoted near its leading edge from the extreme tail.[1] The Types M and N had a tailskid undercarriage.  A transverse steel bar was fixed at each end to an ash V-strut from the lower fuselage and further braced with a steel V-strut from its centre. A pair of axles, hinged at the centre of the bar, passed through the vertices of the ash struts via rubber shock absorbers with the mainwheels, slightly toed out and 1.4 m (4 ft 7 in)[2] apart, beyond them.[3] Early versions of the undercarriage used a single axle rather than a split one.[1] There was an unusually long, curved, tall tailskid at the rear to keep the long tailplane clear of the ground.[1][3] Apart from basic specification (dimensions, weights and speed) in Laérophile[2] and Jane's All the World's Aircraft 1913,[4] no records of the Type M2 are currently known.[1] The first flight dates are not currently known, nor which type flew first, but there are reports of a Type N, piloted by Renée Caudron, flying on 23 December 1911.  Fitted with the 35 hp (26 kW) Anzani engine, it flew an out and return flight from Caudron's Le Crotoy base to Pointe-Saint-Quentin at 100 km/h (62 mph).  Two days later it was on display at the 1911 Paris Salon. It was re-engined with a 45 hp (34 kW) Anzani for an English owner, E.W. Ewen, who flew it home across the English Channel on 2 May 1912.[1] Flown by Maurice Guillaux it took part in a circuit of London race in June 1912, starting from Hendon, but retired from lack of fuel just before the end when it looked a likely winner.[1][5] After many modifications it was on display at the Olympia show in February 1913.[1] In September 1913 F. Goodden demonstrated it the Aerial Derby at Hendon, powered by a 35 hp (26 kW) Anzani; it had been entered for the race with the 45 hp (34 kW) engine but did not compete.[5][6] The 8.4 m2 (90 sq ft) wing area[3] of this aircraft, possibly the only Type N,[1] was much smaller than that usually quoted (10 m2 (108 sq ft)). Though its span was 230 mm (9.1 in) less than the 8 m (26 ft 3 in) said to indicate a Type N and shown on the three-view in L'Aérophile, the main cause was a narrow chord (1.2 m (4 ft 0 in))[3] compared with the 1.4–1.5 m (4 ft 7 in – 4 ft 11 in)[1][2] found in the French references. Emile Obre flew many demonstration flights in early 1912 with a Type M, powered by a 50 hp (37 kW) Gnome engine.  He flew across mainland France and in Corsica, Sardinia and French colonies in North Africa, visiting Tunis and Carthage, where the aircraft was damaged in an accident.  At least three Type Ms were built.[1] Data from Hauet (2001)[1]General characteristics Performance</t>
  </si>
  <si>
    <t>//upload.wikimedia.org/wikipedia/en/thumb/4/4d/Caudron_N.png/300px-Caudron_N.png</t>
  </si>
  <si>
    <t>at least 4</t>
  </si>
  <si>
    <t>6.0 m (19 ft 8 in)</t>
  </si>
  <si>
    <t>8.0 m (26 ft 3 in)</t>
  </si>
  <si>
    <t>10.0 m2 (108 sq ft)</t>
  </si>
  <si>
    <t>175 kg (386 lb) ; engine unspecified</t>
  </si>
  <si>
    <t>300 kg (661 lb) ; engine unspecified</t>
  </si>
  <si>
    <t>1 × Anzani radial or Gnome rotary , 26–37 kW (35–50 hp)   Several different engine types were fitted</t>
  </si>
  <si>
    <t>{'Type M2': 'litary machine, span 9.4\xa0m (30\xa0ft 10\xa0in), wing area 14\xa0m2 (151\xa0sq\xa0ft), length 6.1\xa0m (20\xa0ft 0\xa0in), weight 235\xa0kg (518\xa0lb), maximum speed about 115\xa0km/h (71\xa0mph).[2]'}</t>
  </si>
  <si>
    <t>2.0 m (6 ft 7 in)</t>
  </si>
  <si>
    <t>125 km/h (78 mph, 67 kn) ; engine unspecified</t>
  </si>
  <si>
    <t>late 1911</t>
  </si>
  <si>
    <t>2-bladed Caudron, 2.03 m (6 ft 8 in) diameter [3]</t>
  </si>
  <si>
    <t>Caudron C.220</t>
  </si>
  <si>
    <t>The Caudron C.220 was a two-seat French biplane trainer. Only two were built, using different engines. The Caudron C.220 basic trainer was a single bay biplane with two pairs of parallel interplane struts aided by wire bracing and two pairs of parallel cabane struts between the upper wing and the upper fuselage longerons. The wings were rectangular in plan and of similar chord though the upper span was about 3% greater. The wings were built from spruce and fabric covered. Ailerons were carried on the lower wing only.[1] The C.220 was powered by a 71 kW (95 hp) Salmson 7AC seven cylinder radial engine driving a metal, two blade propeller. One photograph shows the engine uncowled though the second aircraft, the C.221, which had a 75 kW (100 hp) Lorraine 5P five cylinder radial and was otherwise identical apart from using a different make of propeller, was recorded both with and without a narrow chord Townend ring type cowling.  Behind the engine the fuselage was a box girder structure covered in plywood, though the upper decking was rounded.  The forward of the two open tandem cockpits was placed between the wings at about mid-chord with the rear seat behind the trailing edge. The C.220 had a triangular fin and an unbalanced rudder with straight, parallel side and rounded top and bottom.  The horizontal tail was fixed to the upper fuselage longerons.  There was a fixed, tail wheel undercarriage.[1] The C.220 first flew in 1929.[1] In July 1931 it was successfully presented at the military testing centre at Villacoublay, along with two other intermediate trainer candidates, both monoplanes, the successful Hanriot LH.10 and the Morane-Saulnier MS.311.[2] Data from Hauet (2001) pp.214-5[1]General characteristics Performance</t>
  </si>
  <si>
    <t>Two, pupil and instructor</t>
  </si>
  <si>
    <t>7.795 m (25 ft 7 in)</t>
  </si>
  <si>
    <t>24.23 m2 (260.8 sq ft)</t>
  </si>
  <si>
    <t>830 kg (1,830 lb)</t>
  </si>
  <si>
    <t>1 × Salmson 7AC radial, 71 kW (95 hp) 95 cv</t>
  </si>
  <si>
    <t>82 km/h (51 mph, 44 kn)</t>
  </si>
  <si>
    <t>80 kg (176 lb)</t>
  </si>
  <si>
    <t>140 km/h (87 mph, 76 kn) at sea level</t>
  </si>
  <si>
    <t>2-bladed Chauvière, metal</t>
  </si>
  <si>
    <t>9.90 m (32 ft 6 in)</t>
  </si>
  <si>
    <t>9.62 m (31 ft 7 in)</t>
  </si>
  <si>
    <t>1,000 m (3,280 ft) in 6' 25"</t>
  </si>
  <si>
    <t>125 m (410 ft)</t>
  </si>
  <si>
    <t>105 m (344 ft)</t>
  </si>
  <si>
    <t>Caudron C.43</t>
  </si>
  <si>
    <t>The Caudron C.43 was the first French five-engined aircraft, a biplane intended for passenger transport or military use and multi-engined for safety. A development of the three-engined Caudron C.39, it had one tractor configuration engine in the nose and two push-pull pairs between the wings. It was capable of carrying eight passengers but was not developed. Apart from its engine configuration, the C.43 was conventional and shared its airframe with the three-engined C.39.[1] The first five engine aircraft built in France,[1] it was a three bay biplane with fabric-covered, rectangular-plan wings mounted without stagger.[2][3] The lower wing had dihedral outboard of the engines, reducing the large interwing gap from 2.80 m (9 ft 2 in) inboard to 2.50 m (8 ft 2 in) outboard. Though their spans were about equal (on the C.39, the upper span was 20.92 m (68 ft 8 in) and the lower one 19.52 m (64 ft 1 in)) or 93% of the  upper)[4] the area of the lower wing was only 76% that  of the upper because of a narrower chord.[2] The wings were joined by vertical pairs of interplane struts, the forward members attached near the leading edges, and the centre section was supported by similar, shorter cabane struts from the upper fuselage. The inner bay was defined by two close pairs of interplane struts, which between them supported the push-pull pairs of 60 kW (80 hp) Le Rhône 9C nine-cylinder rotary engines about halfway between the wings. Each pair was mounted in a long, cylindrical cowling.[3] Its ailerons, on the upper wing only, were aerodynamically balanced[2] by overhanging extensions beyond the tips, as on the C.39.[4] The fifth engine, another cowled Rhône, 9 was in the nose; behind it the fuselage had a square section with sides of 1.5 m (4 ft 11 in). The pilot and engineer had a very large, open cockpit, with an impressive array of levers controlling the five engines.[2] Behind the wings the fuselage tapered gently to a broad, triangular fin which carried a vertical edged unbalanced rudder that reached down to the keel.  As the tailplane was mounted on top of the fuselage, its elevators had a notch for rudder movement.[3] The C.43 had a fixed tailskid undercarriage. There were pairs of mainwheels mounted on single axles attached to a longitudinal bar held under the engine on short V-struts. To prevent nose-overs, there was a fifth wheel mounted under the nose.[3][4] The wheels could be replaced by flat sided floats, each fixed to the fuselage by two pairs of inverted V-struts, one to each side of the float.  Though in floatplane configuration the C.43 sat level over the water, the tailskid was joined by a small, cylindrical float to protect the tail at take-off.[2] The main reason for having five engines was safety.[2]  In addition, since the C.43, with a total power of 298 kW (400 hp), could lift a useful load of 580 kg (1,279 lb)[1] it could have carried eight passengers[2] or freight or arms.[1] There is no evidence in contemporary sources[1][2] that passenger accommodation or armament was ever fitted. The C.43, along with the C.39 and all but one other competitors, was unsuccessful at the Monaco Grand Prix for seaplanes, held in the spring of 1920.[5] The sole example was purchased by the Section Technique de l'Aéronautique (S.T.Aé.) to investigate the instrumentation and control requirements of multi-engined aircraft.[2] Data from L'Année des Aéronautique (1920–1)[1]General characteristics Performance</t>
  </si>
  <si>
    <t>//upload.wikimedia.org/wikipedia/commons/thumb/b/bf/Caudron_C.43_L%27A%C3%A9ronautique_January_1921.jpg/300px-Caudron_C.43_L%27A%C3%A9ronautique_January_1921.jpg</t>
  </si>
  <si>
    <t>Five-engined airliner or military aircraft.</t>
  </si>
  <si>
    <t>https://en.wikipedia.org/Five-engined airliner or military aircraft.</t>
  </si>
  <si>
    <t>Caudron C.39</t>
  </si>
  <si>
    <t>https://en.wikipedia.org/Caudron C.39</t>
  </si>
  <si>
    <t>12.55 m (41 ft 2 in)</t>
  </si>
  <si>
    <t>20.92 m (68 ft 8 in)</t>
  </si>
  <si>
    <t>88.8 m2 (956 sq ft)</t>
  </si>
  <si>
    <t>1,900 kg (4,189 lb)</t>
  </si>
  <si>
    <t>3,240 kg (7,143 lb)</t>
  </si>
  <si>
    <t>5 × Le Rhône 9C 9-cylinder rotary, 60 kW (80 hp)  each</t>
  </si>
  <si>
    <t>5.10 m (16 ft 9 in)</t>
  </si>
  <si>
    <t>600 kg (1,323 lb), including oil</t>
  </si>
  <si>
    <t>140 km/h (87 mph, 76 kn) at 00 m (0 ft)</t>
  </si>
  <si>
    <t>1919 or 1920</t>
  </si>
  <si>
    <t>42 min to 3,000 m (9,843 ft)</t>
  </si>
  <si>
    <t>Caudron C.97</t>
  </si>
  <si>
    <t>The Caudron C.97 was a two-seat biplane trainer designed and built in France around 1924.  A number were used by the Bolivian Air Force. Rather little information has survived on the C.97.[1]  Although it looked very similar to the Caudron C.59 and used the same engine, it is not on a list of eight other Caudron designs which shared the latter's airframe.[2] The C.97 was a two bay biplane without stagger and with pairs of parallel interplane struts and cabane struts.  Its fabric covered, unequal span wings were rectangular in plan apart from a large central cut-out over the fuselage to improve upward vision from the rear cockpit.  Ailerons were fitted to the upper wing.[1] Its fuselage was flat sided.  An upright, water-cooled Hispano-Suiza 8Ab V-8 engine, a relatively high compression engine developed during World War I as aircraft flew to higher altitudes[3] and so able to cope with the high Andean airfields of Bolivia, sat high in the nose with the fuselage underside curving upwards under it and with a flat fronted, angled cowling above the propeller shaft. Two different radiators were used, one of the cylindrical Lamblin type mounted below the fuselage and the other a shallow but wide rectangular one on the underside. The forward open cockpit was close behind the  engine and under the wing, with the instructor's position slightly behind the trailing edge.  At the rear the fin was triangular and broad, with a straight edged rudder that reached down to the keel. Since the tailplane was mounted on top of the fuselage, the elevators had a large cut-out for rudder movement.[1] The C.97 had a fixed tail skid undercarriage with its mainwheels on a single axle sprung from V-form struts to the lower fuselage longerons.[1] The first flight was probably made in early 1924 as the prototype was registered F-AGBH in April that year.[4] The first Bolivian Air Force machine was delivered on 1 August 1925.[1] The number purchased is not known; L'Aéronautique in 1927 mentions just one[5] but Flight in 1928 says "a number".[6] One C.97 was used from mid-1926 by the French-South American Company, based in Buenos Aires in Argentina.[7] The privately owned F-AGBH flew in France until 1926, taking part in competitions like the 1924 Concours Aviation de Tourisme de l'Aéro-Club de France (aviation touring competition of the French Aéro-Club).[4][8] It was next owned by the Compagnie Française d'Aviation until about 1930, when it was exported to Argentina.[4] Data from Hauet (2001) p.186[1]General characteristics Performance</t>
  </si>
  <si>
    <t>Trainer</t>
  </si>
  <si>
    <t>https://en.wikipedia.org/Trainer</t>
  </si>
  <si>
    <t>1 × Hispano-Suiza 8Ab upright water-cooled V-8, 130 kW (180 hp)</t>
  </si>
  <si>
    <t>300 km (190 mi, 160 nmi)</t>
  </si>
  <si>
    <t>6,200 m (20,300 ft)</t>
  </si>
  <si>
    <t>early 1924</t>
  </si>
  <si>
    <t>Caudron C.99</t>
  </si>
  <si>
    <t>The Caudron C.99 was a French light bomber and reconnaissance aircraft.  The only example flew with different engines in the mid-1920s. Though in 1924 Flight described the C.99, which was on display at the 18th Paris Salon,[1] as a fighter, both contemporary[2] and modern French sources[3] term it an observation and long range reconnaissance aircraft. It was a conventional single engine tractor biplane with two open cockpits in tandem.  Its unequal span wings were rectangular in plan and were mounted without stagger, divided into two bays on each side by two pairs of parallel interplane struts.  Cabane struts supported the upper wing over the fuselage.[3] The C.99 had a steel frame engine mounting in the nose, designed to accept a variety of engines.  At the 1924 Salon it had a 450 hp (336 kW) Hispano-Suiza 12H water cooled V-12 engine[1][3] but it was also seen with a 300 hp (224 kW) water cooled  Fiat engine[3] and a 400 hp (298 kW) Lorraine-Dietrich was another possibility.[4] The forward seat was just behind the wing trailing edge and the second close behind.  There was a triangular fin which carried a rudder with a straight and upright edge.  This extended to the keel so the elevators, attached to a tailplane mounted on top of the fuselage, required a central cut-out for movement.  The C.99 had a fixed undercarriage with its mainwheels on a single axle mounted on V-struts from each side of the fuselage.[3] As a bomber, the C.99 could carry twelve 10 kg (22 lb) bombs.[2] At the Salon it was fitted with four machine guns, one fixed and forward-firing for the pilot and two on a Scarff ring for the observer in the rear cockpit, who also had the fourth, rearward firing, gun in his floor.[1] Data from Hauet (2001), p.187General characteristics Performance</t>
  </si>
  <si>
    <t>https://en.wikipedia.org/Reconnaissance aircraft</t>
  </si>
  <si>
    <t>Brunet</t>
  </si>
  <si>
    <t>9.70 m (31 ft 10 in)</t>
  </si>
  <si>
    <t>48.0 m2 (517 sq ft)</t>
  </si>
  <si>
    <t>1,185 kg (2,612 lb) with coolant</t>
  </si>
  <si>
    <t>1,830 kg (4,034 lb) [1]</t>
  </si>
  <si>
    <t>1 × Hispano 12H V-12 engine, 340 kW (450 hp)</t>
  </si>
  <si>
    <t>3.25 m (10 ft 8 in)</t>
  </si>
  <si>
    <t>255 kg (562 lb)</t>
  </si>
  <si>
    <t>200 km/h (120 mph, 110 kn)</t>
  </si>
  <si>
    <t>c.1924</t>
  </si>
  <si>
    <t>3.50 hr</t>
  </si>
  <si>
    <t>14.00 m (45 ft 11 in)</t>
  </si>
  <si>
    <t>12.73 m (41 ft 9 in)</t>
  </si>
  <si>
    <t>The Caudron Type E two seat trainer was a larger and more powerful development of the Type C. Two or three were bought by the French military and one by the Royal Navy just before World War I but its sales were overtaken by the superior Type G. All Caudron biplane landplanes from before and into the First World War followed the same layout: tractor configuration, short nacelles, twin booms, large tailplanes and twin fins. From the Type A to the Type G.3, all were single engined. All types contained sesquiplane examples; the early types were modified from equal span biplanes and later ones, from the type E onwards, were sesquiplanes from the start. In contrast to its immediate predecessors, the Type C and Type D, the Type E was a two-seater, bigger and more powerful. It was designed as a military training aircraft.[1] The two spar fabric covered wings had the same rectangular plan, apart from angled tips, and had an upper to lower span ratio close to 1.5. There were two wire braced bays on each side, though the inner ones were only about half the width of the outer. There was no stagger, so the interplane struts were parallel and vertical. The overhang of the upper wing was supported by parallel, outward leaning struts from the bases of the outer interplane struts. The rear spar was ahead of mid-chord, leaving the ribs in the rear part of the wing flexible and allowing roll control by wing warping.[1] The two seat nacelle was developed from the earlier simple, flat sided structure of the Type B, supported above the lower wing on two more pairs of external interplane struts.[1] It was larger, with more space for the two occupants and military equipment.[2] The pilot was at the rear with the second seat forward; the upper fuselage ahead of the cockpit was raised, leaving the occupants less exposed. A 52 kW (70 hp) Gnome Lambda rotary engine was mounted in the front under a semi-circular cowling intended to deflect oil spray.[1][2] The empennage of the Type E was supported on a pair of girders arranged parallel to one another in plan. The upper girder members were attached to the upper wing spars at the tops of the innermost interplane struts and the lower ones ran under the lower wing, mounted on downward extensions of the inner interplane struts. The mounting was strengthened with two diagonal struts on each side, one from the base of the forward interplane strut to the upcurved tip of the lower member and the other from the rear interplane strut to the junction of the lower member and its first vertical cross member. Each of these lower members, which supported the aircraft on the ground as skids, carried twin, rubber sprung landing wheels. Behind the wing the upper and lower members converged to the rear; the drag on the lower members shortened the landing run.[1] The wingspans of the Type E were 0.5 m (1.6 ft) greater than those of the Type C[1] with an increase of the inner bay width which placed the booms further apart and increased the undercarriage track from 2.4 to 3.0 m (8 to 10 ft), making landings easier.[2] There were three vertical cross braces on each girder but the only lateral inter-girder cross-members were near the tail, though there was wire bracing. The broad chord, roughly rectangular, warping tailplane was mounted a little below the upper girder member. Above it, a pair of blunt cornered, rectangular rudders were separated by about one third of the tailplane span.[1] The French government received two Type Es, the first in September 1912 and the second a month later. Two more were built but proved hard to sell, probably because the superior Caudron Type G was becoming available. A Chinese order for Type Es was changed in favour of the newer type.[1] One was sold to the Royal Navy[1] though its acceptance was delayed until 29 June 1914 whilst modifications were made.[3][Notes 1] The fate of the fourth and final Type E is uncertain, though it may have replaced the first French government machine after its loss in May 1913. If so, it had been modernized with the pointed, round edge form introduced on the Type F and used on all the G types.[1] Data from Hauet (2001)[1]General characteristics Performance</t>
  </si>
  <si>
    <t>Two seat trainer biplane</t>
  </si>
  <si>
    <t>https://en.wikipedia.org/Two seat trainer biplane</t>
  </si>
  <si>
    <t>Caudron Type C</t>
  </si>
  <si>
    <t>https://en.wikipedia.org/Caudron Type C</t>
  </si>
  <si>
    <t>7.15 m (23 ft 5 in)</t>
  </si>
  <si>
    <t>28 m2 (300 sq ft)</t>
  </si>
  <si>
    <t>555 kg (1,224 lb)</t>
  </si>
  <si>
    <t>1 × Gnome Lambda 7-cylinder rotary, 52 kW (70 hp)</t>
  </si>
  <si>
    <t>90 km/h (56 mph, 49 kn)</t>
  </si>
  <si>
    <t>c. September 1912</t>
  </si>
  <si>
    <t>10.8 m (35 ft 5 in)</t>
  </si>
  <si>
    <t>7.3 m (23 ft 11 in)</t>
  </si>
  <si>
    <t>10 min to 500 m (1,600 ft)</t>
  </si>
  <si>
    <t>Caudron Type K</t>
  </si>
  <si>
    <t>The Caudron Type K was a French floatplane with a very powerful, twenty cylinder radial engine in pusher configuration. It took part in a French seaplane competition in 1913, but was lost in a take-off accident during the competition. Before the Type K Caudron had built two pusher floatplanes, the single seat Caudron-Fabre amphibian and a two-seat version of it for Claude Graham-White. The two seat Type K was a significantly larger aircraft with three bay wings, rather than two, and a much more powerful Anzani engine than before. Nonetheless it had shared many of the characteristics of early Caudron designs, with unequal span, two spar wings and open frame fuselages bearing twin fins and rudders.[1] The Type K had rectangular plan wings with slightly angled tips. The upper wing span was 45% greater than that of the lower; on each side the upper and lower wings were joined by three sets of vertical, parallel interplane struts and another parallel pair leaning outwards and upwards to brace the outer parts of the upper wing. A 150 kW (200 hp), twenty cylinder, four-row air-cooled Anzani 20 radial engine was mounted in pusher configuration centrally between the wings, driving a propeller between the twin tailbooms. A cylindrical petrol tank was mounted laterally ahead of the engine and over the wing leading edge, at the back of a short fuselage pod in which the crew of two sat side-by-side in an open cockpit. This was a flat sided structure, with its upper surface curving sharply downwards.[1] The rear part of the Type K's fuselage was an open structure with two girders, each vertically cross braced and converging in profile, parallel to each other in plan and cross-linked horizontally at the tail.  This was fairly standard on the Caudron's of the period but was elaborated on the Type K by another long pair of members from the lower wing upwards; these secured the posts of a tall, narrow pair of constant chord rudders with quadrantal tips.  The tailplane, approximately rectangular in plan but cut away for rudder movement, was placed on the upper tail girders.[1] The Type K was a pure floatplane, with no permanent land wheels.  The floats were 5.20 m (17 ft 1 in) long (more than half the fuselage length), single stepped and rectangular in section, 500 mm (19.7 in) wide and 800 mm (31.5 in) deep.[1] In 1913 the French Aero Club organised a seaplane contest. This was held between 24 and 31 August in Deauville and attracted aircraft from ten different French manufacturers. Some sent more than one model, for example, the Caudron Types J and K.[2] René Caudron piloted the latter and his engineer was the designer of its very new engine, Alessandro Anzani. Though not an amphibian, the Type K, classified as an avion de bord,  could take-off from a wooden runway using a pair of discardable bogies and it won a prize of 6,000 Francs by getting aloft after a 35 m (115 ft) run.[2] Whilst taking off on the 26 August, a float attachment failed when the Type K hit a large wave, causing the aircraft to capsize. Gaston Caudron, flying the Type J, successfully put down on the water to rescue the crew.[1][2] Data from Hauet (2001) p.51[1]General characteristics Performance</t>
  </si>
  <si>
    <t>Two seat floatplane</t>
  </si>
  <si>
    <t>https://en.wikipedia.org/Two seat floatplane</t>
  </si>
  <si>
    <t>Two pilots</t>
  </si>
  <si>
    <t>46 m2 (500 sq ft)</t>
  </si>
  <si>
    <t>800 kg (1,764 lb)</t>
  </si>
  <si>
    <t>1,400 kg (3,086 lb)</t>
  </si>
  <si>
    <t>1 × Anzani 20 4-row, 20 cylinder air-cooled radial engine, 150 kW (200 hp)</t>
  </si>
  <si>
    <t>2-bladed Chauvrière, 3.10 m (10 ft 2 in) diameter [2])</t>
  </si>
  <si>
    <t>18.15 m (59 ft 7 in)</t>
  </si>
  <si>
    <t>12.15 m (39 ft 10 in)</t>
  </si>
  <si>
    <t>Euler Hydro-triplane</t>
  </si>
  <si>
    <t>The Euler Hydro-triplane was an unusual pusher configuration amphibious triplane flying boat, built in Germany in 1913. The April 1913 issue of the French magazine L'Aérophile contains a brief, unillustrated reference[1] to an Euler triplane seaplane, powered by a 70 hp (52 kW) Gnome engine, a possible relative of the Hydro-triplane reported in detail by Flight early in the following year. Flight described it as "to the best of our knowledge, the first successful hydro-triplane constructed."[2] The Euler Hydro-triplane was a large aircraft, powered by a 100 hp (75 kW), nine cylinder Gnome Delta rotary engine, with an upper wingspan of 14 m (45 ft 11 in).  All its wings were of essentially rectangular plan though with trailing edge cut-outs.  The lower two wings were successively 2 m (6 ft 7 in) shorter. The upper pair formed a three bay structure with pairs of parallel interplane struts and upper wing overhangs supported by outward leaning parallel pairs. The central and lower wings formed a similar but two bay structure. There was strong stagger, with the interplane struts at about 30° to the wing normal.  The Gnome engine was mounted, uncowled and in pusher configuration, just above the central wing. Because of the stagger the engine was shielded from spray by the lower wing.  There were ailerons on both upper and lower wings.[2] The lower wings were mounted on the top of a flat bottomed, single-stepped hull with flat sides which tapered in profile toward the rear. The wings were further braced to the hull by a pair of struts reaching back from the nose to the centre wing leading edge. The nose also had raised decking protecting of the pilot, who sat in the front of the open cockpit with a passenger seat behind him.[2] The empennage of the Hydro-triplane was supported on a pair of lattice girders, parallel in plan and each constructed from a horizontal member fixed to the upper wing at the top of the innermost interplane struts and a member below it which sloped upward from the lower wing to meet the upper one at the tail. Three sloping cross braces completed each girder. The rectangular tailplane, fitted with elevators, was placed over the ends of the girders, its leading edge braced by a central, vertical strut to the hull which also supported the rudder post out beyond the hull on upper and lower sloping struts. The trapezoidal rudder extended a little above the horizontal tail, which had a deep V-shaped cut-out to accommodate its movement.[2] The Euler Hydro-triplane was a true amphibian with twin mainwheels on upper and lower pairs of struts attached to the hull, the former rubber sprung.  Ground clearance was minimal.  The wheels could be raised by the pilot in flight on a land to water flight and lowered at the end of the reverse journey.[2] Flight's description of the Euler Hydro-triplane as "successful"[2] implies that it had flown by January 1914. It was not mentioned again in that magazine until October 1914, after the outbreak of World War I, when it was amongst those 'Aircraft "made in Germany" which may be used against the Allies';[3] there is no suggestion that it was ever armed. Data from Flight 24 January 1914 p.95[2]General characteristics</t>
  </si>
  <si>
    <t>//upload.wikimedia.org/wikipedia/en/thumb/2/27/Euler_TriHydro.png/300px-Euler_TriHydro.png</t>
  </si>
  <si>
    <t>Amphibious triplane flying boat</t>
  </si>
  <si>
    <t>https://en.wikipedia.org/Amphibious triplane flying boat</t>
  </si>
  <si>
    <t>Euler-Werke</t>
  </si>
  <si>
    <t>https://en.wikipedia.org/Euler-Werke</t>
  </si>
  <si>
    <t>August Euler</t>
  </si>
  <si>
    <t>https://en.wikipedia.org/August Euler</t>
  </si>
  <si>
    <t>7.0 m (23 ft) hull length, tail extended about 2 m (7 ft) further aft[3]</t>
  </si>
  <si>
    <t>1 × Gnome Delta 9-cylinder rotary, 75 kW (100 hp)</t>
  </si>
  <si>
    <t>14 m (45 ft 11 in)</t>
  </si>
  <si>
    <t>The Caudron C.39 was a French three-engined biplane with a cabin for six passengers when the aircraft was equipped as a landplane or four passengers when on floats. It was flown with some success in competitions in 1920 and 1921. Between 1919 and 1922, Caudron built a series of multi-engined civil passenger transport biplanes of similar design but increasing size and engine power, the C.33, C.37, C.39, C.43 and C.61.[1] The C.39 and C.43 shared the same airframe but had three and five engines respectively.[2] The C.39 was a three-bay biplane with fabric-covered, rectangular-plan wings mounted without stagger. The lower wing had dihedral outboard of the engines; it had a smaller span than the upper one which carried the ailerons, aerodynamically balanced by overhanging extensions beyond the tips. The wings were joined by vertical pairs of interplane struts, the forward members attached near the leading edges, and the centre section was supported by similar, shorter cabane struts from the upper fuselage. The inner bay was defined by two close pairs of leaning interplane struts, with a 97 kW (130 hp) Clerget 9B nine cylinder rotary engines about halfway between the wings. Each wing-mounted engine was in a long, cylindrical cowling, open at the rear.[3][4] The third engine, another cowled Clerget 9, was in the nose; behind it the fuselage had a square section. The pilot and engineer had an open cockpit with its windscreen immediately under the wing leading edge.[3] The passenger cabin, 2.40 m (7 ft 10 in) long, 1.30 m (4 ft 3 in) wide and 1.45 m (4 ft 9 in) high, was lit by six small windows on each side and was accessed through a starboard-side door. Behind the wings the fuselage tapered gently to a broad, triangular fin which carried a vertical-edged unbalanced rudder that reached down to the keel. The fabric-covered tailplane had a straight leading edge with angled tips, and was mounted on top of the fuselage so its elevators had a notch for rudder movement.[3][4] In landplane configuration the C.39 had a fixed tailskid undercarriage. There were pairs of main wheels mounted on single axles attached at their centre to a longitudinal bar held under the engine at each end on short, forward-raked V-struts. To prevent nose-overs, there was a fifth wheel mounted under the nose. The wheels could be replaced by flat-bottomed floats, each fixed to the fuselage by two pairs of inverted W-struts, one to each side of the float, assisted by an inverted V-strut from the inside edge to the wing root. Though in floatplane configuration the C.43 sat level over the water, the tailskid was joined by a small, cylindrical float to protect the tail at take-off. In either configuration the undercarriage track was 5.0 m (16 ft 5 in).[3][4] The date of the first flight, made in landplane configuration,[3] is not known. By the spring of 1920 it was flying with floats, for it competed with the C.33, C.43 and another French aircraft as well as three from Italy in the Grand Prix de Monaco, a seaplane event held between 18 April and 2 May.[2] During the contest Maïcon flew it from Monaco to Ajaccio and back in 8 hrs 10 min,[3] but like the other civil aircraft taking part the C.39 was eliminated.[2] The C.39 returned to the same competition in April the following year and was much more successful. Flown again by Maïcon, it won first prize over the 492 km (306 mi) Monaco-Ajacco-Monaco circuit in almost the same time as in 1920. it also won over the shorter Monaco-Cannes-San Remo and return course, during which it reached an altitude of 2,000 m (6,560 ft) in 45 minutes carrying 200 kg (440 lb) of ballast.[3][5] Their attempt in the speed trial was cut short by a fire. With smoke in the cockpit Maïcon lost control and sideslipped into the sea near Saint-Raphaël. No one was hurt and the C.39 was recovered, though seriously damaged.[3][6] By June 1921 it was a landplane again and competing in the Grand Prix d'Aéro-Club de France. Pilot Maïcon and flight engineer Courcy were forced to land near Bordeaux with an engine problem. After it was repaired, long grass prevented their take-off and they retired, though only after what L'Aérophile described as a "magnificent debut".[7][8] Data from L'Aéophile 29 (Supplement), June 1924, p.XVIII[4]General characteristics Performance</t>
  </si>
  <si>
    <t>//upload.wikimedia.org/wikipedia/commons/thumb/8/8c/Caudron_C.39_in_flight_L%27Aerophile_May%2C1921.jpg/300px-Caudron_C.39_in_flight_L%27Aerophile_May%2C1921.jpg</t>
  </si>
  <si>
    <t>Airliner</t>
  </si>
  <si>
    <t>https://en.wikipedia.org/Airliner</t>
  </si>
  <si>
    <t>Phillipe Deville</t>
  </si>
  <si>
    <t>One pilot, one mechanic</t>
  </si>
  <si>
    <t>Four passengers (landplane six passengers[7])</t>
  </si>
  <si>
    <t>13.10 m (43 ft 0 in)</t>
  </si>
  <si>
    <t>2,170 kg (4,784 lb) 440 kg (970 lb) lighter on wheeled undercarriage</t>
  </si>
  <si>
    <t>3,070 kg (6,768 lb)</t>
  </si>
  <si>
    <t>3 × Clerget 9B 9-cylinder rotary, 97 kW (130 hp)  each</t>
  </si>
  <si>
    <t>4.55 m (14 ft 11 in)</t>
  </si>
  <si>
    <t>130 km/h (81 mph, 70 kn) . Sources do not state if this was maximum or cruise</t>
  </si>
  <si>
    <t>2-bladed, 2.60 m (8 ft 6 in) diameter [7]</t>
  </si>
  <si>
    <t>4 hr (6.5 hr as landplane[7])</t>
  </si>
  <si>
    <t>19.52 m (64 ft 1 in)</t>
  </si>
  <si>
    <t>https://en.wikipedia.org/Caudron C.43</t>
  </si>
  <si>
    <t>Caudron Type D</t>
  </si>
  <si>
    <t>The Caudron Type D was a French pre-World War I single seat, twin-boom tractor biplane, a close but slightly smaller relative of the two seat Caudron Type C. More than a dozen were completed, one exported to the United Kingdom, where they may also have been licence built, and three to China. In late 1911 W.H. Ewen acquired the right to supply Caudron aircraft in the U.K. and in Ewen Aviation's 1913 catalogue the single seat Type D appears on the page labelled Type C; though the latter was a two-seater, the two types appear to have been closely related. Both were twin boom, tractor  biplanes, which began with equal upper and lower spans but were later modified into sesquiplanes. Both were single-seaters, with engine and pilot in an interwing nacelle. In contrast to the Type C, the Type D was a little smaller and lighter and in its early months was powered by the low power (26 kW (35 hp)) 3-cylinder Anzani radial engine.  After modification to a sesquiplane, the upper to lower span ratio of the Type D was smaller than that of the Type C.[1] The Type D was a two bay biplane with an inner bay only about half the width of the outer.  Both two spar fabric covered wings had rectangular plans apart from angled tips.  There was no stagger, so the two sets of parallel interplane struts were parallel and vertical.  The upper wing overhang produced by the sesquiplane modification was supported by extra parallel pairs of outward leaning interplane struts.  Wire bracing completed the structure. The rear spar was ahead of mid-chord, leaving the ribs in the rear part of the wing flexible and allowing roll control by wing warping.[1] The nacelle was a simple, short, flat sided structure. It was supported above the lower wing on two more pairs of interplane struts which passed within the nacelle. The Anzani engine was mounted uncowled at the front, with the pilot seated under the trailing edge.[1] The empennage of the Type D was supported on a pair of girders arranged parallel to one another in plan. The upper girder members were attached to the upper wing spars at the tops of the innermost interplane struts and the lower ones ran under the lower wing, mounted on downward extensions of the inner interplane struts. The mounting was strengthened with two diagonal struts on each side, one from the base of the forward interplane strut to the upcurved tip of the lower member and the other from the rear interplane strut to the junction of the lower member and its first vertical cross member.  Each of these lower members, which supported the aircraft on the ground as skids, carried twin, rubber sprung landing wheels. Behind the wing the upper and lower members converged to the rear; the drag on the lower members reduced the landing run. There were three vertical cross braces on each girder but the only lateral inter-girder cross-members were near the tail, though there was wire bracing. The broad chord tailplane was mounted a little below the upper girder member with a pair of round-cornered rectangular rudders above it.[1] The Type D first appeared in December 1911 and in total thirteen were built. Of these, one was sold in England and three others to China, all sesquiplanes; the Chinese aircraft had the more powerful 34 kW (45 hp) 6-cylinder Anzani radial engine. This engine was again mounted uncowled, showing its characteristic ring exhaust. One aircraft, originally the Type Abis, was modified into a Type D, retaining its 37 kW (50 hp) Gnome Omega 7-cylinder rotary engine with an oil-deflecting cowling over the upper half, extending back over the front fuselage.[1] A Type D powered by a larger displacement 6-cylinder Anzani, producing 45 kW (60 hp), was delivered from Paris on 21 June 1912 by Guillaux to Mr Ramsay in London. It had a longer nacelle which seated two, had curved, raised decking immediately ahead of the cockpit and was suspended between the innermost interplane struts, like the Type B rather than the Type C. Caudron referred to this version as the Type D2. With tanks for 125 l (27 imp gal; 33 US gal) it had an endurance of 3 hours. A second Type D2 was constructed for Philippe Marty.[1] It is not known how many aircraft were constructed in the UK by Ewen Aviation or its successor, British Caudron, nor the particular types built, though one was powered by a 30-35 hp Anzani and used at Ewen's flying school. It was mostly flown by beginners to do short straight hops.[2] Performance figures are for the 37 kW (50 hp) Gnome rotary engined variant. Data from Hauet (2001) p.28[1]General characteristics Performance</t>
  </si>
  <si>
    <t>//upload.wikimedia.org/wikipedia/en/thumb/b/bc/Caudron_Type_D.png/300px-Caudron_Type_D.png</t>
  </si>
  <si>
    <t>Single seat biplane</t>
  </si>
  <si>
    <t>https://en.wikipedia.org/Single seat biplane</t>
  </si>
  <si>
    <t>at least 13</t>
  </si>
  <si>
    <t>6.7 m (22 ft 0 in)</t>
  </si>
  <si>
    <t>24 m2 (260 sq ft)</t>
  </si>
  <si>
    <t>220 kg (485 lb)</t>
  </si>
  <si>
    <t>1 × Anzani 3-cylinder radial, 26 kW (35 hp)   , 30 or 34 kW (40 or 45 hp) Anzani or 37 kW (50 hp) Gnome rotary</t>
  </si>
  <si>
    <t>9.7 m (31 ft 10 in)</t>
  </si>
  <si>
    <t>Caudron C.101</t>
  </si>
  <si>
    <t>The Caudron C.101 and its variants, the C.103, C.104 and C.107 were French two seat reconnaissance aircraft flown from 1925, differing in their engines. The C.101 was designed to be a deep reconnaissance aircraft with the performance of contemporary fighters and able to carry some offensive weapons.  The military classification was Grandes Raids (G.R.) (English: major flights). It was a wooden single bay sesquiplane with strongly outward leaning interplane struts. A tandem pair of inverse V-form cabane struts supported the upper wing over the fuselage. In plan both upper and lower fabric covered wings were rectangular apart from angled tips and a semi-circular cut-out in the upper trailing edge to improve the pilot's upward view. The lower wings were almost a 63% scaled copy of the upper ones, with the same aspect ratio. There were ailerons on the upper wings only.[1][2] The four different versions had engines of three different configurations, two water-cooled V-12 engines and two  radial engines, one a single row nine cylinder, air-cooled unit and the other an eighteen-cylinder, water-cooled in-line radial engine. Although they were all in the 313–373 kW (420–500 hp) power range, their layouts required very different cowlings and resulted in a range of lengths. Otherwise the C.101-7 variants all had the same dimensions, though the weights varied. They all were fitted with two way radio and had generous fuel capacity for a good range;[1] the tank of the C.103 at least could be released in an emergency to prevent it catching fire.[3] The pilot's open cockpit was under the wing cut-out; the observer sat close behind in a cockpit equipped with twin machine guns on a Scarff ring type mounting. The fin of the C.101 was triangular and broad chord and the rudder had a straight, vertical edge which extended down to the keel. As the rectangular plan tailplane was mounted on top of the fuselage, the balanced, overhung elevators had a cut-out for rudder movement. The C.101 had a fixed tailwheel undercarriage, with its mainwheels on a single axle which was sprung from V-form struts.[1][2] The Caudron C.101 was probably first flown in the first half of 1925 as test pilot Bécheler completed its official testing in that August. Even though the output of the Salmson engine, the most powerful of the set, was 19% more than that of the Gnome-Rhône, the maximum speed at ground level of the C.107 was only 4% more than that of the C.104.  The two 336 kW (450 hp) V-12 engines in the C.101 and C.103 produced speeds of 227 km/h (141 mph) and 218 km/h (135 mph) respectively, the former faster than the more powerful C.107 and the latter only slightly faster than the lowest powered C.104.[1] The Caudron C.104 was displayed at the 10th Paris Salon in December 1926.[4][5] As well as the observer's guns, visible in images of the C.101, C.104 and drawings of the C.107, two more machine gun positions were noted: one fixed, forward firing synchronised pair controlled by the pilot and another single gun aimed by the observer through his cockpit floor. There was internal provision for twelve 10 kg (22 lb) bombs.[4] Since these arms were required by the military specification,[4] they were probably shared by the other variants. The number of airframes built is not certain; there is only photographic evidence of the C.101 and C.104[1] and these may have shared the same airframe. Only the C.101 appeared, as F-ESAI, on the French civil aircraft register.[6][7] Data from Hauet (2001) pp. 194–5[1] Data from Hauet (2001) pp.194-5[1]General characteristics Performance</t>
  </si>
  <si>
    <t>//upload.wikimedia.org/wikipedia/en/thumb/1/1b/Caudron_C.104_G.R..png/300px-Caudron_C.104_G.R..png</t>
  </si>
  <si>
    <t>André Brunet</t>
  </si>
  <si>
    <t>9.10 m (29 ft 10 in)</t>
  </si>
  <si>
    <t>1,209 kg (2,665 lb)</t>
  </si>
  <si>
    <t>2,097 kg (4,623 lb)</t>
  </si>
  <si>
    <t>1 × Hispano-Suiza 12H water-cooled upright V-12, 340 kW (450 hp)</t>
  </si>
  <si>
    <t>600 km (370 mi, 320 nmi)</t>
  </si>
  <si>
    <t>{'Caudron C.101': '6\xa0kW (450\xa0hp) Hispano-Suiza 12H upright water-cooled V-12. Maximum speed at ground level 227\xa0km/h (141\xa0mph).', 'Caudron C.103': '6\xa0kW (450\xa0hp) Lorraine 12Db water-cooled V-12. Maximum speed at ground level 218\xa0km/h (135\xa0mph).', 'Caudron C.104': '3\xa0kW (420\xa0hp) Gnome-Rhône 9Ab Jupiter air-cooled 9-cylinder radial engine. Maximum speed at ground level 213.5\xa0km/h (132.7\xa0mph)', 'Caudron C.107': '3\xa0kW (500\xa0hp) Salmson 18CMb water-cooled 18-cylinder radial engine. Maximum speed at ground level 223\xa0km/h (139\xa0mph)'}</t>
  </si>
  <si>
    <t>227 km/h (141 mph, 123 kn) at ground level</t>
  </si>
  <si>
    <t>6,750 m (22,150 ft)</t>
  </si>
  <si>
    <t>14.56 m (47 ft 9 in)</t>
  </si>
  <si>
    <t>3.25 min to 1,000 m (3,281 ft)</t>
  </si>
  <si>
    <t>Caudron C.21</t>
  </si>
  <si>
    <t>The Caudron C.21 was a French twin engine biplane built just after World War I, able to carry three passengers in an open cockpit. In 1917 Paul Deville was developing a twin engine observation aircraft when it became clear it would be underpowered and it was therefore not built during World War I. After the war the design, now called the C.21, was completed as a four-seat passenger aircraft.[1] It was a three bay biplane, with fabric covered, constant chord, unswept wings ending at angled tips. The upper wing, which carried the ailerons, had an 8% greater span and a smaller chord. There was no stagger, so the sets of parallel interplane struts were vertical; flying wires braced each bay. Pairs of V-form engine struts, supporting the two 60 kW (80 hp) Le Rhône 9C rotary engines above the lower wing, defined the inner two bays.  There were short, parallel cabane struts from the upper fuselage.[1] The C.21's fuselage was almost flat sided, with a vertical knife edge at the short nose. It had an open cockpit starting in the extreme nose and seating the three passengers in tandem; the pilot's cockpit was under the trailing edge, with a deep cut-out for better upward vision.  At the rear a straight edged, long and low fin carried a straight edged, balanced rudder that extended down to the keel. An angled tailplane mounted on top of the fuselage had elevators with a cut-out for rudder movement and it had a tailskid undercarriage, with pairs of mainwheels on axles attached to longitudinal bars fixed under the engines on N-form struts.[1] The date of the C.21's first flight is uncertain but it was before February 1919. On 10–11 February it gained publicity with four flights between Paris and Brussels, a distance of 310 km (193 mi) covered in about 140 minutes.  They were flown by Chanteloup, accompanied by designer Deville, to retrieve the passengers from a Caudron C.23, modified into a passenger transport,  which had broken a tailskid at Brussels.[2] The C.21 was advertised in the Caudron catalogue at a price of FF 30,000.[1] It seems only one example was built but its layout was repeated in Caudron's successively larger and more powerful C.22 and C.23 night bombers. Data from Hauet (2001)[1]General characteristics Performance</t>
  </si>
  <si>
    <t>4-seat touring aircraft</t>
  </si>
  <si>
    <t>7.94 m (26 ft 1 in)</t>
  </si>
  <si>
    <t>39.9 m2 (429 sq ft)</t>
  </si>
  <si>
    <t>915 kg (2,017 lb)</t>
  </si>
  <si>
    <t>2 × Le Rhône 9C 9-cylinder air-cooled rotary, 60 kW (80 hp)  each</t>
  </si>
  <si>
    <t>140 km/h (87 mph, 76 kn) at 4,000 m (13,123 ft)</t>
  </si>
  <si>
    <t>late 1918 - early 1919</t>
  </si>
  <si>
    <t>4 hr</t>
  </si>
  <si>
    <t>13.50 m (44 ft 3 in)</t>
  </si>
  <si>
    <t>12.50 m (41 ft 0 in)</t>
  </si>
  <si>
    <t>22 min to 4,000 m (13,123 ft)</t>
  </si>
  <si>
    <t>Caudron C.68</t>
  </si>
  <si>
    <t>The Caudron C.68 was a two-seat French training and touring aircraft, built in the early 1920s, which attracted interest at the time because of its simple and fast wing folding arrangement. Only a few were produced. Apart from its folding wings, the C.68 was a conventional single bay biplane with rectangular plan wings of similar span, mounted without stagger. Ailerons were fitted only on the upper wings. The outer interplane struts were in parallel pairs and the upper wing was supported over the fuselage on four upright cabane struts. The forward pair of these were unusual in extending down to the lower fuselage longerons and in being split vertically; the inner halves linked the centre section and fuselage and the outer halves were extra interplane struts. To fold the wings a short section of the centre section trailing edge was folded back to make room for the part of the upper wing aft of its hinge and the lower, outer, normally concealed part of the cabane/interplane strut swung out of its slot in the fuselage. The rear part of the lower wing cleared the fuselage underside.  The aileron cables ran within the wing and did not need to be disconnected for folding thanks to wires that prevented them slackening.[1][2] The C.68 was powered by a 37 kW (50 hp) Anzani 6-cylinder two row radial engine, mounted without a cowling and driving a two blade propeller. Behind the engine the fuselage was flat sided, though the underside had a curved profile and there was curved upper decking. It had two open cockpits, one under the wing and the second just aft of the trailing edge. The C.68's fin was triangular and broad, carrying a vertical edged unbalanced rudder which extended down to the keel. Its tailplane was mounted on top of the fuselage with its elevators notched to allow rudder movement. It had a tailskid undercarriage with its mainwheels on a single 1.40 m (4 ft 7 in) long axle sprung on two V-form struts from the lower fuselage longerons.[1] Folding and deploying the wings was straightforward and rapid, taking less than four minutes. Folding began by pinning on a tailskid extension to keep the lower wings off the ground. This extension could also link the folded C.68 behind a car for towing. The C.68's folded width was less than its 2.4 m (7 ft 10 in) height.[1][2] The C.68 was first flown in 1922[1] and was on display at the 1922 Paris Salon, which opened on 15 December.[2] Another C.68 was flown to Paris by Becheler who landed it in front of the Grand Palais on 16 December 1922, then gave a demonstration of its folding wings.[1][3] Four C.68s appeared on the French Civil Register.[4] In total six C.68s were built, of which a single example survives ad is in airworthy condition.[5] Data from Hauet (2001) pp.172-3[1]General characteristics Performance</t>
  </si>
  <si>
    <t>//upload.wikimedia.org/wikipedia/en/thumb/8/8a/Caudron_C.68.png/300px-Caudron_C.68.png</t>
  </si>
  <si>
    <t>Touring and sport aircraft</t>
  </si>
  <si>
    <t>https://en.wikipedia.org/Caudron C.67</t>
  </si>
  <si>
    <t>7.65 m (25 ft 1 in)</t>
  </si>
  <si>
    <t>16.00 m2 (172.2 sq ft)</t>
  </si>
  <si>
    <t>480 kg (1,058 lb)</t>
  </si>
  <si>
    <t>1 × Anzani 6-cylinder air-cooled two row radial, 37 kW (50 hp)</t>
  </si>
  <si>
    <t>51 kg (112 lb)</t>
  </si>
  <si>
    <t>115 km/h (71 mph, 62 kn)</t>
  </si>
  <si>
    <t>Caudron C.91</t>
  </si>
  <si>
    <t>The Caudron C.91 was a French single engine biplane with an enclosed passenger cabin seating four. It first flew in 1923. The C.91 was a conventional single engine two bay biplane with a wooden structure and fabric covering. The bays were defined by pairs of parallel interplane struts; similar but shorter pairs of cabane struts ran from the upper fuselage to the upper wing centre section. In plan its wings were rectangular, with ailerons only on the upper wing.[1][2] For its first flights, made in late 1923, the C.91 was powered by a 224 kW (300 hp) Renault 12F water-cooled upright V-12 engine[2] with a rectangular radiator in the extreme nose behind the propeller, enclosed in a flat sided, slotted cowling. The rest of the fuselage was also flat sided. The pilot had an open cockpit under the wing and behind him the four passengers sat in an enclosed cabin with four windows. Passenger comfort was a priority and up to 100 kg (220 lb) of baggage could be placed in the hold. At the rear the fin was triangular and broad, carrying a balanced rudder which extended down to the keel. Tailplane and elevators were mounted on top of the fuselage.  The C.91 had a tailwheel undercarriage with its mainwheels on a single axle longer than the fuselage width, sprung to a pair of V-struts to the lower fuselage longerons.[1] Rather little is known about the C.91's activities but it did compete in the 1925 Coupe d'Aviation Zenith (Zenith Aviation Cup), awarded for fuel-economical load carrying.  It was held in early July 1925, by which time the Renault engine had been replaced with a more powerful 276 kW (370 hp) Lorraine 12D water-cooled V-12. Bad weather kept most of the competitors, including Bechelet's C.91, grounded and the event was rerun in 1926.[3] Data from Hauet (2001) p.185[1]General characteristics Performance</t>
  </si>
  <si>
    <t>Four seat passenger aircraft</t>
  </si>
  <si>
    <t>https://en.wikipedia.org/Four seat passenger aircraft</t>
  </si>
  <si>
    <t>Four passengers</t>
  </si>
  <si>
    <t>2,510 kg (5,534 lb)</t>
  </si>
  <si>
    <t>1 × Renault 12F water-cooled upright V-12, 220 kW (300 hp) 300 cv</t>
  </si>
  <si>
    <t>166 km/h (103 mph, 90 kn)</t>
  </si>
  <si>
    <t>late 1923</t>
  </si>
  <si>
    <t>38.6 kg/m2 (7.9 lb/sq ft)</t>
  </si>
  <si>
    <t>56 min t 4,000 m (13,123 ft)</t>
  </si>
  <si>
    <t>Caudron Type B Multiplace</t>
  </si>
  <si>
    <t>The Caudron Type B Multiplace was a large French biplane designed to carry up to five passengers in a cross country time trial of 1912. It was destroyed early in the event. After the publication in April 1912 of the rules for the Circuit of Anjou time trial, to be held as part of the Grand Prix d'Aviation de l'Aéro-club de France contest in mid-June that year, the Caudron brothers began the design of a competitor that could carry four or five passengers.  The emphasis on passenger carrying capacity was determined by the rules: for each passenger weighing over 75 kg (165 lb), the flight time for the required seven circuits of the 163 km (101 mi) course would be reduced by .mw-parser-output .frac{white-space:nowrap}.mw-parser-output .frac .num,.mw-parser-output .frac .den{font-size:80%;line-height:0;vertical-align:super}.mw-parser-output .frac .den{vertical-align:sub}.mw-parser-output .sr-only{border:0;clip:rect(0,0,0,0);height:1px;margin:-1px;overflow:hidden;padding:0;position:absolute;width:1px}1⁄6. With five passengers competition times would be more than halved to 40% of the flight times. More weight required more power and the rules limited the engine displacement to 12 l (730 cu in). Early Caudron aircraft, like the Type A had used Anzani engines, and a new 10.69 l (652 cu in), 75 kW (100 hp) 14-cylinder Anzani radial engine, essentially two Anzani seven cylinder engines slightly displaced on a common crankshaft, was chosen.[1][2]  The passenger load required the Multiplace to have a larger wing area than any of their earlier aircraft, though the wing maintained the general features established previously. Both the upper and lower wings had the same plan,  rectangular apart from their tips, though the upper span was 27% greater than the lower. They were fabric covered and built around twin spars, both of which were ahead of mid-chord, leaving most of the length of each rib unsupported and free to warp for roll control. Because of the large span they were three bay wings, the bays separated by three pairs of parallel, vertical interplane struts; there was no stagger. On each wing another pair of parallel masts leaned outwards from the bases of the outer interplane struts to support the overhang of the upper wing and at the wing roots two more pairs of vertical interplane struts supported both the wing centre section and, just above the lower wing, the fuselage, an arrangement also used to support the short nacelle of the Type B.[1] Instead of the nacelle and the twin booms that supported the empennage on the Type B, the Multiplace had a rectangular section, full length fuselage with the engine in the nose, built around four longerons and fabric covered.  There was a long, open cockpit for passengers and pilot, the latter sitting at the back under a little cut-out in the wing trailing edge for better upward vision. The single, roughly rectangular rudder was entirely above the fuselage and was cut away on its underside to allow the deflection of the horizontal tail's trailing edge. The tailplane was mounted on top of the fuselage. The Multiplace had two pairs of mainwheels; each pair was mounted on a long skid with an upturned nose which extended beyond the wing both forward and aft.  These held the aircraft close to a take-off attitude on the ground and in this way replaced the lower members of the tailbooms used on other Caudron types of the time.  The rear fuselage was protected though by a very tall tailskid.  The underwingskids were placed on longitudinally splayed extensions of the inner interplane struts and transversely braced by pairs of lighter struts to the bases of the centre section struts.[1] The Multiplace was completed only a few days before the competition began, leaving little time for testing. It flew to Anjou with four passengers. Bad weather on the first day made the intended programme impossible but the next day (17 June) was somewhat better and the organisers improvised a one-day event. René Caudron decided to take part, though only carrying three passengers in the Multiplace to reduce risks. Flown by Allard and with the engine running roughly, the aircraft climbed to perhaps 12 m (39 ft) before, as an onlooker described, "rearing up" (se cobra), turning rapidly, catching a wingtip on the ground and nosediving in. Three of the occupants escaped without major injury but one, a Caudron mechanic, broke a leg.  The Multiplace was not rebuilt and Caudron did not use the fourteen cylinder Anzani engine again, though they frequently used other models.[1][3] Data from Hauet (2001) pp.24-5[1]General characteristics</t>
  </si>
  <si>
    <t>Multi-seat biplane</t>
  </si>
  <si>
    <t>https://en.wikipedia.org/Multi-seat biplane</t>
  </si>
  <si>
    <t>four passengers</t>
  </si>
  <si>
    <t>350 kg (772 lb) estimated minimum</t>
  </si>
  <si>
    <t>800 kg (1,764 lb) estimated</t>
  </si>
  <si>
    <t>1 × Anzani 14 cylinder, 10.69 l (652 cu in) radial engine, 75 kW (100 hp)   at 1,400 rpm</t>
  </si>
  <si>
    <t>157 km (98 mi, 85 nmi) minimum required by course</t>
  </si>
  <si>
    <t>70 kg (150 lb)</t>
  </si>
  <si>
    <t>9 or 10 June 1912</t>
  </si>
  <si>
    <t>15 m (49 ft 3 in)</t>
  </si>
  <si>
    <t>11.80 m (38 ft 9 in)</t>
  </si>
  <si>
    <t>Caudron Type O</t>
  </si>
  <si>
    <t>The Caudron Type O was a French single seat air racing biplane first flown in 1914. The Type O was a single bay biplane with no stagger. Both wings had two wooden spars and were fabric covered.  On each side there were two pairs of parallel interplane struts joining the spars, one outboard and the other passing through the fuselage between the centre sections. These placed the upper wing well above the fuselage and the lower one a little below it.  The usual crossed diagonal pairs of flying wires braced the bays.  The Type O used wing warping rather than ailerons for lateral control.[1] When it first flew in the early weeks of 1914, it was powered by a semi-cowled Anzani 6-cylinder radial.[2]  There were two versions of this engine with different displacements; l'Aérophile states a power output of 45 hp (34 kW),[1] corresponding to the smaller version, but Hauet quotes 50–60 hp (37–45 kW),[2] that of the larger engine. By May 1914 it was flying with an uncowled 100 hp (75 kW) Anzani 10-cylinder radial.[2] The fuselage was recycled from one of Caudron's earlier monoplanes, the very similar Types M and N, and was built around an ash lattice girder of square section which tapered to the rear. Stringers, stood off from the girder, gave the fabric covered fuselage a more rounded cross-section. An open, single seat cockpit was placed under the wing trailing edge.[1] When it first flew the Type O had an almost square, upright vertical tail with little or no fin and a large rudder reaching down to the keel.  The horizontal tail, narrow and with a straight, unswept leading edge was mounted on top of the fuselage so the rudder operated in an elevator cut-out. Later in the year, the aircraft, now with the 100 hp Anzani and a modified upper forward fuselage, had a very different tail with a larger fin which had a long, curving leading edge, its contour continuing into that of a broad, deep rudder.  There may also have been wing modifications as well; l'Aéroplane describes the upper and lower wings as having the same span, whereas in Hauet's account the span of the upper wing was the greater.[2] The Type O had an all-steel tailskid undercarriage, with a pair of spoked mainwheels on split axles hinged from the centre of a transverse rod mounted on four longitudinal V-struts, arranged as an inverted W from the inner, under-fuselage interplane struts. Rubber springs damped the movement of the outer ends and wheels on landing.[1] Early in its life the Type O acquired the nickname of "The soap box". In May 1914, re-engined and with its new tail, it was flown by Chanteloup in a race at the Bois de Boulogne; in June it flew in Vienna.  In September, a month after the outbreak of World War I, it was delivered to the military.[2] Data from Hauet (2001)[2]General characteristics Performance</t>
  </si>
  <si>
    <t>//upload.wikimedia.org/wikipedia/commons/thumb/1/12/1A1182101XXXVII045_%2815205000640%29.jpg/300px-1A1182101XXXVII045_%2815205000640%29.jpg</t>
  </si>
  <si>
    <t>Gaston Caudron</t>
  </si>
  <si>
    <t>5.00 m (16 ft 5 in) ; l'Aérophile[1] gives 7 m (23 ft 0 in)</t>
  </si>
  <si>
    <t>14.50 m2 (156.1 sq ft) [1]</t>
  </si>
  <si>
    <t>1 × Anzani two row, 10-cylinder radial, 75 kW (100 hp)</t>
  </si>
  <si>
    <t>2.50 m (8 ft 2 in)</t>
  </si>
  <si>
    <t>146 km/h (91 mph, 79 kn) [1]</t>
  </si>
  <si>
    <t>January–February 1914</t>
  </si>
  <si>
    <t>two-bladed</t>
  </si>
  <si>
    <t>7.40 m (24 ft 3 in)</t>
  </si>
  <si>
    <t>6.80 m (22 ft 4 in)</t>
  </si>
  <si>
    <t>Descamps 17</t>
  </si>
  <si>
    <t>The Descamps 17 A.2 was a two-seat reconnaissance fighter built under a French government programme of 1923. Two versions, with different engines, were tested and six examples were built under licence by Caudron as the Caudron C.17 A.2. The Descamps A2 was designed to a government programme for a two-seat reconnaissance aircraft, a category denoted by the military code A2.  When the first prototype appeared in March 1924 the manufacturer's name was hyphenated with that of the designer, André Brunet, though the order varied.  The first accounts[1][2] of it did not include a Descamps type number, though according to a more recent source it was the Descamps-Brunet DB-16.[3] Initially, it was powered by a 400 hp (300 kW) Lorraine-Dietrich 12D V-12 engine[4] but by 1926 it had received a 450 hp (340 kW) Lorraine-Dietrich 12E W-12 engine. This version, identical to the DB-16 apart from the new and somewhat heavier engine, was designated the Descamps 17.[5][6] The new engine improved performance, increasing the top speed at sea level from 203 to 230 km/h (126 to 143 mph).[5][7] The structure of the Descamps A.2 was all metal. Such designs were quite new at this time and were criticised as being more difficult to repair compared with wooden-framed machines but Brunet's design enabled any part to be exchanged rapidly. It had no wire bracing and required no rigging.[4] The A2 was a sesquiplane, with an upper wing with twice the span and 3.4 times the area of the lower one, which was not only short but narrow.  The two wings had similar plans, rectangular apart from straight angled tips. Only the upper wing carried ailerons.[1] Both wings were built around two I-section spars and were braced together on each side by two sets of airfoil section, N-form interplane struts, one from the upper fuselage to mid-way along the lower wing and the other from there outwards to the upper wing.  There was significant stagger, with the leading edge of the lower wing ahead of that of the upper, so the N-struts leaned backwards. There was no dihedral on the lower wing but the upper one was set at 1.5° and slightly swept (2°).  The lower wing was mounted on the lower fuselage frame and the upper on a very short upper fuselage pillar.  The wings, like the rest of the aircraft, were fabric covered.[4] The deep but narrow rectangular section fuselage, constructed from duralumin tubes, tapered to a knife edge at the rear and had rounded decking.[4] The nose differed according to engine; the early V-12 had two distinct bulges over the cylinders and a separate rectangular radiator, attached to the fuselage underside, which could be partially retracted by the pilot,[4][1] whereas the three cylinder banks of the W-12 required an additional central bulge[7] and the radiator was integrated into the nose in front of the engine.[6] There were two open cockpits.  The pilot sat in front under the trailing edge of the wing, which had a V-shaped cut-out to improve his field of view. He controlled two fixed, forward firing machine guns and behind him the observer's position was equipped with two more on a gun mount. This post was far enough aft to provide a good all-round view. The tail was conventional, with the tailplane, which had swept leading edges, placed near the top of the fuselage and braced by a single strut on each side from below.[4]  The angle of incidence of the tailplane was in-flight adjustable for trim[1] and its elevators were balanced.  The vertical tail was rounded and reached down to the keel, operating in a small elevator cut-out.  The Descamp's landing gear had mainwheels mounted under the wings at the meeting point of the inner and outer interplane struts, providing a wide track. There was no cross-axle; instead the wheels were mounted on rubber shock absorbers within trouser fairings.  This arrangement allowed bombs to be released from under the fuselage;[4] up to 3×120 kg (260 lb) bombs could be carried.[2]  The tailskid was free to pivot to assist ground steering.[4] Caudron purchased a licence to build the Descamps 17 A2 from 1927 as the Caudron C.17 A2. After the aircraft had satisfied the reconnaissance programme requirements, six were constructed for the Armée de l'Air.[8] A notable tour of six European countries was made between 18 October and 19 November 1927 by Massot and an engineer in a civil registered C.17. They covered 8,200 km (5,100 mi).[8] Data from The Paris Aero Show 1926 - Descamps[5] The Paris Aero Show 1926 - Descamps cont.d,[7] Les Avions Caudrons,[8] Jane's all the World's Aircraft 1928[10]General characteristics Performance Armament</t>
  </si>
  <si>
    <t>//upload.wikimedia.org/wikipedia/en/thumb/3/3f/Descamps_A2.png/300px-Descamps_A2.png</t>
  </si>
  <si>
    <t>Two seat fighter-reconnaissance aircraft</t>
  </si>
  <si>
    <t>https://en.wikipedia.org/Two seat fighter-reconnaissance aircraft</t>
  </si>
  <si>
    <t>Elisée Alfred Descamps</t>
  </si>
  <si>
    <t>https://en.wikipedia.org/Elisée Alfred Descamps</t>
  </si>
  <si>
    <t>https://en.wikipedia.org/André Brunet</t>
  </si>
  <si>
    <t>44 m2 (470 sq ft)</t>
  </si>
  <si>
    <t>1,238 kg (2,729 lb)</t>
  </si>
  <si>
    <t>2,046 kg (4,511 lb)</t>
  </si>
  <si>
    <t>1 × Lorraine-Dietrich 12E W-12 water-cooled piston engine, 340 kW (450 hp)</t>
  </si>
  <si>
    <t>0.16 kW/kg (0.1 hp/lb)</t>
  </si>
  <si>
    <t>3.35 m (11 ft 0 in)</t>
  </si>
  <si>
    <t>288 kg (635 lb) (ca. 200 l (53 US gal; 44 imp gal))</t>
  </si>
  <si>
    <t>230 km/h (140 mph, 120 kn) at sea level</t>
  </si>
  <si>
    <t>6,800 m (22,300 ft)</t>
  </si>
  <si>
    <t>Spring 1924</t>
  </si>
  <si>
    <t>Armée de l'Air</t>
  </si>
  <si>
    <t>https://en.wikipedia.org/Armée de l'Air</t>
  </si>
  <si>
    <t>48.71 kg/m2 (9.98 lb/sq ft)</t>
  </si>
  <si>
    <t>14.5 m (47 ft 7 in)</t>
  </si>
  <si>
    <t>7.5 m (24 ft 7 in)</t>
  </si>
  <si>
    <t>2,000 m (6,600 ft) in 6 minutes 48 seconds; 4,000 m (13,000 ft) in 16 minutes 24 seconds; 5,000 m (16,000 ft) in 24 minutes 53 seconds</t>
  </si>
  <si>
    <t>EuroSport Crossover</t>
  </si>
  <si>
    <t>The EuroSport Crossover is an electrically powered two seat motor glider and ultralight aircraft designed and built in Portugal. The Crossover has a largely epoxy resin and carbon fibre structure. The three part wing has a rectangular plan, 6.5 m (21 ft 4 in) span central section and detachable trapezoidal outer panels, each either 1.55 m (5 ft 1 in) or 4.25 m (13 ft 11 in) long for the 9.60 m (31 ft 6 in) and15.00 m (49 ft 3 in) span variants respectively. The wingtips have tall, narrow winglets. The  trailing edge of the inner section is filled by two-section, double slotted, electrically driven Fowler flaps, with ailerons on the outer panels.[1] The fuselage is rounded in cross-section, with a long, low, forward-hinged and electrically operated canopy over the two side-by-side seats, which are provided with dual controls.  Behind the wing the fuselage tapers to a T-tail.  The fin is swept and straight-edged and the rudder is straight-edged, electrically trimmed and vertical. A straight tapered tailplane has a single, electrically powered elevator. The Crossover has a fuselage-mounted tricycle undercarriage. All wheels are the same size and retract forwards; the mainwheels have brakes and the nosewheel is steerable.[1] Power is supplied  by two three-phase electric motors, each capable of providing 40 kW (54 hp) for take-off and 30 kW (40 hp) continuously, controlled together by a single throttle lever.  These are mounted in the fuselage, with the four lithium batteries, storing a total energy of 36 kWh, just behind the cockpit at the centre of gravity. Several different propeller configurations have been considered, including a single nose-mounted propeller or a single propeller mounted near the top of the vertical tail. The initial trials were made with twin, contra-rotating propellers on arms that fold forward out of the fuselage just behind the wing trailing edge. Doors ensure that the fuselage is aerodynamically clean with or without the deployment of the propellers.[1] The Crossover began its flight testing with short hops on 23 July 2013. Tests of the fin-mounted propeller configuration began with taxying runs on 12 November that year.[1] Data from Jane's All the World's Aircraft 2015/16 p.[1]General characteristics Performance</t>
  </si>
  <si>
    <t>//upload.wikimedia.org/wikipedia/commons/thumb/f/f4/Eurosport_900_-_I-B919_%2826324301363%29.jpg/300px-Eurosport_900_-_I-B919_%2826324301363%29.jpg</t>
  </si>
  <si>
    <t>Electric motorglider</t>
  </si>
  <si>
    <t>https://en.wikipedia.org/Electric motorglider</t>
  </si>
  <si>
    <t>Eurosport Aircraft Lda</t>
  </si>
  <si>
    <t>https://en.wikipedia.org/Eurosport Aircraft Lda</t>
  </si>
  <si>
    <t>One pilot,</t>
  </si>
  <si>
    <t>6.90 m (22 ft 8 in)</t>
  </si>
  <si>
    <t>9.60 m (31 ft 6 in)</t>
  </si>
  <si>
    <t>307 kg (677 lb)</t>
  </si>
  <si>
    <t>6.0 m/s (1,180 ft/min) at sea level</t>
  </si>
  <si>
    <t>0.13 kW/kg (0.081 hp/lb)</t>
  </si>
  <si>
    <t>Portugal</t>
  </si>
  <si>
    <t>https://en.wikipedia.org/Portugal</t>
  </si>
  <si>
    <t>2.05 m (6 ft 9 in)</t>
  </si>
  <si>
    <t>4×9 kWh lithium batteries</t>
  </si>
  <si>
    <t>249 km/h (155 mph, 134 kn)</t>
  </si>
  <si>
    <t>2-bladed Helix-Carbon, 1.46 m (4 ft 9 in) diameter contra-rotating retractable; ground-adjustable pitch</t>
  </si>
  <si>
    <t>Caudron C.140</t>
  </si>
  <si>
    <t>The Caudron C.140 was a French tandem cockpit sesquiplane designed in 1928 as a combination of liaison aircraft and observer and gunnery trainer. The C.140 was designed in the first half of 1928 to meet a French military call for a multi-purpose aircraft that could train pilots and gunners in gunnery and in photographic and radio reconnaissance work as well as fulfilling a liaison role.[1][2] It was a single bay, markedly unequal span biplane or sesquiplane. The upper wing was in three parts, with easily detachable, rectangular plan outer panels joined to a central panel which included a broad cut-out over the fuselage to enhance the upward view from the tandem cockpits. The lower wings were similar but with the lower fuselage in place of the central panel.  Both wings had two drawn, rectangular section duralumin tube spars drilled for lightness, wooden ribs and round duralumin tube internal drag struts. Parallel pairs of outward-leaning interplane struts, again of round tubular duralumin, linked upper and lower wing spars aided by wire bracing. Similar parallel pairs of outward-leaning cabane struts joined the central panel to the upper fuselage longerons. There was no stagger or dihedral.[1][2] The C.140 was powered by an uncowled 172 kW (230 hp) Salmson 9AB nine cylinder radial engine, mounted on duralumin bearers. In the case of a fire, the 200 l (44 imp gal; 53 US gal) fuel tank could be jettisoned in flight. Behind the engine the fuselage was of mixed construction and a deep oval in section, with multiple longitudinal members. The pilot sat in the forward, open cockpit under the rear of the wing with the observer was close behind, about half way to the tail where there was a shallow triangular fin with a parallel edged rudder with a tip continuing the upper fin line and a lower edge reaching to the keel. The small tailplane was rectangular in plan and carried larger area, overhanging balanced elevators with a small cut-out for rudder movement.  The C.140 had a tail skid undercarriage with its main wheels on a single axle, sprung to two sets of steel V-struts from the lower wing root.[1][2] For gunnery training the pilot had a camera-gun and the observer a pair of Lewis machine guns. The observer also had a wide angle camera for photographic reconnaissance and radio equipment for immediate reporting. The C.140 was equipped for night flying.[1][2] The C.140 first flew in the summer of 1928. It did not go into series production.[1][2] Data from Jane's all the World's Aircraft 1928,[3] Aviafrance:C-140[4]General characteristics Performance</t>
  </si>
  <si>
    <t>//upload.wikimedia.org/wikipedia/commons/thumb/1/13/Caudron_C.140_left_front_L%27A%C3%A9ronautique_June%2C1928.jpg/300px-Caudron_C.140_left_front_L%27A%C3%A9ronautique_June%2C1928.jpg</t>
  </si>
  <si>
    <t>Liaison and observation and gunnery trainer</t>
  </si>
  <si>
    <t>7.84 m (25 ft 9 in)</t>
  </si>
  <si>
    <t>896 kg (1,975 lb)</t>
  </si>
  <si>
    <t>1 × Salmson 9AB air-cooled 9-cylinder radial, 170 kW (230 hp) 230 CV</t>
  </si>
  <si>
    <t>0.13257 kW/kg (0.08064 hp/lb)</t>
  </si>
  <si>
    <t>3.2 m (10 ft 6 in)</t>
  </si>
  <si>
    <t>200 l (44 imp gal; 53 US gal)</t>
  </si>
  <si>
    <t>185 km/h (115 mph, 100 kn) at 2,000 m (6,600 ft)</t>
  </si>
  <si>
    <t>5,000 m (16,000 ft)</t>
  </si>
  <si>
    <t>Summer 1928</t>
  </si>
  <si>
    <t>2-bladed wooden fixed-pitch propeller</t>
  </si>
  <si>
    <t>46.5 kg/m2 (9.5 lb/sq ft)</t>
  </si>
  <si>
    <t>11.3 m (37 ft 1 in)</t>
  </si>
  <si>
    <t>7.87 m (25 ft 10 in)</t>
  </si>
  <si>
    <t>Caudron Type H</t>
  </si>
  <si>
    <t>The Caudron Type H was a collective name for three different Caudron designs of 1912-3. One of these was an amphibious three seat biplane built for the French military. Two were completed, one appearing at the Paris Aero Salon in November 1912. The Caudron brothers used the designations H and M to distinguish hydravions (seaplanes) from monoplanes in their catalogue for distribution at the 1912 Paris Salon.[1] The H category included three different designs: a two-seat development of the pusher configuration Caudron-Fabre biplane, built for Claude Graham-White; a tractor configuration two bay biplane;[2] and a large, three seat, three bay biplane which was the only Caudron seaplane displayed at the Salon.[2][3] Apart from the evidence of a few photographs, rather little detail has survived on the first two but more is known about the Salon aircraft, described below.[2] Apart from its tractor engine, the Salon machine had the same layout as all other Caudron biplane designs from the Type C of 1912 to the G.4 of 1915. Its wings were rectangular in plan apart from their rounded tips; the upper span was 45% greater than the lower. There was no stagger, so the three sets of parallel interplane struts on each side were vertical.[2][4] Roll control was by wing warping.[3] In common with the other Caudron biplanes, the Salon Type H did not have a conventional fuselage. Instead, a pair of girders, each tapering in profile and with two vertical cross members, were mounted parallel to each other in plan.  On all types the upper members were attached to the upper wing; on landplanes the lower member passed under the lower wing and supported the landing wheels but on Caudron seaplanes they were kept out of the water by joining the lower wing.[2] A rectangular plan tailplane was placed just under the upper girder members at the extreme tail, with three small, rectangular vertical tails on its upper surface between the girders in a departure from the Caudron norm.[4] The three crew were accommodated in a flat sided nacelle, mounted above the lower wing, with a semi-cowled, 52 kW (70 hp) Gnome Lambda 7-cylinder rotary engine in the nose and the pilot placed at about mid-chord. The aircraft was amphibious, with short, broad, single stepped floats, each mounted on pairs of N-form struts under the central wing bays, assisted by two smaller, unstepped floats attached to the lower tailboom girders under the tailplane. The main, underwing floats had single mainwheels largely within them, set about two-thirds the way back and enclosed above by roughly semicircular covers. The floats were not sprung and the only springing in the wheeled gear was in the pneumatic tyres. This arrangement was patented by the Caudron brothers.[2][5] It is not known if the first of the two examples built had flown before it was exhibited at the Salon in November 1912.[2] It was marked as a military machine, possibly intended for use in the French Colonies and was received by them on 14 February 1913 with serial CC5.[2][5] At least one of the two was modified to have a land undercarriage with pairs of main wheels and a long skid on a wire braced N-form strut under each of the inner interplane struts pairs.[2] The first example flew at an event hosted by the Boulogne Aero-Club on 14 July 1913, taking off from the beach, though on different, longer floats.[2] Data from Hauet (2001), p.39[2]General characteristics Performance</t>
  </si>
  <si>
    <t>Military amphibious biplane</t>
  </si>
  <si>
    <t>three</t>
  </si>
  <si>
    <t>35 m2 (380 sq ft)</t>
  </si>
  <si>
    <t>400 kg (882 lb)</t>
  </si>
  <si>
    <t>660 kg (1,455 lb)</t>
  </si>
  <si>
    <t>1 × Gnome Lambda , 7-cylinder rotary in tractor configuration, 52 kW (70 hp)</t>
  </si>
  <si>
    <t>80 km/h (50 mph, 43 kn) . Flight[3] gives 97 km/h (60 mph)</t>
  </si>
  <si>
    <t>late 1912-early 1913</t>
  </si>
  <si>
    <t>2-bladed Integrale[3]</t>
  </si>
  <si>
    <t>14.0 m (45 ft 11 in)</t>
  </si>
  <si>
    <t>9.6 m (31 ft 6 in)</t>
  </si>
  <si>
    <t>15 min to 500 m (1,640 ft)</t>
  </si>
  <si>
    <t>Europa XS</t>
  </si>
  <si>
    <t>The Europa XS and Europa Classic are a family of British composite two-place low-wing monoplane kit aircraft. Designed by Ivan Shaw, the Europa was introduced in the early 1990s.  Europas are manufactured by Europa Aircraft and supplied as kits for amateur construction. More than 450 Europas have been completed. The Europa was conceived as a modern kit aircraft for personal use within Europe. Its design aims were: high speed, low cost, able to be built and stored at home, easily transportable on a trailer, using Mogas fuel, able to be rigged for flight in under five minutes, carrying two people in comfort, and providing sufficient baggage for extended touring. Apart from "low cost", these objectives were largely met.[4] Ivan Shaw's design work on the Europa, as it was initially named, began in January 1990.  The first prototype, G-YURO, first flew on 12 September 1992 and Popular Flying Association certification was gained in May 1993.  Most Europas have been sold in kit form, although five factory-assembled aircraft were produced between 1994 and 1996.  The first kit-built aircraft to be completed flew on 14 October 1995.[2] By the autumn of 2007 450 Europas of all types had been completed and were flying.[5] The basic design was later developed by Ivan Shaw into a America FAR certified aircraft, built by Liberty Aerospace in the US as the Liberty XL2. The Europa is classified as a homebuilt in its home country of the UK and qualifies for a Permit to Fly. This limits it to day and VFR flight. Previous restrictions of flying over built up areas were removed during 2008. In Canada the Europa is an amateur-built aircraft and qualifies for a Special Certificate of Airworthiness.[6] In 1997 UK Prime Minister Tony Blair launched the Millennium Products competition to promote British industry in the 21st Century.[7]  This culminated in 1999 with a winners list of 1012 manufacturers and their products.  One of these was the Europa XS, described as "A light aircraft which offers speed, economy and performance and can be stored on a trailer in your garage."[8] Europas are flown in Europe in the very light aircraft category. In the America the Europa XS is currently awaiting light-sport aircraft certification and as of April 2017 the design does not appear on the Federal Aviation Administration's list of approved special light-sport aircraft.[9][10] The streamlined composite design and the particularly low canopy give the Europa both high cruise speeds of 200 mph (320 km/h) and fuel efficiency of 50 mpg‑imp (5.6 L/100 km) due to its low drag.[11] The Europa can be fitted with Rotax 912UL of 80 hp (60 kW), the 100 hp (75 kW) Rotax 912ULS or the turbocharged 115 hp (86 kW) Rotax 914 engine.[11] Europas first became available with a monowheel landing gear and a tailwheel.  The wings had small castors on outriggers that were lowered with the flaps.[11] Shaw chose the monowheel configuration for its perceived advantages of reduced weight and improved performance over a tricycle configuration.  In practise, the monowheel Europa proved tricky  in inexperienced hands and could be prone to prop-strikes and groundlooping (partly due to the lack of differential braking) so the company developed a tricycle undercarriage which has become the more popular version, particularly as any performance disadvantage has been slight. Europas can be fitted with either normal (tourer) wings made out of fiberglass, with 102 sq ft (9.5 m2) wing area and 13.43 lb/ft2 wing loading at MTOW, or motorglider wings, made from carbon fiber with a greater span. Since the fuselage is common to both motorglider and tourer then with both sets of wings the same fuselage can be configured as a tourer and a motorglider alternately. The wings can be removed for transportation or storage in five minutes.[11] The Europa touring wing uses a unique Dykins 12% thickness/chord ratio airfoil designed by Don Dykins, who had been deputy Chief Aerodynamicist at Hawker Siddeley Aviation, and later technical director of British Aerospace and chief aerodynamicist on the European Airbus.[12] The motorglider wing uses a different wing section, also designed by Dykins, with its center of pressure coincident with that of the smaller wing to ensure that the rudder and tailplane are equally effective with either.  Wingspan is increased to 42 feet (13 m) bringing the wing area to 135 sq ft (12.5 m2). The motorglider wings are fitted with airbrakes rather than flaps.[13] Development is also under way for wings suitable for a light-sport aircraft variant of Europa XS.[14] The fuel tanks are located in the fuselage and have a capacity of 18 U.S. gallons (68 L; 15 imp gal) standard and 28 U.S. gallons (110 L; 23 imp gal) optional. This gives a range of 841 mi (1,353 km) standard or 1,256 mi (2,021 km) extended at economy cruise setting.[11] The plane can use AVGAS or MOGAS depending on engine requirements and national regulations. It is also possible to upgrade fuel capacity with the addition of extra fuel tanks. On 1 June 2007 a Europa Classic, registration G-HOFC, broke up during a flight over South Wales, United Kingdom, killing both occupants. The investigation indicated irregularities in the construction of the right wing attachment at the rear lift/drag pin. There was also evidence of movement of the tailplane surfaces beyond the normal range of movement. As a result of the initial findings, the Light Aircraft Association released two Airworthiness Bulletins requiring immediate and repetitive inspections:[25] The content of these Airworthiness Bulletins was made mandatory in the UK by the issue of Mandatory Permit Directives. The final accident report concludes that these modifications and the mandated inspections of aircraft already completed, adequately address the construction issue.[26] This accident affects only Europa Classics, all of which should have now been modified, and not the XS model which has a different structure. Data from Jane's All The World's Aircraft 2003–2004[29]General characteristics Performance   Aircraft of comparable role, configuration, and era</t>
  </si>
  <si>
    <t>//upload.wikimedia.org/wikipedia/commons/thumb/9/9f/EuropaXS.jpg/300px-EuropaXS.jpg</t>
  </si>
  <si>
    <t>Europa Aircraft</t>
  </si>
  <si>
    <t>https://en.wikipedia.org/Europa Aircraft</t>
  </si>
  <si>
    <t>Ivan Shaw[1]</t>
  </si>
  <si>
    <t>495 by 2011[3]</t>
  </si>
  <si>
    <t>5.84 m (19 ft 2 in)</t>
  </si>
  <si>
    <t>8.28 m (27 ft 2 in)</t>
  </si>
  <si>
    <t>9.48 m2 (102 sq ft)</t>
  </si>
  <si>
    <t>354 kg (780 lb)</t>
  </si>
  <si>
    <t>623 kg (1,370 lb)</t>
  </si>
  <si>
    <t>1 × Rotax 912 ULS , 74 kW (99 hp)</t>
  </si>
  <si>
    <t>1,355 km (732 mi, 636 nmi)</t>
  </si>
  <si>
    <t>5.1 m/s (1,000 ft/min)</t>
  </si>
  <si>
    <t>2.13 m (7 ft 0 in)</t>
  </si>
  <si>
    <t>12 September 1992[2]</t>
  </si>
  <si>
    <t>https://en.wikipedia.org/Liberty XL2</t>
  </si>
  <si>
    <t>1994[2]-present</t>
  </si>
  <si>
    <t>Fairchild XC-120 Packplane</t>
  </si>
  <si>
    <t>The Fairchild XC-120 Packplane was an American experimental modular aircraft first flown in 1950. It was developed from the company's C-119 Flying Boxcar, and was unique in the unconventional use of removable cargo pods that were attached below the fuselage, instead of possessing an internal cargo compartment. The XC-120 Packplane began as a C-119B fuselage (48-330, c/n 10312) with a point just below the flight deck cut off to create the space for the detachable cargo pod.. The wings were angled upwards between the engines and the fuselage, raising the fuselage by several feet and giving the plane an inverted gull-wing appearance. Smaller diameter "twinned" wheels were installed forward of each of the main landing gear struts to serve as nosewheels, while the main struts were extended backwards. All four landing gear units, in matching "nose" and "main" sets, could be raised and lowered in a scissorlike fashion to lower the aircraft and facilitate the removal of a planned variety of wheeled pods which would be attached below the fuselage for the transport of cargo. The goal was to allow cargo to be preloaded into the pods; it was claimed that such an arrangement would speed up loading and unloading cargo.[1] Production aircraft were to be designated C-128. Only one XC-120 was built. Though the aircraft was tested extensively and made numerous airshow appearances in the early 1950s the project went no further. It was tested by the Air Proving Ground Command at Eglin Air Force Base, Florida, in 1951,[2] before the project was abandoned in 1952.[3] The prototype was eventually scrapped. Data from [4]General characteristics  Related development Aircraft of comparable role, configuration, and era  Related lists</t>
  </si>
  <si>
    <t>//upload.wikimedia.org/wikipedia/commons/thumb/a/a2/XC-120_Packplane_composite.jpg/300px-XC-120_Packplane_composite.jpg</t>
  </si>
  <si>
    <t>Military transport aircraft</t>
  </si>
  <si>
    <t>https://en.wikipedia.org/Military transport aircraft</t>
  </si>
  <si>
    <t>Fairchild</t>
  </si>
  <si>
    <t>https://en.wikipedia.org/Fairchild</t>
  </si>
  <si>
    <t>C-119 Flying Boxcar</t>
  </si>
  <si>
    <t>https://en.wikipedia.org/C-119 Flying Boxcar</t>
  </si>
  <si>
    <t>Five (pilot, copilot, flight engineer, two loadmasters)</t>
  </si>
  <si>
    <t>20,000 lb (9,090 kg) (2,700 cu.ft)</t>
  </si>
  <si>
    <t>82 ft 10 in (25.25 m)</t>
  </si>
  <si>
    <t>106 ft 6 in (32.46 m)</t>
  </si>
  <si>
    <t>1,447 sq ft (134.4 m2)</t>
  </si>
  <si>
    <t>64,000 lb (29,030 kg)</t>
  </si>
  <si>
    <t>2 × Pratt &amp; Whitney R-4360 Wasp Major radial engines, 3,250 hp (2,420 kW)  each for takeoff</t>
  </si>
  <si>
    <t>25 ft 1 in (7.65 m)</t>
  </si>
  <si>
    <t>Fairey Gordon</t>
  </si>
  <si>
    <t>The Fairey Gordon was a British light bomber (2-seat day bomber) and utility aircraft of the 1930s. The Gordon was a conventional two-bay fabric-covered metal biplane. It was powered by 525–605 horsepower (391–451 kW) variants of the Armstrong Siddeley Panther IIa engine. Armament was one fixed, forward-firing .303-inch (7.7 mm) Vickers machine gun and a .303-inch (7.7 mm) Lewis Gun in the rear cockpit, plus 500 pounds (230 kg) of bombs. The aircraft was somewhat basic; instruments were airspeed indicator, altimeter, oil pressure gauge, tachometer, turn and bank indicator and compass. The Gordon was developed from the IIIF, primarily by use of the new Armstrong Siddeley Panther engine. The prototype was first flown on 3 March 1931, and around 80 earlier IIIFs were converted to a similar standard, 178 new-built aircraft were made for the RAF, a handful of IIIFs being converted on the production line. 154 Mark Is were produced, before production switched to the Mark II with larger fin and rudder; only 24 of these were completed before production switched to the Swordfish. The naval version of the Gordon, used by the Royal Navy, was known as the Seal. The type had mostly been retired from Royal Air Force and Royal Navy Fleet Air Arm service prior to the Second World War, although No. 6 Squadron RAF, No. 45 Squadron RAF, and No. 47 Squadron RAF, still operated the type in Egypt. Six of these aircraft were transferred to the Egyptian Air Force. 49 Gordons were dispatched to the Royal New Zealand Air Force in April 1939, 41 entering brief service as pilot trainers. The RNZAF found the aircraft worn out and showing signs of their service in the Middle East – including at least one scorpion. The last of these – and the last intact Gordon anywhere – was struck from RNZAF service in 1943. Seven Gordons were adapted to target towing and stationed at No 4 Flying Training School at RAF Habbaniya in Iraq.[1] At the end of April 1941 these aircraft were hastily converted back into bombers, and in early May they took part in the defence of Habbaniya against Iraqi forces threatening and then attacking the School.[2] The only known survivor is RNZAF Gordon Mark I NZ629, which is under restoration in New Zealand. On 12 April 1940 two trainee pilots Walter Raphael (pilot) and Wilfred Everist (passenger) of 1 Service Flying Training School were flying NZ629 from Wigram on a flight over the Southern Alps on a "war-load climb to 15,000 feet" training mission. The aircraft entered a spin above the Southern Alps and the crew prepared to bail out, but the aircraft recovered. Moments later it hit trees on top of a ridge on Mount White and flipped backwards down the side of the steep slope, leaving the aircraft hanging in the trees and both Raphael and Everist unconscious. When Raphael regained consciousness he feared the plane would soon catch fire, so he pulled Everist, who was still unconscious, out of the wreckage. Raphael walked to a shearers' hut, carrying Everist who was badly injured. The airframe, minus instruments, guns and engine, was left suspended in trees at the crash site, which is part of a large sheep station. In 1976 it was relocated – still largely suspended from trees – by Charles Darby, with assistance from Walter Raphael. (Everist had been killed in action over France.) NZ629 was recovered by Aerospatiale Lama. It was stored for more than 20 years before restoration began. In February 1988 the civil registration ZK-TLA was reserved and as of 2005 the restorers were looking for an engine. In 2014 they were struggling to raise the funds to get the plane restored.[3] Data from Fairey Aircraft since 1915[6]General characteristics Performance Armament  Related development Aircraft of comparable role, configuration, and era  Related lists</t>
  </si>
  <si>
    <t>//upload.wikimedia.org/wikipedia/commons/thumb/a/ab/FaireyGordon0443.jpg/300px-FaireyGordon0443.jpg</t>
  </si>
  <si>
    <t>Light bomber and general aircraft</t>
  </si>
  <si>
    <t>Fairey Aviation</t>
  </si>
  <si>
    <t>https://en.wikipedia.org/Fairey Aviation</t>
  </si>
  <si>
    <t>Fairey III</t>
  </si>
  <si>
    <t>https://en.wikipedia.org/Fairey III</t>
  </si>
  <si>
    <t>36 ft 9 in (11.20 m)</t>
  </si>
  <si>
    <t>45 ft 9 in (13.94 m)</t>
  </si>
  <si>
    <t>438 sq ft (40.7 m2)</t>
  </si>
  <si>
    <t>3,500 lb (1,588 kg)</t>
  </si>
  <si>
    <t>5,906 lb (2,679 kg)</t>
  </si>
  <si>
    <t>1 × Armstrong Siddeley Panther IIa 14-cylinder air-cooled radial piston engine, 525 hp (391 kW)</t>
  </si>
  <si>
    <t>600 mi (970 km, 520 nmi)</t>
  </si>
  <si>
    <t>1,000 ft/min (5.1 m/s)</t>
  </si>
  <si>
    <t>0.089 hp/lb (0.146 kW/kg)</t>
  </si>
  <si>
    <t>{'Fairey IIIF Mk V': ' Prototype.', 'Fairey Gordon Mk I': ' Two-seat day bomber and general purpose aircraft.', 'Fairey Gordon Mk II': ' Two-seat training version.'}</t>
  </si>
  <si>
    <t>14 ft 2 in (4.32 m)</t>
  </si>
  <si>
    <t>145 mph (233 km/h, 126 kn)</t>
  </si>
  <si>
    <t>22,000 ft (6,700 m)</t>
  </si>
  <si>
    <t>2-bladed fixed-pitch propeller</t>
  </si>
  <si>
    <t>13.5 lb/sq ft (66 kg/m2)</t>
  </si>
  <si>
    <t>Royal Air ForceFleet Air Arm (Royal Navy)</t>
  </si>
  <si>
    <t>https://en.wikipedia.org/Royal Air ForceFleet Air Arm (Royal Navy)</t>
  </si>
  <si>
    <t>1 × fixed, forward-firing .303 in (7.7 mm) Vickers machine gun and 1 × flexible .303 in (7.7 mm) Lewis Gun in the rear cockpit</t>
  </si>
  <si>
    <t>500 lb (227 kg) of bombs carried under wings</t>
  </si>
  <si>
    <t>Douglas YOA-5</t>
  </si>
  <si>
    <t>The Douglas YOA-5 was an Amphibious aircraft designed for the America Army Air Corps. Although a prototype was built, it did not enter production. In November 1932, the U.S. Army ordered the development of an amphibious reconnaissance aircraft/bomber, intended to act as navigation leaders and rescue aircraft for formations of conventional bombers. The resultant aircraft, which was ordered under the bomber designation YB-11, was designed in parallel with the similar but larger Douglas XP3D patrol flying boat for the America Navy. It was a high-winged monoplane with two Wright R-1820 Cyclone radial engines mounted in individual nacelles above the wing, resembling an enlarged version of the Douglas Dolphin.[1] Prior to completion, it was redesignated firstly as an observation aircraft YO-44 and then as the YOA-5 'observation amphibian model 5'.[2] It first flew during January 1935, and was delivered to the army during February that year.[1] The concept for which it was designed proved impracticable, and no further production ensued, but the YOA-5 was used to set two world distance records for amphibians, being finally scrapped in December 1943.[3] Data from McDonnell Douglas aircraft since 1920 : Volume I[4]General characteristics Performance Armament     Related lists</t>
  </si>
  <si>
    <t>//upload.wikimedia.org/wikipedia/commons/thumb/c/cc/Parked_Douglas_YB-11.jpg/300px-Parked_Douglas_YB-11.jpg</t>
  </si>
  <si>
    <t>Seaplane bomber</t>
  </si>
  <si>
    <t>https://en.wikipedia.org/Seaplane bomber</t>
  </si>
  <si>
    <t>Douglas Aircraft Company</t>
  </si>
  <si>
    <t>https://en.wikipedia.org/Douglas Aircraft Company</t>
  </si>
  <si>
    <t>Douglas XP3D</t>
  </si>
  <si>
    <t>https://en.wikipedia.org/Douglas XP3D</t>
  </si>
  <si>
    <t>69 ft 6 in (21.18 m)</t>
  </si>
  <si>
    <t>89 ft 9 in (27.36 m)</t>
  </si>
  <si>
    <t>20,000 lb (9,072 kg)</t>
  </si>
  <si>
    <t>2 × Wright R-1820-25 Cyclone 9-cylinder air-cooled radial piston engines, 750 hp (560 kW)  each</t>
  </si>
  <si>
    <t>0.075 hp/lb (0.123 kW/kg)</t>
  </si>
  <si>
    <t>212 ft 0 in (64.62 m)</t>
  </si>
  <si>
    <t>169 mph (272 km/h, 147 kn) at sea level</t>
  </si>
  <si>
    <t>Prototype</t>
  </si>
  <si>
    <t>3× .30 in (7.62 mm) machine guns in open bow and fuselage positions</t>
  </si>
  <si>
    <t>EAA Biplane</t>
  </si>
  <si>
    <t>The EAA Biplane (Serial # N6077V), an enduring emblem of the Experimental Aircraft Association since 1960, is a recreational aircraft that was designed in the America and marketed as plans for home-built aircraft.[1]   The EAA Biplane is on permanent display at the EAA Aviation Museum in Oshkosh, Wisconsin.[2]     A preliminary design was produced for the EAA by a team of Allison engineers led by EAA member Jim D. Stewart in 1955.[3]  This team took the Gere Sport of the 1930s as their starting point and eventually developed a completely new design which also incorporated several 'as-built' design changes made by Robert D. Blacker (5/2/26 - 8/3/88), the plane's builder and one of its test pilots.[4] The 'as-built' design changes included a +2 degree of dihedral to the upper wing, redesign of the horizontal stabilizer, installation of a diagonal brace at Stations 2 and 3, a change to the fuselage truss assembly, strengthening of the control column support, and an  ingenious ball-bearing arrangement was created by Blacker, etc.[5][6]   It is a single-seat biplane of conventional configuration, with staggered, single-bay equal-span wings braced with N-struts. The undercarriage is of fixed tailwheel type. The fuselage is fabric-covered welded steel tube, and the wings fabric-covered wood. Plans for the biplane remained available until 1972, by which time some 7,000 sets of the final "as-built" Plans had been sold. This prototype EAA  Biplane was built by Blacker and his apprentice students at St. Rita of Cascia High School in Chicago, IL as the 2nd airplane completed within EAA's Project Schoolflight[7] which began in 1955 when  that project was co-founded by both Blacker and EAA founder, Paul Poberenzy.[4][8]  Project Schoolflight  was designed to bring hands-on aircraft construction directly to students in their classrooms and into their school's Industrial Arts shops[9][10][11] This EAA Biplane project began in September 1957 and culminated in the aircraft's first flight in June, 1960.[12][8]     To keep the EAA membership abreast of the construction progress during the EAA Biplane build project, Blacker authored several "EAA Biplane Progress Reports" published in EAA's Sport Aviation magazines (nee:Experimenter) through out the project.[13][14][15][16]    Blacker put the EAA Biplane's work-in-progress bare fuselage as a 'static' display at EAA's 1958 Fly-In where his work on the EAA Biplane coupled with his complete body of work in Project Schoolflight garnered him the most coveted award in the EAA: The Mechanix Illustrated Trophy for  "Outstanding Achievement in Home-Built Aircraft"[17]  (See MI trophy photo herein). Paul Poberezny and Stan Dzik, also a co-founder of EAA, presented Blacker this first Short Snorter[18] in EAA history in honor of his EAA Biplane build efforts.   This EAA Biplane made its official debut to EAA members at the 1961 Rockford, IL Fly-In.[3]   ABOUT THE EAA BIPLANE BUILDER : During World War 2 Robert D. Blacker served at Roswell Army Airfield in New Mexico (1945 - 1946) as a B-29 Flight Engineer. From November 1945 thru April 1946, the  ENOLA GAY was one of the airships he was responsible for.   In 1951 Mr. Blacker, a Lewis College Certified Aircraft Mechanic since 1947, started the Aviation Industrial Arts Program at St. Rita of Cascia High School in Chicago, Il. and in 1955,  Mr. Blacker earned his Civil Aeronautics Administration designation as an Aviation Safety Examiner/Aircraft Mechanic Examiner (see photo of 2 certificates). That same year Mr. Blacker co-founded EAA's Project Schoolflight with EAA founder Paul Poberezny.[7] In 1958, Mr. Blacker authored "Basic Aeronautical Science and Principles of Flight" [19][20] that was used as a aeronautical training book via the U.S. Air Force Institute. The book reached world-wide circulation through many libraries. A copy is currently registered in the EAA library at Oshkosh, WI. Mr. Blacker and his St. Rita High School Aviation classes had previously completed the first airplane through EAA's Project Schoolflight - a Baby Ace named "Spirit of Cascia" - a winner of  EAA's Outstanding Achievement in Aviation Education in 1957.[21]  Data from [22]General characteristics Performance</t>
  </si>
  <si>
    <t>//upload.wikimedia.org/wikipedia/commons/thumb/e/ef/EAA_Biplane.jpg/300px-EAA_Biplane.jpg</t>
  </si>
  <si>
    <t>2nd EAA Project Schoolflight plane built</t>
  </si>
  <si>
    <t>Robert D. Blacker &amp; his students @ St. Rita HS</t>
  </si>
  <si>
    <t>Allison Team &amp; Robert Blacker</t>
  </si>
  <si>
    <t>https://en.wikipedia.org/Allison Team &amp; Robert Blacker</t>
  </si>
  <si>
    <t>17 ft 0 in (5.18 m)</t>
  </si>
  <si>
    <t>20 ft 0 in (6.10 m)</t>
  </si>
  <si>
    <t>108 sq ft (10.0 m2)</t>
  </si>
  <si>
    <t>710 lb (322 kg)</t>
  </si>
  <si>
    <t>1,150 lb (522 kg)</t>
  </si>
  <si>
    <t>1 × Continental C85 air-cooled flat-four engine, 85 hp (63 kW)</t>
  </si>
  <si>
    <t>110 mph (180 km/h, 96 kn) (econ. cruise)</t>
  </si>
  <si>
    <t>350 mi (560 km, 300 nmi)</t>
  </si>
  <si>
    <t>6 ft 0 in (1.83 m)</t>
  </si>
  <si>
    <t>18 US gal (15 imp gal; 68 L)</t>
  </si>
  <si>
    <t>125 mph (201 km/h, 109 kn) at sea level</t>
  </si>
  <si>
    <t>11,500 ft (3,500 m)</t>
  </si>
  <si>
    <t>https://en.wikipedia.org/10 June 1960</t>
  </si>
  <si>
    <t>Farman F.50</t>
  </si>
  <si>
    <t>The Farman F.50 was a French twin-engined night bomber designed and built by Farman as a replacement for the single-engined Voisin pusher biplanes in service with the French Air Force. The twin-engined F.50 flew for the first time in early 1918, powered by two 180 kW (240 hp) Lorraine 8Bb engines, as an unequal-span biplane with a slab-sided fuselage and a single fin and rudder. It had a fixed tailskid landing gear with twin wheels on the main gear, an open cockpit for the pilot and gunner/observer, and a gunner position in the nose.  It was equipped with a 7.7 mm machine gun forward and aft. The two engines, 205 kW (275 hp) Lorraine 8Bd V-8s on production aircraft, were mounted between the wings using vee bracing struts. With the Armistice, production was less than 100 aircraft, but the company designed a passenger conversion for civil use, designated F.50P, with the fuselage behind the cockpit raised and enclosed to create a glazed cabin for up to five passengers. One example was used by Compagnie des Grands Express Aeriens from July 1920 from Paris to London and Amsterdam. With the military designation Bn.2 (2-seat night bomber) the aircraft were delivered to squadrons within 1e Groupe de Bombardement. Three escadrilles (S25, F114 and F119) had been equipped by the time of the Armistice in November 1918, with 45 F.50s in service.[1] With the end of the war the aircraft did not have time to influence the campaign and the aircraft continued to serve until at least 1922. Two aircraft were sold to the America after the war.[2] Data from The Illustrated Encyclopedia of Aircraft (Part Work 1982-1985), 1985, Orbis Publishing, Page 1736/7General characteristics Performance Armament</t>
  </si>
  <si>
    <t>//upload.wikimedia.org/wikipedia/commons/d/d9/Farman_f50.jpg</t>
  </si>
  <si>
    <t>Biplane bomber</t>
  </si>
  <si>
    <t>Farman</t>
  </si>
  <si>
    <t>https://en.wikipedia.org/Farman</t>
  </si>
  <si>
    <t>&gt;100</t>
  </si>
  <si>
    <t>10.92 m (35 ft 10 in)</t>
  </si>
  <si>
    <t>22.85 m (74 ft 11.5 in)</t>
  </si>
  <si>
    <t>101.60 m2 (1,093.6 sq ft)</t>
  </si>
  <si>
    <t>1,815 kg (4,001 lb)</t>
  </si>
  <si>
    <t>2,120 kg (6,878 lb)</t>
  </si>
  <si>
    <t>2 × Lorraine 8Db V-8 water-cooled piston engines , 205 kW (275 hp) each</t>
  </si>
  <si>
    <t>420 km (261 mi, 227 nmi)</t>
  </si>
  <si>
    <t>3.30 m (10 ft 10 in)</t>
  </si>
  <si>
    <t>4,750 m (15,580 ft)</t>
  </si>
  <si>
    <t>French Air Force</t>
  </si>
  <si>
    <t>https://en.wikipedia.org/French Air Force</t>
  </si>
  <si>
    <t>1920s</t>
  </si>
  <si>
    <t>Douglas XB-31</t>
  </si>
  <si>
    <t>The Douglas XB-31 (Douglas Model 332) was the design submitted by Douglas after the request by the America Army Air Forces for a very heavy bomber aircraft, the same request that led to the Boeing B-29 Superfortress, Lockheed XB-30, and Consolidated B-32 Dominator. Around 1938, America Army General Henry H. "Hap" Arnold, the head of the US Army Air Corps (USAAC), was growing alarmed at the possibility of war in Europe and in the Pacific. Hoping to be prepared for the long-term requirements of the Air Force, Arnold created a special committee chaired by Brigadier General W. G. Kilner; one of its members was Charles Lindbergh. The Douglas firm at the time was working on an even larger, 212 foot (64.6 meter) wingspan four-engined strategic bomber prototype airframe, the Douglas XB-19, that would make her maiden flight in late June 1941.    After a tour of Luftwaffe bases, Lindbergh became convinced that Nazi Germany was far ahead of other European nations. In a report in 1939, the committee made a number of recommendations, including development of new long-range heavy bombers. When war broke out in Europe, Arnold requested design studies from several companies on a Very Long-Range bomber capable of travelling 5,000 miles (8,000 km). Approval was granted on 2 December 1939. Throughout 1939 and 1940 Douglas investigated designs of the Model 332 with different powerplants (Wright R-2600, Pratt and Whitney R-2800, Wright R-2160, Wright R-3350). All were designed to have roughly same operating range, with variations in the projected service ceiling.[1] The XB-31 design was rejected in favor of the B-29 and B-32 (along with the XB-30) because the USAAC found the B-29 superior to the Douglas and Lockheed designs.[2] Data from[citation needed]General characteristics Performance Armament   Aircraft of comparable role, configuration, and era  Related lists</t>
  </si>
  <si>
    <t>Heavy bomber</t>
  </si>
  <si>
    <t>https://en.wikipedia.org/Heavy bomber</t>
  </si>
  <si>
    <t>Douglas Aircraft</t>
  </si>
  <si>
    <t>https://en.wikipedia.org/Douglas Aircraft</t>
  </si>
  <si>
    <t>88 ft 8.5 in (27.038 m)</t>
  </si>
  <si>
    <t>140 ft 6 in (42.82 m)</t>
  </si>
  <si>
    <t>1,780 sq ft (165 m2)</t>
  </si>
  <si>
    <t>106,994 lb (48,532 kg)</t>
  </si>
  <si>
    <t>120,000 lb (54,431 kg)</t>
  </si>
  <si>
    <t>4 × Wright R-3350-13 Duplex-Cyclone 18-cylinder air-cooled radial piston engines, 2,200 hp (1,600 kW)  each</t>
  </si>
  <si>
    <t>5,370 mi (8,640 km, 4,670 nmi)</t>
  </si>
  <si>
    <t>0.066 hp/lb (0.109 kW/kg), later 0.089 hp/lb (0.146 kW/kg)</t>
  </si>
  <si>
    <t>28 ft 3 in (8.61 m)</t>
  </si>
  <si>
    <t>377 mph (607 km/h, 328 kn)</t>
  </si>
  <si>
    <t>31,600 ft (9,600 m)</t>
  </si>
  <si>
    <t>America Army Air Forces</t>
  </si>
  <si>
    <t>https://en.wikipedia.org/America Army Air Forces</t>
  </si>
  <si>
    <t>41 lb/sq ft (200 kg/m2)</t>
  </si>
  <si>
    <t>6× .50 in (12.7 mm) machine guns in remote ventral and dorsal turrets1x machine gun in tail1× 0.79 in (20 mm) cannon in tail</t>
  </si>
  <si>
    <t>4x 2,000 lb (907 kg) bombs8x 1,000 lb (454 kg) bombs16x 500 lb (227 kg) bombs</t>
  </si>
  <si>
    <t>Fairchild 45</t>
  </si>
  <si>
    <t>The Fairchild Model 45 was a 1930s American five-seat cabin monoplane aircraft designed and built by Fairchild. During 1934 the Fairchild company designed a business or executive aircraft with five seats, designated the Model 45. It first flew on 31 May 1935. The Model 45 was a low-wing cantilever monoplane with a conventional cantilever tail unit and a retractable tailwheel landing gear. The aircraft was powered by a 225 hp (168 kW) Jacobs L-4 radial engine and had a luxury five-seat interior as standard. Flight testing showed that the aircraft performed well, although it was described as sedate. The company predicted that the Model 45 would have only limited market appeal in that form, therefore only the prototype was built. Fairchild then upgraded the prototype with a larger engine, the Wright R-760 radial, for evaluation.  In this configuration it was designated the Model 45-A.  This configuration was placed in production, with about 16 units being completed. One aircraft was bought as an executive transport by the America Navy as the JK-1. After the America entered the Second World War, two aircraft were impressed into service with the America Army Air Forces as the UC-88. In 1997, Greg Herrick requested drawings of a Fairchild 45 tail section for an ongoing restoration project. The request was refused, citing the design was a trade secret. This led to a FOIA request, and lawsuit that was debated in the America Supreme Court. The effort led to the "Herrick amendment" added to the FAA Air Transportation Modernization and Safety Improvement Act of 2012.[1] The amendment released the ATC type certificate information for 1,257 aircraft first certified in 1927 through the beginning of World War II in 1939.[2] Data from Illustrated Encyclopedia of Aircraft 1985[3]General characteristics Performance     Related lists</t>
  </si>
  <si>
    <t>//upload.wikimedia.org/wikipedia/commons/thumb/a/af/Fairchild_45_0255x.jpg/300px-Fairchild_45_0255x.jpg</t>
  </si>
  <si>
    <t>Five-seat cabin monoplane</t>
  </si>
  <si>
    <t>Fairchild Aircraft</t>
  </si>
  <si>
    <t>https://en.wikipedia.org/Fairchild Aircraft</t>
  </si>
  <si>
    <t>30 ft 1 in (9.17 m)</t>
  </si>
  <si>
    <t>39 ft 6 in (12.04 m)</t>
  </si>
  <si>
    <t>248 sq ft (23.04 m2)</t>
  </si>
  <si>
    <t>2,512 lb (1,139 kg)</t>
  </si>
  <si>
    <t>4,000 lb (1,814 kg)</t>
  </si>
  <si>
    <t>1 × Wright R-760-E2 7-cylinder radial piston engine , 320 hp (239 kW)</t>
  </si>
  <si>
    <t>650 mi (1,046 km, 560 nmi)</t>
  </si>
  <si>
    <t>8 ft 2 in (2.49 m)</t>
  </si>
  <si>
    <t>170 mph (274 km/h, 150 kn)</t>
  </si>
  <si>
    <t>18,700 ft (5,700 m)</t>
  </si>
  <si>
    <t>https://en.wikipedia.org/31 May 1935</t>
  </si>
  <si>
    <t>America Army Air ForcesAmerica Navy</t>
  </si>
  <si>
    <t>https://en.wikipedia.org/America Army Air ForcesAmerica Navy</t>
  </si>
  <si>
    <t>Martin XB-16</t>
  </si>
  <si>
    <t>The Martin XB-16, company designation Model 145, was a projected heavy bomber designed in the America during the 1930s. The XB-16  was designed to meet the America Army Air Corps (USAAC) request for a bomber that could carry 2,500 lb (1,100 kg) of bombs 5,000 mi (8,000 km; 4,300 nmi). The XB-16 (Model 145A) was to use four Allison V-1710 liquid-cooled reciprocating V-engines; contemporary American aircraft used air-cooled radial engines. In 1935, Martin revised the XB-16 design as the Model 145B. The wingspan was increased from 140 ft (43 m) to 173 ft (53 m), and a set of V-1710 engines added to the trailing edge. This version had a wingspan 20% greater than that of the B-29 Superfortress, the first operational bomber that would fill the role intended for the XB-16. The XB-16 was canceled for essentially the same reason that the Boeing XB-15 project was: it was not fast enough to meet the requirements set by the Army. Since both were canceled around the same time, Martin did not have time to produce an XB-16. Data from U.S. bombers, 1928 to 1980s[1]General characteristics Performance Armament   Aircraft of comparable role, configuration, and era  Related lists</t>
  </si>
  <si>
    <t>Bomber</t>
  </si>
  <si>
    <t>https://en.wikipedia.org/Bomber</t>
  </si>
  <si>
    <t>Glenn L. Martin Company</t>
  </si>
  <si>
    <t>https://en.wikipedia.org/Glenn L. Martin Company</t>
  </si>
  <si>
    <t>ten</t>
  </si>
  <si>
    <t>114 ft 10 in (35 m)</t>
  </si>
  <si>
    <t>140 ft (43 m)Model 145B</t>
  </si>
  <si>
    <t>65,000 lb (29,484 kg)Model 145B</t>
  </si>
  <si>
    <t>4 × Allison V-1710-3 V-12 liquid-cooled piston engines, 1,000 hp (750 kW)  each (Model 145B ×6)</t>
  </si>
  <si>
    <t>140 mph (230 km/h, 120 kn)</t>
  </si>
  <si>
    <t>5,000 mi (8,000 km, 4,300 nmi)</t>
  </si>
  <si>
    <t>740 ft/min (3.8 m/s)</t>
  </si>
  <si>
    <t>0.049 hp/lb (0.080 kW/kg)</t>
  </si>
  <si>
    <t>4,238 US gal (16,040 l; 3,529 imp gal)</t>
  </si>
  <si>
    <t>237 mph (381 km/h, 206 kn) at 20,000 ft (6,100 m)</t>
  </si>
  <si>
    <t>22,500 ft (6,900 m)</t>
  </si>
  <si>
    <t>Project only – canceled</t>
  </si>
  <si>
    <t>18 hours</t>
  </si>
  <si>
    <t>12,180 lb (5,520 kg) of bombs</t>
  </si>
  <si>
    <t>104,880 lb (47,570 kg)</t>
  </si>
  <si>
    <t>3,200 mi (5,100 km, 2,800 nmi) with 12,180 lb (5,520 kg) of bombs</t>
  </si>
  <si>
    <t>Martin XB-33 Super Marauder</t>
  </si>
  <si>
    <t>The Martin XB-33 Super Marauder was a proposed World War II American bomber aircraft. It was designed by the Glenn L. Martin Company as the Martin Model 190 and was a high-altitude derivative of the company's B-26 Marauder. Two different designs were developed, first as a twin-engined aircraft and then as a four-engined aircraft. The four-engined version was ordered by the America Army Air Forces, but the program was cancelled before any aircraft were built. The first version of the B-33 design, the XB-33, was a twin-tailed medium bomber with two Wright R-3350 engines and pressurised crew compartments; its design began in 1940. It would carry around 4,000 lb (1,814 kg) of bombs. Soon after design of the XB-33 began it became clear that a twin-engined aircraft would not achieve the performance requested by the army. The company moved on to developing a larger four-engined design, but the two prototypes ordered by the USAAF were not built. Following the abandonment of the original twin-engined design, the company continued to design a larger four-engined aircraft, and two prototypes were ordered by the USAAF as the XB-33A; its bombload was to have been 12,000 lb (5,443 kg), as much as that of the B-24 Liberator, the heaviest US bomber flown in combat prior to the B-29. The original XB-33 design was to have been powered by the R-3350, the redesigned XB-33A was to have used Wright R-2600 engines. The main reason for this was the demand for R-3350s for the B-29, one of the most highly valued projects of the Army Air Forces. On January 17, 1942, the USAAF placed an order for 400 B-33As, to be built at the government-owned plant in Omaha, Nebraska, operated by Martin. On November 25, 1942, the project was cancelled to allow the Omaha plant to concentrate on manufacturing B-29s. General characteristics Performance Armament  Related development   Related lists</t>
  </si>
  <si>
    <t>Medium bomber</t>
  </si>
  <si>
    <t>https://en.wikipedia.org/Medium bomber</t>
  </si>
  <si>
    <t>None</t>
  </si>
  <si>
    <t>Martin B-26 Marauder</t>
  </si>
  <si>
    <t>https://en.wikipedia.org/Martin B-26 Marauder</t>
  </si>
  <si>
    <t>seven</t>
  </si>
  <si>
    <t>79 ft 10 in (24.3 m)</t>
  </si>
  <si>
    <t>134 ft 0 in (40.8 m)</t>
  </si>
  <si>
    <t>1,646 sq ft (153 m2)</t>
  </si>
  <si>
    <t>85,000 lb (39,000 kg)</t>
  </si>
  <si>
    <t>95,000 lb (43,000 kg)</t>
  </si>
  <si>
    <t>4 × Wright R-2600-15 radial engines, 1,800 hp (1,300 kW)  each</t>
  </si>
  <si>
    <t>242 mph (389 km/h, 210 kn)</t>
  </si>
  <si>
    <t>2,000 mi (3,000 km, 1,700 nmi)</t>
  </si>
  <si>
    <t>0.076 hp/lb (55 W/kg)</t>
  </si>
  <si>
    <t>24 ft 0 in (7.32 m)</t>
  </si>
  <si>
    <t>345 mph (555 km/h, 300 kn)</t>
  </si>
  <si>
    <t>39,000 ft (12,000 m)</t>
  </si>
  <si>
    <t>America Army Air Forces (intended)</t>
  </si>
  <si>
    <t>https://en.wikipedia.org/America Army Air Forces (intended)</t>
  </si>
  <si>
    <t>Cancelled 25 November 1942</t>
  </si>
  <si>
    <t>58 lb/sq ft (280 kg/m2)</t>
  </si>
  <si>
    <t>8 × .50 in (12.7 mm) machine guns</t>
  </si>
  <si>
    <t>10,000 lb (4,500 kg)</t>
  </si>
  <si>
    <t>Fairchild XNQ</t>
  </si>
  <si>
    <t>The Fairchild XNQ (T-31; Model M-92) was an American trainer designed as a standard primary trainer for the America Navy during the 1940s. Designed by Fairchild Aircraft as a replacement for current primary trainers, the XNQ-1 featured a controllable-pitch propeller, flaps, electronically operated retractable landing gear and all-metal skin with fabric-covered rudder, ailerons and elevators. Its unobstructed bubble canopy provided instructors and students seated in tandem with good visibility, and its cockpit instruments were arranged to match those found in contemporary jet fighters. The XNQ-1 basic/advanced trainer was developed for the U.S. Navy and was first flown by Richard Henson on 7 October 1946. Two prototypes were flown as XNQ-1 (BuNo. 75725 &amp; 75726). Delivered to the U.S. Navy in 1947 for trials, they were rejected due to problems with exhaust fumes leaking into the cockpit. The first prototype was subsequently to receive a number of engine changes, first powered with a 320 hp Lycoming R-680-13, then finally with a horizontally opposed 350 hp Lycoming GSO-580. The aircraft was destroyed in a crash in 1950. The second aircraft (BuNo. 75726), with a larger stabilizer, was evaluated by the America Air Force in 1949 as a replacement for the  AT-6, with the USAF selecting it on 24 March 1949 as a primary trainer. Designed to be aerobatic to teach pilots maneuvers, such as stalls, spins and rolls, Fairchild received a contract for 100 Model 129s under the USAF designation T-31. However, the order was cancelled later in 1949, in favor of the Beech T-34 Mentor. Fairchild dropped plans to develop the design as the company concentrated on other production contracts, including the C-119 Flying Boxcar. The second aircraft, privately owned, is still on the civil register as of 2021 in airworthy condition.[1] Data from Jane's all the World's Aircraft 1947[2]General characteristics Performance   Aircraft of comparable role, configuration, and era  Related lists</t>
  </si>
  <si>
    <t>//upload.wikimedia.org/wikipedia/commons/thumb/e/e4/Fairchild_XNQ-1.jpg/300px-Fairchild_XNQ-1.jpg</t>
  </si>
  <si>
    <t>Primary trainer</t>
  </si>
  <si>
    <t>https://en.wikipedia.org/Primary trainer</t>
  </si>
  <si>
    <t>27 ft 11 in (8.51 m)</t>
  </si>
  <si>
    <t>41 ft 5 in (12.62 m)</t>
  </si>
  <si>
    <t>2,974 lb (1,349 kg)</t>
  </si>
  <si>
    <t>3,700 lb (1,678 kg)</t>
  </si>
  <si>
    <t>1 × Lycoming R-680-13 9-cyl. air-cooled radial piston engine, 320 hp (240 kW)</t>
  </si>
  <si>
    <t>955 mi (1,537 km, 830 nmi)</t>
  </si>
  <si>
    <t>8 ft 10 in (2.7 m)</t>
  </si>
  <si>
    <t>16,000 ft (4,900 m)</t>
  </si>
  <si>
    <t>Fiat R.2</t>
  </si>
  <si>
    <t>The Fiat R.2 was a reconnaissance aircraft produced in Italy shortly after World War I, and the first aircraft to be marketed under the Fiat brand, (previous Fiat aircraft had been marketed as by SIA). It was a conventional two-bay biplane with equal-span, unstaggered wings and fixed tailskid undercarriage. The pilot and observer sat in tandem open cockpits. The design was a derivative of the SIA 7 and SIA 9 flown during the war, but was considerably revised by Rosatelli to correct ongoing problems with those types. A total of 129 were produced for the Air Corps of the Regio Esercito. Data from Jane's All the World's Aircraft 1919[1]General characteristics Performance Armament     Related lists</t>
  </si>
  <si>
    <t>//upload.wikimedia.org/wikipedia/commons/thumb/b/bb/Erzurumlu_Nazif_airplane.jpg/300px-Erzurumlu_Nazif_airplane.jpg</t>
  </si>
  <si>
    <t>Reconnaissance</t>
  </si>
  <si>
    <t>Fiat</t>
  </si>
  <si>
    <t>https://en.wikipedia.org/Fiat</t>
  </si>
  <si>
    <t>Celestino Rosatelli</t>
  </si>
  <si>
    <t>https://en.wikipedia.org/Celestino Rosatelli</t>
  </si>
  <si>
    <t>8.75 m (28 ft 8 in)</t>
  </si>
  <si>
    <t>12.32 m (40 ft 5 in)</t>
  </si>
  <si>
    <t>45.6 m2 (491 sq ft)</t>
  </si>
  <si>
    <t>1,720 kg (3,792 lb)</t>
  </si>
  <si>
    <t>1 × Fiat A.12bis , 220 kW (300 hp)</t>
  </si>
  <si>
    <t>550 km (340 mi, 300 nmi)</t>
  </si>
  <si>
    <t>0.1341 kW/kg (0.0816 hp/lb)</t>
  </si>
  <si>
    <t>215 kg (474 lb) fuel</t>
  </si>
  <si>
    <t>4,800 m (15,700 ft)</t>
  </si>
  <si>
    <t>2-bladed fixed-pitch propeller, 2.8 m (9 ft 2 in) diameter</t>
  </si>
  <si>
    <t>36.7 kg/m2 (7.5 lb/sq ft)</t>
  </si>
  <si>
    <t>4 hours</t>
  </si>
  <si>
    <t>1 to 3 × machine guns</t>
  </si>
  <si>
    <t>1.85 m (6 ft 1 in)</t>
  </si>
  <si>
    <t>1,500 rpm</t>
  </si>
  <si>
    <t>Funk B</t>
  </si>
  <si>
    <t>The Funk Model B was a 1930s American two-seat cabin monoplane designed by Howard and Joe Funk.  Originally built by the Akron Aircraft Company later renamed Funk Aircraft Company. The Model B was the first powered aircraft designed by brothers Howard and Joe Funk, whose previous experience was in homebuilt gliders and sailplanes. The Model B was a strut-braced high-wing monoplane with a conventional tail unit and fixed tailwheel landing gear. The design uses mixed construction with fabric-covered wooden wings and a welded steel-tube fuselage. The aircraft was powered by the brothers' own Model E engine developed from a Ford "B" motor-car engine. The prototype first flew in late 1933.[1] When the test flights proved to be successful the brothers formed the Akron Aircraft Company in 1939 to build the Funk B. After production began, the engine was changed to a 75 hp (56 kW) Lycoming GO-145-C2 horizontally-opposed four-cylinder engine and was re-designated the Model B-75-L. In 1941 the company moved from Akron to Kansas and the company was renamed the Funk Aircraft Company. Production was stopped during the Second World War and one aircraft was impressed into service in 1942 with the America Army Air Corps as the UC-92. After the war in 1946 production was resumed using a Continental C85-12 engine and the aircraft was redesignated the Model B-85-C and named the Bee. It did not sell well and production was halted in 1948. 380 aircraft of all variants had been built. Data from Jane's All The World's Aircraft 1951–52[2]General characteristics Performance     Related lists</t>
  </si>
  <si>
    <t>//upload.wikimedia.org/wikipedia/commons/thumb/3/30/Funk_Model_B-85-C_Bee.jpg/300px-Funk_Model_B-85-C_Bee.jpg</t>
  </si>
  <si>
    <t>Two-seat cabin monoplane</t>
  </si>
  <si>
    <t>Akron Aircraft CompanyFunk Aircraft Company</t>
  </si>
  <si>
    <t>https://en.wikipedia.org/Akron Aircraft CompanyFunk Aircraft Company</t>
  </si>
  <si>
    <t>Howard and Joe Funk</t>
  </si>
  <si>
    <t>20 ft 1 in (6.12 m)</t>
  </si>
  <si>
    <t>35 ft 0 in (10.67 m)</t>
  </si>
  <si>
    <t>169 sq ft (15.7 m2)</t>
  </si>
  <si>
    <t>890 lb (404 kg)</t>
  </si>
  <si>
    <t>1,350 lb (612 kg)</t>
  </si>
  <si>
    <t>1 × Continental C85-12 four-cylinder air-cooled horizontally-opposed engine, 85 hp (63 kW)</t>
  </si>
  <si>
    <t>350 mi (560 km, 300 nmi) with 30 minutes reserve</t>
  </si>
  <si>
    <t>800 ft/min (4.1 m/s)</t>
  </si>
  <si>
    <t>{'Model B': 'ototype and initial production aircraft with Funk E engine.', 'Model B-75-L': 'e-war production aircraft with a 75hp (56 kW) Avco Lycoming GO-145-C2 piston engine.', 'Model B-85-C Bee': 'st-war production aircraft with a Continental C85-12 engine.', 'UC-92': 'my designation for one impressed Model B-75-L (s/n 42-79548).'}</t>
  </si>
  <si>
    <t>6 ft 1 in (1.85 m)</t>
  </si>
  <si>
    <t>NACA 4412</t>
  </si>
  <si>
    <t>20 US gal (76 l; 17 imp gal)</t>
  </si>
  <si>
    <t>115 mph (185 km/h, 100 kn) at sea level</t>
  </si>
  <si>
    <t>15,000 ft (4,600 m)</t>
  </si>
  <si>
    <t>2-bladed Lewis fixed pitch</t>
  </si>
  <si>
    <t>348 ft (107 m)</t>
  </si>
  <si>
    <t>Potez XI</t>
  </si>
  <si>
    <t>The Potez XI was the first fighter aircraft designed by the French company Potez. Designed in 1922, the only aircraft first flew on December 11 of that year, after which further development work stopped. It was built to meet CAP (chasse armée protection) 2 requirements created in 1919 by the new director of Aeronautics, General Duval. It was to perform bomber, intercept and tactical reconnaissance for the military, as well as escort fighters. The aircraft was to be powered by a turbo-supercharged engine.[1] Data from Flight International[2]General characteristics Performance Armament</t>
  </si>
  <si>
    <t>//upload.wikimedia.org/wikipedia/commons/thumb/a/aa/Potez_11.jpg/300px-Potez_11.jpg</t>
  </si>
  <si>
    <t>Potez</t>
  </si>
  <si>
    <t>https://en.wikipedia.org/Potez</t>
  </si>
  <si>
    <t>9.08 m (29 ft 9 in)</t>
  </si>
  <si>
    <t>12.7 m (41 ft 8 in)</t>
  </si>
  <si>
    <t>46.2 m2 (497 sq ft)</t>
  </si>
  <si>
    <t>1,350 kg (2,976 lb)</t>
  </si>
  <si>
    <t>2,000 kg (4,409 lb)</t>
  </si>
  <si>
    <t>1 × Lorraine-Dietrich 12D , 280 kW (370 hp)   with a Rateau turbo-charger</t>
  </si>
  <si>
    <t>186 km/h (116 mph, 100 kn)</t>
  </si>
  <si>
    <t>220 km/h (140 mph, 120 kn) at 4,000 m (13,000 ft)</t>
  </si>
  <si>
    <t>8,000 m (26,000 ft)</t>
  </si>
  <si>
    <t>SEA IV</t>
  </si>
  <si>
    <t>The SEA IV was a French two-seat military aircraft of World War I and the immediate post-war era. The SEA IV was designed and built in 1917 by Henry Potez, Louis Coroller, and Marcel Bloch. It was a derivative of their previous SEA II design, equipped with a more powerful Lorraine engine of 261 kW (350 hp). It made its first flight during the first quarter of 1918, probably near Plessis-Belleville. It was initially tested by Gustave Douchy, a flying ace of 9 victories, then by the pilots of the Centre d'essais en Vol at Villacoublay. The "Ministère de l'Armement et des Fabrications de guerre" (Ministry of Armament and War Production) soon placed an order for 1,000 machines, making the SEA IV the first Dassault-designed aircraft to reach production.[1] On August 24, 1918, General Duval, commander of Aéronautique at General Headquarters foresaw the need for two variants to equip the escadrilles at the beginning of 1919: the SEA IV A2 for observation and the SEA IV C2 for fighting. In October, General Headquarters ordered the commissioning of a flotilla to operate these aircraft, and therefore required production to reach 200 planes per month during the first quarter of 1919, to have a force of 400 on hand by April 1.[1] The Armistice, however, meant that the initial order of 1,000 was cancelled, and in the end, only 115 examples were built. These C2s were used for a number of years by several escadrilles in the "Regiments d'Aviation" at Le Bourget.[1] A further 25 were built by Aéroplanes Henry Potez as the Potez VII, a luxury touring aircraft, and one further example formed the basis of a racing aircraft.[1] Data from French aircraft of the First World War,[1] Aviafrance:SEA IV[2]General characteristics Performance Armament     Related lists</t>
  </si>
  <si>
    <t>//upload.wikimedia.org/wikipedia/commons/thumb/8/88/SEA_IV.jpg/300px-SEA_IV.jpg</t>
  </si>
  <si>
    <t>Fighter</t>
  </si>
  <si>
    <t>Société d'Etudes Aéronautiques (SEA)</t>
  </si>
  <si>
    <t>https://en.wikipedia.org/Société d'Etudes Aéronautiques (SEA)</t>
  </si>
  <si>
    <t>Henry Potez, Louis Coroller, and Marcel Bloch</t>
  </si>
  <si>
    <t>https://en.wikipedia.org/Henry Potez, Louis Coroller, and Marcel Bloch</t>
  </si>
  <si>
    <t>8.5 m (27 ft 11 in)</t>
  </si>
  <si>
    <t>12 m (39 ft 4 in)</t>
  </si>
  <si>
    <t>36.8 m2 (396 sq ft)</t>
  </si>
  <si>
    <t>1,040 kg (2,293 lb)</t>
  </si>
  <si>
    <t>1,620 kg (3,571 lb)</t>
  </si>
  <si>
    <t>1 × Lorraine-Dietrich 12Da V-12 water-cooled piston engine, 280 kW (370 hp)</t>
  </si>
  <si>
    <t>3 m (9 ft 10 in)</t>
  </si>
  <si>
    <t>218 km/h (135 mph, 118 kn) at sea level</t>
  </si>
  <si>
    <t>7,400 m (24,300 ft)</t>
  </si>
  <si>
    <t>2.25 hours</t>
  </si>
  <si>
    <t>1,000 m (3,300 ft) in 3 minutes 1 second</t>
  </si>
  <si>
    <t>Halberstadt D.I</t>
  </si>
  <si>
    <t>The Halberstadt D.I was a prototype fighter aircraft built in Germany in 1916 as a scaled down version of the firm's earlier B.II two seater. It was a conventional, two-bay biplane with staggered wings of nearly equal span and fixed, tailskid undercarriage. The engine was the same Mercedes D.I that was fitted to the B.II, and a single machine gun was fitted. Two prototypes were evaluated by the Idflieg, their performance being found inadequate. The modifications required to bring the aircraft up to an acceptable standard would result in the Halberstadt D.II later the same year. General characteristics Armament</t>
  </si>
  <si>
    <t>//upload.wikimedia.org/wikipedia/commons/thumb/0/00/Halberstadt_D.I_Prototype.jpg/300px-Halberstadt_D.I_Prototype.jpg</t>
  </si>
  <si>
    <t>Fighter prototype</t>
  </si>
  <si>
    <t>Halberstädter Flugzeugwerke</t>
  </si>
  <si>
    <t>https://en.wikipedia.org/Halberstädter Flugzeugwerke</t>
  </si>
  <si>
    <t>8.80 m (28 ft 10 in)</t>
  </si>
  <si>
    <t>23.6 m2 (254 sq ft)</t>
  </si>
  <si>
    <t>550 kg (1,210 lb)</t>
  </si>
  <si>
    <t>740 kg (1,630 lb)</t>
  </si>
  <si>
    <t>1 × Mercedes D.I , 75 kW (100 hp)</t>
  </si>
  <si>
    <t>Late Autumn 1915</t>
  </si>
  <si>
    <t>Harlow PJC-2</t>
  </si>
  <si>
    <t>The Harlow PJC-2 was a 1930s American four-seat cabin monoplane, designed by Max Harlow. Max Harlow was an aeronautical engineer and instructor at the Pasadena Junior College.  Under his tutelage, the aircraft designated PJC-1 was designed and built as a class project.[1] The PJC-1 first flew on 14 September 1937 at Alhambra, California but it crashed during an extended (more than six turn) spin test with the center of gravity ballasted to the aft limit, as it was going through the certification process—a problem generally laid at the feet the unusually rigorous spin test requirement and the government test pilot, who bailed out of the airplane after the spin "flattened out."  The airplane struck the ground, still in the "flat" (longitudinally level) attitude in a bean field near Mines Field (now Los Angeles International Airport) with considerable  damage; although repairable, the PJC-1 was never returned to service.  PJC students then built a slightly modified airplane, which limited aileron travel with full aft-stick and incorporated a slightly larger vertical stabilizer. This became the PJC-2 model, serial number 1 certified by the FAA on 20 May 1938.  It was one of the first, if not the first, airplane designed and built in the U.S. with a stressed-skin semi-monocoque structure—a revolutionary design feature for the time. Harlow saw the potential and formed the Harlow Aircraft Company to build PJC-2 aircraft at Alhambra Airport.[2] Four aircraft were impressed into America Army Air Forces service with the designation UC-80 in 1942, and used by Civil Aeronautics Administration inspectors after WWII.[3] The PJC-2 was an all-metal low-wing cantilever monoplane with conventional low-set tailplane and a retractable tailwheel landing gear. A tandem two-seat version intended as a military trainer was developed as the Harlow PC-5. In 1991, 3 PJC-2s were actively flying.[4] Data from Jane's All the World's Aircraft 1940,[5] The Illustrated Encyclopedia of Aircraft[6]General characteristics Performance   Aircraft of comparable role, configuration, and era  Related lists</t>
  </si>
  <si>
    <t>//upload.wikimedia.org/wikipedia/commons/thumb/8/8e/Harlow_PJC-2_N54KC.JPG/300px-Harlow_PJC-2_N54KC.JPG</t>
  </si>
  <si>
    <t>Four-seat cabin monoplane</t>
  </si>
  <si>
    <t>https://en.wikipedia.org/Four-seat cabin monoplane</t>
  </si>
  <si>
    <t>Harlow Aircraft Company</t>
  </si>
  <si>
    <t>https://en.wikipedia.org/Harlow Aircraft Company</t>
  </si>
  <si>
    <t>Max B. Harlow</t>
  </si>
  <si>
    <t>https://en.wikipedia.org/Max B. Harlow</t>
  </si>
  <si>
    <t>3 passengers / 535 lb (243 kg) payload</t>
  </si>
  <si>
    <t>23 ft 4 in (7.11 m)</t>
  </si>
  <si>
    <t>35 ft 9.75 in (10.9157 m)</t>
  </si>
  <si>
    <t>185 sq ft (17.2 m2)</t>
  </si>
  <si>
    <t>1,661 lb (753 kg)</t>
  </si>
  <si>
    <t>2,600 lb (1,179 kg)</t>
  </si>
  <si>
    <t>1 × Warner Super Scarab SS-50 7-cylinder air-cooled radial piston engine, 145 hp (108 kW)</t>
  </si>
  <si>
    <t>153 mph (246 km/h, 133 kn)</t>
  </si>
  <si>
    <t>788 mi (1,268 km, 685 nmi)</t>
  </si>
  <si>
    <t>0.056 hp/lb (0.092 kW/kg)</t>
  </si>
  <si>
    <t>7 ft 3 in (2.21 m)</t>
  </si>
  <si>
    <t>NACA 23012 [7]</t>
  </si>
  <si>
    <t>170 mph (270 km/h, 150 kn)</t>
  </si>
  <si>
    <t>15,500 ft (4,700 m)</t>
  </si>
  <si>
    <t>2-bladed wooden propeller</t>
  </si>
  <si>
    <t>14.05 lb/sq ft (68.6 kg/m2)</t>
  </si>
  <si>
    <t>https://en.wikipedia.org/Harlow PC-5</t>
  </si>
  <si>
    <t>https://en.wikipedia.org/1937</t>
  </si>
  <si>
    <t>50 mph (43 kn; 80 km/h)</t>
  </si>
  <si>
    <t>CAB Minicab</t>
  </si>
  <si>
    <t>The CAB GY-20 Minicab is a two-seat light aircraft designed by Yves Gardan and built in France by Construction Aeronautiques du Bearn (CAB)[2] in the years immediately following World War II. CAB was formed in 1948 by Yves Gardan, Max Lapoerte and M. Dubouts.[3] The Minicab is a conventional, low-wing cantilever monoplane with fixed tailwheel undercarriage, powered by a Continental A65 engine.  Its design was a scaled-down version of the aircraft that Yves Gardan had designed for SIPA, the SIPA S.90. The pilot and passenger sit side by side and access to the cockpit is via a one-piece perspex canopy that hinges forwards. Gardan's intention was to produce a low-cost, easy-to-fly, easy-to-maintain aircraft with the possibility of homebuilding.[4] The prototype Minicab first flew at Pau-Idron on 1 February 1949 with Max Fischl at the controls. CAB manufactured a total of about 65 Minicabs when production ended in 1955.[1][5] The rights for the plans were then acquired by Arthur Ord-Hume in the United Kingdom who anglicised the drawings and made various minor improvements for home-builders.[2]  A large number were completed by amateur builders in the United Kingdom, France and other countries around the world.[4] There is about 20 Minicabs currently active in the United Kingdom, many of which were built (or rebuilt) to the JB.01 standard, developed by M. Jean Barritault, usually with a Continental C90 engine. Falconar sold plans for a tricycle gear homebuilt model named the Minihawk.[6] Another development is the K&amp;S or Squarecraft Cavalier which is a redesigned Minicab in several versions with plans translated from French to English and modified by Stan Mcleod. The plans were marketed by K&amp;S Aircraft of Calgary, Alberta and later MacFam.[7] Type certification was obtained in mid-April 1949. By the end of 1950, a Minicab had won the Coupe de Vitesse de Deauville (Deauville Cup for speed), and the Grand Prix Aérien de Vichy (Vichy Aerial Prize).[1] The following year, a Minicab broke the world air distance record for its class (1,825 km, 1,138 miles) and in 1952 it attained  the world airspeed record for its class over a 2,000 km circuit, with an average speed of (183 km/h, 114 mph).  One Minicab, G-AWEP, was flown by the ex-RAF fighter pilot Roland Beamont who was a test pilot at BAC Samlesbury. He made its first flight in 1969 and wrote that "the Minicab felt light and very responsive... landing required the delicate touch of a Spitfire pilot. In fact the overall control harmony is not dissimilar to that classic aeroplane".[8] Data from Jane's All The World's Aircraft 1956–57[9]General characteristics Performance</t>
  </si>
  <si>
    <t>//upload.wikimedia.org/wikipedia/commons/thumb/6/66/Gardan_GY-201_Minicab_G-BGMR_Wroughton_04.07.93_edited-2.jpg/300px-Gardan_GY-201_Minicab_G-BGMR_Wroughton_04.07.93_edited-2.jpg</t>
  </si>
  <si>
    <t>light aircraft</t>
  </si>
  <si>
    <t>Constructions Aéronautiques du Béarn</t>
  </si>
  <si>
    <t>https://en.wikipedia.org/Constructions Aéronautiques du Béarn</t>
  </si>
  <si>
    <t>Yves Gardan</t>
  </si>
  <si>
    <t>https://en.wikipedia.org/Yves Gardan</t>
  </si>
  <si>
    <t>65[1] + ca. 130 homebuilt</t>
  </si>
  <si>
    <t>8.14 m (26 ft 8 in)</t>
  </si>
  <si>
    <t>10.15 m2 (109.3 sq ft)</t>
  </si>
  <si>
    <t>270 kg (595 lb)</t>
  </si>
  <si>
    <t>485 kg (1,069 lb)</t>
  </si>
  <si>
    <t>1 × Continental A65 four-cylinder air-cooled horizontally-opposed piston engine, 48 kW (65 hp)</t>
  </si>
  <si>
    <t>3.0 m/s (590 ft/min)</t>
  </si>
  <si>
    <t>1.65 m (5 ft 5 in)</t>
  </si>
  <si>
    <t>50 L (11 imp gal; 13 US gal)</t>
  </si>
  <si>
    <t>2-bladed Merville wooden, 1.64 m (5 ft 5 in) diameter</t>
  </si>
  <si>
    <t>https://en.wikipedia.org/GY-30 Supercab</t>
  </si>
  <si>
    <t>https://en.wikipedia.org/1 February 1949</t>
  </si>
  <si>
    <t>370 m (1,210 ft)</t>
  </si>
  <si>
    <t>343 m (1,125 ft)</t>
  </si>
  <si>
    <t>General Aircraft Hotspur</t>
  </si>
  <si>
    <t>The General Aircraft GAL.48 Hotspur was a military glider designed and built by the British company General Aircraft Ltd during World War II. When the British airborne establishment was formed in 1940 by order of Prime Minister Winston Churchill, it was decided that gliders would be used to transport airborne troops into battle. General Aircraft Ltd were given a contract by the Ministry of Aircraft Production in June 1940 to design and produce an initial glider for use by the airborne establishment, which resulted in the Hotspur. Conceived as an "assault" glider which necessitated a compact design and no more than eight troops carried, tactical philosophy soon favoured larger numbers of troops being sent into battle aboard gliders. Due to this, the Hotspur was mainly relegated to training where it did excel and it became the basic trainer for the glider schools that were formed.[2] The Hotspur was named after Sir Henry Percy, a significant captain during the Anglo-Scottish wars who was also known as "Hotspur". The German military had pioneered using airborne formations, conducting several successful airborne operations during the Battle of France in 1940, including the Battle of Fort Eben-Emael.[3] Impressed by the success of German airborne operations, the Allied governments decided to form their own airborne formations.[4] This decision would eventually lead to the creation of two British airborne divisions, as well as a number of smaller units.[5] The British airborne establishment began development on 22 June 1940, when the Prime Minister, Winston Churchill, directed the War Office in a memorandum to investigate the possibility of creating a corps of 5,000 parachute troops.[6] When the equipment to be used by the airborne forces was under development, War Office officials decided that gliders would be an integral component, to transport troops and heavy equipment.[7] On 21 June 1940 the Central Landing Establishment was formed at Ringway airfield near Manchester; although tasked primarily with training parachute troops, it was also directed to investigate using gliders to transport troops into battle.[8][9] It had been decided that the Royal Air Force and the Army would cooperate in forming the airborne establishment, and as such Squadron Leader L. A. Strange and Major J.F. Rock were tasked with gathering potential glider pilots and forming a glider unit; this was achieved by searching for members of the armed forces who had pre-war experience of flying gliders, or were interested in learning to do so.[9] The two officers and their newly formed unit were provided with four obsolete Armstrong Whitworth Whitley bombers and a small number of Tiger Moth and Avro 504 biplanes for towing purposes.[10] As this unit was in the process of being formed, in June the Ministry of Aircraft Production contracted General Aircraft Ltd to design and produce an initial glider type for use by the airborne establishment.[11] It would be used for both assault and training purposes, and would be capable of transporting eight airborne troops.[10] The glider had to be capable of a long approach during landing, due to the prevailing belief at the time that gliders would have to be released a considerable distance from the target and glide in to ensure the sound of the towing aircraft did not alert the enemy. It therefore had to be aerodynamically stable, but also cheap and easy to construct as it would only be used once.[1] The Hotspur was intended to have an operational range of 100 miles (160 km) when released at high altitude, although in practice this was reduced to 80 miles (130 km) when released from a height of 20,000 feet (6,100 m).[12] The GAL.48 was primarily designed by F.F. Crocombe (team leader)[13] to the Air Ministry specification X.10/40, and was to be similar in design to the German DFS 230 assault glider which had been used in the Battle of the Netherlands.[14][15] The first prototype of the glider, designated GAL.48 and which would receive the service name Hotspur Mk I, flew in November, only four months after General Aircraft Ltd had been given the requirement for the glider.[10] An initial order of 400 Hotspurs was placed with General Aircraft Ltd in September by the Ministry of Aircraft Production, nearly two months before the prototype first flew.[11] The Hotspur Mark I was constructed from wood and was designed to accommodate eight fully armed airborne troops. Its wingspan was 62 feet (18.90 m) and it was 39 feet 3.5 inches (11.98 m) in length.[16] With a full load (approximately 1,880 pounds (850 kg)),[17] it weighed approximately 3,600 pounds (1,600 kg).[18] The Mk I was distinguished from its other variants by the addition of cabin portholes along its fuselage,[16] and hooks on the nose and tail to allow multiple Hotspurs to be towed together.[19] The two pilots, and later the pilot and instructor when the Hotspurs were used as training gliders, sat in tandem in the cockpit.[20] It had a jettisonable undercarriage, and its unusual fuselage functioned like a lid; once the Hotspur had landed, the troops inside would throw off the top half of the fuselage and then climb out of the lower half, much like leaving a small boat.[1] A total of 18 Hotspur Mk Is were produced, 10 by GAl and eight by Slingsby Aircraft.[13] The first operational Hotspur arrived at the Central Landing Establishment between February and April 1941,[N 1] with 15 being delivered by 22 August.[21] Towing trials began in February 1941 with a Boulton &amp; Paul Overstrand bomber.[22] Even as the initial 400 gliders were being produced, several problems with the Hotspur's design were uncovered, the primary one being that the glider did not carry sufficient troops. Although it had been designed to transport eight airborne troops and a cargo of 1,880 pounds (850 kg), this was found to be inadequate. Tactically it was believed that airborne troops should be landed in groups far larger than eight, and the number of aircraft therefore required to tow the gliders needed to land larger groups would be unfeasible; there were also concerns that the gliders would have to be towed in tandem if used operationally, which would be extremely difficult during nighttime and through cloud formations.[17] Its disappointing glide ratio was also a contributing factor to reevaluate the assault glider concept.[23] Due to the limitations inherent in the Hotspur design, the decision was made to continue with the development of several other types of gliders, including a 15-seater which would become the Airspeed Horsa and a tank-carrying glider, which would become the General Aircraft Hamilcar.[17] The Hotspur remained in production primarily as a training aircraft and as a "stop-gap" in case the other programmes failed.[13] Three variants on the original Hotspur Mk I were created. The first was the heavily modified Mk II (Specification X.22/40 and X.23/40), which was redesigned partially to address changes in operational requirements and also to bolster the ground handling of the initial series of aircraft. In operations, rather than releasing the glider from a long distance away and allowing it to glide gently to the ground, it was decided that the towing aircraft would approach the landing zone and only then release the glider, requiring a more robust glider.[1] The Hotspur Mk I wings had also shown considerable flex and the type had proved difficult to handle on the ground. In order to reduce stresses on the airframe, the fuselage was strengthened and wings were "shortened" by over eight ft each, resulting in a wingspan of 45 feet 10.75 inches (13.99 m) with the tips made square-cut and ailerons moved from the end of the wings to an inset position.[23] While maintaining its original all-wood construction and overall fuselage and empennage dimensions, the Mk II incorporated a modified fuselage which included altering the cockpit enclosure and a "deeper" canopy. Instead of using the "lid" (where the two pilots still boarded via the hinged perspex canopy),[24] two side doors were added from which troops would enter and depart.[1] The seating was re-arranged, and a braking parachute added to the rear.[16] Its other dimensions remained the same, with a length of 39 feet 3.5 inches (11.98 m) and a gross weight of approximately 3,600 pounds (1,600 kg), with eight airborne troops and 1,880 pounds (850 kg) of equipment.[25] A total of 50 of the early-production Mk IIs were modified into trainers as the Mark III,[13] by adding dual controls and instruments for the student pilot and an externally braced tailplane.[26] The third variant of the Hotspur was the GAL.48B "Twin Hotspur", which did not progress past the prototype phase.[16] The Twin Hotspur was a 1942 attempt to create a glider capable of carrying 15 airborne troops as an interim glider until production of the Horsa reached sufficient levels. It was created by connecting two Hotspur fuselages together, using a constant-chord centre wing section of 12 feet (3.66 m) length, and a constant-chord tailplane. Two pilots sat tandem-style in the port fuselage.[27] In August 1942, the sole "Twin Hotspur" prototype (MP486) underwent testing, towed behind an Armstrong Whitworth Whitley tug.[13] The project was abandoned before production could begin, primarily because the glider's flight characteristics were criticised by its pilots.[19] When Hotspur production ended in early 1943, a total of 1,015 gliders had been produced. The primary sub-contractor, Harris Lebus was responsible for 996 Mk IIs and Mk IIIs while the parent company produced only 10 Mk Is and a single Mk II prototype. Slingsby was the only other sub-contractor involved in production with eight Mk Is completed.[13] Due to changing operational requirements, no Hotspurs were used in combat operations, and were instead exclusively used for training purposes; it was the glider in which all pilots belonging to the Glider Pilot Regiment received their initial instruction.[17] Although relatively heavy with a high sink rate, the Hotspur exhibited good flying characteristics and could even be flown aerobatically, allowing novice pilots to quickly gain proficiency.[12] The first glider pilots were curiously named "glider coxswains".[28] Glider pilots first trained at an Elementary Flying Training School on de Havilland Tiger Moths or Miles Magisters before converting to glider training. At the Glider Schools, a Hotspur MK III was first employed for dual instruction with the rear seats weighted for ballast and only the instructor and student aboard. The gliders were usually towed by Hawker Hector or Hawker Audax biplanes (later Miles Master and Westland Lysander "tugs")[13] during training.[29] From 8 to 11 dual-instruction flights usually preceded the student's first solo flight. At Operational Training Glider Schools, the flights were made with troops instead of ballast in Hotspur MK IIs. Release at high altitudes and night-flying was also part of the training.[30] A total of 250 Hotspurs were retained for operational use if they were required, but the rest were used as training gliders.[15] In 1942, 22 Hotspur Mk IIs were sent to Canada, eventually six were redeployed to the America Navy and one to the America Army Air Forces.[13] In the build-up to Operation Overlord in early 1944, a scheme was considered in which Hotspurs would have been used to transport cargo and equipment. A Canadian fighter squadron – 401 Squadron – was selected for trials, the intention was to enable faster redeployment of fighter squadrons by using gliders to carry spare pilots, ground crew and essential supplies. The squadron operated the Supermarine Spitfire IX, some of which were modified to tow gliders by means of a tow-point attached to the tail wheel; some pilots were trained to fly the Hotspur, including fighter ace Don C. Laubman. The Spitfires were found to be reasonably effective as glider tugs, although their engines were prone to overheating because the glider's maximum tow speed was 160 miles per hour (260 km/h), comparatively slow for a Spitfire. Despite this, the scheme was judged to be practical, although it never saw operational use.[31] At war's end, the type was retired and few Hotspurs were preserved for display. A Hotspur Mark II (HH268) replica is on display at the Museum of Army Flying in Hampshire, England.[32] The front fuselage of a Hotspur was preserved at the Parachute Regiment And Airborne Forces Museum in Aldershot prior to the museum's 2007 closing, in anticipation of a move to the Imperial War Museum Duxford.[33] Data from The Encyclopedia of Weapons of World War II[16][18]General characteristics Performance   Aircraft of comparable role, configuration, and era  Related lists</t>
  </si>
  <si>
    <t>//upload.wikimedia.org/wikipedia/commons/1/1e/Hotspur_Mk_IIs_in_flight.jpg</t>
  </si>
  <si>
    <t>Training glider, Troop transport glider</t>
  </si>
  <si>
    <t>General Aircraft Limited</t>
  </si>
  <si>
    <t>https://en.wikipedia.org/General Aircraft Limited</t>
  </si>
  <si>
    <t>1,015[1]</t>
  </si>
  <si>
    <t>8 troops</t>
  </si>
  <si>
    <t>39 ft 0 in (11.89 m)</t>
  </si>
  <si>
    <t>45 ft 10.75 in (13.99 m)</t>
  </si>
  <si>
    <t>272 sq ft (25.3 m2)</t>
  </si>
  <si>
    <t>3,598 lb (1,632 kg)</t>
  </si>
  <si>
    <t>83 mi (134 km, 72 nmi) from a 20,000 ft (6,100 m) release</t>
  </si>
  <si>
    <t>10 ft 0 in (3.05 m)</t>
  </si>
  <si>
    <t>90 mph (145 km/h, 78 kn)</t>
  </si>
  <si>
    <t>5 November 1940[1]</t>
  </si>
  <si>
    <t>13.23 lb/sq ft (64.6 kg/m2)</t>
  </si>
  <si>
    <t>1940–1943</t>
  </si>
  <si>
    <t>British ArmyRoyal Air Force</t>
  </si>
  <si>
    <t>https://en.wikipedia.org/British ArmyRoyal Air Force</t>
  </si>
  <si>
    <t>56 mph (90 km/h)</t>
  </si>
  <si>
    <t>Pennec Gaz'Aile 2</t>
  </si>
  <si>
    <t>The Pennec Gaz'Aile 2 (English: a combination of Gazelle and wing) is a French amateur-built aircraft, designed by Serge Pennec of Locmaria-Plouzané and supplied in the form of plans for amateur construction.[1][2] The Gaz'Aile 2 features a cantilever low-wing, a two-seats-in-side-by-side configuration enclosed cockpit under a bubble canopy, fixed tricycle landing gear with wheel pants and a single engine in tractor configuration.[1][2] The aircraft is made from wood and klegcell foam. Its 7.10 m (23.3 ft) span wing employs a 15.80% thickness airfoil, has an area of 5.66 m2 (60.9 sq ft) and mounts flaps, as well as winglets. The standard engines recommended are the 52 hp (39 kW) Peugeot PSA 106 automotive conversion diesel engine and a 80 hp (60 kW) Peugeot gasoline engine, as well as a number of other PSA Peugeot Citroën powerplants. The PSA 106 engine burns Jet-A and offers a very low fuel cruise fuel consumption of 6.8 litres (1.5 imp gal; 1.8 US gal) per hour.[1][2][3] Data from Bayerl and Pennec[1][3]General characteristics Performance</t>
  </si>
  <si>
    <t>//upload.wikimedia.org/wikipedia/commons/thumb/2/27/Pennec%2C_F-PSBJ%2C_Gaz%27Aile_2_%2835292322010%29.jpg/300px-Pennec%2C_F-PSBJ%2C_Gaz%27Aile_2_%2835292322010%29.jpg</t>
  </si>
  <si>
    <t>Serge Pennec</t>
  </si>
  <si>
    <t>5.50 m (18 ft 1 in)</t>
  </si>
  <si>
    <t>7.10 m (23 ft 4 in)</t>
  </si>
  <si>
    <t>5.66 m2 (60.9 sq ft)</t>
  </si>
  <si>
    <t>265 kg (584 lb)</t>
  </si>
  <si>
    <t>460 kg (1,014 lb)</t>
  </si>
  <si>
    <t>1 × Peugeot PSA 106 diesel engine, 39 kW (52 hp)</t>
  </si>
  <si>
    <t>95 km/h (59 mph, 51 kn) clean, 83 km/h (52 mph) flaps down</t>
  </si>
  <si>
    <t>1,700 km (1,100 mi, 920 nmi)</t>
  </si>
  <si>
    <t>2-bladed composite fixed pitch, 1.55 m (5 ft 1 in) diameter</t>
  </si>
  <si>
    <t>81.3 kg/m2 (16.7 lb/sq ft)</t>
  </si>
  <si>
    <t>Hanriot HD.3</t>
  </si>
  <si>
    <t>The Hanriot HD.3 C.2 was a two-seat fighter aircraft produced in France during World War I. Similar in appearance to a scaled-up HD.1, the Hanriot HD.3 was a conventional, single-bay biplane with staggered wings of equal span. The pilot and gunner sat in tandem, open cockpits and the main units of the fixed tailskid undercarriage were linked by a cross-axle. Short struts braced the fuselage sides to the lower wing. Flight testing revealed excellent performance, and the French government ordered 300 of the type in 1918, in preparation for a major offensive the following year. When the war ended, the contract was cancelled with around 75 aircraft having been delivered to the Aéronautique Militaire and at least 15 to the Aéronautique Maritime. One example was delivered to the Aéronautique Maritime in summer 1918 equipped with twin float undercarriage and a larger tailfin; it was intended that this would be the prototype of a dedicated floatplane fighter designated HD.4, but the war ended before any further development took place. The Armistice also led to the abandonment of a dedicated night fighter variant, the HD.3bis, with enlarged and balanced ailerons  and rudder and with a wing of increased section.[1] After the war, one of the navy's machines was used for trials aboard the new aircraft carrier Béarn, while another was used for floatation tests at the Isle of Grain. Main production version Data from War Planes of the First World War[5]General characteristics Performance Armament</t>
  </si>
  <si>
    <t>//upload.wikimedia.org/wikipedia/commons/thumb/c/c5/Hanriot_HD.3.jpg/300px-Hanriot_HD.3.jpg</t>
  </si>
  <si>
    <t>Hanriot</t>
  </si>
  <si>
    <t>https://en.wikipedia.org/Hanriot</t>
  </si>
  <si>
    <t>Emile Dupont</t>
  </si>
  <si>
    <t>https://en.wikipedia.org/Emile Dupont</t>
  </si>
  <si>
    <t>ca. 90</t>
  </si>
  <si>
    <t>Two, pilot and gunner</t>
  </si>
  <si>
    <t>6.95 m (22 ft 10 in)</t>
  </si>
  <si>
    <t>9.00 m (29 ft 6 in)</t>
  </si>
  <si>
    <t>25.5 m2 (274 sq ft)</t>
  </si>
  <si>
    <t>760 kg (1,676 lb)</t>
  </si>
  <si>
    <t>1,180 kg (2,601 lb)</t>
  </si>
  <si>
    <t>1 × Salmson 9Za nine-cylinder water-cooled radial engine, 190 kW (260 hp)</t>
  </si>
  <si>
    <t>192 km/h (119 mph, 104 kn) at 2,000 m (6,600 ft)</t>
  </si>
  <si>
    <t>5,700 m (18,700 ft)</t>
  </si>
  <si>
    <t>2 hr</t>
  </si>
  <si>
    <t>12 min 16 s to 3,000 ft (910 m)</t>
  </si>
  <si>
    <t>Aéronautique MilitaireAéronautique Maritime</t>
  </si>
  <si>
    <t>https://en.wikipedia.org/Aéronautique MilitaireAéronautique Maritime</t>
  </si>
  <si>
    <t>2 × fixed, forward-firing .303 Vickers machine guns2 × trainable, rearward-firing .303 Lewis guns</t>
  </si>
  <si>
    <t>Curtiss-Reid Rambler</t>
  </si>
  <si>
    <t>The Reid Rambler, later known under the Curtiss-Reid brand after Reid was purchased by Curtiss, was a biplane trainer/sport aircraft built in Canada in the early 1930s and used in small numbers as a trainer aircraft by the Royal Canadian Air Force. In 1928, Wilfrid T. Reid set up his own company in Montreal after working as an engineer for Canadian Vickers. His first design was a light aircraft that was intended to exploit a Canadian government programme to support the development of flying clubs. The Reid Rambler was primarily intended to be a training aircraft. The Rambler was a largely conventional sesquiplane design with wings braced with Warren trusses and which could be folded backwards for transport or storage. The fuselage was of fabric-covered steel tube construction and the pilot and a single passenger sat in tandem, open cockpits.[2] The prototype (registration G-CAVO) was first flown at the Cartierville Airport on 23 September 1928 by Martin Berlyn. The test flight was nearly a disaster because the ailerons seized, leaving Berlyn with a dangerous approach and landing. A modification of the aileron control linkage rectified the problem. The Rambler continued to be developed, and in 1931, an improved version, the Rambler III, was flown with the more powerful Gipsy III engine. John C. Webster flew the MK III prototype in the British King's Cup Race that year.[2] In December 1928, the Curtiss Aeroplane &amp; Motor Company purchased the Reid Aircraft Company and renamed it The Curtiss-Reid Aircraft Company. The new firm assumed control of the existing Rambler project and established a production line. A number of alterations were made to the production series including replacing the original ailerons with Frise-style ailerons, introducing an unbalanced rudder along with changes to the engine cowling, exhaust system and tailskid, and adding a head rest.[2] Although it was intended principally for civilian use, the Royal Canadian Air Force (RCAF) evaluated the aircraft as a basic training aircraft. Although the RCAF employed many other ab-initio aircraft including the ubiquitous de Havilland Moth, senior military staff elected to purchase a small number of the Ramblers.[2] Curtiss-Reid Ramblers enjoyed a relatively productive and lengthy career both in civilian and military use lasting well into the Second World War era.[2] Data from:Canadian aircraft since 1909[2] Data from Jane's all the World's Aircraft 1931,[3] Canadian aircraft since 1909[2]General characteristics Performance</t>
  </si>
  <si>
    <t>//upload.wikimedia.org/wikipedia/commons/thumb/5/54/Curtiss-Reid_Rambler.jpg/300px-Curtiss-Reid_Rambler.jpg</t>
  </si>
  <si>
    <t>Sportsplane</t>
  </si>
  <si>
    <t>Reid, Curtiss-Reid</t>
  </si>
  <si>
    <t>https://en.wikipedia.org/Reid, Curtiss-Reid</t>
  </si>
  <si>
    <t>Wilfrid T. Reid</t>
  </si>
  <si>
    <t>https://en.wikipedia.org/Wilfrid T. Reid</t>
  </si>
  <si>
    <t>45[1]</t>
  </si>
  <si>
    <t>22 ft 6 in (6.86 m) *Length folded</t>
  </si>
  <si>
    <t>238 sq ft (22.1 m2)</t>
  </si>
  <si>
    <t>1,000 lb (454 kg)</t>
  </si>
  <si>
    <t>1,650 lb (748 kg)</t>
  </si>
  <si>
    <t>1 × de Havilland Gipsy I 4-cylinder up-right in-line air-cooled piston engine, 90 hp (67 kW)</t>
  </si>
  <si>
    <t>90 mph (140 km/h, 78 kn)</t>
  </si>
  <si>
    <t>38 mph (61 km/h, 33 kn)</t>
  </si>
  <si>
    <t>315 mi (507 km, 274 nmi) cruising range</t>
  </si>
  <si>
    <t>16.5 lb/hp (10.0 kg/kW)</t>
  </si>
  <si>
    <t>{'Rambler Mk.I': 'wered by an 83–100\xa0hp (62–75\xa0kW) de Havilland Gipsy I', 'Rambler Mk.II': 'wered by a 105–115\xa0hp (78–86\xa0kW) Cirrus Hermes II', 'Rambler Mk.III': 'wered by a 120\xa0hp (89\xa0kW) de Havilland Gipsy III'}</t>
  </si>
  <si>
    <t>8 ft (2.4 m)</t>
  </si>
  <si>
    <t>20 imp gal (24 US gal; 91 l)</t>
  </si>
  <si>
    <t>102 mph (164 km/h, 89 kn) at sea level</t>
  </si>
  <si>
    <t>12,000 ft (3,700 m) ; 14,000 ft (4,300 m) Absolute ceiling</t>
  </si>
  <si>
    <t>Royal Canadian Air Force</t>
  </si>
  <si>
    <t>https://en.wikipedia.org/Royal Canadian Air Force</t>
  </si>
  <si>
    <t>2-bladed fixed-pitch metal propeller</t>
  </si>
  <si>
    <t>6.075 lb/sq ft (29.66 kg/m2)</t>
  </si>
  <si>
    <t>3.5 hours</t>
  </si>
  <si>
    <t>33 ft (10 m)</t>
  </si>
  <si>
    <t>22 ft 5 in (6.83 m)</t>
  </si>
  <si>
    <t>11 ft 1 in (3.38 m)</t>
  </si>
  <si>
    <t>Gourdou-Leseurre GL.30</t>
  </si>
  <si>
    <t>The Gourdou-Leseurre GL.30 was a racing aircraft built in France in 1920 which formed the basis for a highly successful family of fighter aircraft based on the same design. The GL-30 was a parasol-wing monoplane with retractable undercarriage and a Bristol Jupiter engine. Like most of Gordou-Lesserre's earlier aircraft, it was a parasol wing design but its planform was trapezoidal rather than rectangular.  In 1923 it flew the Coupe Beaumont course at an impressive 360 km/h (220 mph; 190 kn). The GL.30 was the basis of a new fighter, the GL.31, which had a greater span, almost double the wing area, a fixed undercarriage, and a Gnome-Rhône 9A engine. It was armed with four machine guns, two in the forward fuselage and two in the wings. The GL. 31 was not flown until 1926 and then abandoned, overtaken by the GL.32, the company's entry in a 1923 Aéronautique Militaire competition to select a new fighter. It returned to a rectangular plan wing. By the time this prototype flew, the Gourdou-Leseurre had been acquired by Loire, and therefore the new aircraft was entered as the LGL.32. Placed second in the trials, the type's performance was impressive enough to still result in an order in January 1927 for a small batch of aircraft - five evaluation aircraft and 20 preproduction machines. Eventually, 475 of this basic version, dubbed LGL.32C.1 in service, would be ordered by the Aéronautique Militaire and 15 more by the Aéronautique Maritime. Romania ordered a further 50 aircraft of the same design as the examples in French service, Turkey ordered 12 (these designated LGL.32-T) and another one may have been purchased by Japan. In French service, development turned from fighters to adapting the aircraft as a carrier-borne dive bomber. These featured general strengthening of the airframe, divided main undercarriage units, and a "fork" under the fuselage able to release a 50 kg (110 lb) bomb from under the fuselage while avoiding hitting the propeller. While prolific, the GL.32 was not long-lasting, and attrition took a heavy toll on them. By 1934, all remaining examples were relegated to training and as instructional airframes; at the start of 1936, only 135 remained of the original 380 purchased. A number of these were sold to the government of the Second Spanish Republic and to the autonomous Basque Government. Another aircraft was supplied to the Basques in 1937, modified as a dive bomber along the lines of the previous French experiments. Designated the GL.633, this aircraft was used by Miguel Zambudio to attack the Nationalist battleship España, scoring decisive hits that contributed substantially to her subsequent sinking. Data from Jane's all the World's Aircraft 1928[2]General characteristics Performance Armament     Related lists</t>
  </si>
  <si>
    <t>//upload.wikimedia.org/wikipedia/commons/thumb/8/84/LGL.32_C.1_L%27A%C3%A9ronautique_January%2C1926.jpg/300px-LGL.32_C.1_L%27A%C3%A9ronautique_January%2C1926.jpg</t>
  </si>
  <si>
    <t>Gourdou-Leseurre</t>
  </si>
  <si>
    <t>https://en.wikipedia.org/Gourdou-Leseurre</t>
  </si>
  <si>
    <t>&gt;500</t>
  </si>
  <si>
    <t>7.55 m (24 ft 9 in)</t>
  </si>
  <si>
    <t>12.2 m (40 ft 0 in)</t>
  </si>
  <si>
    <t>24.9 m2 (268 sq ft)</t>
  </si>
  <si>
    <t>963 kg (2,123 lb)</t>
  </si>
  <si>
    <t>1,376 kg (3,034 lb)</t>
  </si>
  <si>
    <t>1 × Gnome et Rhône 9A Jupiter VIII 9-cyliner air-cooled radial piston engine, 450 kW (600 hp)</t>
  </si>
  <si>
    <t>0.33 kW/kg (0.2 hp/lb)</t>
  </si>
  <si>
    <t>2.95 m (9 ft 8 in)</t>
  </si>
  <si>
    <t>285 kg (628 lb) - (ca. 200 l (53 US gal; 44 imp gal))</t>
  </si>
  <si>
    <t>270 km/h (170 mph, 150 kn) at sea level</t>
  </si>
  <si>
    <t>9,700 m (31,800 ft)</t>
  </si>
  <si>
    <t>2-bladed wooden fixed pitch propeller</t>
  </si>
  <si>
    <t>54.8 kg/m2 (11.2 lb/sq ft)</t>
  </si>
  <si>
    <t>2,000 m (6,600 ft) in 3 minutes 5 seconds; 5,000 m (16,000 ft) in 11 minutes; 8,000 m (26,000 ft) in 31 minutes</t>
  </si>
  <si>
    <t>2x synchronised forward firing 7.7 mm (0.303 in) Vickers or Darne machine-guns in the fuselage with 2x un-synchronised 7.7 mm (0.303 in) Darne machine-guns in the wings firing outside the propeller disc.</t>
  </si>
  <si>
    <t>90 km/h (56 mph; 49 kn)</t>
  </si>
  <si>
    <t>DAR 1</t>
  </si>
  <si>
    <t>The DAR 1 Peperuda (butterfly) was a 1920s Bulgarian two-seat touring or trainer biplane, designed by Hermann Winter and built by the DAR - Drjavna Aeroplane Rаbotilnitsa - State Aircraft Workshops.[1][2] The aircraft was a conventional two-seat single-bay biplane with a fixed tailskid landing gear, powered by a 60 hp (45 kW) Walter NZ radial engine.[1][2] Further development resulted in the DAR 1A, which was powered by an 85 hp Walter Vega engine, eight DAR 1As being produced. After the maiden flight and successful flight tests the DAR 1 was put into production in 1926.[1] Production DAR 1A aircraft were delivered from 1928.[1] The twelve DAR 1 and eight DAR 1A aircraft were used by the Bulgarian Air Force at the Kazanlak Air School, for primary training and the Yato fighter squadron for continuation training, from 1926 to the early 1940s. Some DAR 1A aircraft were also used by the Civil Air Service as glider tugs. Data from Balkan Birds,[3] p. 23.General characteristics Performance     Related lists</t>
  </si>
  <si>
    <t>//upload.wikimedia.org/wikipedia/commons/thumb/e/e6/DAR1-Plovdiv.jpg/300px-DAR1-Plovdiv.jpg</t>
  </si>
  <si>
    <t>Civil training aircraft</t>
  </si>
  <si>
    <t>DAR</t>
  </si>
  <si>
    <t>https://en.wikipedia.org/DAR</t>
  </si>
  <si>
    <t>Hermann Winter</t>
  </si>
  <si>
    <t>20[1]</t>
  </si>
  <si>
    <t>6.25 m (20 ft 6 in)</t>
  </si>
  <si>
    <t>9.30 m (30 ft 6 in)</t>
  </si>
  <si>
    <t>405 kg (893 lb)</t>
  </si>
  <si>
    <t>640 kg (1,411 lb)</t>
  </si>
  <si>
    <t>1 × Walter NZ-60 radial piston engine, 45 kW (60 hp)</t>
  </si>
  <si>
    <t>Bulgaria</t>
  </si>
  <si>
    <t>135 km/h (84 mph, 73 kn)</t>
  </si>
  <si>
    <t>Fouga CM.175 Zéphyr</t>
  </si>
  <si>
    <t>The Fouga Zéphyr (company designation CM.175) was a 1950s French two-seat carrier-capable jet trainer for the French Navy. It was developed from the land-based CM.170 Magister. It was replaced in 1994.  The French Navy's Aéronavale adopted a derivative of the Fouga CM.170-1 Magister as a basic trainer for carrier operations.[1]  Originally designated CM-170M Esquif, the prototype first flew on 31 July 1956, and was redesignated as the CM.175 Zéphyr soon after. Carrier trials were conducted from HMS Eagle (R05) and HMS Bulwark (R08) off the French coast in august 1957 and march 1958.[1] The Zéphyr differed from the Magister in being equipped with an arrester hook and a modified structure and undercarriage strengthened for carrier operations.[1]  The Zéphyr also included a nose-mounted light.  As it did not have ejection seats, the Zéphyr had new sliding canopy hoods which could be locked open during carrier launchings and landings. One six-round rocket pod could be mounted under each wing for weapons training.  Two guns could be fitted in the nose, but these were seldom carried. Thirty-two aircraft were delivered.[1] The first production aircraft first flew on 30 May 1959 and entered service in October 1959 with 59S the deck landing school at Hyéres. The squadron used only 14 aircraft at a time with the others being kept in short-term storage and periodically rotated to even out the flying hours. In 1962 the unit formed an aerobatic team using the Zéphyr called the Patrouille de Voltige d'Hyéres. Data from Carrier Aviation Air Power Directory [1]General characteristics Performance Armament Related development Aircraft of comparable role, configuration, and era</t>
  </si>
  <si>
    <t>//upload.wikimedia.org/wikipedia/commons/thumb/3/36/Fouga_CM175_Z%C3%A9phyr_%E2%80%9828%E2%80%99_%28F-AZPF%29_%2849830554073%29.jpg/300px-Fouga_CM175_Z%C3%A9phyr_%E2%80%9828%E2%80%99_%28F-AZPF%29_%2849830554073%29.jpg</t>
  </si>
  <si>
    <t>Carrier-capable jet trainer</t>
  </si>
  <si>
    <t>https://en.wikipedia.org/Carrier-capable jet trainer</t>
  </si>
  <si>
    <t>Fouga</t>
  </si>
  <si>
    <t>https://en.wikipedia.org/Fouga</t>
  </si>
  <si>
    <t>Fouga CM.170 Magister</t>
  </si>
  <si>
    <t>https://en.wikipedia.org/Fouga CM.170 Magister</t>
  </si>
  <si>
    <t>10.06 m (33 ft 0 in)</t>
  </si>
  <si>
    <t>12.15 m (39 ft 10 in) (with wingtip fuel tanks)</t>
  </si>
  <si>
    <t>17.30 m2 (186.2 sq ft)</t>
  </si>
  <si>
    <t>2,150 kg (4,740 lb)</t>
  </si>
  <si>
    <t>3,200 kg (7,055 lb)</t>
  </si>
  <si>
    <t>2 × Turbomeca Marboré IIA turbojets, 3.92 kN (882 lbf) thrust  each</t>
  </si>
  <si>
    <t>925 km (575 mi, 499 nmi)</t>
  </si>
  <si>
    <t>{'CM-170M Esquif': ' prototype; 2 built.', 'CM.175 Zéphyr': ' production version; 30 built.'}</t>
  </si>
  <si>
    <t>715 km/h (444 mph, 386 kn) at 9,000 m (30,000 ft)</t>
  </si>
  <si>
    <t>11,000 m (36,000 ft)</t>
  </si>
  <si>
    <t>31 July 1956 (as CM.170M)</t>
  </si>
  <si>
    <t>French Navy</t>
  </si>
  <si>
    <t>https://en.wikipedia.org/French Navy</t>
  </si>
  <si>
    <t>Potez XV</t>
  </si>
  <si>
    <t>The Potez XV (also erroneously written Potez 15) was a French single-engine, two-seat observation biplane designed as a private venture by Louis Coroller and built by Potez and under licence in Poland. The aircraft was designed in the beginning of the 1920s by Henry Coroller in Potez works. It was a development of a fighter SEA IV built by Société d'Etudes Aéronautiques, a former firm of Henry Potez and Coroller. A prototype was flown in October 1921 and shown at Paris Air Show that year. It was conventional biplane with a fixed tailskid landing gear and a nose-mounted 276 kW (370 hp) Lorraine 12D engine. The engine was later replaced by a 224 kW (300 hp) Renault 12Fe. After a successful evaluation, the aircraft was ordered by the Aéronautique Militiare as a reconnaissance aircraft. The first aircraft were manufactured and delivered in late 1923. Series-built aircraft were powered with Lorraine-Dietrich 12Db V-12 engines. 410 were built in France. The aircraft was built in two main military variants: Potez XV A.2 reconnaissance aircraft and Potez XV B.2 bomber-reconnaissance aircraft. A single prototype of a floatplane variant Potez XV HO.2 was built. There was also an export variant Potez XVII of 1923, built for Bulgaria only, with the same LD 12Db engine. Already in 1923, Poland bought a licence for the Potez 15 and started to manufacture them in Podlaska Wytwórnia Samolotów (PWS, 35 built in 1925) and Plage i Laśkiewicz aircraft works (100 built in 1925-1926). A development of Potez XV was Potez 27, Primary user of Potez 15s was the French Air Force, from late 1923. Main user became the Polish Air Force with 110 aircraft bought and 135 manufactured in Poland. In the Polish Air Force, they were used from late 1924. Their withdrawal from combat units started in 1927, then they were used for training until mid-1930s. 120 aircraft were sold to Romania, 12 to Spain, and eight to Denmark. Six Potez XVIIs were sold to  Bulgaria.[1] 25 Potez XV A.2 were used in Yugoslavia.[2] These shared the engine, fuselage, undercarriage and tailfin of the Potez XV, combining them with the wings and stabilizers from a newer design, the 25. Wooden construction biplane with fixed landing gear. The fuselage was framed, with metal covering for front engine section, plywood covering for the midsection and canvas covering for the tail section. Rectangular two-spar wings, plywood (leading edge) and canvas covered, of equal span. Crew of two, sitting in tandem in open cockpits: pilot in front, observer in the rear. Conventional fixed landing gear, with a common straight axle and a rear skid. Engine in front, two barrel-type water Lamblin radiators below the fuselage, between the landing gear. Two-blade wooden propeller. Fuel tanks in the fuselage. The pilot had one fixed 7.7 mm (.303 in) Vickers machine gun with an interrupter gear, the observer had twin 7.7 mm (.303 in) Lewis Guns on a ring mounting. Data from Polskie konstrukcje lotnicze 1893-1939[3]General characteristics Performance Armament  Related development   Related lists</t>
  </si>
  <si>
    <t>//upload.wikimedia.org/wikipedia/commons/thumb/c/c7/Potez_XVII_in_Bulgaria%2C_1928.jpg/300px-Potez_XVII_in_Bulgaria%2C_1928.jpg</t>
  </si>
  <si>
    <t>Reconnaissance bomber</t>
  </si>
  <si>
    <t>https://en.wikipedia.org/Reconnaissance bomber</t>
  </si>
  <si>
    <t>12.68 m (41 ft 7 in)</t>
  </si>
  <si>
    <t>1,487 kg (3,278 lb)</t>
  </si>
  <si>
    <t>1,950 kg (4,299 lb)</t>
  </si>
  <si>
    <t>1 × Lorraine-Dietrich 12Db W-12 water-cooled piston engine, 309 kW (414 hp)</t>
  </si>
  <si>
    <t>510 km (320 mi, 280 nmi)</t>
  </si>
  <si>
    <t>3.9 m/s (770 ft/min)--&gt;</t>
  </si>
  <si>
    <t>202 km/h (126 mph, 109 kn)</t>
  </si>
  <si>
    <t>4,200 m (13,800 ft)</t>
  </si>
  <si>
    <t>https://en.wikipedia.org/Potez 23  Potez 27</t>
  </si>
  <si>
    <t>1923-1926</t>
  </si>
  <si>
    <t>French Air ForcePolish Air Force</t>
  </si>
  <si>
    <t>https://en.wikipedia.org/French Air ForcePolish Air Force</t>
  </si>
  <si>
    <t>1 × 7.7 mm (.303 in) Vickers machine gun, fixed in front,2 × 7.7 mm (.303 in) Lewis Guns, on a ring mounting</t>
  </si>
  <si>
    <t>125 kg (276 lb) of bombs</t>
  </si>
  <si>
    <t>Tucker XP-57</t>
  </si>
  <si>
    <t>Tucker XP-57 was the designation of a lightweight fighter which was proposed to the America Army Air Corps (USAAC) in 1940. Nicknamed the "Peashooter", it was developed by the Tucker Aviation Corporation under Preston Tucker, who later became famous for the Tucker '48 Sedan. To minimize weight, the aircraft was to have a steel tubular frame with aluminum skin and plywood wings. The inline-8 engine, designed by Harry Miller of Indy 500 racing fame, was to sit behind the pilot in a configuration similar to the P-39 Airacobra. The USAAC ordered a single XP-57 prototype. However, when design was delayed due to financial problems in the company, the contract was allowed to lapse. No production aircraft was ever built because the USAAC was moving towards larger fighters and had lost interest in the project. General characteristics Performance Armament   Aircraft of comparable role, configuration, and era</t>
  </si>
  <si>
    <t>//upload.wikimedia.org/wikipedia/commons/thumb/c/c8/Tucker_XP-57.jpg/300px-Tucker_XP-57.jpg</t>
  </si>
  <si>
    <t>Tucker Aviation Corporation</t>
  </si>
  <si>
    <t>https://en.wikipedia.org/Tucker Aviation Corporation</t>
  </si>
  <si>
    <t>Preston Tucker</t>
  </si>
  <si>
    <t>https://en.wikipedia.org/Preston Tucker</t>
  </si>
  <si>
    <t>Cancelled</t>
  </si>
  <si>
    <t>Mustang Aeronautics Midget Mustang</t>
  </si>
  <si>
    <t>The Mustang Aeronautics Midget Mustang MM-1 is a single-seat aerobatic sports airplane developed and marketed in the America for homebuilding.[1][2] It is also known as the Long Midget. It was the predecessor to the Mustang II which is also known as the Bushby Mustang. Rights to both the Midget Mustang and the Mustang II were sold to Mustang Aeronautics in 1992.[3] It is a low-wing cantilever monoplane of metal construction, primarily of 2024-T3 aluminum and most are fitted with fixed tailwheel undercarriage.  Developed by Piper engineer David Long in 1948, plans for production by Schweizer were underway at the time of Long's death two years later.  All rights and tooling were purchased by Robert Bushby in 1959, who built a 90 hp Continental powered example and sold plans and kits until 1992 [4] when the rights were sold to Mustang Aeronautics. The Midget Mustang design being marketed in 2016 is similar to the original, with the option of building it with a bubble canopy in place of the straight line of the upper tailcone and hinged canopy of Long's original design, making it an M-IA.[5] Construction requires about 1000 hours of builder time.[6][7][8] The Midget Mustang was intended for air racing. David Long designed an aircraft for a friend to be used in the Cleveland Air Race in 1948.  That aircraft was built by Long and was named "Pea Shooter".  The Midget Mustang was only moderately successful as a race plane.  However, its appearance and desirable flight characteristics made it an ideal sport plane. At the Cleveland Race, racers competed in aircraft with names like, "Mammy","Miss Fort Worth", and "Slo Poke". Over time, air racers modified the aircraft to reach 181 mph (291 km/h) speeds in competition.[9] Nowadays, the Midget Mustang can cruise at 240 mph. Data from Jane's All The World's Aircraft 1982–83[12]General characteristics Performance   Aircraft of comparable role, configuration, and era</t>
  </si>
  <si>
    <t>//upload.wikimedia.org/wikipedia/commons/thumb/5/52/Errington_John_W_Midget_Mustang_%28N702MM%29.jpg/300px-Errington_John_W_Midget_Mustang_%28N702MM%29.jpg</t>
  </si>
  <si>
    <t>Aerobatic sports plane</t>
  </si>
  <si>
    <t>Mustang Aeronautics for Homebuilding</t>
  </si>
  <si>
    <t>https://en.wikipedia.org/Mustang Aeronautics for Homebuilding</t>
  </si>
  <si>
    <t>David Long</t>
  </si>
  <si>
    <t>435 (2011)[1]</t>
  </si>
  <si>
    <t>16 ft 5 in (5.00 m)</t>
  </si>
  <si>
    <t>18 ft 6 in (5.64 m)</t>
  </si>
  <si>
    <t>68 sq ft (6.32 m2)</t>
  </si>
  <si>
    <t>590 lb (268 kg)</t>
  </si>
  <si>
    <t>900 lb (408 kg)</t>
  </si>
  <si>
    <t>1 × Lycoming O-290-D2 , 135 hp (101 kW)</t>
  </si>
  <si>
    <t>165 mph (265 km/h, 143 kn) [13]</t>
  </si>
  <si>
    <t>375 mi (603 km, 326 nmi)</t>
  </si>
  <si>
    <t>2,200 ft/min (11.2 m/s)</t>
  </si>
  <si>
    <t>4 ft 6 in (1.37 m)</t>
  </si>
  <si>
    <t>225 mph (362 km/h, 196 kn)</t>
  </si>
  <si>
    <t>19,000 ft (5,790 m)</t>
  </si>
  <si>
    <t>In production (2015)</t>
  </si>
  <si>
    <t>Mitchell Wing B-10</t>
  </si>
  <si>
    <t>The Mitchell Wing B-10 is an American high-wing, open cockpit, single-seat ultralight aircraft and motor glider designed by Don Mitchell and based on his Mitchell Wing hang-glider. It has been produced by a variety of companies in the form of kits and plans for amateur construction.[1][2] In 2012 the aircraft was still available in the form of plans and some materials, offered by US Pacific of Fresno, California.[1] The Mitchell Wing started off as a foot-launched hang glider with good soaring performance. Mitchell later modified the design into a powered ultralight aircraft with  wheeled tricycle landing gear, known as the B-10. The B-10F is a foot-launched variant with only two wheels.[2] The B-10 was designed to comply with the US FAR 103 Ultralight Vehicles rules, including the category's maximum empty weight of 254 lb (115 kg). The aircraft has a standard empty weight of 245 lb (111 kg).[1] The B-10's fuselage is made from aluminum tubing while the wing has a birch plywood D-cell leading edge and foam ribs, covered with Dacron sailcloth or doped aircraft fabric. The tailless wing is common to all three variants.[2] It is of tapered and lightly-swept form, employing a NACA 23015 airfoil. It has a span of 36 ft (11.0 m) span wing, area of 136 sq ft (12.6 m2), aspect ratio of 8:1. The 8.5 ft (2.6 m) outboard wing panels have 6 degrees of dihedral and the wing overall has 12 degrees of sweep. The controls are conventional three axis, comprising trailing elevons and wing tip mounted vertical rudders, and operated via a top-mounted centre stick. Power is provided by a single engine in pusher configuration, mounted behind the pilot's seat. Small engines in the 20 to 30 hp (15 to 22 kW) range can be used: The prototype was fitted with a 12 hp (9 kW) McCulloch MC101, with Chrysler West Bend and McCulloch two-strokes being recommended.[2][1][3] and the Zenoah G-25 of 22 hp (16 kW) has been fitted.[citation needed] Construction time for the supplied plans is estimated at 500 hours.[1] The B-10 can be quickly disassembled for ground transport or storage. The outer wing panels fold or can be removed, the fuselage cage is detachable and the tip rudders are quickly removed.[3] The B-10 was subsequently developed into the A-10 and two-seat T-10 and the mid-wing Mitchell U-2 Superwing. Data from World Directory of Leisure Aviation 2011-12 and US Pacific[1][5]General characteristics Performance</t>
  </si>
  <si>
    <t>//upload.wikimedia.org/wikipedia/commons/thumb/d/d8/N4232A_Mitchell_Wing_B-10_%288738154089%29.jpg/300px-N4232A_Mitchell_Wing_B-10_%288738154089%29.jpg</t>
  </si>
  <si>
    <t>Ultralight aircraft and motor glider</t>
  </si>
  <si>
    <t>https://en.wikipedia.org/Ultralight aircraft and motor glider</t>
  </si>
  <si>
    <t>US Pacific</t>
  </si>
  <si>
    <t>https://en.wikipedia.org/US Pacific</t>
  </si>
  <si>
    <t>Don Mitchell</t>
  </si>
  <si>
    <t>https://en.wikipedia.org/Don Mitchell</t>
  </si>
  <si>
    <t>34 ft (10 m)</t>
  </si>
  <si>
    <t>136 sq ft (12.6 m2)</t>
  </si>
  <si>
    <t>245 lb (111 kg)</t>
  </si>
  <si>
    <t>595 lb (270 kg)</t>
  </si>
  <si>
    <t>1 × Zenoah G-25 two stroke aircraft engine, 22 hp (16 kW)</t>
  </si>
  <si>
    <t>25 mph (40 km/h, 22 kn)</t>
  </si>
  <si>
    <t>600 ft/min (3.0 m/s)</t>
  </si>
  <si>
    <t>AmeriPlanes Mitchell Wing A-10Mitchell U-2 Superwing</t>
  </si>
  <si>
    <t>4 ft (1.2 m)</t>
  </si>
  <si>
    <t>NACA 23015</t>
  </si>
  <si>
    <t>5 litres (1.1 imp gal; 1.3 US gal)</t>
  </si>
  <si>
    <t>65 mph (105 km/h, 56 kn)</t>
  </si>
  <si>
    <t>12,000 ft (3,700 m)</t>
  </si>
  <si>
    <t>2-bladed Wooden fixed pitch, 4 ft 2 in (1.27 m) diameter</t>
  </si>
  <si>
    <t>+4/-4</t>
  </si>
  <si>
    <t>4.4 lb/sq ft (21 kg/m2)</t>
  </si>
  <si>
    <t>mid-1980s</t>
  </si>
  <si>
    <t>https://en.wikipedia.org/AmeriPlanes Mitchell Wing A-10Mitchell U-2 Superwing</t>
  </si>
  <si>
    <t>Mustang Aeronautics Mustang II</t>
  </si>
  <si>
    <t>The Mustang Aeronautics Mustang II is a two-seat aerobatic sports airplane developed and marketed in the America for homebuilding.[1][2][3] Robert Bushby acquired the rights to the Long Midget Mustang in 1959 and four years later began development of a two-seat, side-by-side version. This eventually flew in 1966 and plans were made available soon thereafter.[4] Rights to both the Midget Mustang and the Mustang II were sold to Mustang Aeronautics in 1992. [5] A single engine in tractor configuration airplane, the Mustang II features cantilever low-wing, two-seats-in-side-by-side configuration enclosed cockpit under a bubble canopy, fixed conventional landing gear, or, optionally, tricycle landing gear.[2][3] The aircraft is made from riveted sheet aluminum with a rounded turtle deck and flat sides and bottom skins.[6] Its 24.2 ft (7.4 m) span wing employs a NACA 64A212                              airfoil at the wing root, transitioning to a NACA 64A210 at the wingtip. Standard engines used include the 150 to 160 hp (112 to 119 kW) Lycoming O-320, the 180 hp (134 kW) Lycoming O-360 and the fuel-injected 200 hp (149 kW) Lycoming IO-360 four-stroke powerplants.[2][7] Standard fuel capacity is 25 US gallons, but optional wet wings increase the fuel capacity to 61 US gallons.[8] Several other fuel tank options are available.[9] A folding wing option may be installed.[10] General characteristics Performance</t>
  </si>
  <si>
    <t>//upload.wikimedia.org/wikipedia/commons/thumb/f/fe/Mustang-II-experimental-airplane.jpg/300px-Mustang-II-experimental-airplane.jpg</t>
  </si>
  <si>
    <t>Robert Bushby</t>
  </si>
  <si>
    <t>https://en.wikipedia.org/Robert Bushby</t>
  </si>
  <si>
    <t>1 passenger (2 total)</t>
  </si>
  <si>
    <t>19 ft 6 in (5.94 m)</t>
  </si>
  <si>
    <t>24 ft 2 in (7.37 m)</t>
  </si>
  <si>
    <t>97 sq ft (9.0 m2)</t>
  </si>
  <si>
    <t>927 lb (420 kg)</t>
  </si>
  <si>
    <t>1,500 lb (680 kg)</t>
  </si>
  <si>
    <t>1 × Lycoming O-320 air-cooled horizontally-opposed four-cylinder engine , 160 hp (120 kW)</t>
  </si>
  <si>
    <t>430 mi (692 km, 370 nmi)</t>
  </si>
  <si>
    <t>5 ft 3 in (1.60 m)</t>
  </si>
  <si>
    <t>230 mph (370 km/h, 200 kn)</t>
  </si>
  <si>
    <t>21,000 ft (6,400 m)</t>
  </si>
  <si>
    <t>480 (2011)[1]</t>
  </si>
  <si>
    <t>Blériot XXVII</t>
  </si>
  <si>
    <t>The Bleriot XXVII was a middle-wing, single-seat racing aircraft designed by Louis Bleriot. Data from [1]General characteristics</t>
  </si>
  <si>
    <t>//upload.wikimedia.org/wikipedia/commons/thumb/9/91/Bl%C3%A9riot_XXVII.jpg/300px-Bl%C3%A9riot_XXVII.jpg</t>
  </si>
  <si>
    <t>Racer aircraft</t>
  </si>
  <si>
    <t>Recherches Aéronautique Louis Blériot</t>
  </si>
  <si>
    <t>https://en.wikipedia.org/Recherches Aéronautique Louis Blériot</t>
  </si>
  <si>
    <t>7.50 m (24 ft 7 in)</t>
  </si>
  <si>
    <t>8.90 m (29 ft 2 in)</t>
  </si>
  <si>
    <t>1 × Gnome 7 Omega 7-cylinder air-cooled rotary piston engine, 37 kW (50 hp)</t>
  </si>
  <si>
    <t>125 km/h (78 mph, 67 kn)</t>
  </si>
  <si>
    <t>Niki 2004</t>
  </si>
  <si>
    <t>The Niki 2004 is a family of Bulgarian autogyros, designed and produced by Niki Rotor Aviation of Pravets. The aircraft is supplied as a kit for amateur construction or as a complete ready-to-fly-aircraft.[1] The Niki 2004 features a single main rotor, a two-seats-in side-by-side configuration enclosed cockpit, tricycle landing gear and a  four-cylinder, air-cooled, four-stroke, single-ignition 150 hp (112 kW) Subaru EJ22 auto-conversion engine in pusher configuration.[1] The aircraft fuselage is made from monocoque aluminum sheet, with a steel rotor mast and the twin tails supported by aluminium tubing. The series uses American-made Vortech and SportCopter rotor blades with a 9.14 m (30.0 ft) diameter and a chord of 20 cm (7.9 in). The 2004M model has an empty weight of 350 kg (772 lb) and a gross weight of 550 kg (1,213 lb), giving a useful load of 200 kg (441 lb).[1] Data from Bayerl[1]General characteristics Performance</t>
  </si>
  <si>
    <t>Niki Rotor Aviation</t>
  </si>
  <si>
    <t>https://en.wikipedia.org/Niki Rotor Aviation</t>
  </si>
  <si>
    <t>550 kg (1,213 lb)</t>
  </si>
  <si>
    <t>1 × Subaru EJ22 four cylinder, air-cooled, four-stroke, single-ignition automotive engine, 110 kW (150 hp)</t>
  </si>
  <si>
    <t>https://en.wikipedia.org/Bulgaria</t>
  </si>
  <si>
    <t>70 litres (15 imp gal; 18 US gal)</t>
  </si>
  <si>
    <t>4-bladed composite</t>
  </si>
  <si>
    <t>9.14 m (30 ft 0 in)</t>
  </si>
  <si>
    <t>Bailey-Moyes Dragonfly</t>
  </si>
  <si>
    <t>The Bailey-Moyes Dragonfly is an Australian-American two-seats-in-tandem, high-wing, strut-braced, open cockpit, conventional landing gear-equipped ultralight aircraft. The aircraft has been in production since 1990 and was designed as a special-purpose tug for hang gliders and ultralight sailplanes. It is available as a complete aircraft or as a kit for amateur construction. The aircraft has been variously produced by Moyes Microlights, Bailey-Moyes Microlights and currently LiteFlite of Botany, New South Wales, all different iterations of the same company.[1][2][3][4][5][6][7][8][9][10][11] The Dragonfly was developed in the late 1980s specifically as a hang glider tug for use in flatland areas where hang glider flying, which usually relies on hill launches, was not possible. This role requires an aircraft that can climb quickly at low speed. The Dragonfly achieves this goal, with a power-off stall speed of 17 kn (31 km/h) by using a large area wing of 170 square feet (16 m2) in conjunction with Junkers-style flaperons. The takeoff distance required to clear a 49 ft (15 m) high obstacle is 492 ft (150 m) while flying solo and 984 ft (300 m) at maximum weight, on level short dry grass with no wind at 59 °F (15 °C).[10] The aircraft has been successful as a hang glider tug and is also used for livestock mustering in its home country, as well as for recreational flying where STOL capabilities are required.[1][2][5][6][7][8][9][11] The aircraft is constructed of bolted 6061-T6 aluminium, with the two seats mounted on a fuselage boom tube that runs from the front rudder pedals to the tail. The landing gear consists of two main wheels on chrome molybdenum steel gear legs and axles, and a tail wheel configuration. The flexible steel axles work as shock absorbers during taxiing and landing. The tail wheel is steerable by means of the rudder pedals.[10] The standard Rotax 582 engine is mounted in pusher configuration behind the wing's trailing edge. The engine's liquid-cooling allows fast descents while towing, without subjecting the engine cylinders to shock-cooling. The wing is supported by a V-strut and jury struts. The wing and tail surfaces are covered in pre-sewn Dacron envelopes. A unique feature is the extended rudder post, which is supported by steel cables from the wings and used as a tow attachment point. The aircraft is equipped with dual controls for pilot training and the rear seat is removable when not needed. The aircraft takes about 200 hours to assemble from the kit.[1][3][4][5][6][7][8][9][11][12] The design is a Federal Aviation Administration approved special light-sport aircraft, produced by Pitman Air of Red Bluff, California.[13][14] The Dragonfly has been exported to 12 countries, where it is primarily employed as a hang glider tug.[12] Data from Cliche and LiteFlite[1][10][12]General characteristics Performance   Aircraft of comparable role, configuration, and era</t>
  </si>
  <si>
    <t>//upload.wikimedia.org/wikipedia/commons/thumb/a/aa/Moyes-Bailey_Dragonfly.JPG/300px-Moyes-Bailey_Dragonfly.JPG</t>
  </si>
  <si>
    <t>Ultralight glider tug</t>
  </si>
  <si>
    <t>https://en.wikipedia.org/Ultralight glider tug</t>
  </si>
  <si>
    <t>Moyes MicrolightsBailey-Moyes MicrolightsLiteFlitePitman Air</t>
  </si>
  <si>
    <t>https://en.wikipedia.org/Moyes MicrolightsBailey-Moyes MicrolightsLiteFlitePitman Air</t>
  </si>
  <si>
    <t>Bob Bailey</t>
  </si>
  <si>
    <t>https://en.wikipedia.org/Bob Bailey</t>
  </si>
  <si>
    <t>more than 100 (2011)</t>
  </si>
  <si>
    <t>34 ft 0 in (10.36 m)</t>
  </si>
  <si>
    <t>170 sq ft (16 m2)</t>
  </si>
  <si>
    <t>514 lb (233 kg) (typical empty weight with Rotax 582 engine installed)</t>
  </si>
  <si>
    <t>992 lb (450 kg)</t>
  </si>
  <si>
    <t>1 × Rotax 582 twin cylinder, two-stroke aircraft engine, 64 hp (48 kW)</t>
  </si>
  <si>
    <t>40 kn (46 mph, 74 km/h)</t>
  </si>
  <si>
    <t>17 kn (20 mph, 31 km/h) at minimum weight, power off</t>
  </si>
  <si>
    <t>65 nmi (75 mi, 121 km) 20L tank, no wind</t>
  </si>
  <si>
    <t>700 ft/min (3.6 m/s) at 32 mph (51 km/h), at maximum gross weight</t>
  </si>
  <si>
    <t>Australia/America</t>
  </si>
  <si>
    <t>63 kn (72 mph, 116 km/h)</t>
  </si>
  <si>
    <t>450 ft/min (2.3 m/s) at 35 mph (56 km/h), solo</t>
  </si>
  <si>
    <t>Mráz Sokol</t>
  </si>
  <si>
    <t>The Mráz M.1 Sokol (English: "Falcon") was a light aircraft built in Czechoslovakia in the years following the end of the Second World War. Designed in secret by Zdeněk Rublič at the Beneš-Mráz factory during the German occupation, the type was put into production in 1946. The Sokol was a conventional, low-wing monoplane that took the pre-war Beneš-Mráz Bibi as its starting point. Two seats were provided side-by-side in an enclosed cabin, and the main units of the tailwheel undercarriage were retractable. Construction throughout was of wood.[1] The prototype, designated the M.1/1 and registered as OK-ZHA, first flew on 9 March 1946. After testing, the prototype was redesignated the M.1A, as the type entered production. A re-engined two-seater was built designated the M.1B with a 105 hp (78 kW) ZLAS Toma 4 engine, flying for the first time on 19 May 1946 but no more M.1Bs were built. Instead, the M.1A was modified by adding a third seat in the rear, becoming the M.1C and first flying on 16 February 1947. The M.1C became the main production variant with 183 aircraft built.[1] In 1948 the M.1C was further developed as the M.1D with an enlarged single-piece canopy and a revised rudder. The M.1D first flew on 4 October 1948 and 104 were built. One M.1D was fitted with locally produced floats and re-designated the M.1E, it first flew in September 1949. A minor variant was the Para-Sokol which was fitted with rearward sliding canopy to allow parachutists to leave the aircraft.[2] Around 287 aircraft were built but the deterioration of the Urea-based glue used caused many examples to be condemned in the early 1960s and withdrawn from use.[2] Nineteen Sokols were recorded as still being registered in 2013 with only a few still flyable.[3] An M-1C, registration G-AIXN is maintained in flyable condition in the UK and is based at Turweston Aerodrome[5] Other airworthy examples exist in the Czech Republic at Prague Točná Airport (2016) and in Germany (2012). Data from Jane's All The World's Aircraft 1951–52 [6]General characteristics Performance  Related development</t>
  </si>
  <si>
    <t>//upload.wikimedia.org/wikipedia/commons/thumb/1/1d/Mraz_M-1C_Sokol_OK-BHM.jpg/300px-Mraz_M-1C_Sokol_OK-BHM.jpg</t>
  </si>
  <si>
    <t>Utility aircraft</t>
  </si>
  <si>
    <t>Beneš-Mráz, Choceň</t>
  </si>
  <si>
    <t>https://en.wikipedia.org/Beneš-Mráz, Choceň</t>
  </si>
  <si>
    <t>Zdeněk Rublič</t>
  </si>
  <si>
    <t>https://en.wikipedia.org/Zdeněk Rublič</t>
  </si>
  <si>
    <t>2 passengers</t>
  </si>
  <si>
    <t>7.35 m (24 ft 1 in)</t>
  </si>
  <si>
    <t>13.8 m2 (149 sq ft)</t>
  </si>
  <si>
    <t>425 kg (937 lb)</t>
  </si>
  <si>
    <t>780 kg (1,720 lb)</t>
  </si>
  <si>
    <t>1 × Walter Minor 4-III air-cooled four-cylinder inverted inline engine, 78 kW (105 hp)</t>
  </si>
  <si>
    <t>212 km/h (132 mph, 114 kn)</t>
  </si>
  <si>
    <t>1,000 km (620 mi, 540 nmi)</t>
  </si>
  <si>
    <t>Czechoslovakia</t>
  </si>
  <si>
    <t>{'M-1A': ' original two-seat version with ', 'M-1B': ' similar to M-1A but with ', 'M-1C': ' revised version, with longer fuselage and third seat, and swept leading edges on wing (183 built)', 'M-1D': ' similar to M-1C with new, single-piece canopy and larger rear windows (104 built)', 'M-1E': ' similar to M-1D but equipped with pontoons (at least 1 built)'}</t>
  </si>
  <si>
    <t>2.20 m (7 ft 3 in) (tail up)</t>
  </si>
  <si>
    <t>Murphy Maverick</t>
  </si>
  <si>
    <t>The Murphy Maverick is a Canadian two-seat fixed-wing ultralight monoplane designed by Murphy Aircraft of British Columbia.[1] The type is sold as a kit for home construction or as a complete ready-to-fly aircraft.[2][3][4] Designed as a smaller version of the Rebel, the Maverick is an all-metal high-wing braced monoplane with two side-by-side seats and a tailwheel landing gear.[1] The aircraft was designed around the Rotax 503 powerplant, with the goal of producing an economical ultralight trainer.[5] As a homebuilt it can also be fitted with a number of different piston engines including the HKS 700, Rotax 582 and Jabiru 2200.[1][3][4][6] The aircraft is mainly built from sheet aluminium, with the tail and rear sections of the wings fabric covered to save weight.[1][3] The wings are constructed using a "D" cell, with stamped ribs and a single wing strut. The standard wing span on the Maverick is 29 ft 6 in (8.99 m), but an optional wing extension is available to increase the wingspan to reduce the wing loading.[5] The standard landing gear is of a taildragger configuration and bungee suspended, with sprung steel main gear as an option. Additional options include 24 US gal (91 l) wing-mounted fuel tanks and fittings for installing floats.[5] Data from World Directory of Leisure Aviation[1] &amp; Cliche[5]General characteristics Performance</t>
  </si>
  <si>
    <t>//upload.wikimedia.org/wikipedia/commons/thumb/e/e7/G-CDYM_Murphy_Maverick_%289671824021%29.jpg/300px-G-CDYM_Murphy_Maverick_%289671824021%29.jpg</t>
  </si>
  <si>
    <t>Two-seat high-wing ultralight</t>
  </si>
  <si>
    <t>https://en.wikipedia.org/Two-seat high-wing ultralight</t>
  </si>
  <si>
    <t>Murphy Aircraft</t>
  </si>
  <si>
    <t>https://en.wikipedia.org/Murphy Aircraft</t>
  </si>
  <si>
    <t>105 (2011)</t>
  </si>
  <si>
    <t>20 ft 8 in (6.30 m)</t>
  </si>
  <si>
    <t>29 ft 6 in (9.0 m)</t>
  </si>
  <si>
    <t>147.5 sq ft (13.70 m2)</t>
  </si>
  <si>
    <t>468 lb (212.5 kg)</t>
  </si>
  <si>
    <t>1 × Jabiru 2200 piston engine, 80 hp (60 kW)</t>
  </si>
  <si>
    <t>85 mph (136 km/h, 73 kn)</t>
  </si>
  <si>
    <t>280 mi (450 km, 240 nmi)</t>
  </si>
  <si>
    <t>109 mph (176 km/h, 95 kn)</t>
  </si>
  <si>
    <t>13,000 ft (4,000 m)</t>
  </si>
  <si>
    <t>In production (2011)</t>
  </si>
  <si>
    <t>+5.7/-3.8</t>
  </si>
  <si>
    <t>32 mph (52 km/h, 28 kn)</t>
  </si>
  <si>
    <t>Mini-MAX</t>
  </si>
  <si>
    <t>The Team Mini-MAX is a large family of single-seat, mid-wing, strut-braced, single engine aircraft, available in kit form for amateur construction. The first Mini-MAX had its first flight in 1984. Its name indicates its original design goals: a minimum-cost aircraft that requires a minimum of building space, time and skill, but which provides a maximum of enjoyment and performance.[1][2][3][4][5][6][7] The Mini-MAX family was originally produced by TEAM Incorporated of Bradyville, Tennessee. After that company was bankrupted by a lawsuit, production passed to Ison Aircraft also of Bradyville, Tennessee and next to JDT Mini-MAX of Nappanee, Indiana. The company was renamed Team Mini-Max LLC in 2012, with production in Niles, Michigan.[1][2][3][4][5][6][8] The Mini-MAX models are all predominantly constructed from wood truss with plywood gussets and covered with doped aircraft fabric. The construction time to complete a Mini-MAX varies depending on the model chosen.  Many models feature open cockpits equipped with windshields. All versions feature a short-span wing of only 25 ft (7.6 m), except the V-MAX and 1600R EROS, which have a 26.5 ft (8.1 m) wingspan. The wing and horizontal stabilizer are both strut-braced: the wing is braced to the landing gear and the tail is braced from the horizontal tail surface to the fin. All models have conventional landing gear, with wheel pants as an option. Since the wing is braced to the mainwheels and the mainwheels are connected by a rigid axle, the pneumatic tires provide the only suspension.[5][6] The aircraft was originally intended to meet the requirements of the US FAR 103 Ultralight Vehicles category, including that category's maximum 254 lb (115 kg) empty weight. The original ultralight models of the Mini-MAX were equipped with the 28 hp (21 kW) Rotax 277 engine to achieve acceptable empty weights. Today the 1030F MAX 103 and 1100F Mini-MAX achieve an acceptable FAR 103 empty weight if they are equipped with the 28 hp (21 kW) Hirth F-33 powerplant. Other models use heavier engines which place them in the US Experimental - Amateur-built category.[5][9][10] The Mini-MAX was also developed into a high winged version, called the Hi-MAX. The two designs share much in the way of parts and design concept commonality.[11] Data from Aerocrafter, Kitplanes &amp; JDT website[1][2][3][4][16]General characteristics Performance   Aircraft of comparable role, configuration, and era</t>
  </si>
  <si>
    <t>//upload.wikimedia.org/wikipedia/commons/thumb/3/3e/JDT_%28Team%29_Mini_Max_1550V_V-MAX_ZU-FJG.jpg/300px-JDT_%28Team%29_Mini_Max_1550V_V-MAX_ZU-FJG.jpg</t>
  </si>
  <si>
    <t>Team Mini-Max</t>
  </si>
  <si>
    <t>https://en.wikipedia.org/Team Mini-Max</t>
  </si>
  <si>
    <t>Wayne Ison</t>
  </si>
  <si>
    <t>https://en.wikipedia.org/Wayne Ison</t>
  </si>
  <si>
    <t>More than 1802</t>
  </si>
  <si>
    <t>16 ft 0 in (4.88 m)</t>
  </si>
  <si>
    <t>26 ft 6 in (8.08 m)</t>
  </si>
  <si>
    <t>118 sq ft (11.0 m2)</t>
  </si>
  <si>
    <t>400 lb (181 kg)</t>
  </si>
  <si>
    <t>700 lb (318 kg)</t>
  </si>
  <si>
    <t>1 × Rotax 503 twin cylinder, two-stroke aircraft engine, 50 hp (37 kW)</t>
  </si>
  <si>
    <t>36 mph (58 km/h, 31 kn)</t>
  </si>
  <si>
    <t>144 mi (232 km, 125 nmi)</t>
  </si>
  <si>
    <t>5 ft 0 in (1.52 m)</t>
  </si>
  <si>
    <t>10 US gallons (38 litres)</t>
  </si>
  <si>
    <t>80 mph (130 km/h, 70 kn)</t>
  </si>
  <si>
    <t>Kits In production</t>
  </si>
  <si>
    <t>+4.0/-2.0</t>
  </si>
  <si>
    <t>https://en.wikipedia.org/JDT Hi-MAX</t>
  </si>
  <si>
    <t>Monnett Moni</t>
  </si>
  <si>
    <t>The Monnett Moni is a sport aircraft developed in the America in the early 1980s and marketed for homebuilding. Designed by John Monnett, who coined the term "Air Recreation Vehicle" to describe it,[1] it is a single-seat motorglider with a low, cantilever wing and a V-tail. Construction is of metal throughout, and it is intended to be easy and inexpensive to build and fly.  Like many sailplanes, the main undercarriage is a single monowheel, which in this case was mounted in a streamlined fairing beneath the fuselage and is not retractable, with a steerable tailwheel behind it. Builders are also given the option of constructing their example with fixed tricycle undercarriage.[2] Power is provided by a small two-cylinder, horizontally opposed, air-cooled engine. Examples of the Moni are on display at the Steven F. Udvar-Hazy Center of the National Air and Space Museum,[3] and the EAA AirVenture Museum.[4] The Sonex Xenos motorglider is an evolution of the Moni, and provided much of the design foundation for the Sonex line of aircraft.[5] The all-electric-powered Electric Aircraft Corporation ElectraFlyer-C is a modified Monnett Moni in taildragger configuration.[6] Data from [2]General characteristics Performance</t>
  </si>
  <si>
    <t>//upload.wikimedia.org/wikipedia/commons/thumb/e/e3/Monnett_moni.JPG/300px-Monnett_moni.JPG</t>
  </si>
  <si>
    <t>Monnett Experimental Aircraft Inc for homebuilding</t>
  </si>
  <si>
    <t>https://en.wikipedia.org/Monnett Experimental Aircraft Inc for homebuilding</t>
  </si>
  <si>
    <t>John Monnett</t>
  </si>
  <si>
    <t>https://en.wikipedia.org/John Monnett</t>
  </si>
  <si>
    <t>380 kits sold between 1982 and 1986[1]</t>
  </si>
  <si>
    <t>14 ft 8 in (4.46 m)</t>
  </si>
  <si>
    <t>27 ft 6 in (8.38 m)</t>
  </si>
  <si>
    <t>75 sq ft (7.0 m2)</t>
  </si>
  <si>
    <t>260 lb (118 kg)</t>
  </si>
  <si>
    <t>500 lb (227 kg)</t>
  </si>
  <si>
    <t>1 × IAME KFM 107 , 30 hp (22 kW)</t>
  </si>
  <si>
    <t>110 mph (177 km/h, 96 kn)</t>
  </si>
  <si>
    <t>320 mi (515 km, 280 nmi)</t>
  </si>
  <si>
    <t>500 ft/min (2.5 m/s)</t>
  </si>
  <si>
    <t>3 ft 6 in (1.07 m)</t>
  </si>
  <si>
    <t>120 mph (193 km/h, 100 kn)</t>
  </si>
  <si>
    <t>12,500 ft (3,810 m)</t>
  </si>
  <si>
    <t>https://en.wikipedia.org/Electric Aircraft Corporation ElectraFlyer-C</t>
  </si>
  <si>
    <t>167 ft/min (0.85 m/s)</t>
  </si>
  <si>
    <t>Monnett Sonerai</t>
  </si>
  <si>
    <t>The Sonerai is a small, VW-powered homebuilt aircraft,[1] designed by John Monnett.[2]  The Sonerai began to compete as a single-seat, mid-wing, tailwheel[3] Formula-V racer class formed in 1972.  The Sonerai soon evolved into a two-seat model called the Sonerai II.[3] Later versions included a low-wing Sonerai IIL,[3] a tricycle-gear Sonerai IILT[3] and finally the stretched Sonerai IILS and IILTS.[3][4] John Monnett came up with the name Sonerai from a combination of the words Sonic and Cosmic-Ray [5] Many Sonerais have been built and it remains a very popular design for people seeking a low-cost experimental aircraft with good speed and maneuverability.  The airframe cost to build in 1974 was estimated at $2,500. The 2010 airframe cost is approximately $6,000 (US) and the total cost is approximately $15,000 (US) with the addition of hardware, instrumentation, engine and other required items.  The time to build is between 800 and 1000 hours.[6] The Sonerai I design and construction started in 1970 with the goal of a flying aircraft to be demonstrated at the 1971 EAA airshow. The aircraft was to meet the new Formula V rules and those of the Professional Race Pilots Association (PRPA) for aircraft powered by 1600cc Volkswagen engines (it will accept VW engines from 1600 to 2800cc displacement).[1] Inspired by the Spitfire, an elliptical tail profile was incorporated. Elliptical wingtips and a low-wing configuration were dropped, but a low-wing Sonerai II variant was released later.[7] The Sonerai I was designed to use a direct drive 1,600cc VW engine[1] and the Sonerai II was designed to use the 1700cc VW engine. The wings were designed to fold alongside the fuselage for towing without a trailer and compact storage.[1] The Sonerai II was designed to be soloed from the rear seat. The aircraft is built around a fabric-covered steel-tube fuselage and tail,[1] with all-aluminum wings[1] and a fiberglass cowl. The plans cost $50 and $57 in 1974.[8] Great Plains Aircraft Supply Company held the rights to the Sonerai series of aircraft until 2015. Sonerai Works LLC, of Franksville, Wisconsin, purchased the rights to Sonerai plans and parts from Great Plains in 2015. Sonerai Works LLC was formed by Fred Keip. a Sonerai IIL builder, owner, and pilot, who was Sonerai Newsletter editor and publisher 1996 –2010, and had been a technical support provider for Sonerai builders over 28 years (an EAA Technical Counselor since 1987).[3][9] In December 2019 the design was acquired by Sonex Aircraft.[10] The aircraft is not available as a kit, and is built using plans, although some parts are available.[11] The prototype Sonerai 1 was displayed at the Experimental Aircraft Association Airshow in Oshkosh, Wisconsin where Monnett eventually relocated. The aircraft was painted a bright green that became the color of all the future prototypes and company marketing. The shade was from a 1971 Dodge Charger John Monnett saw painted Sassy Grass Green.[12] Brian Dempsey built a Sonerai I that set a world record. The C-1a/0 (Landplanes: takeoff weight less than 300 kg) Speed over a straight 15/25 km course of 292.15 km/h (181.53 mph / 157.74 kts) on February 19, 1989.[13] Dempsey's record stood for 20 years. Robin Austin of Australia built a Sonerai IIL with a 100 hp Rotax engine. The aircraft has set the following FAI records for C-1a/0 (Landplanes: takeoff weight less than 300 kg).[14] Data from Jane's All the World's Aircraft 1982–83[21]General characteristics Performance</t>
  </si>
  <si>
    <t>//upload.wikimedia.org/wikipedia/commons/thumb/0/0e/Monnett-Sonerai-g-rily.jpg/300px-Monnett-Sonerai-g-rily.jpg</t>
  </si>
  <si>
    <t>Monett Aircraft</t>
  </si>
  <si>
    <t>18 ft 10 in (5.74 m)</t>
  </si>
  <si>
    <t>18 ft 8 in (5.69 m)</t>
  </si>
  <si>
    <t>84.0 sq ft (7.80 m2)</t>
  </si>
  <si>
    <t>950 lb (431 kg)</t>
  </si>
  <si>
    <t>1 × 1700cc modified Volkswagen air-cooled engine air-cooled flat-four, 65–70 hp (48–52 kW)</t>
  </si>
  <si>
    <t>120 kn (140 mph, 230 km/h)</t>
  </si>
  <si>
    <t>38 kn (44 mph, 71 km/h)</t>
  </si>
  <si>
    <t>300 nmi (350 mi, 560 km) at 75% power (with reserves)</t>
  </si>
  <si>
    <t>{'Sonerai I': 'ngle-seat Formula V Racer[1][19]', 'Sonerai II': 'o-seat, mid-wing, conventional gear[19][3]', 'Sonerai II-L': 'o-seat, low-wing, conventional gear[19][3]', 'Sonerai II-LT': 'o-seat, low-wing,[19] conventional gear,[19][3] tricycle gear developed in 1983.[20]', 'Sonerai II-LS': 'o-seat, low-wing, stretched fuselage, conventional gear[19][3][4]', 'Sonerai II-LTS': 'o-seat, low-wing, stretched, tricycle gear[19][3][4]'}</t>
  </si>
  <si>
    <t>NACA 64212</t>
  </si>
  <si>
    <t>10 US gal (8.3 imp gal; 38 L)</t>
  </si>
  <si>
    <t>140 kn (160 mph, 260 km/h)</t>
  </si>
  <si>
    <t>Murphy Renegade</t>
  </si>
  <si>
    <t>The Murphy Renegade is a family of Canadian two-seats-in-tandem, single engine, conventional landing gear, biplanes, produced by Murphy Aircraft and intended for amateur construction.[1][2][3][4][5][6][7] In Canada all Renegade variants are eligible to be registered as amateur-builts, basic ultralights or advanced ultralights. In the USA the Renegade is not on the list of Special light-sport aircraft, but is eligible for the Experimental - Amateur-built category.[8][9][10] The Renegade was designed as the result of an accident. Darryl Murphy is a mechanical engineering technologist who designed and built a rigid wing hang glider in 1978 as a school project while attending the Saskatchewan Institute of Applied Science and Technology in Saskatoon, Saskatchewan. In 1984 Murphy was in a non-aviation accident that left him hospitalized for four months. During his recovery time he decided to design a biplane to fit into the then-new Canadian ultralight category. The resulting aircraft, C-IDJY, is a single-seat model and was intended as a one-off aircraft for his own use, with no production intentions. Murphy named it the Renegade.[11] After taking the aircraft to a number of fly-ins and other aviation events, Murphy was encouraged by the large number of people who wanted him to build one for them. In 1985 he quit his job and started Murphy Aviation (later renamed Murphy Aircraft Manufacturing), with his brother Bryan and located the company in Chilliwack, British Columbia. The original Renegade design was turned into a two-seater by relocating the fuel tank from the centre fuselage to the upper wing, installing a second seat and designating it Renegade II. Initial sales were disappointing as only one kit was sold in the first six months. Sales improved greatly once the aviation press began reviewing the aircraft. By 1986 the company had a backlog of orders, including many from outside North America. Murphy displayed the Renegade at the EAA Convention, Oshkosh and returned to Chilliwack with a substantial order book. During 1989 sales totalled 129 Renegade IIs.[11][12] The Renegade two was initially offered to buyers in six different configurations:[13][14] In May 1987 a new version of the basic Renegade design first flew. Named the Renegade Spirit it added a radial engine-style round cowling and additional fuselage stringers to give the aircraft a rounded look. The standard engine was the 64 hp (48 kW) Rotax 532 and later the Rotax 582 of the same output, with the 80 hp (60 kW) four-stroke Rotax 912UL added as a later option. Fibreglass wheel pants are also an option.[14][15][16][17] The Renegade fuselage is constructed of aluminium square tubing extrusions and fittings, fastened with Avex rivets. The turtle deck and engine cowling are made from fibreglass. The fin, rudder, horizontal stabilizer and elevators are built from aluminum tubing and channel sections. The tail is wire-braced. A manual trim tab mounted on the elevator is an option. The landing gear is of conventional configuration and incorporates bungee suspension. The welded engine mount is 4130 steel.[13][16][18] The Renegades's wings have a positive stagger and incorporate a single faired interplane strut and cabane struts as well as wire-bracing. The top wing has a span of 21 ft (6.4 m) and incorporates a 10 degree sweep to improve visibility from the pilot's back seat, accessibility for the front seat passenger and reduces adverse yaw. The lower wing has 3 degrees of dihedral. Ailerons are of the Friese type, with two ailerons on the lower wing standard and four ailerons optional. The front wing spar was initially a 3 in (7.6 cm) aluminum tube and the rear spar is "C" channel. Starting 1 January 1989 the front spar was changed to a rectangular spar and an outboard drag brace was added, increasing wing rigidity. The ribs are stamped aluminum and mate with an aluminium sheet leading edge. All surfaces are covered with aircraft fabric. Controls are via torque tubes.[13][18] The Renegade II wing design was sand-bag tested on 16 February 1988 to 4,050 lb (1,837 kg), or +7.2 g working load, with a +10 and -6 gs ultimate load.[13][16] The company indicates that construction time varies between 300–500 hours, depending on builder experience.[18] Renegades have been equipped with floats for operations from water.[19] In his 2015 review Marino Boric said, "the Renegade can take less powerful engines like the Rotax 582, but the higher power of the 912 gives it the sprightly performance it deserves."[7] Data from Kitplanes,[4] Murphy Aircraft[13] and The Incomplete Guide to Airfoil Usage[21]General characteristics Performance   Aircraft of comparable role, configuration, and era</t>
  </si>
  <si>
    <t>//upload.wikimedia.org/wikipedia/commons/thumb/3/34/MurphyRenegadeIIC-IDXC.JPG/300px-MurphyRenegadeIIC-IDXC.JPG</t>
  </si>
  <si>
    <t>Darryl Murphy</t>
  </si>
  <si>
    <t>https://en.wikipedia.org/Darryl Murphy</t>
  </si>
  <si>
    <t>590 (2011)[1]</t>
  </si>
  <si>
    <t>18 ft 5 in (5.61 m)</t>
  </si>
  <si>
    <t>153 sq ft (14.2 m2) (168 sq ft with optional rounded wing tips)</t>
  </si>
  <si>
    <t>375 lb (170 kg)</t>
  </si>
  <si>
    <t>850 lb (386 kg)</t>
  </si>
  <si>
    <t>1 × Rotax 503 two cylinder, two-stroke aircraft engine, 50 hp (37 kW)</t>
  </si>
  <si>
    <t>282 mi (454 km, 245 nmi)</t>
  </si>
  <si>
    <t>700 ft/min (3.6 m/s)</t>
  </si>
  <si>
    <t>6 ft 5 in (1.96 m)</t>
  </si>
  <si>
    <t>14 US gallons (53 L)</t>
  </si>
  <si>
    <t>85 mph (137 km/h, 74 kn)</t>
  </si>
  <si>
    <t>2-bladed ground adjustable</t>
  </si>
  <si>
    <t>+10/-6 (ultimate)</t>
  </si>
  <si>
    <t>21 ft 0 in (6.40 m)</t>
  </si>
  <si>
    <t>19 ft 8 in (5.99 m)</t>
  </si>
  <si>
    <t>1984-present</t>
  </si>
  <si>
    <t>Miss Veedol</t>
  </si>
  <si>
    <t>Miss Veedol was the first airplane to fly non-stop across the Pacific Ocean.[2] On October 5, 1931, Clyde Pangborn and co-pilot Hugh Herndon crash-landed in the hills of East Wenatchee, Washington following a 41-hour flight from Sabishiro Beach, Misawa, Japan, across the northern Pacific. The flight won the pair the 1931 Harmon Trophy in recognition of the greatest achievement in flight for that year.[3] Miss Veedol was later sold and renamed The American Nurse. On a 1932 flight from New York City to Rome for aviation medicine research, she was last sighted by an ocean liner in the eastern Atlantic, before disappearing without trace. Miss Veedol was a 1931 Bellanca CH-400[4][5] or Bellanca J-300 Long-Distance Special,[6] registration NR796W.[7] It was built at Bellanca Airfield in New Castle, Delaware.  It could carry 696 US gallons (2,630 L) of fuel. Clyde Pangborn and Hugh Herndon modified Miss Veedol while being held in Japan – on unfounded suspicions of spying – to be able to carry more fuel, and to be able to jettison the landing gear. Miss Veedol carried an initial load of 915 US gallons (3,460 L) of aviation gasoline on her record-breaking flight.[8] Miss Veedol was named for the motor oil brand,[9] as it was sponsored by Veedol's manufacturer, Tidewater Oil Company (Tydol).[10][11][12] Herndon's mother, Alice Carter Herndon, was the heiress of the Tidewater Oil Company.[12] Pangborn and Herndon had been trying to set a speed record for a round-the-world flight, but after a number of delays along the way including a damaging landing in Khabarovsk, in the Soviet Far East, they found themselves 27 hours behind schedule and had to concede to the record set earlier that year[13] by Wiley Post and Harold Gatty. Looking for a worthwhile aviation record to set, they decided to modify Miss Veedol to make the first non-stop trans-Pacific flight, for which the Japanese newspaper Asahi Shimbun had offered a $25,000[14] prize.[15] Loaded well beyond the manufacturer's maximum operating weight, on October 4, 1931 (Japanese time), Miss Veedol only barely managed to take off from a specially prepared area of Sabishiro Beach. The landing gear was jettisoned as planned, three hours after take-off, but two supporting struts remained attached, making it necessary for Pangborn to climb out onto the wing struts in flight to remove them manually.[9] Pangborn subsequently criticized Herndon for his alleged negligence in allowing the engine to become starved of fuel. Pangborn had to dive the aircraft down to 1400 feet[16] before the engine restarted.[17] Later, Pangborn, needing some sleep, instructed Herndon to wake him when he saw the city lights of Vancouver, Canada. However, Herndon wandered off-course and missed both Vancouver and Seattle.[17] Upon reaching the Pacific Northwest they found that the weather was cloudy and rainy over most of the area. They first considered going on to Boise, Idaho to add the 'longest flight' to their already accomplished 'nonstop Pacific crossing' record. Soon, they found that weather would prevent their landing in Boise, so they turned towards Spokane, Washington.  When the weather also prevented their landing there, they headed southwest towards Pasco in the Tri-Cities area of the state. When that failed, they finally headed towards Wenatchee to land at Fancher Field, far from town.[18] There, they had to make a belly landing because they had disposed of Miss Veedol's landing gear over the western Pacific. She was damaged, but repairable, and her propeller was wrecked, but Herndon and Pangborn came through the landing all right.[3] Miss Veedol's bent propeller, the only part of the plane that still exists, is exhibited in the Wenatchee Valley Museum &amp; Cultural Center in Wenatchee, Washington.[19] Pangborn and Herndon did not qualify for the $100,000 prize offered by the (Japanese) Imperial Aeronautics Association (which was limited to Japanese aviators) or the $28,000 prize offered by a group of Seattle businessmen (which was for a flight originating in Seattle and ending in Japan).[15] As Herndon and his mother were the main financial backers of the flight, they kept almost all the Asahi Shimbun prize money and the proceeds of the sale of Miss Veedol.[3]  Pangborn received a mere $2500 for his part and continued, much as before, as an airmail pilot, air racer, and a test and demonstration pilot.[17] Miss Veedol was subsequently sold and eventually ended up owned by a group including Dr. Leon Martocci-Pisculli (usually referred to as Pisculli), who recruited pilot William Ulbrich and copilot Gladys Bramhall Wilner (13 August 1910 – 3 July 2009)[20] for a record New York City to Rome flight. Plans included a flyover of Florence, Italy, where Wilner, a pilot, nurse and parachute jumper, was to parachute to the ground in honor of Florence Nightingale.[1] Pisculli was the commander of the flight. He was a gynaecologist[1] and held at least three patents for medical devices (a formaldehyde thermometer-holder,[21] a medicated pessary[22] and a form of tampon,[23]) and a patent for a toy operating on the same principle as a ouija board.[24] He was born in Italy[25] and became a naturalized US citizen sometime between 25 June 1917 and 8 October 1919 (as revealed by comparing his two earliest patent applications). Pisculli was 53 years old at the time of the flight[1] and resided in Yonkers, New York.[25] He was the founder and Director of the American Nurses' Aviation Service, Inc, which sought to promote the provision of medical care in aviation and through aviation to others.[1][26] As this flight was sponsored by the American Nurses' Aviation Service, Inc, the aircraft was renamed The American Nurse. The pilot, William Ulbrich, was born in Denmark and was a resident of Mineola, New York.[1][25] He was 31 years old at the time of the flight.[1] A barnstormer and flight instructor in earlier years, in September 1932, Ulbrich held a transport pilot's licence and had 3,800 hours flying experience.[25] The third member of the crew was originally intended to be Gladys Bramhall Wilner (13 August 1910 – 3 July 2009)[20] who was ideally suited to the role, being a qualified nurse, a licensed pilot and an experienced parachute jumper. However, she declined to take part in the flight.[27]  She was replaced by Edna Newcomer (aged 28) from Williamsport, Pennsylvania, who was also a nurse, pilot, and parachute jumper.[25] Wilner died at the age of 98 in Jacksonville, Florida; she was the last surviving person to have ever flown in Miss Veedol (as The American Nurse).[27] Dr. Pisculli's intention for the flight was to study the effects of fatigue in long-distance aviation and to test his hypothesis that the loss of many previous long-distance flights had been due to the buildup of carbon monoxide in the crew compartment.[1] For the purpose of the first study, the three crew members underwent pre-flight physical examinations, basal metabolism tests, electrocardiograms, and blood chemistry examinations. Pisculli was to take blood samples during the flight, and the basal metabolism tests would have been repeated on arrival in Rome.[26] In respect of his second concern, he brought a woodchuck named "Tail Wind" on the flight, as a carbon monoxide detector, due to these animals' sensitivity to the gas.[1] (Pisculli had found Tail Wind with a broken leg on a road in Westchester County, New York, and had nursed it back to health.[25]) His more general objective was to encourage physicians and nurses to learn to fly and parachute jump, so that they might put these skills to use in emergency medicine.[25] Pisculli planned a tour of several European cities and that The American Nurse would return to the America via Ireland in the spring of 1933.[25] Carrying fuel for a 32-hour flight, The American Nurse took off from Floyd Bennett Field at 6:16 am EST on 13 September 1932.[25] Clyde Pangborn was present to see his former aircraft depart.[1] The weather in the North Atlantic was reported to be ideal for the flight.[25] Ulbrich took the "southern" route across the North Atlantic and planned to make landfall in the vicinity of Cape Finisterre, Spain. He estimated that the 6,884-kilometre (4,278 mi) flight should take 25 to 26 hours.[25] The aircraft was subsequently sighted over Cape Cod, Massachusetts, then by the American Oil Co. tanker Winnebago in mid-Atlantic at 5:50 pm EST and lastly by the liner SS France 640 kilometres (400 mi) from its intended landfall in Europe.[1][28] No further trace of The American Nurse and its crew was ever found. Reports that the aircraft had been sighted over Sardinia could not be confirmed, nor did a search of the central Italian mountains reveal any sign of it.[29] Miss Veedol's propeller, damaged in the trans-Pacific landing, is exhibited at the Wenatchee Valley Museum &amp; Cultural Center in Wenatchee, Washington.[19] The Pangborn-Herndon Memorial Site is located north east of East Wenatchee, Washington; the main feature is a basalt column designed by Walter Graham. The site gives views of the Columbia River and the East Wenatchee and Wenatchee Valleys.[30][31] There is also a public mural in East Wenatchee depicting Miss Veedol's Pacific crossing. In addition to the Miss Veedol replica in the Misawa Aviation and Science Museum, there was a somewhat cruder replica of Miss Veedol on display outdoors on Sabishiro Beach at .mw-parser-output .geo-default,.mw-parser-output .geo-dms,.mw-parser-output .geo-dec{display:inline}.mw-parser-output .geo-nondefault,.mw-parser-output .geo-multi-punct{display:none}.mw-parser-output .longitude,.mw-parser-output .latitude{white-space:nowrap}40°44′43.8″N 141°24′55.3″E﻿ / ﻿40.745500°N 141.415361°E﻿ / 40.745500; 141.415361﻿ (Sabishiro Beach) until it was destroyed during the 11 March 2011 tsunami which caused widespread damage in the coastal area of Northeast Honshu. The replica had been replaced as of 2013.[32] A flying replica of Miss Veedol was built over a period of four-plus years by Experimental Aircraft Association Chapter 424. This replica (also known as Spirit of Wenatchee) first flew in May 2003. This aircraft is based at East Wenatchee, Washington.[33][34]</t>
  </si>
  <si>
    <t>//upload.wikimedia.org/wikipedia/commons/thumb/3/31/MissVeedol.jpg/300px-MissVeedol.jpg</t>
  </si>
  <si>
    <t>Bellanca CH-400 or Bellanca J-300</t>
  </si>
  <si>
    <t>https://en.wikipedia.org/Bellanca CH-400 or Bellanca J-300</t>
  </si>
  <si>
    <t>NR796W</t>
  </si>
  <si>
    <t>Hugh Herndon (Miss Veedol)A group headed by Dr. Leon Martocci-Pisculli (The American Nurse)</t>
  </si>
  <si>
    <t>Lost September 1932</t>
  </si>
  <si>
    <t>Mitchell U-2 Superwing</t>
  </si>
  <si>
    <t>The Mitchell U-2 Superwing is an American tailless ultralight aircraft that was designed by Don Mitchell for amateur construction.[1] Although the aircraft was designed before the US FAR 103 Ultralight Vehicles rules came into force, the U-2 Superwing complies with them anyway (including the category's maximum empty weight of 254 lb (115 kg)). The aircraft has a standard empty weight of 240 lb (109 kg). It features a cantilever mid-wing, a single-seat enclosed cockpit, tricycle landing gear and a single engine in pusher configuration. The U-2 is a development of the high-wing B-10.[1] The aircraft fuselage is made from welded steel tube, while the wing is of wood and foam, with doped aircraft fabric covering. Its 34 ft (10.4 m) span wing employs a modified Wortmann FX05-191 airfoil. The flight controls are unconventional; pitch and roll are controlled by elevons and yaw is controlled by the wing tip rudders. The main landing gear has suspension and the nose wheel is steerable and equipped with a brake.[1][2] The U-2 can accept a variety of engines ranging from 25 to 40 hp (19 to 30 kW) mounted in pusher configuration.[3] Data from Cliche[1]General characteristics Performance  Aircraft of comparable role, configuration, and era</t>
  </si>
  <si>
    <t>//upload.wikimedia.org/wikipedia/commons/thumb/6/65/20180328_U-2_Superwing_Udvar-Hazy.jpg/300px-20180328_U-2_Superwing_Udvar-Hazy.jpg</t>
  </si>
  <si>
    <t>Mitchell Wing Company</t>
  </si>
  <si>
    <t>https://en.wikipedia.org/Mitchell Wing Company</t>
  </si>
  <si>
    <t>https://en.wikipedia.org/Mitchell Wing B-10</t>
  </si>
  <si>
    <t>240 lb (109 kg)</t>
  </si>
  <si>
    <t>550 lb (249 kg)</t>
  </si>
  <si>
    <t>1 × Zenoah G25 , 20 hp (15 kW)</t>
  </si>
  <si>
    <t>26 mph (42 km/h, 23 kn)</t>
  </si>
  <si>
    <t>180 mi (290 km, 160 nmi)</t>
  </si>
  <si>
    <t>400 ft/min (2.0 m/s)</t>
  </si>
  <si>
    <t>3 U.S. gallons (11 L; 2.5 imp gal)</t>
  </si>
  <si>
    <t>Plans available</t>
  </si>
  <si>
    <t>4.04 lb/sq ft (19.7 kg/m2)</t>
  </si>
  <si>
    <t>Mitsubishi H-60</t>
  </si>
  <si>
    <t>America The Mitsubishi H-60 series is twin-turboshaft engine helicopter based on the Sikorsky S-70 helicopter family for use by the Japan Self-Defense Forces (JSDF). The SH-60J/K/L are anti-submarine patrol versions for the Japan Maritime Self-Defense Force (JMSDF).[1] The UH-60J is a search and rescue version for the Japan Air Self-Defense Force (JASDF) and JMSDF. The UH-60JA is a utility version for the Japan Ground Self-Defense Force (JGSDF).[2] The JMSDF chose S-70B as the successor of the Mitsubishi HSS-2B Sea King. When the SH-X (later SH-60J) project started, it was immediately after HSS-2B was put into service, so initially it was planned to integrate a mission system of HSS-2B with a bare aircraft of SH-60B, but finally a system newly developed by the TRDI was adopted. It is similar to LAMPS Mk.III in that helicopter is equipped with a computer and connected to the mother ship's combat direction system via a data link, but it also has a dipping sonar as well as SH-60F.[3] The Defense Agency ordered two XSH-60Js from Sikorsky for $27 million. Their first flights were on 31 August and in October 1987.  The Defense Agency designated the model SH-60J. They were fitted with Japanese avionics systems and tested by the JMSDF.[4] The SH-60J is built in Japan under license from Sikorsky. It began deliveries in August 1991 and entered service thereafter. Based on a concept of the JMSDF, HQS-103 Dipping Sonar, HPS-104 active electronically scanned array Search Radar, and HLR-108 ESM System equipment of the avionics of SH-60B be different.[3] The engine is the GE/IHI T700-IHI-701C turboshaft, which Ishikawajima-Harima Heavy Industries produced under license. It is a hybrid of SH-60B and SH-60F, except for avionics. The crew includes a pilot, copilot and sensor operator. The copilot can concentrate on the role of Tactical Coordinator with the help of the Automatic Flight Management System and Inertial Navigation system.[5][6]  Over 100 SH-60Js have been produced by 2007.[7] The SH-60K is an upgraded version of the SH-60J.[8] The SH-60K anti-submarine helicopter which strengthened performance and versatility for the JMSDF. Mitsubishi began development in 1997. The SH-60K has formerly known as SH-60Kai.[9] The Director General of the Defense Agency admitted adoption in March 2005.[10] Mitsubishi developed new main rotor blade, Ship Landing Assist System, new avionics system, and other systems. Two prototypes SH-60Ks were built by modifying SH-60Js. These prototypes were completed and delivered by June 2002. The SH-60K's cabin was expanded in length by 30 cm (11.8 in) and in height by 15 cm (5.91 in) compared to the SH-60J.[10] The larger cabin allows for the new avionics system.[11] Those and the airframe changes are compensated by the exchange of the T700-IHI-401C2 engine. The first production SH-60K was delivered to JMSDF on 10 August 2005.[10] A total of 50 SH-60Ks are being supplied under new production.[9] A further upgrade version of SH-60K has planned and in development. It will be equipped with a multi-static sonar system and a new adaptive control millimetric wave ultra-high-speed communication system (Click System) as well as improved engine transmission performance.[12][13] The first flight of the prototype, XSH-60L, was carried out on May 11, 2021.[14] In 1988, the Japan Air Self-Defense Force choose the UH-60L to replace its KV-107 and Sikorsky S-62 helicopters.[15][16] The first aircraft was built by Sikorsky, with the company designation S-70A-12, and two more were assembled by Mitsubishi Heavy Industries.[2][17] Mitsubishi is producing the remaining UH-60Js under license.[18][19] The Japan Marine Self-Defense Force also chose Search and rescue, and utility helicopters to replace the S-61A in 1989. The UH-60J is powered by T700 engines license-built by Ishikawajima-Harima Heavy Industries in Japan.  It features external fuel tanks, an external rescue winch, a Japan-built radar, a FLIR turret in the nose and bubble side windows for observers.[16]  The Japan Air Self-Defense Force machines were fitted with T700-IHI-701A engines, while Japan Maritime Self-Defense Force machines were fitted with marinized T700-IHI-401C engines.[17] Fuel tanks can be attached to pylons on stub wings. The UH-60Js began deliveries in 1991 and entered service in 1992.[20]  A total of 40 UH-60Js were in service in 2010.  The JASDF ordered 40 newer UH-60Js in December 2010 to begin replacing older UH-60Js.[21] Mitsubishi and Sikorsky have teamed in support of the Self Defense Force's mission requirements. The UH-60J+ incorporates various upgrades for the modern SAR mission.[22]  By 2006 Defense budget of Japan, UH-60Js begin addition of Refueling probe in 2009.[23] These UH-60Js completed training with the America Air Force and widened their activity in SAR mission.[24] The Japan Ground Self-Defense Force ordered a utility variant of the UH-60L designated UH-60JA in 1995.[20] The JGSDF began receiving the UH-60JA in 1997.[2] It features improved avionics, including FLIR, Color weather radar, GPS receiver, a Night Vision Goggle compatible cockpit and wire cutter.[17][20] The JGSDF plans to acquire 70.[25] The JGSDF plan was to replace its UH-1H helicopters which had become obsolete. Due to budgetary constraints it was decided to replace the rotary wing fleet with a high-low combination of UH-60JA and UH-1J (an updated UH-1H) with the UH-60JA being the high and the UH-1J the low.[26] By 2004 the budgetary constraints have driven the JGSDF to seriously consider eliminating either the UH-60JA or the UH-1J from the fleet, and purchasing just one type of airframe for the utility mission.[27] UH-60Js Search and rescue wing. On 26 August 2017, a Japan Maritime Self-Defense Force SH-60J crashed in the Sea of Japan off Aomori Prefecture in northern Japan. The helicopter was conducting takeoff and landing drills and had taken off from the destroyer Setogiri. It was based at the JMSDF's Ominato base in Mutsu in Aomori. One crew member was rescued, the other three were missing.[30][31][32] The JMSDF attributed the crash to human error.[33] The wreckage was later discovered at a depth of around 2,600 meters.[34][35] The wreck was salvaged in October and two bodies were found, that of the pilot and co-pilot. One crew member remains missing.[36] On 17 October 2017, UH-60J 58-4596 of the Air Rescue Wing Hamamatsu Detachment crashed into the sea off Shizuoka Prefecture while conducting night rescue drills. Some wreckage was found but the four crew members were not located.[37][38] Major searches continued with SDF assets with other parts recovered.[39][40] A private salvage company started work from 2 November and located part of the fuselage.[41][42] In November, parts of the aircraft were recovered including the Flight Data Recorder (black box) from a location approximately 31 kilometers south of Hamamatsu Air Base.[43][44] On 29 November the body of one of the crew members was discovered in the wreckage.[45][46] Data from Jane's All the World's Aircraft 2004-05[47]General characteristics Performance Armament Avionics  Related development Aircraft of comparable role, configuration, and era  Related lists</t>
  </si>
  <si>
    <t>//upload.wikimedia.org/wikipedia/commons/thumb/b/b9/SH-60J_landing_%28modified%29.jpg/300px-SH-60J_landing_%28modified%29.jpg</t>
  </si>
  <si>
    <t>ASW/SAR helicopter</t>
  </si>
  <si>
    <t>https://en.wikipedia.org/ASW/SAR helicopter</t>
  </si>
  <si>
    <t>Sikorsky Aircraft Mitsubishi Heavy Industries</t>
  </si>
  <si>
    <t>https://en.wikipedia.org/Sikorsky Aircraft Mitsubishi Heavy Industries</t>
  </si>
  <si>
    <t>Sikorsky SH-60 Seahawk Sikorsky UH-60 Black Hawk</t>
  </si>
  <si>
    <t>https://en.wikipedia.org/Sikorsky SH-60 Seahawk Sikorsky UH-60 Black Hawk</t>
  </si>
  <si>
    <t>3 flight crew + mission crew of up to 9 (SH-60J/K)</t>
  </si>
  <si>
    <t>19.8 m (65 ft 0 in) including rotor[citation needed]</t>
  </si>
  <si>
    <t>9,750 kg (21,495 lb) [citation needed]</t>
  </si>
  <si>
    <t>2 × IHI Corporation-General Electric T700-IHI-401C turboshaft engines, 1,342 kW (1,800 hp) each</t>
  </si>
  <si>
    <t>584 km (363 mi, 315 nmi) [citation needed]</t>
  </si>
  <si>
    <t>Japan America</t>
  </si>
  <si>
    <t>https://en.wikipedia.org/Japan America</t>
  </si>
  <si>
    <t>{'XSH-60J': 'Prototype for SH-60J. 2 XSH-60Js were exported by Sikorsky.', 'SH-60J': 'Seahawk version for the Japan Maritime Self-Defense Force produced by Mitsubishi under licence.', 'UH-60J': 'Rescue helicopter license produced by Mitsubishi for the Japan Air Self-Defense Force and the Japan Maritime Self-Defense Force.', 'UH-60JA': 'Utility version for the Japan Ground Self-Defense Force based on the UH-60J.', 'USH-60K': 'Among two prototypes, one was redesignated as evaluation type.', 'SH-60K': 'Improved version of SH-60J.  Trial manufacture finished in 2001, and deliveries began in August 2005.', 'SH-60L': 'Improved version of SH-60K. Development began in 2015, delivery will begin in 2022.'}</t>
  </si>
  <si>
    <t>5.2 m (17 ft 1 in) [citation needed]</t>
  </si>
  <si>
    <t>265 km/h (165 mph, 143 kn) [citation needed]</t>
  </si>
  <si>
    <t>5,790 m (19,000 ft) [citation needed]</t>
  </si>
  <si>
    <t>Japan Self-Defense Forces</t>
  </si>
  <si>
    <t>https://en.wikipedia.org/Japan Self-Defense Forces</t>
  </si>
  <si>
    <t>16.4 m (53 ft 10 in) [citation needed]</t>
  </si>
  <si>
    <t>211.26 m2 (2,274.0 sq ft) [citation needed]</t>
  </si>
  <si>
    <t>root</t>
  </si>
  <si>
    <t>Monocoupe 90</t>
  </si>
  <si>
    <t>The Monocoupe 90 was a two-seat, light cabin airplane built by Donald A. Luscombe for Monocoupe Aircraft.[2] The first Monocoupe (Model 5) was built in an abandoned church in Davenport, Iowa, and first flew on April 1, 1927.[3] Various models were in production until the late 1940s. The Monocoupes were side-by-side two-seat lightplanes of mixed wood and steel-tube basic construction with fabric covering. A braced high-wing monoplane with fixed tailskid landing gear, and the reverse curve rear fuselage lines that were to become one of the signature identifier features of the Monocoupes.[2] The fuselage framework was built up of welded steel tubing in a rigid, triangular-framed Warren truss form for the side panel structures, heavily faired to shape with dural metal sheet formers and wooden fairing strips. The wings were built up of solid spruce spars with wing ribs of basswood webs and spruce cap-strips. The leading edges were covered with dural metal sheet and the entire framework was covered in fabric.[4] The aircraft was powered originally by either a 60 hp (45 kW) Anzani engine or the unsuccessful 65 hp (48 kW) Detroit Air-Cat radial.[2] The Model 22 was the first light aircraft awarded a type certificate (number 22) and in 1930 it was fitted with the Velie M-5 62 hp (46 kW) five-cylinder radial engine to become the Model 70.[3] In 1930 Monocoupe introduced the Model 90 with refined lines and a fuselage that was slightly longer and wider, this being sold in Model 90 and Model 90A versions with a 90 hp (67 kW) Lambert R-266 radial engine. The Monocoupe 90 DeLuxe introduced trailing edge flaps, wheel speed fairings and an improved engine cowling. The Model 90AF was fitted with a 115 hp (86 kW) Franklin engine. The Model 90AL had Avco Lycoming engines. The Model 90J was introduced in 1930 with a 90 hp (67 kW) Warner Scarab Jr engine. The final two high performance Monocoupe models developed from the Model 90 were the Model 110 with a 110 hp (82 kW) Warner Scarab, and the Model 125 with a 125 hp (93 kW) Kinner B-5 engine. The Monocoupe 110 Special was a clipped wing racing aircraft. The Monocoupe Model 70V of 1932, had the low-powered 65 hp (48-kW) Velie M-5 engine reintroduced to provide more economical operation at the cost of a fall in performance.[2] In 1941 Monocoupe combined with three other companies to form Universal Molded Products Corp. 20 Model 90AFs were bought by the USAAF, who designated them the Universal L-7, for transfer to the Free French Forces. One was lost during delivery.[5]  Aircraft production halted during World War II, resuming briefly in 1948-1950 under the name Monocoupe Airplane and Engine Corporation. [6] The last of this remarkable line of two-seat aircraft was the Monocoupe D-145 of 1934, a high-performance version with a slightly enlarged cabin and powered by a 145 hp (108 kW) Warner Super Scarab engine.[2] The majority of the Monocoupe 90s to be built were sold to and flown by private pilot owners. 19 delivered early 1943 by sea to Abu Sweir, Egypt, to be reassembled by RAF MU 109.[5] Main delivery to create a flying school (GE 11) in Rayack, Syria, opening September 1, 1943. The Monocoupe 90 was too sensitive to be used for basic training and many accidents occurred until school disbandment January 4, 1944.[5] One aircraft survived the war and remained on the French civil register until written-off in 1962.[8]  5 aircraft delivered to Madagascar in early September 1943 and operated by Escadrille d'Avions Sanitaires et de Liaison (EASL = Liaison and Medical Flight) based at Ivato.[8] EASL became Escadrille de Liaison et de Commandement (ELC) on January 1, 1944, then SAL-51 and last SLA-50. The last two Monocoupes were sold to local aéro-club in 1948.[8] Data from Specifications of American Airplanes[9]General characteristics Performance  Related development Aircraft of comparable role, configuration, and era</t>
  </si>
  <si>
    <t>//upload.wikimedia.org/wikipedia/commons/thumb/0/01/Monocoupe90A.jpg/300px-Monocoupe90A.jpg</t>
  </si>
  <si>
    <t>Light Trainer and Racer</t>
  </si>
  <si>
    <t>Monocoupe Aircraft</t>
  </si>
  <si>
    <t>https://en.wikipedia.org/Monocoupe Aircraft</t>
  </si>
  <si>
    <t>Don A. Luscombe</t>
  </si>
  <si>
    <t>324 (all models) [1]</t>
  </si>
  <si>
    <t>20 ft 5+3⁄4 in (6.242 m)</t>
  </si>
  <si>
    <t>134.5 sq ft (12.50 m2)</t>
  </si>
  <si>
    <t>967 lb (439 kg)</t>
  </si>
  <si>
    <t>1,610 lb (730 kg)</t>
  </si>
  <si>
    <t>1 × Lambert R-266 radial engine, 90 hp (67 kW)</t>
  </si>
  <si>
    <t>40 mph (64 km/h, 35 kn)</t>
  </si>
  <si>
    <t>850 ft/min (4.3 m/s)</t>
  </si>
  <si>
    <t>{'Monocoupe Model 113': 'vised landing gear and a number of improvements[2]', 'Monocoupe Monoprep': 'dicated trainer similar to the Monocoupe 113[2]', 'Monocoupe Monosport Model 1': 'r racing model, had a 110\xa0hp (82\xa0kW) Warner Scarab seven-cylinder radial engine[2]', 'Monocoupe Monosport Model 2': 'r racing model, had a 100\xa0hp (75\xa0kW) Kinner K-5 radial engine[2]', 'Monocoupe Model 90': 'nger wider fuselage[2]', 'Monocoupe Model 90A': '\xa0hp (67\xa0kW) Lambert R-266 radial engine[2]', 'Monocoupe 90 DeLuxe': 'ailing edge flaps, wheel speed fairings and an improved engine cowling[2]', 'Monocoupe Model 90AF': '5\xa0hp (86\xa0kW) Franklin engine[2]', 'Monocoupe Model 90AL': 'co Lycoming engine[2]', 'Model 90AF': ''}</t>
  </si>
  <si>
    <t>6 ft 9+3⁄4 in (2.076 m)</t>
  </si>
  <si>
    <t>28 US gal (23 imp gal; 110 L)</t>
  </si>
  <si>
    <t>130 mph (210 km/h, 110 kn) at sea level</t>
  </si>
  <si>
    <t>Civil AviationUSAAF</t>
  </si>
  <si>
    <t>https://en.wikipedia.org/Civil AviationUSAAF</t>
  </si>
  <si>
    <t>N104RB Red Baron</t>
  </si>
  <si>
    <t>The Red Baron was a highly modified Lockheed F-104 Starfighter which set a FAI Class C-1 Group III 3 km speed record of 1,590.45 kilometres per hour (988.26 mph), in 1977 which still stands.[1] It was assembled by Darryl Greenamyer and sponsored by Ed Browning and the Red Baron Flying Service of Idaho Falls, Idaho. The aircraft was destroyed in an accident in 1978. Greenamyer built the Starfighter by collecting and putting together myriad parts over a 13-year period. The cockpit side panels and some control column bearings of the Red Baron came from the very first production F-104A, which crashed in Palmdale, California 22 years earlier. The tail of the Red Baron, minus stabilizers, came from a junkyard in Ontario, California. The stabilizers and some nose wheel parts were from scrap piles in Tucson and Homestead, Florida. The idler arm for the elevator controls, the ejection seat rails and some electrical relays came from an F-104 that crashed and burned at Edwards Air Force Base on the edge of the Mojave Desert. Greenamyer got his throttle quadrant from a Tennessee flying buff he met at the Reno Air Races. The trunnion mounts for the nose gear, some of the cooling-system valves and a few relays on the Red Baron came from a 25-ton pile of junk that Greenamyer bought at Eglin Air Force Base. In a swap with NASA, he obtained the nose of a Lockheed NF-104A, with its reaction controls. The all-important J79-GE-10 engine was obtained from the US Navy.[2] Greenamyer's ultimate goal was to reclaim the altitude record, which had been set by a Soviet MiG-25 Foxbat. His attempt at the speed record was for the purpose of raising enough funding to enable the altitude attempt. To combat the effects of high altitude, Greenamyer developed a system to water-cool the air at the engine intakes—effectively increasing the air density. He also installed the nose of a Lockheed NF-104A with eight hydrogen peroxide thrusters  around the nose to provide added directional stability as the control surfaces lost effect.[3] On 2 October 1976 Greenamyer flew an average 1,630 kilometres per hour (1,010 mph) at Mud Lake near Tonopah, Nevada. A tracking camera malfunction eliminated the necessary proof for formal records. On 24 October 1977 Greenamyer flew a 3 km official FAI record flight of 1,590.45 kilometres per hour (988.26 mph).[4] On 26 February 1978 Greenamyer made a practice run for the altitude record attempt. After the attempt, he was unable to get a lock light on the left wheel; after multiple touch-and-go tests at an Edwards Air Force Base runway, he determined that it was not safe to land. He ejected, and N104RB crashed in the desert.[5] Data from[citation needed]General characteristics Performance</t>
  </si>
  <si>
    <t>54 ft 6 in (16.6 m)</t>
  </si>
  <si>
    <t>25 ft 9 in (7.84 m)</t>
  </si>
  <si>
    <t>212.8 sq ft (19.77 m2)</t>
  </si>
  <si>
    <t>11,500 lb (5,216 kg)</t>
  </si>
  <si>
    <t>1 × General Electric J79-GE-10 afterburning turbojet, 17,900 lbf (80 kN) with afterburner</t>
  </si>
  <si>
    <t>13 ft 5 in (4.1 m)</t>
  </si>
  <si>
    <t>Bi-convex 3.36%</t>
  </si>
  <si>
    <t>Mach 2.6</t>
  </si>
  <si>
    <t>Lockheed F-104 Starfighter</t>
  </si>
  <si>
    <t>https://en.wikipedia.org/Lockheed F-104 Starfighter</t>
  </si>
  <si>
    <t>N104RB</t>
  </si>
  <si>
    <t>Destroyed during flight accident</t>
  </si>
  <si>
    <t>(c/n 2051-hybrid)</t>
  </si>
  <si>
    <t>Next Objective</t>
  </si>
  <si>
    <t>Next Objective was the name of a Boeing B-29-36-MO Superfortress, 44-27299, Victor 86, modified to carry the atomic bomb in World War II. Assigned to the 393d Bomb Squadron, 509th Composite Group, it was one of 15 Silverplate B-29s used by the 509th. Next Objective was built at the Glenn L. Martin Aircraft Plant at Omaha, Nebraska, as a Block 35 aircraft. It was one of 10 modified as a Silverplate and re-designated "Block 36". Delivered on 20 March 1945, to the USAAF, it was assigned to crew A-3 (1st Lt. Ralph N. Devore, aircraft commander) and flown to Wendover Army Air Field, Utah. It left Wendover on 11 June 1945 for North Field, Tinian and arrived 17 June. It was originally assigned the Victor (unit-assigned identification) number 6 but on 1 August was given the triangle N tail markings of the 444th Bomb Group as a security measure and had its Victor changed to 86 to avoid misidentification with actual 444th BG aircraft. It was named Next Objective and its nose art applied after the atomic bomb missions.  While at Tinian, Devore and crew A-3 flew Next Objective on 12 practice bombing missions and three pumpkin bomb missions against Japanese industrial targets at Toyama, Niihama, and Nagoya, and one which was aborted. Major Charles Sweeney, commanding officer of the 393d BS, used the bomber to rehearse procedures using a dummy "Little Boy" test assembly on 26 and 29 July.  On the latter mission Next Objective landed on Iwo Jima where the inert bomb was unloaded, then reloaded to practice a contingency in which a spare aircraft would take over the mission. In November 1945 it returned with the 509th to Roswell Army Air Field, New Mexico. From March to August 1946 it was assigned to the Operation Crossroads task force, then rejoined the 509th BG at Roswell. In April 1949 Next Objective was transferred to the 97th Bomb Group at Biggs Air Force Base, Texas. On 25 May 1949, 44-27299 was assigned to a navigation training mission. Shortly after takeoff an engine fire broke out in the right outboard engine, resulting in a crew bailout. The navigator assigned struck his head on the machinery that operated the nose landing gear as he exited the aircraft and was killed when his parachute did not deploy. The pilotless Next Objective circled in a two-mile orbit before crashing 35 miles northeast of El Paso, where it exploded on impact. Two FB-111A strategic bombers of the USAF 509th Bomb Wing, serials 68-0257 and 68-0284, carried the name Next Objective on their nosewheel doors, and 68-0257 carried the B-29 nose art, while based at Pease Air Force Base, New Hampshire, in the 1970s and 1980s.</t>
  </si>
  <si>
    <t>44-27299</t>
  </si>
  <si>
    <t>20 March 1945 - 25 May 1949</t>
  </si>
  <si>
    <t>Boeing B-29-36-MO Superfortress</t>
  </si>
  <si>
    <t>https://en.wikipedia.org/Boeing B-29-36-MO Superfortress</t>
  </si>
  <si>
    <t>America Army Air Force (USAAF)</t>
  </si>
  <si>
    <t>Crashed after an engine fire on 25 May 1949</t>
  </si>
  <si>
    <t>Victor 86</t>
  </si>
  <si>
    <t>https://en.wikipedia.org/Victor 86</t>
  </si>
  <si>
    <t>https://en.wikipedia.org/America Army Air Force (USAAF)</t>
  </si>
  <si>
    <t>Millennium MH-1</t>
  </si>
  <si>
    <t>The Millennium MH-1 is an American helicopter based on the now out of production Revolution Mini-500 and produced by Millennium Helicopter. The aircraft is supplied as a series of kits for amateur modification of existing Mini 500s and as a new kit to build from scratch.[1][2] The MH-1 was originally provided as a series of kits to upgrade old Mini-500 airframes, allowing the owner to modify them to MH-1 standards. The kits include a new Yamaha engine of 130 hp (97 kW), that replaces the Mini-500's 64 hp (48 kW) Rotax 582, plus a new mount for the Yamaha engine. The remaining kits cover modifications to the main transmission, the tail, main drive and clutch basket, radiator fans and relay and the rotor head. The aircraft can also be built new from a complete kit. In either case the resulting MH-1 complies with the US experimental - amateur-built  rules.[1][2][3] The MH-1 features a single main rotor with a two-bladed tail rotor, a single-seat enclosed cockpit with a windshield and skid-type landing gear. Its 19 ft (5.8 m) diameter two-bladed rotor has a chord of 8 in (20.3 cm). The aircraft has an empty weight of 600 lb (272 kg) and a gross weight of 1,100 lb (499 kg), giving a useful load of 500 lb (227 kg).[1] The Federal Aviation Administration approved the MH-1 conversion as a distinct aircraft type.[1] Data from Bayerl[1]General characteristics Performance</t>
  </si>
  <si>
    <t>Helicopter</t>
  </si>
  <si>
    <t>https://en.wikipedia.org/Helicopter</t>
  </si>
  <si>
    <t>Millennium Helicopter</t>
  </si>
  <si>
    <t>https://en.wikipedia.org/Millennium Helicopter</t>
  </si>
  <si>
    <t>Revolution Mini-500</t>
  </si>
  <si>
    <t>https://en.wikipedia.org/Revolution Mini-500</t>
  </si>
  <si>
    <t>1,100 lb (499 kg)</t>
  </si>
  <si>
    <t>1 × Yamaha liquid-cooled, four stroke engine, 130 hp (97 kW)</t>
  </si>
  <si>
    <t>132 mph (213 km/h, 115 kn)</t>
  </si>
  <si>
    <t>19 ft (5.8 m)</t>
  </si>
  <si>
    <t>Mooney M10 Cadet</t>
  </si>
  <si>
    <t>The Mooney M10 Cadet is a light airplane manufactured by the Mooney Aircraft Company in 1969 and 1970. The M10 is derived from the ERCO Ercoupe, the type certificates for which Mooney purchased from the Alon Corporation in 1967.[1] The M10 is similar to the Alon A2-A, and indeed a handful of "Mooney A2-As" were built in Kerrville in 1968 before changeover of Mooney's production line was completed.[3]  According to the FAA Type Certificate Data Sheet,[4] the "Model 10 is similar to Model A2-A except for new design empennage, ailerons and fuel tank vent."  The most obvious difference is that the M10 replaces the iconic Ercoupe-style dual vertical stabilizer with a tail designed to allow the airplane to spin.  Changes to the ailerons, along with replacement of the A2-A's tail, were motivated by Mooney's intent to market the M10 as a trainer: student pilots receiving training in a non-spinnable airplane, as the Ercoupe was, were issued FAA pilot certificates carrying the restriction that they could only fly airplanes which were "characteristically incapable of spinning"; thus the spinnable tail was necessary to turn the A2-A into a general-purpose trainer. Given that they were replacing the tail, Mooney's engineers opted to give it the "backward" profile characteristic of the M20 series. Although the M10's empennage has the same silhouette as the "big Mooneys", it does not swivel the way the M20's does; the Cadet's tail is a conventional design with fixed horizontal stabilizer, hinged elevator, and trim tabs. The two type certificates that cover all Ercoupe variants, including the Mooney M10, are currently owned by Univair Aircraft Corporation, in Aurora, Colorado, USA. Data from Jane's All the World's Aircraft 1969–70[5]General characteristics Performance</t>
  </si>
  <si>
    <t>//upload.wikimedia.org/wikipedia/commons/thumb/4/46/MooneyM10.jpg/300px-MooneyM10.jpg</t>
  </si>
  <si>
    <t>Single-engine trainer</t>
  </si>
  <si>
    <t>Mooney</t>
  </si>
  <si>
    <t>https://en.wikipedia.org/Mooney</t>
  </si>
  <si>
    <t>59[2]</t>
  </si>
  <si>
    <t>ERCO Ercoupe</t>
  </si>
  <si>
    <t>https://en.wikipedia.org/ERCO Ercoupe</t>
  </si>
  <si>
    <t>142.6 sq ft (13.25 m2)</t>
  </si>
  <si>
    <t>1,450 lb (658 kg)</t>
  </si>
  <si>
    <t>1 × Continental C-90-16F air-cooled flat-four engine, 90 hp (67 kW)</t>
  </si>
  <si>
    <t>40 kn (46 mph, 74 km/h) IAS</t>
  </si>
  <si>
    <t>486 nmi (559 mi, 895 km)</t>
  </si>
  <si>
    <t>835 ft/min (4.24 m/s)</t>
  </si>
  <si>
    <t>7 ft 8 in (2.34 m)</t>
  </si>
  <si>
    <t>NACA 43013</t>
  </si>
  <si>
    <t>24 US gal (20 imp gal; 91 L)</t>
  </si>
  <si>
    <t>103 kn (118 mph, 190 km/h)</t>
  </si>
  <si>
    <t>125 kn (144 mph, 232 km/h) IAS[4]</t>
  </si>
  <si>
    <t>23 February 1968[1]</t>
  </si>
  <si>
    <t>2-bladed McCauley 7153 metal fixed-pitch propeller, 5 ft 11 in (1.80 m) diameter</t>
  </si>
  <si>
    <t>Morane-Saulnier I</t>
  </si>
  <si>
    <t>The Morane-Saulnier I, also known as the Morane-Saulnier Type I was a French fighter of the 1910s. Essentially a modified Morane-Saulnier N, the Royal Flying Corps possessed a number of them in World War I. Largely on the advice of Lord Trenchard, the Royal Flying Corps placed an order in 1916 for a more powerful version of the popular Morane-Saulnier N. Morane-Saulnier responded by fitting a 110 hp Le Rhône engine to a Type N, creating what they called the Type I. An order was placed initially for one aircraft, expanding to thirteen by March 1916. However, only four aircraft were ever delivered to the RFC by July 1916, the aircraft having first flown in March of that year under RFC trials. No further production took place because the Morane-Saulnier V afforded more favourable characteristics. However, these Type Is were delivered to the front as combat aircraft and used as late as October 1916. Data from The Aeroplanes of the Royal Flying Corps (Military Wing)[1]General characteristics Performance Armament</t>
  </si>
  <si>
    <t>Morane-Saulnier</t>
  </si>
  <si>
    <t>https://en.wikipedia.org/Morane-Saulnier</t>
  </si>
  <si>
    <t>Morane-Saulnier N</t>
  </si>
  <si>
    <t>https://en.wikipedia.org/Morane-Saulnier N</t>
  </si>
  <si>
    <t>5.82 m (19 ft 1 in)</t>
  </si>
  <si>
    <t>8.24 m (27 ft 0 in)</t>
  </si>
  <si>
    <t>11.00 m2 (118.4 sq ft)</t>
  </si>
  <si>
    <t>334 kg (736 lb)</t>
  </si>
  <si>
    <t>1 × Le Rhône 9J nine-cylinder rotary engine , 82 kW (110 hp)</t>
  </si>
  <si>
    <t>168 km/h (104 mph, 90 kn)</t>
  </si>
  <si>
    <t>4,700 m (15,420 ft)</t>
  </si>
  <si>
    <t>1 hour 20 minutes</t>
  </si>
  <si>
    <t>My Gal Sal (aircraft)</t>
  </si>
  <si>
    <t>My Gal Sal is a B-17E-BO Flying Fortress whose pilot was forced to land it on the Greenland icecap during World War II. Many years later, it was recovered and taken to the US to be restored. It is one of only three intact B-17Es in existence. On 27 June 1942, B-17E, 41-9032 - part of the 342nd Bomb Squadron of the 97th Bomb Group - was one of 13 B-17s flying the Labrador-to-Greenland leg of a ferry flight to the United Kingdom as part of Operation Bolero, the military build-up in Europe. Inclement weather broke up the flight; five B-17s returned to Labrador, while the remainder continued on to Greenland. Over Greenland three of the aircraft were forced to land by the weather, including My Gal Sal.[1] The airplane's propellers were damaged by the landing, which kept the engines from being run to generate power needed to use the radio.  It took an entire day, but the crew cut off the tips of one of the propellers so that an engine could be run and they were able to make contact. The aircraft's crew camped in the B-17 for nine days until a rescue airplane could arrive. They had to hike the 26 miles to a lake where the rescue airplane had been able to land.[2] The aircraft was abandoned, not to be seen again until a 1964 overflight by a USAF reconnaissance aircraft. At that time, My Gal Sal appeared to be intact. Thirty-one years later, My Gal Sal was recovered from the ice, although high winds and the movement of ice over the 53 years since its abandonment had damaged the airframe, separating the tail section of fuselage from the rest of the aircraft and causing additional damage throughout. The plane was restored to a static configuration at Cincinnati-Blue Ash Airport (ICAO designation: KISZ) in Cincinnati[3] and is now part of the collection of the National World War II Museum in New Orleans, Louisiana. On July 15, 1942, six P-38Fs of the 1st Fighter Group and their B-17 escort were also forced down on the Greenland icecap by inclement weather after unsuccessfully attempting to fly to Iceland. One of the P-38s has been recovered and restored as Glacier Girl.</t>
  </si>
  <si>
    <t>//upload.wikimedia.org/wikipedia/commons/thumb/f/f9/My_Gal_Sal_at_National_WWII_Museum_in_New_Orleans%2C_LA.jpg/300px-My_Gal_Sal_at_National_WWII_Museum_in_New_Orleans%2C_LA.jpg</t>
  </si>
  <si>
    <t>B-17E-BO Flying Fortress</t>
  </si>
  <si>
    <t>https://en.wikipedia.org/B-17E-BO Flying Fortress</t>
  </si>
  <si>
    <t>National World War II Museum, New Orleans, Louisiana</t>
  </si>
  <si>
    <t>https://en.wikipedia.org/National World War II Museum, New Orleans, Louisiana</t>
  </si>
  <si>
    <t>MySky MS One</t>
  </si>
  <si>
    <t>The MySky MS One is an American light-sport aircraft, designed and produced by MySky Aircraft of Port Orange, Florida. The aircraft was introduced at AirVenture in 2009. The MS One is supplied as a complete ready-to-fly-aircraft.[1][2] The aircraft was designed to comply with the US light-sport aircraft rules. It features a cantilever low-wing, a two-seats-in-tandem enclosed cockpit under a bubble canopy, fixed tricycle landing gear and a single engine in tractor configuration.[1][2] The MS One is made from composites. Its 30 ft (9.1 m) span wing has an area of 125 sq ft (11.6 m2) and flaps. The standard engine available is the 120 hp (89 kW) Jabiru 3300 four-stroke powerplant, although engines of up to 250 hp (186 kW) can be fitted. The airframe was engineered for +/-10g.[1][2] The original intention was to have the design as an accepted LSA in 2010, but plans were delayed by the economic situation.[2] As of February 2017, the design does not appear on the Federal Aviation Administration's list of approved special light-sport aircraft.[3] Data from Bayerl[1]General characteristics Performance</t>
  </si>
  <si>
    <t>//upload.wikimedia.org/wikipedia/commons/thumb/d/db/MS-1_FIRSTAIRPLANE.JPG/300px-MS-1_FIRSTAIRPLANE.JPG</t>
  </si>
  <si>
    <t>MySky Aircraft</t>
  </si>
  <si>
    <t>https://en.wikipedia.org/MySky Aircraft</t>
  </si>
  <si>
    <t>125 sq ft (11.6 m2)</t>
  </si>
  <si>
    <t>1,323 lb (600 kg)</t>
  </si>
  <si>
    <t>1 × Jabiru 3300 six cylinder, air-cooled, four stroke aircraft engine, 120 hp (89 kW)</t>
  </si>
  <si>
    <t>120 mph (200 km/h, 110 kn)</t>
  </si>
  <si>
    <t>52 mph (83 km/h, 45 kn)</t>
  </si>
  <si>
    <t>24 U.S. gallons (91 L; 20 imp gal)</t>
  </si>
  <si>
    <t>140 mph (220 km/h, 120 kn)</t>
  </si>
  <si>
    <t>2-bladed Sensenich composite</t>
  </si>
  <si>
    <t>10.6 lb/sq ft (51.7 kg/m2)</t>
  </si>
  <si>
    <t>Naval Aircraft Factory N2N</t>
  </si>
  <si>
    <t>The Naval Aircraft Factory N2N was an American two-seat open-cockpit primary training biplane designed and built by the Naval Aircraft Factory.[1] The N2N could be fitted with twin-floats and was powered by a 200 hp Lawrance J-1 radial engine, only three N2N-1s were built.[2] Data from [2]General characteristics Performance     Related lists</t>
  </si>
  <si>
    <t>//upload.wikimedia.org/wikipedia/commons/thumb/8/8d/Naval_Aircraft_Factory_N2N-1.jpg/300px-Naval_Aircraft_Factory_N2N-1.jpg</t>
  </si>
  <si>
    <t>https://en.wikipedia.org/Training biplane</t>
  </si>
  <si>
    <t>Naval Aircraft Factory</t>
  </si>
  <si>
    <t>https://en.wikipedia.org/Naval Aircraft Factory</t>
  </si>
  <si>
    <t>26 ft 11 in (8.20 m)</t>
  </si>
  <si>
    <t>33 ft 8 in (10.26 m)</t>
  </si>
  <si>
    <t>1 × Lawrance J-1 air-cooled radial piston engine, 200 hp (150 kW)</t>
  </si>
  <si>
    <t>106 mph (171 km/h, 92 kn)</t>
  </si>
  <si>
    <t>16,900 ft (5,200 m)</t>
  </si>
  <si>
    <t>America Navy</t>
  </si>
  <si>
    <t>https://en.wikipedia.org/America Navy</t>
  </si>
  <si>
    <t>NS class airship</t>
  </si>
  <si>
    <t>The British NS (North Sea) class non-rigid airships were the largest and last in a succession of "blimps" that served with the Royal Naval Air Service during World War I; developed from experiences gained with earlier classes to operate off the east coast of Britain on long-range patrols.[1] Despite early problems, examples of the class went on to break all flying records for non-rigid airships,[2] and the type became regarded as the most efficient of its kind.[3] The NS class airship was developed in response to the increasing requirement of the RNAS to carry out long-range anti-submarine patrols and convoy escort duties off the west coast of Great Britain, though its name came from the fact that the type was intended to work in collaboration with the Grand Fleet which mainly operated in the North Sea east of the British Isles.[1] In 1916, Britain's rigid airship programme was unable to provide an effective airship; the NS class was developed as a substitute using experiences gained with the Coastal and improved C* classes to create a larger and more weather-worthy long-endurance non-rigid vessel.[4][5] The main requirements for the new design were:[6] Approval was given in January 1916 for the construction of six NS class airships; designed and built at RNAS Kingsnorth on the Hoo Peninsula, not far from the Chatham Dockyard in Kent.[1] Similar to the Coastal and C-Star classes, the "North Seas" employed a tri-lobe envelope based on the Astra-Torres design principles. It incorporated all the improvements that had been previously suggested for those classes – its shape was streamlined throughout, and having a capacity of 360,000 cu ft (10,000 m3) it was significantly larger than that of the "Coastals". Six ballonets of 128,000 cu ft (3,600 m3) in total were provided; equivalent to 35.5% of the total volume.[6] Attached to the envelope were four fins. The smaller top fin was merely for stabilizing purposes; while the larger other three were identical in size and shape, and carried the rudder and elevators. The aluminium fuel tanks were initially situated above the top ridges of the envelope, but its varying shape caused the aluminium fuel lines to fracture and consequently the tanks were later placed inside the envelope.[7] The first examples of the type were equipped with two enclosed cars slung from the underside of the envelope – a control car, and to the rear an engineers' car (power or engine car), joined by an exposed wooden walk-way suspended on cables. The control car was rectangular in cross-section, 35 ft (11 m) long[8] and 6 ft (1.8 m) high, and was constructed from a frame of light steel tubing braced with diagonal wires.[7] The forward portion was clad in duralumin, and the remainder covered with fabric laced to the framework. Duralumin sheeting was chosen instead of aluminium as it is not affected by the combined action of sea air and water. Windows and portholes provided both light for the crew, and afforded a good field of view.[5] The forward section of the control car was extensively glazed, and formed the pilot's cabin which housed all the flight controls, navigating instruments, engine telegraphs and voice pipes. Behind this was the wireless telegraphy cabin, while the living and sleeping accommodation for the 10-man crew was located at the rear of the car.[5][7] In addition to the radio equipment, the wireless operators' compartment carried Aldis lamps as well as international maritime signal flags. The latter could be lowered from the control car, and were effective for communicating with foreign vessels.[8] The engineers' car housed the controls for the engines, and gave access to a flanged hotplate for cooking that was attached to one of the engine exhaust pipes.[7][8] Two dynamos and batteries provided power for the ship's electrical systems which included lights, telephones and signalling lamps etc.[7] The type was initially fitted with a pair of 250 hp (190 kW) Rolls-Royce Eagle engines mounted one either side of the power car in streamlined enclosures. Each drove a 9 ft (2.7 m) diameter four-bladed propeller on independent shafts through an elaborate transmission system.[8][9] A maximum of six 230 lb (100 kg) bombs could be carried as well as up to five machine-guns. Similar to the Coastal and C-Star class airships, one gun was mounted on a platform on top of the envelope which was reached through a climbing shaft.[8] The normal crew comprised two watches of five – necessary for extended patrols – and consisted of a Captain and Second Officer, a Coxswain and Second coxswain, two W/T (Wireless Telegraph) Operators, two Engineers and two Air Gunners. The Captain was in overall command of the vessel, and was assisted by the Second Officer in navigating, maintaining height, and regulating gas pressure. The Coxswain was responsible for the rest of the crew, and for the care and maintenance of the ship whilst on the ground. He or the Second Coxswain steered the vessel in flight from a position at the very front of the control car. During patrols, the Air Gunners took on the duties of look-outs and also acted as cooks.[8] The first example, N.S.1, carried out initial flight trials on 1 February 1917. Preliminary trials were regarded as being satisfactory; the ship achieving a speed of 50 mph (80 km/h) and proving easy to handle. Two further flights were carried out in March, the second of which was a longer cross-country round trip from Kingsnorth to Maidenhead, Farnborough, Guildford, and back to Kingsnorth again. Following the success of this flight, N.S.1 transferred to RNAS Pulham, Norfolk, on 18 April 1917 for more extensive trials. Minor snags encountered during flights over the next few weeks were ironed out, and it was then decided to carry out a full-scale endurance test taking place on 5 June. However, just over 16 hours into the flight, the universal joint on one of the propeller driveshafts broke and the ship returned to Pulham. Then, on 26 June, she again took to the air at 06:00 and remained aloft until 07:22 on 28 June – a flight duration of 49 h 22 min during which she covered 1,536 miles (2,472 km) and encountered only minor technical problems. At that time, this was a record for a British airship of any type.[1] N.S.2's early trials at Kingsnorth were also satisfactory, but during an endurance trial on 27 June similar to that of N.S.1, she became unmanageable when she lost gas and was wrecked in an attempted landing near Stowmarket, Suffolk.[1] N.S.3 made an 11-hour non-stop flight on 22 July 1917 to her operational base at RNAS East Fortune following trials in June at Kingsnorth. She was joined there on 6 September by N.S.1, and by N.S.4 from Kingsnorth on 15 October. N.S.5 set off for East Fortune on 12 December, but both engines failed within sight of her destination, and she drifted with the wind for about 10 miles (16 km) before they could be restarted. However, since both engines continued to be troublesome it was decided to make a "free balloon" landing, but she was damaged beyond repair during the attempt.[1] The Rolls-Royce engines together with their method of installation and complex transmission continually presented problems. They were connected to the propellers via long, heavy driveshafts that were only lightly supported, thus placing undue strain on the transmission system and invariably causing the universal joint nearest the propeller to fracture.[1][7] The Kingsnorth design team hastily set about redesigning the power car and transmission gear, and at the same time, staff at East Fortune were also looking into ways of improving the design. Kingsnorth considered the idea of replacing the Rolls-Royce engines with 240 hp (180 kW) Fiat units having a direct drive to the propellers; while East Fortune's Engineering Officer, Lt.Cdr. A. S. Abell, RNVR, together with Flt.Cdr. J. S. Wheelwright, DSC (Captain of N.S.3), came up with the idea of raising the control car to the same level as the engineers' car; form them into a single fully enclosed unit that measured 85 ft (26 m) in length and tapered to the stern,[7] and fit the propellers directly onto the engine crankshafts. These and other minor measures provided the crew with more room and improved their comfort; increased top speed through reduced air resistance (the redesigned car was more aerodynamic and positioned closer to the envelope); resulted in a reduction in weight; and improved reliability due to the abolition of the troublesome transmission shafts.[2] In January 1918, the Admiralty granted permission for these modifications to be undertaken at both Kingsnorth, and at East Fortune where the work was completed by the beginning of March.[1] Mainly due to the lack of a suitable alternative, official interest continued in the NS class despite the early reliability problems and the loss of two examples during their first months of service, and a further six were subsequently ordered in November 1917. Production continued until the end of the war and for a short time after.[1] Under the continuing command of Captain Wheelwright and with Admiralty officials on board, N.S.3 successfully completed test flights on 11 March 1918, and the following day she undertook an eight-hour trial whilst maintaining a speed in excess of 60 mph (97 km/h). Subsequently, numerous requests to start operational duties were submitted to the Admiralty, and on 3 April permission was granted for a three-quarters power duration flight over land. N.S.3 flew from Longside to Kingsnorth and back to East Fortune; a journey of 816 miles (1,313 km) in 22 hours which at the time constituted a record for British airships. During the flight both engines ran perfectly – the starboard engine ran continuously, while the other was only stopped for about five minutes to replace a broken dynamo drivebelt. On 17 April N.S.3 performed her first convoy escort, and from 20–22 April she completed a flight of 55 hours with various convoys – the longest flight to that date of any non-rigid airship. During May 1918, she flew over 130 hours – one patrol lasted for 33 hours, and another for 20 hours which was curtailed only by orders to return to base due to increasing winds. During a flight on the night of 31 May / 1 June whilst participating in the testing of the anti-aircraft capabilities of the Grand Fleet and shore batteries near Rosyth, N.S.3 achieved a height of 10,000 ft (3,000 m) – another record for the type. In early June 1918, she commenced towing trials with the destroyer HMS Vectis to examine the possibility of towing an airship at speed should it break down or run short of fuel. The tests were initially successful reaching speeds of almost 20 knots (37 km/h), and on the final run N.S.3 touched down on the sea to exchange two officers from Vectis for two of N.S.3′s crew.[1] N.S.3's final patrol commenced on 21 June 1918 with orders to proceed from East Fortune to escort a south-bound Scandinavian convoy. She joined the convoy off Aberdeen around 7 pm; however, later that night increasing winds prompted the decision to return to base at full speed, but severe turbulence and loss of gas caused the ship to crash into the sea early on 22 June 1918 with the loss of five lives. The survivors were picked up from the floating wreckage some time later by the destroyer HMS Moy.[1] In its modified form the type contributed much valuable war service, and at the Armistice on 11 November 1918 six examples were still in service at operational stations – N.S.7 and 8 were based at East Fortune and escorted the surrendered German High Seas fleet back to Rosyth, while N.S.4, 6, 11 and 12 operated from Longside.[1] Two further ships, N.S.14 and 16, were under construction at Kingsnorth, and were flown after the war.[3][8] Under the command of Captain W. K. Warnford N.S.11 set an early endurance record of 61 h 30 min, and accompanied by N.S.12 made the first airship journey to Norway. N.S.11 then went on to set a further flight endurance record of 101 hours during a mine-hunting patrol on 9–13 February 1919 having covered some 4,000 miles (6,400 km). Rigid airship R34 then broke this record when she completed a voyage from East Fortune to Mineola, Long Island, America in 108 hours, and while subsequently attempting (unofficially) to regain this record[10] N.S.11 was lost. In the early hours of 15 July on what was officially supposed to be a mine-hunting patrol, she was seen to fly beneath a long "greasy black cloud" off Cley next the Sea on the Norfolk coast and a massive explosion was heard shortly after. A vivid glare lasted for a few minutes as the burning airship descended, and finally plunged into the sea after a second explosion. There were no survivors, and the findings of the official Court of Enquiry were inconclusive, but amongst other possibilities it was thought that a lightning strike may have caused the explosion.[11] Following the loss of N.S.11, only N.S.7 and 8 remained in service – N.S.14 had been sold to the US Navy and the rest had either been wrecked, deleted or deflated. N.S.8 was deleted in October 1919, while the final flight of the last of the type, N.S.7, took place on 25 October 1921.[8] N.S.14 was transferred to the US Navy on 8 November 1918. N.S.14 was shipped to Wingfoot lake, then to Hampton Roads, arriving on 30 January 1920, There currently are no records of N.S.14 operating with the US Navy.[12] In total 14 NS class blimps were constructed.[13] The extended endurance flights and records broken were simply the result of normal operational flying routine while escorting convoys, hunting for submarines and performing other duties with the Fleet, and due to their success in modified form they were regarded as being probably the best large non-rigid airship that had been produced by any country.[14] Data from [3][9]General characteristics Performance Armament</t>
  </si>
  <si>
    <t>//upload.wikimedia.org/wikipedia/commons/thumb/8/80/North_Sea_Class_Derigible_NS8.jpg/300px-North_Sea_Class_Derigible_NS8.jpg</t>
  </si>
  <si>
    <t>Naval patrol airship</t>
  </si>
  <si>
    <t>RNAS Kingsnorth</t>
  </si>
  <si>
    <t>https://en.wikipedia.org/RNAS Kingsnorth</t>
  </si>
  <si>
    <t>10 (2 × 5)</t>
  </si>
  <si>
    <t>262 ft 0 in (80 m)</t>
  </si>
  <si>
    <t>2 × Fiat , 240 hp (180 kW)  each</t>
  </si>
  <si>
    <t>69 ft 3 in (21.1 m)</t>
  </si>
  <si>
    <t>57 mph (92 km/h, 50 kn)</t>
  </si>
  <si>
    <t>9,500 ft (2,900 m)</t>
  </si>
  <si>
    <t>Royal NavyRoyal Air Force</t>
  </si>
  <si>
    <t>https://en.wikipedia.org/Royal NavyRoyal Air Force</t>
  </si>
  <si>
    <t>24 hours</t>
  </si>
  <si>
    <t>25 October 1921 (last flight)</t>
  </si>
  <si>
    <t>56 ft 9 in (17.3 m)</t>
  </si>
  <si>
    <t>360,000 cu ft (10,000 m3)</t>
  </si>
  <si>
    <t>8,500 lb (3,900 kg)</t>
  </si>
  <si>
    <t>[×6] 128,000 ft³ (3,600 m³)</t>
  </si>
  <si>
    <t>Norman Aviation Nordic 8 Mini Explorer</t>
  </si>
  <si>
    <t>The Norman Aviation Nordic 8 Mini Explorer is a Canadian ultralight aircraft, designed and produced by Norman Aviation of Saint-Anselme, Quebec. The aircraft is supplied as a kit for amateur construction.[1][2][3][4] The Mini Explorer was derived from the larger Hubert de Chevigny designed Personal Explorer, adapted to Canadian Advanced Ultralight rules. It features a strut-braced high-wing, a two-seats-in-side-by-side configuration enclosed cockpit, fixed tricycle landing gear and a single engine in tractor configuration. The Mini Explorer is intended as a flying camper and so includes sufficient cabin space with couches for two adults to sleep and a kitchen. Due to the emphasis on fuselage volume the Mini Explorer is not a fast aircraft for its fitted power, with a cruise speed of about 85 mph (137 km/h).[1][2][5] The aircraft fuselage is made from welded steel tubing, with wooden structure wings and all surfaces covered in doped aircraft fabric. Its 36.1 ft (11.0 m) span wing has an area of 180.3 sq ft (16.75 m2) and no flaps. The cabin width is 48 in (122 cm). Standard engines fitted are the 80 hp (60 kW) Rotax 912UL, the 100 hp (75 kW) Rotax 912ULS and the 115 hp (86 kW) Rotax 914 four-stroke turbocharged powerplant. Construction time from the supplied kit is estimated as 500 hours.[1][2][3][4] In December 2011 the company reported four examples had been completed. In February 2018 there were three Mini-Explorers on the Transport Canada Canadian Civil Aircraft Register, including the prototype.[6]  Data from Bayerl, Pilot Mix and Kitplanes[1][3][4]General characteristics Performance</t>
  </si>
  <si>
    <t>Norman Aviation</t>
  </si>
  <si>
    <t>https://en.wikipedia.org/Norman Aviation</t>
  </si>
  <si>
    <t>4 (2011)</t>
  </si>
  <si>
    <t>6.4 m (21 ft)</t>
  </si>
  <si>
    <t>11.0 m (36.1 ft)</t>
  </si>
  <si>
    <t>16.75 m2 (180.3 sq ft)</t>
  </si>
  <si>
    <t>297 kg (654 lb)</t>
  </si>
  <si>
    <t>559 kg (1,232 lb)</t>
  </si>
  <si>
    <t>137 km/h (85 mph, 74 kn)</t>
  </si>
  <si>
    <t>60 km/h (37 mph, 32 kn)</t>
  </si>
  <si>
    <t>4.3 m/s (850 ft/min)</t>
  </si>
  <si>
    <t>208 km/h (129 mph, 112 kn)</t>
  </si>
  <si>
    <t>33.4 kg/m2 (6.8 lb/sq ft)</t>
  </si>
  <si>
    <t>Mitsubishi MC-1</t>
  </si>
  <si>
    <t>The Mitsubishi MC-1 was a 1920s Japanese single-engined biplane airliner designed and built by the  Mitsubishi Aircraft Company.[1] In 1927, the Japanese Department of Communications launched a competition to design and build an indigenous passenger transport aircraft. Mitsubishi's design to meet this requirement was based on its Mitsubishi B1M torpedo bomber, using the wings of the earlier aircraft combined with a new fuselage.[2] The MC-1 was large three-bay biplane powered by a 385 hp (287 kW) Armstrong Siddeley Jaguar radial engine and it had an open cockpit behind the wings for the pilot and room for four (some sources say eight[3]) passengers in an enclosed cabin in the forward fuselage.[1] The MC-1 had a fixed conventional landing gear but could also be fitted with twin floats.[1][2] The MC-1 was completed in April 1928, and was evaluated against the other two competitors, the Aichi AB-1 and Nakajima N-36, both of which were also biplanes.  No production followed of any of the aircraft, as they were considered obsolete compared with foreign types, and the state-owned airline Japan Air Transport (Nihon Koko Yuso KK) ordered Fokker Universal monoplanes instead.[2] Although no production of the MC-1 followed, the prototype was used to operate an experimental air service between Tokyo and Osaka sponsored by the Asahi Shimbun newspaper between June 1928 and April 1929, and then by Japan Air Transport for services in Korea until May 1930.  It was then used as a seaplane flying sightseeing flights around the north coast of Honshu until 1938.[2] Data from Japanese Aircraft 1910–1941[2]General characteristics Performance  Related development Aircraft of comparable role, configuration, and era</t>
  </si>
  <si>
    <t>//upload.wikimedia.org/wikipedia/commons/thumb/8/87/Mitsubishi_MC-1.jpg/300px-Mitsubishi_MC-1.jpg</t>
  </si>
  <si>
    <t>Biplane airliner</t>
  </si>
  <si>
    <t>https://en.wikipedia.org/Biplane airliner</t>
  </si>
  <si>
    <t>Mitsubishi Aircraft Company</t>
  </si>
  <si>
    <t>https://en.wikipedia.org/Mitsubishi Aircraft Company</t>
  </si>
  <si>
    <t>Mitsubishi B1M</t>
  </si>
  <si>
    <t>https://en.wikipedia.org/Mitsubishi B1M</t>
  </si>
  <si>
    <t>4 (or 8)[3] passengers</t>
  </si>
  <si>
    <t>10.475 m (34 ft 4 in)</t>
  </si>
  <si>
    <t>14.75 m (48 ft 5 in)</t>
  </si>
  <si>
    <t>59 m2 (640 sq ft)</t>
  </si>
  <si>
    <t>1,550 kg (3,417 lb)</t>
  </si>
  <si>
    <t>2,600 kg (5,732 lb)</t>
  </si>
  <si>
    <t>1 × Armstrong Siddeley Jaguar 14-cylinder air-cooled radial engine, 287 kW (385 hp)</t>
  </si>
  <si>
    <t>Japan</t>
  </si>
  <si>
    <t>3.80 m (12 ft 6 in)</t>
  </si>
  <si>
    <t>191 km/h (119 mph, 103 kn)</t>
  </si>
  <si>
    <t>3,000 m (9850 ft) in 20 min 36 s</t>
  </si>
  <si>
    <t>Mooney 301</t>
  </si>
  <si>
    <t>The Mooney 301 was a prototype aircraft created by American manufacturer Mooney Aircraft Company in 1983. It was a low-wing, single-engine, six-place monoplane with retractable landing gear and a pressurized fuselage. The Mooney 301 design team was led by Roy LoPresti.[1] It was an attempt to create an alternative to pressurized single-engine airplanes being introduced by Beechcraft, Cessna and Piper Aircraft. Only one prototype was constructed. Further development was carried out by a consortium led by French investors, eventually resulting in the SOCATA TBM. The Mooney Aircraft Company had previously produced a single-engine pressurized aircraft in 1964 (the M22 Mustang), which had been a financial disaster and was probably the largest single factor in the company's 1969 bankruptcy (although the Mustang continued to be produced through 1970).[2]  By the late 1970s the company was again feeling pressure to offer a pressurized product; Cessna's pressurized 210 had been available for several years, and Piper and Beech had announced their own pressurized single-engine projects. To avoid another M22-type disaster the LoPresti design team (he brought in his own engineers, rather than using Mooney company employees)[3] chose to start with a new design rather than a rework of the existing models (i.e. the M20 and its various upgrades). The 301's general configuration was similar to other Mooney models, differing in details such as an aft-sloping vertical fin, as opposed to the vertical leading edge with forward-swept trailing edge M20 fin, a lower-set engine with small cooling-air inlets, and fixed horizontal stabilizers with trim tab-equipped elevators, as opposed to the pivoting-empennage M20 design.  The tapered wing planform was similar to the M20, slightly longer (37.0 feet vs. 36.42 feet for the M20), and with several differences: the airfoil was a low-drag 15% profile NASA NLF(1)-0315 from root to tip;[4]  double-slotted Fowler flaps covering 90% of the trailing-edge length, with slotted ailerons on the remaining 10%, and with spoilers mounted on the wing's upper surfaces ahead of the flaps to assist the ailerons. The fuselage pressure vessel operated at 5.0 psig, which would provide an equivalent cabin pressure of slightly lower than 9000' MSL when operated at 25,000 MSL.[3][5] The 301's designation came from its projected top speed, 262 knots, or 301 miles per hour. First flight of the prototype occurred on 21 April 1983.[6][7]  Some 70 hours of flight testing were accomplished on that unit during 1983.[8]  Production of the 301 had been scheduled to start in 1985[3] but Mooney suffered another financial crisis during that time: its majority owner, Republic Steel, was acquired by Ling-Temco-Vought in July 1984, and the new owners ordered Republic to divest itself of the Mooney Aircraft Company.  The company was held for six weeks by a Minnesota-based investment company (The Morrison Company), then sold again to a French-based consortium led by Alec Couvelaire, a Paris-based Mooney dealer, and by Armand Rivard, the owner of Lake Aircraft.[9] The new owners decided the aircraft was too heavy (200 pounds over target) and too slow for the projected market (300 knots should be the target, according to the new owners).  Couvelaire proposed a joint venture between Mooney Aircraft and the SOCATA Division of Aerospatiale.  After several iterations (in which Mooney eventually dropped out), that venture resulted in the turboprop-powered TBM 700, in which the "M" stands for "Mooney".[10] The 301 prototype did not fly again after 1983.  It rested in the Mooney Engineering Department for several years, then its wings were removed and the remainder was donated to an A &amp; P school in Abilene, Texas.[citation needed] Data from Airdata File: Mooney 301[11]General characteristics Performance</t>
  </si>
  <si>
    <t>Cabin monoplane</t>
  </si>
  <si>
    <t>Mooney Aircraft Company</t>
  </si>
  <si>
    <t>https://en.wikipedia.org/Mooney Aircraft Company</t>
  </si>
  <si>
    <t>five passengers</t>
  </si>
  <si>
    <t>29 ft 9+1⁄4 in (9.074 m)</t>
  </si>
  <si>
    <t>150.0 sq ft (13.94 m2)</t>
  </si>
  <si>
    <t>2,548 lb (1,156 kg)</t>
  </si>
  <si>
    <t>1 × Avco Lycoming TIO-540 , 360 hp (270 kW)</t>
  </si>
  <si>
    <t>259 mph (417 km/h, 225 kn)</t>
  </si>
  <si>
    <t>1,149 mi (1,849 km, 998 nmi)</t>
  </si>
  <si>
    <t>1,450 ft/min (7.4 m/s)</t>
  </si>
  <si>
    <t>9 ft 10+3⁄4 in (3.016 m)</t>
  </si>
  <si>
    <t>301 mph (484 km/h, 262 kn)</t>
  </si>
  <si>
    <t>25,000 ft (7,600 m)</t>
  </si>
  <si>
    <t>SOCATA TBM</t>
  </si>
  <si>
    <t>https://en.wikipedia.org/SOCATA TBM</t>
  </si>
  <si>
    <t>Mráz Skaut</t>
  </si>
  <si>
    <t>The Mráz M-2 Skaut was a Czechoslovakian wooden two-seat, single engine, low wing sports aircraft of the late 1940s.  In 2005 the design was revisited, resulting in the metal framed, modernised Scout which first flew in 2009 with plans for production and first deliveries in 2011. The Czechoslovak aircraft factory Mráz introduced several new sport aircraft after World War II. One of them was the M-2 Skaut, designed by Zdeněk Rublič, who later designed the Aero L-29 Delfín trainer jet. His aim was to design an easily flyable and reliable aircraft for basic club pilot training, with moderate operating costs and requiring little maintenance. To simplify production, the wing and tail from his earlier, successful M-1C Sokol design[1] was used. The prototype, first flown in mid-1948, showed that the Skaut was a stable and safe aircraft, pleasantly controllable and with a good field of view. These characteristics together with a side-by-side cockpit and a tricycle landing gear made it a promising civil trainer aircraft. However, the new communist government nationalised the Mráz factory and directed it to produce military aircraft, so only the prototype Skaut was completed in the 20th century.[2] Like the Sokol, the Skaut was a wood framed, fabric covered aircraft.  Their shared straight tapered wing had a swept leading edge but no sweep on the trailing edge  They had marked dihedral beyond a very short centre section.  The fin also had a swept leading edge and carried a rounded rudder.  The tailplane was set well to the rear and near the top of the fuselage with a single piece elevator; the rudder moved above it.[1] The Skaut had fixed tricycle landing gear. In 2005 Petr Kubiček, encouraged by aerospace engineering students at Brno University, began to design a modernised Skaut with the hope of production.  The first Kubicek M-2 Scout (the name was Anglicised) of the 21st century appeared, unflown, at Aero '09 held in Friedrichshafen in the spring of 2009 and flew for the first time on 7 May 2009.  The Scout design began with the original plans reassessed with modern methods and using a metal rather than wood structure, supplemented with some composite materials for the engines cowling and flying surface tips.  Two versions are being developed, one to meet the US Light Sport requirement with a maximum take-off weight (MTOW) of 598 kg (1,320 lb) and a second for the European Ultralight MTOW limit of 450 kg (992 lb).[2]  Both these MTOWs are less than that of the original Skaut and empty weight are also less.  Certification was proceeding in 2010, with the aim of first deliveries during 2011.[2] Externally the old and new aircraft are similar, wings and tail having the same features and the side-by-side seating retained.  Electrically operated flaps are fitted to the Scout and there is a central trim tab on the elevator.  Its fixed tricycle undercarriage is mounted on the fuselage with cantilever composite mainlegs.  The mainwheels have brakes operated with a central lever and the nosewheel has helical springing.  All wheels are spatted.  It is powered by a 73.5 kW (98.6 hp) Rotax 912ULS flat four air- and water- cooled piston engine, driving a three blade propeller with ground adjustable blade pitch.  The higher engine power and lighter weight gives the Scout UL a much improved rate climb of 5.0 m/s (984 ft/min) over the Skaut's 3.5 m/s (689 ft/min) and the Scout LSA climbs faster still. (6.0 m/s or 1.181 ft/min).  Wing tanks give a fuel capacity of 90 L (23.5 US gal; 19.8 Imp gal).[2] The only wooden prototype Skaut, OK-CEB Svazák, served at several flying clubs, mostly in Vrchlabí, and became very popular. There are rumours that it was flown solo by glider pilots without any previous experience of powered aircraft.[citation needed] In the early 1960s it was damaged during an emergency landing after an engine failure and was  scrapped.[2] After its first flight in the early summer of 2009, the Scout prototype appeared at several Czech airshows and fly-ins.[2] Data from Jane's All The World's Aircraft 1951–52[3]General characteristics Performance   Aircraft of comparable role, configuration, and era  Related lists</t>
  </si>
  <si>
    <t>Sports plane</t>
  </si>
  <si>
    <t>1 prototype in 1948, 1 in 2009.</t>
  </si>
  <si>
    <t>6.75 m (22 ft 2 in)</t>
  </si>
  <si>
    <t>370 kg (816 lb)</t>
  </si>
  <si>
    <t>1 × Praga D air-cooled horizontally-opposed engine, 56 kW (75 hp)</t>
  </si>
  <si>
    <t>2.7 m/s (530 ft/min)</t>
  </si>
  <si>
    <t>Kubicek M-2 Scout</t>
  </si>
  <si>
    <t>1.9 m (6 ft 3 in)</t>
  </si>
  <si>
    <t>70 L (18 US gal; 15 imp gal)</t>
  </si>
  <si>
    <t>mid-1948</t>
  </si>
  <si>
    <t>https://en.wikipedia.org/Kubicek M-2 Scout</t>
  </si>
  <si>
    <t>Murphy Elite</t>
  </si>
  <si>
    <t>The Murphy Elite is a Canadian light aircraft that was designed and is produced by Murphy Aircraft of Chilliwack, British Columbia. The aircraft is supplied as a kit for amateur construction.[1][2][3][4][5][6] When it was introduced in April 1996 it was originally known as the Rebel Elite.[3][4] The Elite was originally designed as a tricycle gear version of the Murphy Rebel, although it is now also offered with conventional landing gear as an option. It also incorporated some improvements over the Rebel, including a reinforced airframe, cantilever tailplane with a one-piece elevator, all-metal control surfaces, split configuration flaps, and upgraded wing attachment points and leading edges. This enabled the design to achieve a gross weight of 1,800 lb (816 kg), and to mount engines of up to 180 hp (134 kW). The Elite features a strut-braced high-wing, three seats, tricycle landing gear and a single engine in tractor configuration.[1][2][5][6] The aircraft is made from aluminum sheet. Its 30.3 ft (9.2 m) span wing is supported by single lift struts. The occupants are accommodated in an enclosed cabin of 44 in (111.8 cm) width, with doors for access and egress. With a standard empty weight of 1,100 lb (499 kg) and a gross weight of 1,800 lb (816 kg), the Elite has a useful load of 700 lb (318 kg). Acceptable power range is 115 to 180 hp (86 to 134 kW), and recommended engines include the 180 hp (134 kW) Lycoming O-360, 150 to 160 hp (112 to 119 kW) Lycoming O-320 and the 115 hp (86 kW) Lycoming O-235.[1][7] Construction time from the factory kit is estimated at 1400 hours. The Elite can be operated on wheels, including tundra tires, skis and floats.[1][4] Data from Kitplanes and company[1][7][8]General characteristics Performance  Related development</t>
  </si>
  <si>
    <t>//upload.wikimedia.org/wikipedia/commons/thumb/7/7f/N645E_Murphy_Elite_%2810145628955%29.jpg/300px-N645E_Murphy_Elite_%2810145628955%29.jpg</t>
  </si>
  <si>
    <t>25 (2011)[1]</t>
  </si>
  <si>
    <t>Murphy Rebel</t>
  </si>
  <si>
    <t>https://en.wikipedia.org/Murphy Rebel</t>
  </si>
  <si>
    <t>two passengers</t>
  </si>
  <si>
    <t>22 ft 4 in (6.81 m)</t>
  </si>
  <si>
    <t>30 ft 4 in (9.25 m)</t>
  </si>
  <si>
    <t>152 sq ft (14.1 m2)</t>
  </si>
  <si>
    <t>1,800 lb (816 kg)</t>
  </si>
  <si>
    <t>1 × Lycoming O-360 four cylinder, four-stroke, horizontally opposed aircraft engine, 180 hp (130 kW)</t>
  </si>
  <si>
    <t>132 mph (212 km/h, 115 kn)</t>
  </si>
  <si>
    <t>42 mph (68 km/h, 36 kn) with full flaps</t>
  </si>
  <si>
    <t>683 mi (1,099 km, 594 nmi)</t>
  </si>
  <si>
    <t>1,400 ft/min (7.1 m/s)</t>
  </si>
  <si>
    <t>modified NACA 4415</t>
  </si>
  <si>
    <t>44 U.S. gallons (170 L; 37 imp gal)</t>
  </si>
  <si>
    <t>157 mph (253 km/h, 136 kn)</t>
  </si>
  <si>
    <t>+5.7/-3.8 (ultimate limit)</t>
  </si>
  <si>
    <t>11.8 lb/sq ft (58 kg/m2)</t>
  </si>
  <si>
    <t>5.2 hours</t>
  </si>
  <si>
    <t>NASA 515</t>
  </si>
  <si>
    <t>NASA 515 is a Boeing 737 heavily modified for NASA use as a continuing research facility.[1] The aircraft was the first 737 built and was used by Boeing to qualify the 737 design.[2] NASA 515 was maintained and flown by Langley Research Center as part of the Terminal Area Productivity (TAP) program. After its use by NASA was concluded in 2003, the aircraft was preserved, and is on public display at the Museum of Flight, near Seattle, Washington.[3] This article on an aircraft of the 1970s is a stub. You can help Wikipedia by expanding it.</t>
  </si>
  <si>
    <t>//upload.wikimedia.org/wikipedia/commons/thumb/7/77/NASA_515_Boeing_B-737-130_in_flight.jpg/300px-NASA_515_Boeing_B-737-130_in_flight.jpg</t>
  </si>
  <si>
    <t>Boeing Aircraft Company</t>
  </si>
  <si>
    <t>https://en.wikipedia.org/Boeing Aircraft Company</t>
  </si>
  <si>
    <t>Boeing 737-130</t>
  </si>
  <si>
    <t>https://en.wikipedia.org/Boeing 737-130</t>
  </si>
  <si>
    <t>N515NA</t>
  </si>
  <si>
    <t>Boeing  NASA</t>
  </si>
  <si>
    <t>https://en.wikipedia.org/Boeing  NASA</t>
  </si>
  <si>
    <t>Museum of Flight</t>
  </si>
  <si>
    <t>https://en.wikipedia.org/Museum of Flight</t>
  </si>
  <si>
    <t>Nine-O-Nine</t>
  </si>
  <si>
    <t>Nine-O-Nine was a Boeing B-17G-30-BO Flying Fortress heavy bomber, of the 323rd Bomb Squadron, 91st Bomb Group, that completed 140 combat missions during World War II, believed to be the Eighth Air Force record for most missions, without loss to the crews that flew her. A different B-17G, painted to mimic the Nine-O-Nine, crashed at Bradley International Airport in Windsor Locks, Connecticut in October 2019. The original aircraft, from a group of 30 B-17Gs manufactured by Boeing, was nicknamed after the last three digits of her serial number: 42-31909. Nine-O-Nine was added to the USAAF inventory on December 15, 1943, and flown overseas on February 5, 1944. After depot modifications, she was delivered to the 91st BG at RAF Bassingbourn, England, on February 24, 1944, as a replacement aircraft, one of the last B-17s received in factory-applied camouflage paint.[1] A former navigator of the 91st BG, Marion Havelaar, reported in his history of the group that Nine-O-Nine completed either 126 or 132 consecutive missions without aborting for mechanical reasons, also believed to be a record.[2] M/Sgt. Rollin L. Davis, maintenance line chief of the bomber, received the Bronze Star for his role in achieving the record. Her first bombing raid was on Augsburg, Germany, on February 25, 1944.  She made 18 bombing raids on Berlin.  In all she flew 1,129 hours and dropped 562,000lb (225 tonnes) of bombs. She had 21 engine changes, four wing panel changes, 15 main gas tank changes, and 18 changes of Tokyo tanks (long-range fuel tanks).[3] Nine-O-Nine returned to the America after the war in Europe finished, on June 8, 1945. She was sent to the RFC facility at Kingman, Arizona on December 7, 1945, and eventually scrapped. The Collings Foundation of Stow, Massachusetts, flew a different B-17G—painted as a "tribute ship" to honor the original Nine-O-Nine—at airshows and for "living history" flights, from 1986[4] until October 2019. Flying Fortress 44-83575 (variant B-17G-85-DL) was built by the Douglas Aircraft Company in Long Beach, California, and was accepted by the military on April 7, 1945. Arriving too late for use in combat, 44-83575 operated as an Air-Sea Rescue aircraft until 1952, when she was reassigned to the Air Force Special Weapons Command for use as a specimen in weapons-effects testing. In this role, she was subjected to three nuclear explosions as part of Operation Tumbler–Snapper.[5] After a 13-year "cool down" period, the plane was sold for scrap,[3] for a price of US$269 (equivalent to $2,209 in 2020).[5] As 44-83575 was in relatively good condition, she was restored by Aircraft Specialties Company[3] to airworthy condition for use as a water bomber over the course of ten years, entering service in 1977, until her operator's liquidation in 1985.[5] The Collings Foundation purchased the aircraft in January 1986, and her subsequent restoration to wartime configuration by Tom Reilly Vintage Aircraft won several awards.[3] Carrying civil registration N93012, the plane was painted as Nine-O-Nine (including "231909" on the tail) and appeared at many airshows.[3] It was featured in a 2019 episode of Museum Access which included a detailed tour of its interior and video of the aircraft in flight. "NL93012" placard can be seen on the instrument panel and "231909" on its tail. On August 23, 1987, N93012 was caught by crosswinds during a landing at Beaver County Airport near Pittsburgh. Landing too far down the runway, the plane rolled off the end of runway, crashed through a fence and power pole, and came to rest down a 100-foot (30 m) ravine.[3] Landing gear, chin and ball turrets, bomb bay doors, Plexiglass nose, nacelles, wings, and fuselage all sustained damage.[3] There were no fatalities, however three of the twelve people on board were injured.[6][7] Repair work by volunteers and Air Heritage Aircraft Restoration Inc., supported by donations, brought N93012 back to airworthy condition.[3] On July 9, 1995, N93012 was again damaged, this time near Norfolk, Nebraska, when her landing gear would not fully deploy and she  was forced to make an emergency landing, causing some damage to the fuselage and at least one propeller.[6] On the morning of October 2, 2019, N93012 crashed at Bradley International Airport in Windsor Locks, Connecticut, while attempting to return shortly after takeoff.[8][9] The aircraft was destroyed in the crash, and seven of the thirteen people on board were killed.[10] The National Transportation Safety Board (NTSB) launched an investigation,[11] and in April 2021 released a report citing pilot error as the likely cause, with inadequate maintenance as a contributing factor.[12]</t>
  </si>
  <si>
    <t>//upload.wikimedia.org/wikipedia/commons/thumb/5/57/B-17-231503-bassingborne.jpg/300px-B-17-231503-bassingborne.jpg</t>
  </si>
  <si>
    <t>Boeing Airplane Company</t>
  </si>
  <si>
    <t>https://en.wikipedia.org/Boeing Airplane Company</t>
  </si>
  <si>
    <t>42-31909</t>
  </si>
  <si>
    <t>December 15, 1943–December 7, 1945</t>
  </si>
  <si>
    <t>Boeing B-17G-30-BO Flying Fortress</t>
  </si>
  <si>
    <t>https://en.wikipedia.org/Boeing B-17G-30-BO Flying Fortress</t>
  </si>
  <si>
    <t>91st Bomb Group USAAF</t>
  </si>
  <si>
    <t>https://en.wikipedia.org/91st Bomb Group USAAF</t>
  </si>
  <si>
    <t>1,129 hours</t>
  </si>
  <si>
    <t>Airborne T-Lite</t>
  </si>
  <si>
    <t>The Airborne T-Lite is an Australian ultralight trike, designed and produced by Airborne Windsports of Redhead, New South Wales. The aircraft is supplied as a complete ready-to-fly-aircraft.[1] The T-Lite was designed as both a cross country powered aircraft and self-launching motor glider for soaring. The aircraft was designed to comply with the Fédération Aéronautique Internationale microlight category as well as the US FAR 103 Ultralight Vehicles rules. It features a cable-braced hang glider-style high-wing, weight-shift controls, a single-seat open cockpit, tricycle landing gear and a single engine in pusher configuration.[1] The aircraft is made from bolted-together aluminum tubing, with its double surface Airborne Core wing covered in Dacron sailcloth, with the top surface finished in mylar PX cloth. The 9.5 m (31.2 ft) span Core wing is supported by a single tube-type kingpost and uses an "A" frame weight-shift control bar. The powerplant is a purpose-designed, single cylinder, air-cooled, four-stroke, 22 hp (16 kW) Bailey B200 engine, with electric starting and a 3.2:1 reduction drive. The aircraft has an empty weight of 90 kg (198 lb) and a gross weight of 210 kg (463 lb), giving a useful load of 120 kg (265 lb). With full fuel of 10 litres (2.2 imp gal; 2.6 US gal) the payload is 113 kg (249 lb). The permitted pilot weight range is 50 to 110 kg (110 to 243 lb).[1][2] The T-Lite is designed to be quickly disassembled for ground transport. The 10 litres (2.2 imp gal; 2.6 US gal) fuel tank is located behind the pilot's seat and can be disconnected quickly to allow transporting it independently of the aircraft for refueling.[1] Data from Bayerl and Airborne Windsports[1][2]General characteristics Performance</t>
  </si>
  <si>
    <t>Airborne Windsports</t>
  </si>
  <si>
    <t>https://en.wikipedia.org/Airborne Windsports</t>
  </si>
  <si>
    <t>2.2 m (7 ft 3 in)</t>
  </si>
  <si>
    <t>9.5 m (31 ft 2 in)</t>
  </si>
  <si>
    <t>90 kg (198 lb)</t>
  </si>
  <si>
    <t>1 × Bailey B200 single cylinder, air-cooled, four stroke aircraft engine, 16 kW (22 hp)</t>
  </si>
  <si>
    <t>32 km/h (20 mph, 17 kn)</t>
  </si>
  <si>
    <t>239 km (149 mi, 129 nmi)</t>
  </si>
  <si>
    <t>1.6 m/s (310 ft/min)</t>
  </si>
  <si>
    <t>3.4 m (11 ft 2 in)</t>
  </si>
  <si>
    <t>10 litres (2.2 imp gal; 2.6 US gal)</t>
  </si>
  <si>
    <t>85 km/h (53 mph, 46 kn)</t>
  </si>
  <si>
    <t>2-bladed Helix-Carbon H30F L-M-08-2, 1.3 m (4 ft 3 in) diameter</t>
  </si>
  <si>
    <t>+4/0g (flight limits) +6/-3g (ultimate load limits)</t>
  </si>
  <si>
    <t>Airbridge Fregat-Hydro</t>
  </si>
  <si>
    <t>The Airbridge Fregat-Hydro is a Russian seaplane ultralight trike, designed and produced by Airbridge of Moscow. The aircraft is supplied as a complete ready-to-fly-aircraft.[1] The Fregat-Hydro was designed to comply with the Fédération Aéronautique Internationale microlight category. It features a cable-braced hang glider-style high-wing, weight-shift controls, a two-seats-in-tandem open cockpit, twin inflatable floats and a single engine in pusher configuration.[1] The Fregat-Hydro is made from bolted-together aluminum tubing, with its double surface wing covered in Dacron sailcloth. Its 9.28 m (30.4 ft) span wing is supported by a single tube-type kingpost and uses an "A" frame weight-shift control bar. On the more recent models the powerplant is a modified liquid-cooled, four-stroke, 80 hp (60 kW) Suzuki automotive engine. The aircraft has an empty weight of 230 kg (507 lb) and a gross weight of 500 kg (1,102 lb), giving a useful load of 270 kg (595 lb). With full fuel of 33 litres (7.3 imp gal; 8.7 US gal) the payload is 246 kg (542 lb).[1] Data from Bayerl[1]General characteristics Performance</t>
  </si>
  <si>
    <t>Airbridge</t>
  </si>
  <si>
    <t>https://en.wikipedia.org/Airbridge</t>
  </si>
  <si>
    <t>9.28 m (30 ft 5 in)</t>
  </si>
  <si>
    <t>16.5 m2 (178 sq ft)</t>
  </si>
  <si>
    <t>230 kg (507 lb)</t>
  </si>
  <si>
    <t>1 × Suzuki liquid-cooled, four stroke automotive engine, 60 kW (80 hp)</t>
  </si>
  <si>
    <t>6.5 m/s (1,280 ft/min)</t>
  </si>
  <si>
    <t>33 litres (7.3 imp gal; 8.7 US gal)</t>
  </si>
  <si>
    <t>3-bladed composite</t>
  </si>
  <si>
    <t>27.3 kg/m2 (5.6 lb/sq ft)</t>
  </si>
  <si>
    <t>HyperMach SonicStar</t>
  </si>
  <si>
    <t>HyperStar is a proposed supersonic jet airliner designed by HyperMach[1] CEO Richard H. Lugg.[2] Lugg said, in a 2016 Altitudes Aviation interview and at a 2014 presentation at the Global Aerospace Summit in Abu Dhabi, that he plans to have the hypersonic transport airborne by June 2028.[2] The HyperStar is expected to reach speeds of up to Mach number 3.6 (2,375 mph (3,822 km/h))[2] and fly at an altitude of 80,000 feet (24,380 m).[3] Its propulsion is projected to be 30 percent more fuel efficient than the Rolls Royce/Snecma Olympus 593 Engine which flew the Concorde.[3]  Hypothetically, the HyperStar would fly three times faster than the speed of the Concorde.[2] It is planned to be powered by two engineered 157,700 thrust SonicBlue HYSCRAM (Hypersonic Superconducting Combustion Ram Accelerated Magnetohydrodynamic Drive [3]) hybrid hypersonic 6500-X series engines.[4] Sonic boom is expected to be eliminated over land, through electromagnetic drag reduction technology currently under development.[3] The proposed HyperStar would carry 10 to 20[3] "luxury" passengers.[2] This aircraft-related article is a stub. You can help Wikipedia by expanding it.</t>
  </si>
  <si>
    <t>Hypersonic Passenger transport</t>
  </si>
  <si>
    <t>HyperMach Aerospace Industries</t>
  </si>
  <si>
    <t>HyperMach</t>
  </si>
  <si>
    <t>Airline</t>
  </si>
  <si>
    <t>https://en.wikipedia.org/Airline</t>
  </si>
  <si>
    <t>development</t>
  </si>
  <si>
    <t>2028 (proposed)</t>
  </si>
  <si>
    <t>Apollo Jet Star</t>
  </si>
  <si>
    <t>The Apollo  Jet Star is a Hungarian ultralight trike, designed and produced by Apollo Ultralight Aircraft of Eger. The aircraft is supplied as a kit for amateur construction or as a complete ready-to-fly-aircraft.[1] The Jet Star was designed to comply with the Fédération Aéronautique Internationale microlight category as well as the US light-sport aircraft category. It features a cable-braced or strut-braced hang glider-style high-wing, weight-shift controls, a two-seats-in-tandem, open cockpit, tricycle landing gear with wheel pants and a single engine in pusher configuration.[1] The Jet Star is accepted in the America as both an Experimental and Special Light-sport aircraft.[2] The aircraft is made from bolted-together aluminum tubing, with its double surface wing covered in Dacron sailcloth. The aircraft uses an "A" frame weight-shift control bar. The main landing gear uses strut-type suspension, rather than the leaf-type suspension used on the Apollo Delta Jet series. The powerplant options include the twin cylinder, liquid-cooled, two-stroke, dual-ignition 64 hp (48 kW) Rotax 582 engine, the four cylinder, air and liquid-cooled, four-stroke, dual-ignition 80 hp (60 kW) Rotax 912 or 100 hp (75 kW) Rotax 912S engine.[1] The aircraft has an empty weight of 180 kg (397 lb) and a gross weight of 430 kg (948 lb), giving a useful load of 250 kg (551 lb). With full fuel of 45 litres (9.9 imp gal; 12 US gal) the payload is 218 kg (481 lb).[1] A number of different wings can be fitted to the basic carriage, including the cable-braced Aeros Profi, the cable-braced Air Creation iXess, the strut-braced Aeros Profi TL or the strut-braced Gibbogear Manta Ray 12.5.[1] Data from Bayerl[1]General characteristics Performance</t>
  </si>
  <si>
    <t>Apollo Ultralight Aircraft</t>
  </si>
  <si>
    <t>https://en.wikipedia.org/Apollo Ultralight Aircraft</t>
  </si>
  <si>
    <t>15 m2 (160 sq ft)</t>
  </si>
  <si>
    <t>180 kg (397 lb)</t>
  </si>
  <si>
    <t>4 m/s (790 ft/min)</t>
  </si>
  <si>
    <t>Hungary</t>
  </si>
  <si>
    <t>https://en.wikipedia.org/Hungary</t>
  </si>
  <si>
    <t>45 litres (9.9 imp gal; 12 US gal)</t>
  </si>
  <si>
    <t>28.7 kg/m2 (5.9 lb/sq ft)</t>
  </si>
  <si>
    <t>Apollo Monsoon</t>
  </si>
  <si>
    <t>The Apollo Monsoon is a Hungarian ultralight trike, designed and produced by Apollo Ultralight Aircraft of Eger. The aircraft is supplied as a kit for amateur construction or as a complete ready-to-fly-aircraft.[1] Designed especially for the American market in conjunction with their US distributor, the Monsoon was intended to comply with the Fédération Aéronautique Internationale microlight category as well as the US light-sport aircraft category. It features a cable-braced or strut-braced hang glider-style high-wing, weight-shift controls, a two-seats-in-tandem, open cockpit, tricycle landing gear with wheel pants and a single engine in pusher configuration.[1] The Monsoon is accepted in the America as both an Experimental and Special Light-sport aircraft.[2][3] The aircraft is made from bolted-together aluminum tubing, with its double surface wing covered in Dacron sailcloth. The aircraft uses an "A" frame weight-shift control bar. The landing gear has all three wheels independently  suspended and each wheel is equipped with disc brakes. A parking brake is also fitted. The powerplant options include the twin cylinder, liquid-cooled, two-stroke, dual-ignition 64 hp (48 kW) Rotax 582 engine, the four cylinder, air and liquid-cooled, four-stroke, dual-ignition 80 hp (60 kW) Rotax 912 or 100 hp (75 kW) Rotax 912S engine. Engine air-cooling is facilitated by an under-fuselage air scoop.[1] In its AS-IV model the aircraft has an empty weight of 249 kg (549 lb) and a gross weight of 450 kg (992 lb), giving a useful load of 201 kg (443 lb). With full fuel of 57 litres (13 imp gal; 15 US gal) the payload is 160 kg (353 lb).[1] A number of different wings can be fitted to the basic carriage, including the cable-braced Aeros Profi, the strut-braced Aeros Profi TL and the North Wing Reflex 11 or 13. Early examples were provided with the  strut-braced Gibbogear Manta Ray 12.5 wing.  Available options include the Ballistic Recovery Systems 1050 ballistic parachute and an Enigma colour glass combination EFIS/GPS system.[1] Data from Bayerl[1]General characteristics Performance</t>
  </si>
  <si>
    <t>7.9 m (25 ft 11 in)</t>
  </si>
  <si>
    <t>12.5 m2 (135 sq ft)</t>
  </si>
  <si>
    <t>249 kg (549 lb)</t>
  </si>
  <si>
    <t>108 km/h (67 mph, 58 kn)</t>
  </si>
  <si>
    <t>Evolution Revo</t>
  </si>
  <si>
    <t>57 litres (13 imp gal; 15 US gal)</t>
  </si>
  <si>
    <t>36 kg/m2 (7.4 lb/sq ft)</t>
  </si>
  <si>
    <t>https://en.wikipedia.org/Evolution Revo</t>
  </si>
  <si>
    <t>Apollo Racer GT</t>
  </si>
  <si>
    <t>The Apollo  Racer GT is a Hungarian ultralight trike, designed and produced by Apollo Ultralight Aircraft of Eger. The aircraft is supplied as a kit for amateur construction or as a complete ready-to-fly-aircraft.[1] The Racer GT is a simplified and lighter derivative of the Apollo Jet Star, with a simplified cockpit fairing and no engine cowling. It was designed to comply with the Fédération Aéronautique Internationale microlight category. It features a cable-braced hang glider-style high-wing, weight-shift controls, a two-seats-in-tandem, open cockpit, tricycle landing gear with wheel pants and a single engine in pusher configuration. The main landing gear uses strut-type suspension, rather than the leaf-type suspension used on the Apollo Delta Jet series. A nose wheel brake is standard equipment.[1][2] The aircraft is made from bolted-together aluminum tubing, with its double surface wing covered in Dacron sailcloth. The aircraft uses an "A" frame weight-shift control bar. The powerplant options include the twin cylinder, liquid-cooled, two-stroke, dual-ignition 64 hp (48 kW) Rotax 582 engine and the four cylinder, air and liquid-cooled, four-stroke, dual-ignition 80 hp (60 kW) Rotax 912 engine.[1] The aircraft has an empty weight of 140 kg (309 lb) and a gross weight of 430 kg (948 lb), giving a useful load of 290 kg (639 lb). With full fuel of 55 litres (12 imp gal; 15 US gal) the payload is 250 kg (551 lb).[1] A number of different Apollo wings can be fitted to the basic carriage, including the C-15, C-15TN, C-17 and CXMD. Te Racer GT is the only aircraft built by Apollo that is approved to be fitted with floats. Optional equipment includes instructor training pedals, a hang glider towing system, ballistic parachute, windshield and main wheel  brakes .[1][2] Data from Bayerl[1]General characteristics Performance</t>
  </si>
  <si>
    <t>140 kg (309 lb)</t>
  </si>
  <si>
    <t>1 × Rotax 582 twi cylinder, liquid-cooled, two stroke aircraft engine, 48 kW (64 hp)</t>
  </si>
  <si>
    <t>55 litres (12 imp gal; 15 US gal)</t>
  </si>
  <si>
    <t>Avio Design Swan</t>
  </si>
  <si>
    <t>The Avio Design Swan is a family of Bulgarian ultralight trikes, designed and produced by Avio Design of Kazanlak. The aircraft are all supplied as a complete ready-to-fly-aircraft.[1] The aircraft family was designed to comply with the Fédération Aéronautique Internationale microlight category, including the category's maximum gross weight of 450 kg (992 lb). All models feature a cable-braced hang glider-style high-wing, weight-shift controls, a two-seats-in-tandem open cockpit, tricycle landing gear with wheel pants and a single engine in pusher configuration.[1] The aircraft is made from bolted-together aluminum tubing, with its double surface wing covered in Dacron sailcloth. Typical wings used have a 9.5 to 10.2 m (31.2 to 33.5 ft) span wing, are supported by a single tube-type kingpost and use an "A" frame weight-shift control bar. The standard powerplant is the twin cylinder, air-cooled, two-stroke, dual-ignition 64 hp (48 kW) Rotax 582 engine.  Options do not include the 80 hp (60 kW) Rotax 912 engine.[1] Data from Bayerl[1]General characteristics Performance</t>
  </si>
  <si>
    <t>Avio Design</t>
  </si>
  <si>
    <t>https://en.wikipedia.org/Avio Design</t>
  </si>
  <si>
    <t>9.50 m (31 ft 2 in)</t>
  </si>
  <si>
    <t>12.3 m2 (132 sq ft)</t>
  </si>
  <si>
    <t>133 kg (293 lb)</t>
  </si>
  <si>
    <t>1 × Rotax 582 twin cylinder, liquid-cooled, two stroke aircraft engine, 48 kW (64 hp)</t>
  </si>
  <si>
    <t>6-bladed composite</t>
  </si>
  <si>
    <t>34.1 kg/m2 (7.0 lb/sq ft)</t>
  </si>
  <si>
    <t>Dauntless Dotty</t>
  </si>
  <si>
    <t>Dauntless Dotty is the nickname of a Boeing B-29-40-BW Superfortress during the Second World War that led the first B-29 raid on Tokyo on 24 November 1944, the first bombing attack of the Japanese capital since the Doolittle Raid on 18 April 1942. The B-29 that became Dauntless Dotty is a block 40 airframe, manufactured by Boeing at the Wichita, Kansas plant which was built specifically for Superfortress production, and was the twenty-second of a hundred block 40-BWs constructed. It was assigned Army Air Force serial number 42-24592, and Boeing-Wichita constructors number (c/n) 4253.[4] The future Dotty was assigned to the 497th Bombardment Group (Very Heavy), with three assigned squadrons, at Pratt Army Air Field, Kansas, in the spring of 1944. The 497th was deployed to the Pacific Theater of Operations (PTO) in September 1944, being assigned to the XXI Bomber Command 73d Bombardment Wing in the Northern Mariana Islands, and stationed at Isely Field, Saipan. The first 497th Superfort arrived there on 17 September. The group began operations in October 1944 with work up attacks against Iwo Jima and the Truk Islands. Captain Robert K. Morgan (31 July 1918 – 15 May 2004), of Asheville, North Carolina, had been the pilot on the majority of the missions flown by the B-17 Flying Fortress, Memphis Belle, when it was designated the official "first" bomber to complete 25 operations, while flying with the 91st Bomb Group, VIII Bomber Command, in the European Theatre of Operations. (Hell's Angels, of the 303d Bomb Group, actually beat the Belle by one week.) [5][6] Memphis Belle was the first combat-veteran bomber to return to the America as part of a publicity campaign to sell war bonds.[7] Morgan flew the plane all over the America for bond rallies. Promoted to Major, Morgan flew a second combat tour in the Pacific Theater, commanding the 869th Bomb Squadron, 497th Bomb Group. Flying B-29 Superfortress, 42-24592, tail code 'A1'[8] named Dauntless Dotty, after his third wife, Dorothy Johnson Morgan, he completed 26 missions over Japan until sent home on 24 April 1945. On 24 November 1944, he led the first mission of the XXI Bomber Command to bomb Japan, 111 aircraft of the 73rd Bomb Wing to Tokyo, with wing commander Brigadier General Emmett O'Donnell, Jr. as mission command pilot and Vince Evans as lead bombardier. Evans had served in England with Morgan as bombardier of the Memphis Belle. "The city was 1,500 miles from the Marianas. Brigadier-General Emmett O’Donnell flying the Dauntless Dotty led 111 B-29s against the Musashima [sic] engine factory. The planes dropped their bombs from 30,000 feet and came across the first of a number of problems – accuracy. The B-29’s were fitted with an excellent bomb aimer – the Norden – but it could not make out its target through low cloud. Also flying at 30,000 feet meant that the planes frequently flew in a jet stream wind that was between 100 and 200 mph which further complicated bomb aiming. Of the 111 planes on the raid, only 24 found the target."[9] Dotty also participated in another significant Tokyo raid on 9/10 March 1945, when it flew the first night, low level altitude, fire bombing (Operation Meetinghouse) raid. This was the single deadliest air raid of World War II;[10] greater than Dresden,[11] Hiroshima, or Nagasaki as single events.[12][13] Dauntless Dotty, departed Kwajalein at 0306 hrs. on 7 June 1945 for the second leg of a ferry flight back to the America, commanded by Capt. William A. Kelley, of Tifton, Georgia. Forty seconds after takeoff, the aircraft struck the Pacific Ocean and sank, killing 10 of 13 on board instantly. (MACR 14530)[14]  Co-pilot 1st Lt. John Neville, of Bradley, Illinois, tailgunner S/Sgt. Glenn F. Gregory, of Waldron, Indiana, and left gunner S/Sgt. Charles McMurray (also spelt McMurry in one source), of Memphis, Tennessee, were thrown from the wreckage and were recovered by a rescue boat after some 45 minutes in the water.[15] The wreckage of the Dotty and the remains of the ten men who were trapped inside her when she sank have never been located.  The wreckage is believed to be at a depth of approximately 6,000 feet.[16] A search for the lost airframe by the National Underwater and Marine Agency Australia has been proposed.[17]</t>
  </si>
  <si>
    <t>//upload.wikimedia.org/wikipedia/commons/thumb/2/28/497bg-869sq-42-24592-dauntless-dotty.jpg/300px-497bg-869sq-42-24592-dauntless-dotty.jpg</t>
  </si>
  <si>
    <t>ca. Jan 1944</t>
  </si>
  <si>
    <t>42-24592</t>
  </si>
  <si>
    <t>1944 – 6 June 1945</t>
  </si>
  <si>
    <t>Boeing B-29-40-BW Superfortress</t>
  </si>
  <si>
    <t>https://en.wikipedia.org/Boeing B-29-40-BW Superfortress</t>
  </si>
  <si>
    <t>America Army Air Force</t>
  </si>
  <si>
    <t>Crashed on takeoff, 6 June 1945, Kwajalein</t>
  </si>
  <si>
    <t>https://en.wikipedia.org/America Army Air Force</t>
  </si>
  <si>
    <t>880 combat hours [2]</t>
  </si>
  <si>
    <t>53 missions [1]</t>
  </si>
  <si>
    <t>176,000 combat miles [3]</t>
  </si>
  <si>
    <t>https://en.wikipedia.org/Crashed on takeoff, 6 June 1945, Kwajalein</t>
  </si>
  <si>
    <t>Airbridge Cruiser Suzuki</t>
  </si>
  <si>
    <t>The Airbridge Cruiser Suzuki is a Russian ultralight trike, designed and produced by Airbridge of Moscow. The aircraft is supplied as a complete ready-to-fly-aircraft.[1] The Cruiser Suzuki was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tricycle landing gear with wheel pants and a single engine in pusher configuration.[1] The Cruiser Suzuki is made from bolted-together aluminum tubing, with its double surface wing covered in Dacron sailcloth. Its 9.28 m (30.4 ft) span wing is supported by a single tube-type kingpost and uses an "A" frame weight-shift control bar. The powerplant is a modified liquid-cooled, four-stroke, 80 hp (60 kW) Suzuki automotive engine. The aircraft has an empty weight of 230 kg (507 lb) and a gross weight of 450 kg (992 lb), giving a useful load of 220 kg (485 lb). With full fuel of 33 litres (7.3 imp gal; 8.7 US gal) the payload is 196 kg (432 lb).[1] Data from Bayerl[1]General characteristics Performance</t>
  </si>
  <si>
    <t>Heinkel HE 9</t>
  </si>
  <si>
    <t>The Heinkel HE 9 was a reconnaissance seaplane developed by the German aviation company Ernst Heinkel Flugzeugwerke AG in the late 1920s. The aircraft was equipped with 660 liters (492 kW) BMW VI . The planned crew consisted of three people. On 21 May 1929 the plane established numerous world record for seaplanes including a speed record of 231 kilometers per hour in one km of track with a load of 1000 kg. On 10 June HE 9 set a speed record for 1000 km of track with a load of 1000 kg.  Data from [1]General characteristics Performance</t>
  </si>
  <si>
    <t>//upload.wikimedia.org/wikipedia/commons/thumb/3/3d/Heinkel_HE_9_L%27Air_December_1%2C1929.jpg/300px-Heinkel_HE_9_L%27Air_December_1%2C1929.jpg</t>
  </si>
  <si>
    <t>Reconnaissance floatplane</t>
  </si>
  <si>
    <t>Heinkel</t>
  </si>
  <si>
    <t>https://en.wikipedia.org/Heinkel</t>
  </si>
  <si>
    <t>11.6 m (38 ft 1 in)</t>
  </si>
  <si>
    <t>16.8 m (55 ft 1 in)</t>
  </si>
  <si>
    <t>47.5 m2 (511 sq ft)</t>
  </si>
  <si>
    <t>2,379 kg (5,245 lb)</t>
  </si>
  <si>
    <t>3,000 kg (6,614 lb)</t>
  </si>
  <si>
    <t>1 × BMW VI V-12 water-cooled piston engine, 560 kW (750 hp)</t>
  </si>
  <si>
    <t>850 km (530 mi, 460 nmi)</t>
  </si>
  <si>
    <t>2.8 m/s (550 ft/min)</t>
  </si>
  <si>
    <t>4.56 m (15 ft 0 in)</t>
  </si>
  <si>
    <t>500 kg</t>
  </si>
  <si>
    <t>250 km/h (160 mph, 130 kn)</t>
  </si>
  <si>
    <t>5,900 m (19,400 ft)</t>
  </si>
  <si>
    <t>63 kg/m2 (13 lb/sq ft)</t>
  </si>
  <si>
    <t>1,000 m (3,300 ft) in 2 minutes 50 seconds</t>
  </si>
  <si>
    <t>Aircraft Technologies Acro 1</t>
  </si>
  <si>
    <t>The Aircraft Technologies Acro 1 is an American aerobatic homebuilt aircraft that was designed by Fred Meyer and produced by Aircraft Technologies of Lilburn, Georgia. When it was available the aircraft was supplied as a kit or in the form of plans for amateur construction.[1] Neither plans nor kits are available anymore and the aircraft is out of production.[2] Designed as a high-speed, long-range cross country and aerobatic aircraft, the Acro 1 features a cantilever low-wing, a single-seat enclosed cockpit under a bubble canopy, fixed conventional landing gear and a single engine in tractor configuration. The aircraft is stressed to +/-15g.[1] The aircraft is made from graphite and fiberglass composites. Its 20.00 ft (6.1 m) span wing has a wing area of 75.00 sq ft (6.968 m2) and has no flaps. The acceptable power range is 100 to 210 hp (75 to 157 kW) and the standard engine used is the 200 hp (149 kW) Lycoming IO-360 powerplant which gives it a cruise speed of 220 mph (350 km/h). A fuel capacity of 47 U.S. gallons (180 L; 39 imp gal) provides a range of 1,000 mi (1,600 km).[1] The Acro 1 has an empty weight of 780 lb (350 kg) and a gross weight of 1,250 lb (570 kg), giving a useful load of 470 lb (210 kg). With full fuel of 47 U.S. gallons (180 L; 39 imp gal) the payload is 188 lb (85 kg).[1] The manufacturer estimates the construction time from the supplied kit as 700 hours.[1] By 1998 the company reported that one example had been flown.[1] In November 2014 three examples were registered in the America with the Federal Aviation Administration.[3][4] Data from AeroCrafter[1]General characteristics Performance   Aircraft of comparable role, configuration, and era  Related lists</t>
  </si>
  <si>
    <t>//upload.wikimedia.org/wikipedia/commons/thumb/6/6c/Aircraft_Technologies_Acro_1_N25BE.png/300px-Aircraft_Technologies_Acro_1_N25BE.png</t>
  </si>
  <si>
    <t>Aircraft Technologies</t>
  </si>
  <si>
    <t>https://en.wikipedia.org/Aircraft Technologies</t>
  </si>
  <si>
    <t>Fred Meyer</t>
  </si>
  <si>
    <t>At least three (2013)</t>
  </si>
  <si>
    <t>75.00 sq ft (6.968 m2)</t>
  </si>
  <si>
    <t>780 lb (354 kg)</t>
  </si>
  <si>
    <t>1,250 lb (567 kg)</t>
  </si>
  <si>
    <t>1 × Lycoming IO-360 four cylinder, air-cooled, fuel injected four stroke aircraft engine, 200 hp (150 kW)</t>
  </si>
  <si>
    <t>220 mph (350 km/h, 190 kn)</t>
  </si>
  <si>
    <t>58 mph (93 km/h, 50 kn)</t>
  </si>
  <si>
    <t>1,000 mi (1,600 km, 870 nmi)</t>
  </si>
  <si>
    <t>3,000 ft/min (15 m/s)</t>
  </si>
  <si>
    <t>47 U.S. gallons (180 L; 39 imp gal)</t>
  </si>
  <si>
    <t>245 mph (394 km/h, 213 kn)</t>
  </si>
  <si>
    <t>+/-15</t>
  </si>
  <si>
    <t>16.67 lb/sq ft (81.4 kg/m2)</t>
  </si>
  <si>
    <t>September Fury</t>
  </si>
  <si>
    <t>September Fury, given the race number 232,  is a highly modified Hawker Sea Fury that is a regular racer at the Reno Air Races.[1] In 1962 two abandoned Sea Fury wrecks were recovered from a farmer's field in New Brunswick, Canada. Only one of the two wrecks survive a hangar fire and it went on to be restored to airworthiness as N232J. Then after a landing gear failure the wrecked aircraft was bought by the Sanders Family in November 1969. In September 1970 the aircraft was airworthy once again.[2][3] N232J was entered in the California 1000 race and finished in fourth place. Again it raced in the July 1971 America Cup Race, with Sanders piloting it to second place. In November the aircraft flew again in the California 1000 race, ending with first place. In 1975 the aircraft raced again at the California National Air Races and finished in 6th place. The aircraft changed owners in 1978 and again in 1988. That September the aircraft was raced as "232" at the National Championship Air Races in Reno, Nevada. In late 1989 the aircraft was sold and moved to the United Kingdom, not to return to the America again until 1995. Michael Brown bought the aircraft in 1996 and the aircraft was again registered as N232J and restored, then the Mk. 18 Bristol Centaurus engine removed and replaced with a more powerful Curtis Wright R-3350-93. With its first flight in 1998. The new 232 under the name September Fury returned to the Reno Air Races in 2000, the first time since 1988. Though did not finish due to a blown engine. September Fury would have the engine replaced with a modified R-3350 and the aircraft modified further, ready to race in 2001. In 2002 September Fury was clocked going 468.266 mph, the fastest Sea Fury in the world. It would finish in second place at the Reno Air Races. The 2003 Pylon Racing Seminar saw a repainted September Fury with a more wild scheme. September Fury however blew an engine at the Reno Air Races that year and did not get to compete. In 2004 September Fury finished in 3rd place in the Unlimited Gold. In 2006 September Fury took first place at the Reno Air Races, Unlimited Breitling Gold race.[4][5] September Fury competed in the 2007 Reno Air Races however did not finish the Unlimited Breitling Gold race due to a blown engine. The 2008 Reno Air Races, Unlimited Breitling Gold race concluded with September Fury in third position. In 2009 September Fury changed owners and did not race again until 2011. Finishing in 4th place.[6] In 2012 September Fury finished 2nd to Strega in the Unlimited Breitling Gold race.[7] 2013 saw a fast qualify time with September Fury placing 2nd on the roster.roster  However mechanical failure left the aircraft unable to race.[8] On April 29, 2019, it was reported by an aircraft dealer that September Fury was sold and would be back in the air soon. No indication was given whether it would remain its air racing configuration or be converted back to stock.[9]   Aircraft of comparable role, configuration, and era</t>
  </si>
  <si>
    <t>//upload.wikimedia.org/wikipedia/commons/thumb/b/bb/CPonte_September_Fury_Reno1.jpg/300px-CPonte_September_Fury_Reno1.jpg</t>
  </si>
  <si>
    <t>Hawker Sea Fury</t>
  </si>
  <si>
    <t>https://en.wikipedia.org/Hawker Sea Fury</t>
  </si>
  <si>
    <t>N232J</t>
  </si>
  <si>
    <t>Highly modified as an unlimited class racing aircraft</t>
  </si>
  <si>
    <t>Caproni Ca.103</t>
  </si>
  <si>
    <t>The Caproni Ca.103 was a biplane twin-engine bomber developed by the Italian company Aeronautica Caproni in the late 1920s. The Ca.103 had a fuselage, with a rectangular section and made of welded tubes, that integrated the two-seater closed cockpit placed at the wing connection edge and intercommunicating with the three positions for machine guns and pointer. On the rear, it ended up with a single drift fletching equipped with horizontal counter-braced sesquiplane planes, connected to each other by a pair of "V-shaped" uprights, and with the lower plane with adjustable incidence in flight. The wing configuration was sesquiplana inverted with neutral scaling, ie with a higher wing plane with a significantly shorter opening and positioned directly above the lower one, the latter being the only one with a differential slit aileron . The wings, both characterized by a sensitive positive dihedral angle, were connected to each other by a series of riser pairs in Warren truss configuration. The landing gear had a fixed classic tricycle configuration, with a front element with an interrupted axle and an elastic upright, with uncovered wheels equipped with brakes, integrated at the back by a swiveling support wheel which was also elastically cushioned.[1] Data from Aeroplani Caproni dal 1908 al 1935[2]General characteristics Performance Armament     Related lists</t>
  </si>
  <si>
    <t>Caproni</t>
  </si>
  <si>
    <t>https://en.wikipedia.org/Caproni</t>
  </si>
  <si>
    <t>23 m (75 ft 6 in)</t>
  </si>
  <si>
    <t>130 m2 (1,400 sq ft)</t>
  </si>
  <si>
    <t>4,200 kg (9,259 lb)</t>
  </si>
  <si>
    <t>6,700 kg (14,771 lb)</t>
  </si>
  <si>
    <t>2 × Fiat A.24 V-12 water-cooled piston engines, 560 kW (750 hp)  each</t>
  </si>
  <si>
    <t>2-bladed pusher and tractor propellers</t>
  </si>
  <si>
    <t>3 × 7.7 mm (0.303 in) machine guns</t>
  </si>
  <si>
    <t>1,000 kg (2,200 lb) of bombs</t>
  </si>
  <si>
    <t>Yokosuka E5Y</t>
  </si>
  <si>
    <t>The Yokosuka E5Y (long designation: Yokosuka Navy Type 90-3 Reconnaissance Seaplane) was a single-engine Japanese seaplane used for reconnaissance. The E5Y was also built by Kawanishi as the E5K (long designation: Kawanishi Navy Type 90-3 Reconnaissance Seaplane) The Yokosuka Type 90-3 (E5Y1) was a second-generation seaplane with a 450 hp (340 kW) engine based on an updated Yokosuka E1Y, developed at the Yokosuka Naval Arsenal in Kanagawa Prefecture, featuring two externally mounted floats. The Japanese Navy initially designated it as the Yokosuka Navy Type 14-2 Kai-1 Reconnaissance Seaplane, but production was undertaken by Kawanishi as the Kawanishi Navy Type 90-3 Reconnaissance Seaplane.[1] [2] By 1932, the Aichi AB-6 was under development to replace the E5Y / E5K seaplanes. The Kawanishi E5K1 or Kawanishi Type G was a large 1930s Japanese three-seat reconnaissance floatplane.[3] The E5K1, a radial-engined twin-float seaplane, first flew in October 1931, but due to problems in development only 20 production aircraft were built.[3] The type entered service with the Imperial Japanese Navy Air Service in April 1932 as the Kawanishi Navy Type 90-3 Reconnaissance Seaplane.[3] The E5K1 was a production version with a 450 hp (340 kW) Bristol Jupiter radial engine; 20 production aircraft were built.[3] Two pre-production Type-14-2 Kai-1-Ds, powered by the Bristol Jupiter were built by Kawanishi under the company name Kawanishi Type G. Seventeen production aircraft were built as the Kawanishi Navy Type 90-3 Reconnaissance Seaplane (E5K1). On 25 May 1932 the IJN seaplane tender-oiler Notoro was re-equipped with Kawanishi Navy Type 90-3 Reconnaissance Seaplanes as well as other tenders and battleships of the IJN. The E5K saw action during the Shanghai Incident from 28 January – 3 March 1932.[4] The Japanese seaplane tender Kamoi carried a complement of 12 E5Y aircraft. Short designation for the production aircraft built by Kawanishi Data from [2]General characteristics Performance Armament     Related lists 2 Hyphenated trailing letter (-J, -K, -L, -N or -S) denotes design modified for secondary role</t>
  </si>
  <si>
    <t>reconnaissance seaplane</t>
  </si>
  <si>
    <t>Yokosuka Naval Air Technical Arsenal</t>
  </si>
  <si>
    <t>https://en.wikipedia.org/Yokosuka Naval Air Technical Arsenal</t>
  </si>
  <si>
    <t>WNF Wn 16</t>
  </si>
  <si>
    <t>The WNF Wn 16 was an Austrian experimental aircraft built near the start of World War II to test the properties of the then-new tricycle undercarriage arrangement.   The WNF Wn 16, originally built as the Meindl-van Nes A.XV (aka Meindl M.15),[1] was an Austrian experimental aircraft built in the late 1930s for tricycle undercarriage research.[2] It was a swept wing tandem two-seater, with a pusher configuration engine and twin-boom fuselage.[3] Its cantilever low wing had straight edges and 18.33° of sweep at quarter chord.  The wing was in three parts, with a twin spar, steel tube framed centre section welded to the central fuselage which supported the tailbooms on its upper surfaces at their outer ends.  The ribs were also formed from steel tube.  The forward part of the centre section was plywood covered, with fabric aft. The outer wing panels were ply covered, each with a single wooden single spar. There was a split flap over the whole centre section trailing edge and slotted ailerons which filled the trailing edges of the outer panels.[2] The short fuselage was also a welded steel tube structure, alloy skinned front and rear but with a fabric covered central section that contained the tandem seats under a continuous, multi-framed canopy which merged into the rear fuselage. The Wn 16's  pusher configuration, 37 kW (50 hp) Salmson 9Ad nine cylinder radial engine was installed within a Townend ring cowling at the rear of the fuselage beyond the wing, driving a two blade propeller.[2][3] The Wn 16 was later re-engined with a 45 kW (60 hp) Walter Mikron.[4][5][6] The Wn 16's tail-booms were wooden monocoques.  The rectangular tail-plane and elevator was on top of them, with oval vertical tails acting as end-plates; the fins had ply covered wooden frames and the rudders had fabric covered steel frames.[2][3] Its tricycle gear was fixed, all units with bungee cord shock absorbers. Both legs and wheels were enclosed in streamlined fairings. The nosewheel was steerable via the rudder pedals.[2] The Wn 16 flew for the first time on 23 September 1939.[5] Development continued into World War II and the first flight with the Walter engine was on 7 August 1942.[1] Data from Heinz J. Navarra (1988)[2]General characteristics Performance</t>
  </si>
  <si>
    <t>Experimental aircraft</t>
  </si>
  <si>
    <t>https://en.wikipedia.org/Experimental aircraft</t>
  </si>
  <si>
    <t>Wiener Neustädter Flugzeugwerke GmbH (WNF)</t>
  </si>
  <si>
    <t>Erich Meindl</t>
  </si>
  <si>
    <t>7.27 m (23 ft 10 in)</t>
  </si>
  <si>
    <t>9.84 m (32 ft 3 in)</t>
  </si>
  <si>
    <t>13.50 m2 (145.3 sq ft)</t>
  </si>
  <si>
    <t>1 × Salmson 9Ad 9-cylinder radial, 37 kW (50 hp)</t>
  </si>
  <si>
    <t>400 km (250 mi, 220 nmi)</t>
  </si>
  <si>
    <t>2.2 m/s (430 ft/min)</t>
  </si>
  <si>
    <t>Austria</t>
  </si>
  <si>
    <t>https://en.wikipedia.org/Austria</t>
  </si>
  <si>
    <t>1.80 m (5 ft 11 in)</t>
  </si>
  <si>
    <t>38 l (8.4 imp gal; 10 US gal)</t>
  </si>
  <si>
    <t>160 km/h (99 mph, 86 kn) at sea level</t>
  </si>
  <si>
    <t>2,800 m (9,200 ft) service</t>
  </si>
  <si>
    <t>2-bladed [3]</t>
  </si>
  <si>
    <t>65 km/h (40 mph)</t>
  </si>
  <si>
    <t>Zeppelin-Lindau CS.I</t>
  </si>
  <si>
    <t>The Zeppelin-Lindau CS.I was a German single-engined reconnaissance seaplane with a low-wing monoplane layout. In 1918, Claude Dornier, working at the time at the Zeppelin factory in Lindau, proposed a reconnaissance seaplane to replace the Hansa-Brandenburg W.29. During flight tests, it became clear that the power of the power plant was insufficient and the engine was replaced by an 195 hp (145 kW) Benz Bz.IIIbo water-cooled V-8 engine. Nonetheless, test flights were discontinued following the World War I armistice.[1] The CS.I was a twin float all-metal seaplane with a monocoque fuselage, initially powered by a 170 hp (130 kW) Mercedes D.IIIa six-cylinder in-line water-cooled engine. Armament consisted of a fixed forward-firing, synchronised 7.92 mm (0.312 in) LMG 08/15 Spandau machine gun and a flexibly mounted 7.92 mm (0.312 in) Parabellum MG 14 machine-gun in the rear cockpit.[2] Data from [3]General characteristics Performance Armament</t>
  </si>
  <si>
    <t>//upload.wikimedia.org/wikipedia/commons/thumb/e/e4/Dornier_Cs.I_301220_p1287.png/300px-Dornier_Cs.I_301220_p1287.png</t>
  </si>
  <si>
    <t>Zeppelin-Lindau</t>
  </si>
  <si>
    <t>Claude Dornier</t>
  </si>
  <si>
    <t>https://en.wikipedia.org/Claude Dornier</t>
  </si>
  <si>
    <t>13.18 m (43 ft 3 in)</t>
  </si>
  <si>
    <t>29.8 m2 (321 sq ft)</t>
  </si>
  <si>
    <t>960 kg (2,116 lb)</t>
  </si>
  <si>
    <t>1,479 kg (3,261 lb)</t>
  </si>
  <si>
    <t>1 × Benz Bz.IIIbo V-8 water-cooled piston engine, 145 kW (195 hp)</t>
  </si>
  <si>
    <t>Kaiserliche Marine</t>
  </si>
  <si>
    <t>https://en.wikipedia.org/Kaiserliche Marine</t>
  </si>
  <si>
    <t>1x fixed forward-firing, synchronised 7.92 mm (0.312 in) LMG 08/15 Spandau machine gun; 1x flexibly mounted 7.92 mm (0.312 in) Parabellum MG 14 machine-gun in the rear cockpit.</t>
  </si>
  <si>
    <t>Bautek Skycruiser</t>
  </si>
  <si>
    <t>The Bautek Skycruiser is a German ultralight trike, designed and produced by Bautek of Kenn, Germany. The aircraft is supplied as a complete ready-to-fly-aircraft.[1] The Skycruiser was Bautek's first trike design and was designed to comply with the German 120 kg microlight category.  The aircraft features a cable-braced hang glider-style high-wing, weight-shift controls, a single-seat open cockpit, tricycle landing gear with finned wheel pants and a single engine in pusher configuration.[1] The aircraft is made from bolted-together aluminum tubing, with its double surface wing covered in Dacron sailcloth. Its 9.5 m (31.2 ft) span Bautek Pico L wing is supported by a single tube-type kingpost and uses an "A" frame weight-shift control bar. The powerplant is a specially modified and tuned twin cylinder, air-cooled, four-stroke, 38 hp (28 kW) Briggs &amp; Stratton Vanguard 1000 engine. This engine provides good fuel economy with a low noise level of 55 dB and produces a cruise speed of 90 km/h (56 mph).[1] The aircraft has an empty weight of 75 kg (165 lb) without the wing fitted and a gross weight of 238 kg (525 lb). The fuel tank holds 30 litres (6.6 imp gal; 7.9 US gal) of fuel.[1] The Skycruiser is German DULV certified.[1] Data from Bayerl[1]General characteristics Performance</t>
  </si>
  <si>
    <t>Bautek</t>
  </si>
  <si>
    <t>https://en.wikipedia.org/Bautek</t>
  </si>
  <si>
    <t>75 kg (165 lb) (carriage and engine only)</t>
  </si>
  <si>
    <t>238 kg (525 lb)</t>
  </si>
  <si>
    <t>1 × Briggs &amp; Stratton Vanguard 1000 twin cylinder, air-cooled, four stroke aircraft engine, 28 kW (38 hp)</t>
  </si>
  <si>
    <t>43 km/h (27 mph, 23 kn)</t>
  </si>
  <si>
    <t>30 litres (6.6 imp gal; 7.9 US gal)</t>
  </si>
  <si>
    <t>19.5 kg/m2 (4.0 lb/sq ft)</t>
  </si>
  <si>
    <t>St Croix Sopwith Triplane</t>
  </si>
  <si>
    <t>The St Croix Sopwith Triplane is an American homebuilt aircraft that was designed and produced by St Croix Aircraft of Corning, Iowa. When it was available the aircraft was supplied as a kit or in the form of plans for amateur construction. The aircraft is a full-size replica of the 1916 Sopwith Triplane fighter aircraft.[1] The aircraft features a cantilever strut-braced triplane layout, a single-seat, with an optional two-seats-in-tandem open cockpit, fixed conventional landing gear and a single engine in tractor configuration.[1] The St Croix Sopwith Triplane differs from the original 1916 design in that it employs a welded steel tube fuselage, modern engine installation and other minor details.  The Triplane is all covered in doped aircraft fabric. Its 26.50 ft (8.1 m) span wing uses strut and cable-bracing and has a wing area of 231.0 sq ft (21.46 m2). The cabin width is 27 in (69 cm). The acceptable power range is 150 to 250 hp (112 to 186 kW) and the standard engine used is the 190 hp (142 kW) Lycoming O-435 powerplant.[1] The St Croix Sopwith Triplane has a typical empty weight of 1,475 lb (669 kg) and a gross weight of 2,000 lb (910 kg), giving a useful load of 525 lb (238 kg). With full fuel of 35 U.S. gallons (130 L; 29 imp gal) the payload for the pilot, passengers and baggage is 315 lb (143 kg).[1] The standard day, sea level, no wind, take off with a 190 hp (142 kW) engine is 250 ft (76 m) and the landing roll is 750 ft (229 m).[1] The manufacturer estimated the construction time from the supplied kit as 4000 hours.[1] By 1998 the company reported that 25 kits had been sold and 15 aircraft were completed and flying.[1] Data from AeroCrafter[1]General characteristics Performance Armament</t>
  </si>
  <si>
    <t>St Croix Aircraft</t>
  </si>
  <si>
    <t>https://en.wikipedia.org/St Croix Aircraft</t>
  </si>
  <si>
    <t>Sopwith Triplane</t>
  </si>
  <si>
    <t>https://en.wikipedia.org/Sopwith Triplane</t>
  </si>
  <si>
    <t>231 sq ft (21.5 m2)</t>
  </si>
  <si>
    <t>1,475 lb (669 kg)</t>
  </si>
  <si>
    <t>2,000 lb (907 kg)</t>
  </si>
  <si>
    <t>1 × Lycoming O-435 six cylinder, air-cooled, four stroke aircraft engine, 190 hp (140 kW)</t>
  </si>
  <si>
    <t>97 mph (156 km/h, 84 kn)</t>
  </si>
  <si>
    <t>250 mi (400 km, 220 nmi)</t>
  </si>
  <si>
    <t>35 U.S. gallons (130 L; 29 imp gal)</t>
  </si>
  <si>
    <t>117 mph (188 km/h, 102 kn)</t>
  </si>
  <si>
    <t>8.7 lb/sq ft (42 kg/m2)</t>
  </si>
  <si>
    <t>one replica .303 caliber Vickers machine gun</t>
  </si>
  <si>
    <t>1912 British Military Aeroplane Competition</t>
  </si>
  <si>
    <t>In 1911 the British War Office announced their first Military Aeroplane Competition for aircraft to meet the requirements of the Air Battalion Royal Engineers. The formal requirements were published in December 1911.[1] By the time the trials were held in August 1912, the Air Battalion had become the Military wing of the Royal Flying Corps (RFC). It was held at Larkhill on Salisbury Plain,[2] and the competition was won by S. F. Cody with his Cody V biplane.[3] By 1911 it was clear that the development of aircraft had reached the point where they were of military significance.  France, the world leader in aviation at the time, had over 200 aircraft in military service. In contrast, Britain's total military aircraft strength was nineteen aircraft, of which, in the words of Colonel J.E.B Seely, Under-Secretary of State for War,  "one is broken beyond repair and one is quite out of date. Others are more or less under repair" adding "We are arriving at a point when we think we see our way to choose what is the best type, first for teaching people to fly, and secondly, to buy for the purposes of war should war unfortunately break out".[4] The only practical step that had been taken by the War Office was the creation of an establishment for the scientific examination of the various problems involved in aircraft design.  After some consultation with the Royal Aero Club and various aircraft manufacturers, they announced their "Specification for a Military Aeroplane" in late December, the details being published in Flight magazine on 23 December 1911. The aircraft's performance had to meet the following requirements:[1] Additionally, the aircraft had to be transported to Larkhill in a crate of specified size and assembled there. Aircraft had to be capable of being dismantled and transported by road or rail, and the ease of rigging and de-rigging would be one of the factors taken into account by the judges. Prizes were to be awarded for aircraft built in any country: first prize £4,000, second prize £2,000.[2] Prizes for British subjects in an aircraft made in the United Kingdom (except the engine): first prize £1500, two second prizes of £1,000, and three third prizes of £500.[2] Ten other aircraft that passed the flying test would be given £100.[2] The War Office issued an amended and slightly less demanding list of specifications in May 1912, and manufacturers were to submit their entries to the Secretary of the Judges Committee by 15 June. The aircraft had to be delivered to Larkhill on or before 15 July. No date was given for the actual flying trials.[5] These eventually started on 2 August 1912. Originally 32 different aircraft were entered for the trials but some failed to turn up.[2] The competition was judged by a committee consisting of Brigadier D . Henderson, Captain Godfrey Paine and Mervyn O'Gorman, with Major F.H. Sykes acting as Secretary. The trials were very different from modern military aircraft trials. Although the public were excluded from the aircraft hangars and flying field, otherwise free access was allowed. Aviation was then a subject of great popular interest, and many people came to watch.[6] 3rd Prize of £500 in the British-built category, purchased by the Royal Flying Corps after trial French-built, 2nd prize in any country category of  £2,000, purchased by the Royal Flying Corps The Cody biplane successfully passed all the tests and was declared winner of the competition, despite the fact that several other of the competitors (such as the Hanriot monoplanes) demonstrated better all-round performance. As a result, the Cody was purchased by the Flying Corps, with an order placed for a second example to be built by Cody.[10][11] Several more of the competitors were also purchased by the Royal Flying Corps. These were the Blériot XI-2, the two Bristol Coanda monoplanes and the two Gnome-powered Deperdussins. Most of these aircraft saw little use, with one of the Deperdussins crashing fatally on 6 September 1912, followed by one of the Bristol-Coanda monoplanes on 10 September (with the Bristol crash being caused by inadvertent operation in flight of a quick-release catch which had been fitted to allow easy disassembly for the Trials). These crashes resulted in a ban being imposed on monoplane use by the RFC,[12] which had a long-term effect on the course of British aircraft design.  The Cody Trials aircraft crashed fatally due to a structural failure in April 1913, and the second Cody biplane was withdrawn from use.[13] The War Office had already placed orders for A. V. Roe's Type 500 two seat biplane, the Gnome-engined immediate predecessor of the Type G. They had also placed orders for examples of the B.E.1 built by the Royal Aircraft Factory and designed by Geoffrey de Havilland. The prototypes of this design had put in a number of appearances at the trials and had clearly demonstrated its all-round superiority over the other aircraft; they were barred from competition because the Director of the Royal Aircraft Factory, Mervyn O'Gorman, was on the panel of judges.</t>
  </si>
  <si>
    <t>//upload.wikimedia.org/wikipedia/commons/thumb/e/ea/Cody_V_biplane_-_Science_Museum.jpg/300px-Cody_V_biplane_-_Science_Museum.jpg</t>
  </si>
  <si>
    <t>Airtrike Eagle 5</t>
  </si>
  <si>
    <t>The Airtrike Eagle 5 is a German ultralight trike, that was designed and produced by Airtrike of Berlin. When it was in production the aircraft was supplied as a complete ready-to-fly-aircraft.[1] The manufacturer entered liquidation on 1 January 2017.[2] The Eagle was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tricycle landing gear with wheel pants and a single engine in pusher configuration.[1] The aircraft is made from bolted-together aluminum tubing, with its fuselage made predominately from composites and with its double surface wing covered in Dacron sailcloth. Its 9.8 m (32.2 ft) span Hazard 12S wing is attached by lift struts to its "A" frame weight-shift control bar. The standard powerplant is an air-cooled, four-stroke, 90 hp (67 kW) BWM motorcycle engine. Optional powerplants include the four cylinder, air and liquid-cooled, four-stroke, dual-ignition 80 hp (60 kW) Rotax 912 engine and the in-house designed Airtrike 850ti 120 hp (89 kW) engine. The aircraft has an empty weight of 215 kg (474 lb) and with its gross weight of 450 kg (992 lb) has a useful load of 235 kg (518 lb). With full fuel of 65 litres (14 imp gal; 17 US gal) the payload is 168 kg (370 lb).[1] A number of different wings can be fitted to the basic carriage, including the strut-braced Hazard 12S and several Aeros wings.[1] Data from Bayerl[1]General characteristics Performance</t>
  </si>
  <si>
    <t>Airtrike</t>
  </si>
  <si>
    <t>https://en.wikipedia.org/Airtrike</t>
  </si>
  <si>
    <t>1 × BMW air-cooled, four stroke motorcycle engine, 67 kW (90 hp)</t>
  </si>
  <si>
    <t>4.6 m/s (910 ft/min)</t>
  </si>
  <si>
    <t>Production completed (2017)</t>
  </si>
  <si>
    <t>37.5 kg/m2 (7.7 lb/sq ft)</t>
  </si>
  <si>
    <t>Dewoitine HD.412</t>
  </si>
  <si>
    <t>The Dewoitine HD.412 was a prototype French racing floatplane of the 1930s.  The HD.412 was a low-wing monoplane racer of all-metal construction. It used floats for takeoff and landing on water. Data from [1]General characteristics Performance     Related lists</t>
  </si>
  <si>
    <t>//upload.wikimedia.org/wikipedia/commons/thumb/4/48/Dewoitine_HD.412.jpg/300px-Dewoitine_HD.412.jpg</t>
  </si>
  <si>
    <t>Racing floatplane</t>
  </si>
  <si>
    <t>Dewoitine</t>
  </si>
  <si>
    <t>https://en.wikipedia.org/Dewoitine</t>
  </si>
  <si>
    <t>8.70 m (28 ft 7 in)</t>
  </si>
  <si>
    <t>1.115 m2 (12.00 sq ft)</t>
  </si>
  <si>
    <t>727 kg (1,602 lb)</t>
  </si>
  <si>
    <t>944 kg (2,082 lb)</t>
  </si>
  <si>
    <t>1 × Hispano-Suiza 18R W-18 liquid-cooled piston engine, 1,200 kW (1,600 hp)</t>
  </si>
  <si>
    <t>3.70 m (12 ft 2 in)</t>
  </si>
  <si>
    <t>565 km/h (351 mph, 305 kn)</t>
  </si>
  <si>
    <t>Sunbeam Bomber</t>
  </si>
  <si>
    <t>The Sunbeam Bomber was a prototype single-engined, single seat bomber aircraft of the First World War. Only one example flew as the type proved to be unsuccessful and was abandoned. Following the outbreak of the First World War, the Sunbeam Motor Car Company became a major supplier of licence-built aircraft for the Royal Naval Air Service (RNAS), in addition to its existing work as a designer and builder of aero-engines and motor vehicles.[1][2] In November 1916, a requirement for a single-engined, single-seat bomber was issued on behalf of the RNAS,[3] and when Sunbeam decided to design an aircraft to respond to this specification, it received an order for two prototypes from the Admiralty.[2] Sunbeam's design was a two-bay biplane of conventional tractor configuration. It was powered by one of Sunbeam's own Arab V8 engines rated at 200 horsepower (150 kW) and driving a two-bladed propeller. The aircraft's fuel tanks were located in the fuselage at the aircraft's centre of gravity, which resulted in the pilot's cockpit being well behind the wings (and 13 feet (4.0 m) behind the nose). Racks for three 100 lb (45 kg) bombs were fitted under the wings, while a single forward-firing synchronized Vickers machine gun was mounted above the aircraft's engine.[2][4] The first prototype, serial number N515 first flew at Castle Bromwich in late 1917, but exhibited a number of problems. The Puma engine, despite being ordered in large numbers, was unreliable and suffered from severe vibration, which considerably delayed service testing. The aircraft's layout, with the pilot sitting so far aft, gave him a poor view, and sitting 8 feet (2.4 m) away from the Vickers gun, could no nothing to resolve any gun stoppage. When eventually formally tested, in August 1918, it proved to be heavier and carry fewer bombs than the private venture Sopwith B.1 of similar concept.[4] The second prototype was abandoned before it was completed, and no orders were placed either for the Sunbeam or the Sopwith,[5] which were incapable of defending themselves against attacking enemy fighters[6] Existing two-seat aircraft such as the Airco DH.4 better met the RNAS's (and later the Royal Air Force's) requirements.[7] Data from British Aeroplanes 1914–18[8]General characteristics Performance Armament   Aircraft of comparable role, configuration, and era</t>
  </si>
  <si>
    <t>Sunbeam Motor Car Company</t>
  </si>
  <si>
    <t>https://en.wikipedia.org/Sunbeam Motor Car Company</t>
  </si>
  <si>
    <t>36 ft 6 in (11.13 m)</t>
  </si>
  <si>
    <t>42 ft 0 in (12.80 m)</t>
  </si>
  <si>
    <t>466 sq ft (43.3 m2)</t>
  </si>
  <si>
    <t>1,915 lb (869 kg)</t>
  </si>
  <si>
    <t>2,952 lb (1,339 kg)</t>
  </si>
  <si>
    <t>1 × Sunbeam Arab water-cooled V8 engine, 200 hp (150 kW)</t>
  </si>
  <si>
    <t>11 ft 0 in (3.35 m)</t>
  </si>
  <si>
    <t>112.5 mph (181.1 km/h, 97.8 kn) at 6,000 ft (1,800 m)</t>
  </si>
  <si>
    <t>18,500 ft (5,600 m)</t>
  </si>
  <si>
    <t>41⁄2 hr at 15,000 ft (4,600 m)</t>
  </si>
  <si>
    <t>**14 min 20 s to 10,000 ft (3,000 m)28 min 5 s to 15,000 ft (4,600 m)</t>
  </si>
  <si>
    <t>1× 0.303 in (7.7 mm) Vickers machine gun</t>
  </si>
  <si>
    <t>3× 100 lb (45 kg) bombs under wings</t>
  </si>
  <si>
    <t>Ace Magic</t>
  </si>
  <si>
    <t>The Ace Magic is an Indian ultralight trike, designed by John Penry-Evans and produced by Ace Aviation of Tamil Nadu. The aircraft is supplied as a complete ready-to-fly-aircraft.[1][2] The Magic was designed to comply with the Fédération Aéronautique Internationale microlight category, including the category's maximum gross weight of 450 kg (992 lb). The aircraft has a maximum gross weight of 245 kg (540 lb). It also complies with the US FAR 103 Ultralight Vehicles rules when equipped with a 20 litres (4.4 imp gal; 5.3 US gal) fuel tank.[1][2] The Magic features a cable-braced hang glider-style high wing, weight-shift controls, a single-seat open cockpit, tricycle landing gear and a single engine in pusher configuration.[1][2] Designed in the United Kingdom and produced in India, the aircraft is imported into the UK by P&amp;M Aviation.[1][2] The aircraft is made from bolted-together aluminum tubing, with its two-surface wing covered in Dacron sailcloth. Its 9.2 m (30.2 ft) wingspan is supported by a single tube-type kingpost and uses an "A" frame weight-shift control bar. The powerplant is a twin-cylinder, air-cooled, two-stroke, single-ignition, 40 hp (30 kW) Rotax 447 engine. Optional engines include the 48 hp (36 kW) Simonini Victor 1 Plus and the four-stroke NS.T NS650. A trim system, adjustable leg length and 60 litres (13 imp gal; 16 US gal) panniers are all standard equipment. With the Cyclone wing the aircraft has an empty weight of 115 kg (254 lb) and a gross weight of 245 kg (540 lb), giving a useful load of 130 kg (287 lb). With a full fuel load of 36 litres (7.9 imp gal; 9.5 US gal) the payload is 104 kg (229 lb).[1][2] A number of different wings can be fitted to the basic carriage, including the high performance Cyclone, the sport 90% double surface Laser, the intermediate Touch and the beginner Spirit.[1][2] Data from Bayerl and Tacke[1][2]General characteristics Performance</t>
  </si>
  <si>
    <t>Ace Aviation</t>
  </si>
  <si>
    <t>https://en.wikipedia.org/Ace Aviation</t>
  </si>
  <si>
    <t>John Penry-Evans</t>
  </si>
  <si>
    <t>9.2 m (30 ft 2 in)</t>
  </si>
  <si>
    <t>11.5 m2 (124 sq ft)</t>
  </si>
  <si>
    <t>245 kg (540 lb)</t>
  </si>
  <si>
    <t>1 × Rotax 447 twin cylinder, air-cooled, two stroke aircraft engine, 30 kW (40 hp)</t>
  </si>
  <si>
    <t>104 km/h (65 mph, 56 kn)</t>
  </si>
  <si>
    <t>46 km/h (29 mph, 25 kn)</t>
  </si>
  <si>
    <t>India</t>
  </si>
  <si>
    <t>https://en.wikipedia.org/India</t>
  </si>
  <si>
    <t>36 litres (7.9 imp gal; 9.5 US gal)</t>
  </si>
  <si>
    <t>2-bladed wooden</t>
  </si>
  <si>
    <t>21.3 kg/m2 (4.4 lb/sq ft)</t>
  </si>
  <si>
    <t>Blériot-SPAD S.42</t>
  </si>
  <si>
    <t>The SPAD S.42 was a French biplane trainer aircraft of the early 1920s, developed by Société Pour L'Aviation et ses Dérivés (SPAD) from prolific SPAD S.XIII fighter. Data from [1]General characteristics Performance</t>
  </si>
  <si>
    <t>//upload.wikimedia.org/wikipedia/commons/thumb/2/29/Bleriot_SPAD_S.42_L%27A%C3%A9ronautique_December%2C1922.jpg/300px-Bleriot_SPAD_S.42_L%27A%C3%A9ronautique_December%2C1922.jpg</t>
  </si>
  <si>
    <t>biplane trainer</t>
  </si>
  <si>
    <t>SPAD</t>
  </si>
  <si>
    <t>https://en.wikipedia.org/SPAD</t>
  </si>
  <si>
    <t>Louis Béchéreau</t>
  </si>
  <si>
    <t>6.77 m (22 ft 3 in)</t>
  </si>
  <si>
    <t>22.12 m2 (238.1 sq ft)</t>
  </si>
  <si>
    <t>685 kg (1,510 lb)</t>
  </si>
  <si>
    <t>1,056 kg (2,328 lb)</t>
  </si>
  <si>
    <t>1 × Hispano-Suiza 8Ab V-8 water-cooled piston engine, 130 kW (180 hp)</t>
  </si>
  <si>
    <t>450 km (280 mi, 240 nmi)</t>
  </si>
  <si>
    <t>2.65 m (8 ft 8 in)</t>
  </si>
  <si>
    <t>5,500 m (18,000 ft)</t>
  </si>
  <si>
    <t>Aéronautique Militaire</t>
  </si>
  <si>
    <t>https://en.wikipedia.org/Aéronautique Militaire</t>
  </si>
  <si>
    <t>Potez 37</t>
  </si>
  <si>
    <t>The Potez 37 was a two-seat, long range reconnaissance aircraft built to compete for a French government contract. It flew in mid-1930 but did not win the competition, so only two were completed. The French R.2 specification of 1928 called for an all-metal two seat reconnaissance aircraft, fast and with a rapid climb rate and large radius of action. It led to prototypes from eight manufacturers, the Amiot 130,  Breguet 33, Latécoère 490, Les Mureaux 111, Nieuport-Delage Ni-D 580, Potez 37, Weymann WEL-80 and the Wibault 260. One of the terms of the specification required the manufacturers to use a single Hispano-Suiza 12Nb water-cooled V-12 engine.[1][2] The Potez 37 was a parasol wing aircraft. Its wing was in three parts, with a small centre-section attached to the upper fuselage on two outward-leaning, N-form cabane struts and with two outer panels, each mounted at about half-span on a parallel pair of struts from the lower fuselage. Like all the struts, these were enclosed in airfoil section fairings. In plan the wings had straight, unswept leading edges but were mildly curved over the trailing edges and tips. There was a rounded cut-out in the centre-section's trailing edge to assist the pilot's upward view.  Generous ailerons filled much of the trailing edges outboard. Structurally each outer panel was built around two steel spars with dural ribs and dural covered; the leading edges were readily removable.[3] The fuselage was in three parts. The forward part mounted the Hispano-Suiza V-12 engine within a close-fitting, sheet metal cowling that followed the cylinder banks and with a curved, transverse Lamblin radiator under its rear. Behind the engine the fuselage structure was a conventional rectangular section girder frame bearing wing struts and undercarriage and containing two tandem open cockpits.  The aircraft was normally flown from the forward one, placed under the wing cut-out, and the observer's position was close behind, equipped with flying controls including a demountable control column, a flexible machine gun mounting and small side-windows. Immediately aft the girder cross-section was reduced rapidly, then joined to the final part of the fuselage, an unusual truncated dural cone strengthened internally with longerons and frames.[3][4] The tail unit was conventional, with a blunted triangular fin mounting a curved, deep rudder. A high aspect ratio tailplane was mounted just above the fuselage on the fin; supported on inverted V-struts from below, its angle of incidence could be adjusted in flight. The elevators were narrow in chord; in plan the horizontal tail was straight-tapered with blunted tips.[3] The Potez 37 had fixed, conventional landing gear, with mainwheels, equipped with brakes, placed 3.0 m (9 ft 10 in) apart at the ends of half-axles and drag struts hinged to the fuselage. The wheels had near-vertical shock absorbers mounted on the forward wing struts at a point reinforced by extra struts to the upper fuselage and to the base of the rear wing strut. There was a small, sprung tailskid.[3] The date of the first flight of the Potez 37 is not known but test flights, flown by Lemoine, were under way by June 1930.[5] Lemoine and Duroyon continued development flying until at least the end of July. They reported agreeable and straightforward handing characteristics.[6] The S.T.I.Aé Concours des avions de grande reconnaissance (Long range reconnaissance aircraft competition) began at Villacoublay in April 1931, with all prototypes bar the Breguet gathered together.[7] The selection process was unusually long and, while it continued, a second Potez 37 was completed[8] and began testing. It had been fitted with a new radiator and preliminary flights suggested it was faster.[9] In April 1932, after a year of contest, the ANF-Mureax 111 was declared winner[10] so no more Potez 37s were built. One at least was still flying about eighteen months later and took part in the 3rd Tour de France du Prototypes in September 1933. Starting on 9 September the eight prototypes, led by Jonchay in the Potez, flew from Orly on a nine-day circuit around northern France.[11] From 1930 to 1938 French military prototypes appeared on the Civil Register in the F-AKxx group. The first Potez 37 was F-AKFS and the second F-AKFT. The register records a type change of the latter to Potez 371.[12] Data from Les Ailes December 1930[3]General characteristics Performance</t>
  </si>
  <si>
    <t>//upload.wikimedia.org/wikipedia/commons/thumb/2/22/Potez_37_Annuaire_de_L%27A%C3%A9ronautique_1931.jpg/300px-Potez_37_Annuaire_de_L%27A%C3%A9ronautique_1931.jpg</t>
  </si>
  <si>
    <t>Aéroplanes Henry Potez</t>
  </si>
  <si>
    <t>https://en.wikipedia.org/Aéroplanes Henry Potez</t>
  </si>
  <si>
    <t>10.285 m (33 ft 9 in)</t>
  </si>
  <si>
    <t>1,574 kg (3,470 lb)</t>
  </si>
  <si>
    <t>2,536 kg (5,591 lb)</t>
  </si>
  <si>
    <t>1 × Hispano-Suiza 12Nb water-cooled V-12, 510 kW (680 hp)</t>
  </si>
  <si>
    <t>3.50 m (11 ft 6 in)</t>
  </si>
  <si>
    <t>Clark YH[Notes 1]</t>
  </si>
  <si>
    <t>340 kg (750 lb) including oil</t>
  </si>
  <si>
    <t>264 km/h (164 mph, 143 kn) at ground level</t>
  </si>
  <si>
    <t>7,500 m (24,600 ft) absolute</t>
  </si>
  <si>
    <t>mid-1930</t>
  </si>
  <si>
    <t>8 min to 3,000 m (9,800 ft)</t>
  </si>
  <si>
    <t>190 m (620 ft)</t>
  </si>
  <si>
    <t>205 m (673 ft)</t>
  </si>
  <si>
    <t>Aviasouz Cruise</t>
  </si>
  <si>
    <t>The Aviasouz Cruise is a Russian ultralight trike, designed and produced by Aviasouz of Kazan. The aircraft is supplied as a complete ready-to-fly-aircraft.[1][2] The company was formed by former employees of the Tupolev Design Bureau.[2] The aircraft was designed to comply with the Fédération Aéronautique Internationale microlight category, including the category's maximum gross weight of 450 kg (992 lb). The aircraft has a maximum gross weight of 430 kg (948 lb). It features a cable-braced hang glider-style high-wing, weight-shift controls, a two-seats-in-side-by-side configuration open cockpit with a unique fibreglass cockpit fairing, tricycle landing gear with wheel pants and a single engine in pusher configuration.[1][2] The aircraft is made from bolted-together aluminum tubing, with its single surface wing covered in Dacron sailcloth. Its 10 m (32.8 ft) span wing is supported by a single tube-type kingpost and uses an "A" frame weight-shift control bar. The powerplant is a twin cylinder, air-cooled, two-stroke, dual-ignition 64 hp (48 kW) Rotax 582 engine, with the four cylinder, air and liquid-cooled, four-stroke, dual-ignition 80 hp (60 kW) Rotax 912 engine optional. The aircraft has an empty weight of 180 kg (397 lb) and a gross weight of 430 kg (948 lb), giving a useful load of 250 kg (551 lb). With full fuel of 50 litres (11 imp gal; 13 US gal) the payload is 214 kg (472 lb).[1][2] Data from Bayerl and Bertrand[1][2]General characteristics Performance</t>
  </si>
  <si>
    <t>Aviasouz</t>
  </si>
  <si>
    <t>https://en.wikipedia.org/Aviasouz</t>
  </si>
  <si>
    <t>14 m2 (150 sq ft)</t>
  </si>
  <si>
    <t>30.7 kg/m2 (6.3 lb/sq ft)</t>
  </si>
  <si>
    <t>Aeris Naviter AN-2 Enara</t>
  </si>
  <si>
    <t>The Aeris Naviter AN-2 Enara (Basque for 'Swallow') is a Spanish helicopter that was under development by Aeris Naviter of San Sebastián. The AN-2 was first shown at the 2009 Paris Air Show at Paris–Le Bourget Airport. The aircraft was intended to be supplied as a kit for amateur construction or as a complete ready-to-fly-aircraft.[1][2] The AN-2 was intended to have certification completed in the European Aviation Safety Agency Very Light Rotorcraft category by May 2010, and then again by the end of 2012 but, by January 2013, this does not seem to have been completed. Kits were intended to be ready for delivery in February 2010, but were not yet available as of January 2013. By late in 2011 there was no indication that the prototype had been flown.[3][4] By 2012 the company website was redirected to Cicare Europe and all mention of the AN-2 had been removed. It is likely development had ended by that point.[5] The AN-2 Enara features a two-rotor coaxial main rotor, a two-seats-in tandem enclosed cockpit, tricycle landing gear with suspension, an H-tail and a four-cylinder, four-stroke, 115 hp (86 kW) BMW automotive engine. Plans for other powerplants include the four cylinder, air-cooled, four-stroke, dual-ignition 115 hp (86 kW) Lycoming IO-233 light-sport aircraft engine.[1] The aircraft fuselage is made from aluminum sheet. Its 6.99 m (22.9 ft) diameter two-bladed rotors both have chords of 18 cm (7.1 in). The aircraft has an empty weight of 390 kg (860 lb) and a gross weight of 600 kg (1,323 lb), giving a useful load of 210 kg (463 lb).[1] Data from Bayerl[1]General characteristics Performance</t>
  </si>
  <si>
    <t>Aeris Naviter</t>
  </si>
  <si>
    <t>https://en.wikipedia.org/Aeris Naviter</t>
  </si>
  <si>
    <t>1 × BMW 1200 four cylinder, four stroke automotive engine, 86 kW (115 hp)</t>
  </si>
  <si>
    <t>Spain</t>
  </si>
  <si>
    <t>https://en.wikipedia.org/Spain</t>
  </si>
  <si>
    <t>Pending</t>
  </si>
  <si>
    <t>Development ended (2012)</t>
  </si>
  <si>
    <t>Aeros del Sur Manta</t>
  </si>
  <si>
    <t>The Aeros del Sur Manta is an Argentine ultralight trike, designed and produced by Aeros del Sur. The aircraft is supplied as a  complete ready-to-fly-aircraft.[1] Aeros del Sur is the importer of Aeros products for Argentina. The Manta was designed by mating the Aeros Profi trike wing with a new, locally designed carriage. The Manta was designed to comply with the Fédération Aéronautique Internationale microlight category, including the category's maximum gross weight of 472.5 kg (1,042 lb), with a ballistic parachute. The Manta has a maximum gross weight of 472.5 kg (1,042 lb). It features a cable-braced hang glider-style high-wing, weight-shift controls, a two-seats-in-tandem, open cockpit, tricycle landing gear with wheel pants and a single engine in pusher configuration.[1] The aircraft is made from a mix of bolted-together aluminum and steel tubing, with its double surface wing covered in Dacron sailcloth. Its 10 m (32.8 ft) span wing is supported by a single tube-type kingpost and uses an "A" frame weight-shift control bar. The standard powerplant is a twin cylinder, liquid-cooled, two-stroke, dual-ignition 64 hp (48 kW) Rotax 582 engine, but the HKS 700E four-stroke, dual-ignition 60 hp (45 kW) engine is optional, as are Hirth and Simonini powerplants.[1] Data from Bayerl[1]General characteristics Performance</t>
  </si>
  <si>
    <t>Aeros del Sur</t>
  </si>
  <si>
    <t>https://en.wikipedia.org/Aeros del Sur</t>
  </si>
  <si>
    <t>15.4 m2 (166 sq ft)</t>
  </si>
  <si>
    <t>1 × Rotax 582 two cylinder, liquid-cooled, two stroke aircraft engine, 48 kW (64 hp)</t>
  </si>
  <si>
    <t>Argentina</t>
  </si>
  <si>
    <t>https://en.wikipedia.org/Argentina</t>
  </si>
  <si>
    <t>30.68 kg/m2 (6.28 lb/sq ft)</t>
  </si>
  <si>
    <t>Airfer Transan</t>
  </si>
  <si>
    <t>The Aifer Transan is a Spanish powered parachute, designed and produced by Airfer Paramotores.[1] The aircraft was designed to comply with the Fédération Aéronautique Internationale microlight rules. It features a parachute-style high-wing and two seats in tandem in an open framed structure, tricycle landing gear and a single 52 hp (39 kW) Hirth engine in pusher configuration.[1] The Transan was also available powered by a Rotax 503, Hirth 2702 and 2703 engines. Data from World Directory of Leisure Aviation 2004/2005[1]General characteristics</t>
  </si>
  <si>
    <t>Powered parachute</t>
  </si>
  <si>
    <t>https://en.wikipedia.org/Powered parachute</t>
  </si>
  <si>
    <t>Airfer Paramotores</t>
  </si>
  <si>
    <t>https://en.wikipedia.org/Airfer Paramotores</t>
  </si>
  <si>
    <t>340 lb (154 kg)</t>
  </si>
  <si>
    <t>1 × Hirth aircraft engine, 52 hp (39 kW)</t>
  </si>
  <si>
    <t>4-bladed</t>
  </si>
  <si>
    <t>Apollo Delta Jet</t>
  </si>
  <si>
    <t>The Apollo Delta Jet is a Hungarian ultralight trike, designed and produced by Apollo Ultralight Aircraft of Eger. The aircraft is supplied as a kit for amateur construction or as a complete ready-to-fly-aircraft.[1] The aircraft was designed to comply with the Fédération Aéronautique Internationale microlight category and the US light-sport aircraft category. It features a cable-braced or strut-braced hang glider-style high-wing, weight-shift controls, a two-seats-in-tandem, open cockpit, tricycle landing gear with wheel pants and a single engine in pusher configuration.[1] The Delta Jet is accepted in the America as both an Experimental and Special Light-sport aircraft.[2][3] The aircraft is made from bolted-together aluminum tubing, with its double surface wing covered in Dacron sailcloth. The aircraft uses an "A" frame weight-shift control bar. The powerplant options include the twin cylinder, liquid-cooled, two-stroke, dual-ignition 64 hp (48 kW) Rotax 582 engine, the four cylinder, air and liquid-cooled, four-stroke, dual-ignition 80 hp (60 kW) Rotax 912 or 100 hp (75 kW) Rotax 912S engine. In its AS-III model the aircraft has an empty weight of 236 kg (520 lb) and a gross weight of 472.5 kg (1,042 lb), giving a useful load of 236.5 kg (521 lb). With full fuel of 55 litres (12 imp gal; 15 US gal) the payload is 196.5 kg (433 lb).[1] A number of different wings can be fitted to the basic carriage, including the cable-braced Aeros Profi, the strut-braced Aeros Profi TL and the Apollo Reflex 11 or 13.[1] Data from Bayerl[1]General characteristics Performance</t>
  </si>
  <si>
    <t>14.5 m2 (156 sq ft)</t>
  </si>
  <si>
    <t>236 kg (520 lb)</t>
  </si>
  <si>
    <t>64 km/h (40 mph, 35 kn)</t>
  </si>
  <si>
    <t>160 km/h (99 mph, 86 kn)</t>
  </si>
  <si>
    <t>32.6 kg/m2 (6.7 lb/sq ft)</t>
  </si>
  <si>
    <t>Avio Delta Thruster</t>
  </si>
  <si>
    <t>The Avio Delta Thruster is a Bulgarian ultralight trike, designed and produced by Avio Design of Vetrino. The aircraft is supplied as a complete ready-to-fly-aircraft.[1] The aircraft was designed to comply with the US FAR 103 Ultralight Vehicles rules, including the category's maximum empty weight of 115 kg (254 lb). It is German DULV certified and can be flown with any suitable cable-braced hang glider high-wing. The aircraft features weight-shift controls, a single-seat open cockpit, tricycle landing gear and a single engine in pusher configuration. The hang glider wing can be replaced with a paraglider wing and requires ten minutes to convert.[1] The aircraft is intended to be quickly folded into a package small enough to fit into a car for ground transport.[1] The aircraft is made from bolted-together aluminum tubing, with its single or double surface wing covered in Dacron sailcloth. A number of different hang glider and paraglider wings can be fitted to the basic carriage. A typical hang gider wing used would have a 9.5 m (31.2 ft) span and would be supported by a single tube-type kingpost and use an "A" frame weight-shift control bar. The carriage front wheel is adjustable to allow for different pilot leg lengths.[1] The powerplant is a single cylinder, air-cooled, two-stroke, 28 hp (21 kW) Simonini Mini 2 engine. Without the wing, the aircraft has an empty weight of 32 kg (71 lb) and a gross weight of 200 kg (441 lb). The fuel tank holds 10 litres (2.2 imp gal; 2.6 US gal).[1] An electric version was under development in 2011.[1] Data from Bayerl[1]General characteristics Performance</t>
  </si>
  <si>
    <t>32 kg (71 lb) carriage only</t>
  </si>
  <si>
    <t>200 kg (441 lb)</t>
  </si>
  <si>
    <t>1 × Simonini Mini 2 single cylinder, air-cooled, two stroke aircraft engine, 21 kW (28 hp)</t>
  </si>
  <si>
    <t>Yuneec International ETrike</t>
  </si>
  <si>
    <t>16.3 kg/m2 (3.3 lb/sq ft)</t>
  </si>
  <si>
    <t>https://en.wikipedia.org/Yuneec International ETrike</t>
  </si>
  <si>
    <t>Aquilair Kid</t>
  </si>
  <si>
    <t>The Aquilair Kid is a French ultralight trike designed and produced by Aquilair of Theizé. The aircraft is supplied as a kit for amateur construction or as a complete ready-to-fly-aircraft.[1] The aircraft was designed to comply with the Fédération Aéronautique Internationale microlight category, including the category's maximum gross weight of 450 kg (992 lb). The aircraft has a maximum gross weight of 300 kg (661 lb). It features a cable-braced hang glider-style high-wing, weight-shift controls, a single-seat open cockpit, tricycle landing gear and a single engine in pusher configuration.[1] The aircraft is made from metal tubing, with its wing covered in Dacron sailcloth. Its 9.9 m (32.5 ft) span Star 12 wing is supported by a single tube-type kingpost and uses an "A" frame weight-shift control bar. The standard powerplant is a twin cylinder, air-cooled, two-stroke, dual-ignition 50 hp (37 kW) Rotax 503 engine, with the 40 hp (30 kW) Rotax 447  and the 64 hp (48 kW) liquid-cooled Rotax 582  optional.[1] With the Star 12 wing the aircraft has an empty weight of 132 kg (291 lb) and a gross weight of 300 kg (661 lb), giving a useful load of 168 kg (370 lb). With full fuel of 30 litres (6.6 imp gal; 7.9 US gal) the payload is 146 kg (322 lb).[1] The aircraft is supplied in modular form, with the chassis, engine, reduction drive and propeller all available separately. A number of different wings can be fitted to the basic carriage, but the Star 12 was formerly the standard wing offered. The chassis incorporates an under-seat pivot system that allows the wing to be mounted and then raised into position.[1] Data from Bayerl[1]General characteristics Performance</t>
  </si>
  <si>
    <t>Aquilair</t>
  </si>
  <si>
    <t>https://en.wikipedia.org/Aquilair</t>
  </si>
  <si>
    <t>9.9 m (32 ft 6 in)</t>
  </si>
  <si>
    <t>12.9 m2 (139 sq ft)</t>
  </si>
  <si>
    <t>132 kg (291 lb)</t>
  </si>
  <si>
    <t>300 kg (661 lb)</t>
  </si>
  <si>
    <t>1 × Rotax 503 twin cylinder, air-cooled, two-stroke, dual-ignition aircraft engine, 37 kW (50 hp)</t>
  </si>
  <si>
    <t>23.2 kg/m2 (4.8 lb/sq ft)</t>
  </si>
  <si>
    <t>Keystone B-4</t>
  </si>
  <si>
    <t>The Keystone B-4 was a biplane bomber, built by the Keystone Aircraft company for the America Army Air Corps. Originally ordered by the America Army Air Corps as the LB-13 light bomber. When the LB- designation was dropped in 1930, the first five planes were redesignated Y1B-4. (The Y1B- designation indicates that funds for the design did not come from the normal annual funds.) The first B-3A (S/N 30-281) was converted to Y1B-4 configuration with the addition of R-1860-7 radial engines and low pressure tires. Because of more powerful engines, the performance of the Y1B-4 was a slight improvement on the B-3, but the only difference between the two planes was their engines. On April 28, 1931, the army ordered 25 improved Y1B-4s as the Keystone B-4A. This production version was part of the last biplane bomber order made by the Army Air Corps (along with 39 B-6As, identical in all respects except their make of engine), and the B-4As, delivered between January and April 1932, were the last biplane bombers delivered to the Air Corps. B-4 was the last of the Keystone biplane bombers ordered by the U.S. Army in late 1931. These aircraft were used primarily as observation and reconnaissance aircraft as early as 1934 when the Martin B-10B went into operational service. Some remained in service into the early 1940s. General characteristics Performance Armament  Related development   Related lists</t>
  </si>
  <si>
    <t>//upload.wikimedia.org/wikipedia/commons/thumb/b/b8/Keystone_Y1B-4_%28SN_30-281%29.jpg/300px-Keystone_Y1B-4_%28SN_30-281%29.jpg</t>
  </si>
  <si>
    <t>Light bomber</t>
  </si>
  <si>
    <t>https://en.wikipedia.org/Light bomber</t>
  </si>
  <si>
    <t>Keystone Aircraft</t>
  </si>
  <si>
    <t>https://en.wikipedia.org/Keystone Aircraft</t>
  </si>
  <si>
    <t>5 Y1B-425 B-4A</t>
  </si>
  <si>
    <t>Keystone B-3</t>
  </si>
  <si>
    <t>https://en.wikipedia.org/Keystone B-3</t>
  </si>
  <si>
    <t>48 ft 10 in (14.9 m)</t>
  </si>
  <si>
    <t>74 ft 8 in (22.8 m)</t>
  </si>
  <si>
    <t>1,145 sq ft (106.4 m2)</t>
  </si>
  <si>
    <t>7,951 lb (3,607 kg)</t>
  </si>
  <si>
    <t>12,952 lb (5,875 kg)</t>
  </si>
  <si>
    <t>2 × Pratt &amp; Whitney R-1860-7 radial engines, 575 hp (429 kW)  each</t>
  </si>
  <si>
    <t>103 mph (167 km/h, 90 kn)</t>
  </si>
  <si>
    <t>850 mi (1,400 km, 760 nmi)</t>
  </si>
  <si>
    <t>580 ft/min (30 m/s)</t>
  </si>
  <si>
    <t>0.0888 hp/lb (146 W/kg)</t>
  </si>
  <si>
    <t>15 ft 9 in (4.8 m)</t>
  </si>
  <si>
    <t>14,000 ft (4,300 m)</t>
  </si>
  <si>
    <t>11.31 lb/sq ft (55.22 kg/m2)</t>
  </si>
  <si>
    <t>3 × .30 in (7.62 mm) Browning machine guns</t>
  </si>
  <si>
    <t>2,500 lb (1,100 kg); 4,000 lb (1,800 kg) on short runs</t>
  </si>
  <si>
    <t>Keystone XLB-3</t>
  </si>
  <si>
    <t>The Keystone XLB-3 (originally built under the Huff-Daland name) was a prototype bomber biplane developed in the America in the late 1920s. It was a twin-engine development of the single-engine LB-1, brought about by a change in policy by the America Army Air Corps (USAAC). The shift from a nose-mounted engine to engines mounted in nacelles on the lower wing created an opportunity to provide stations for two extra crewmembers: a bombardier and a nose-gunner, bringing the total to five. The LB-1's single tailfin and rudder was augmented by an extra rudder either side of it. A single prototype was constructed, and delivered to the USAAC for evaluation at the end of 1927. Evaluation, however, showed that performance was actually inferior to that of the single-engine LB-1. The decision was taken to change the XLB-3's air-cooled inverted Liberty engines for air-cooled radials, at which point it was redesignated XLB-3A. With performance still unsatisfactory, development was abandoned in favor of a parallel design, the LB-5. Data from Jane's Encyclopedia of Aviation[1]General characteristics Performance Armament</t>
  </si>
  <si>
    <t>//upload.wikimedia.org/wikipedia/commons/thumb/e/eb/Keystone_XLB-3A.jpg/300px-Keystone_XLB-3A.jpg</t>
  </si>
  <si>
    <t>Five – pilot, copilot, bombardier, two gunners</t>
  </si>
  <si>
    <t>45 ft 0 in (13.72 m)</t>
  </si>
  <si>
    <t>67 ft 0 in (20.42 m)</t>
  </si>
  <si>
    <t>105.8 sq ft (1,038 m2)</t>
  </si>
  <si>
    <t>6,065 lb (2,756 kg)</t>
  </si>
  <si>
    <t>11,682 lb (5,310 kg)</t>
  </si>
  <si>
    <t>2 × Pratt &amp; Whitney R-1340 , 410 hp (305 kW)  each</t>
  </si>
  <si>
    <t>544 mi (870 km, 473 nmi)</t>
  </si>
  <si>
    <t>550 ft/min (2.8 m/s)</t>
  </si>
  <si>
    <t>{'XLB-3': ' original version with ', 'XLB-3A': ' version with '}</t>
  </si>
  <si>
    <t>16 ft 10 in (5.13 m)</t>
  </si>
  <si>
    <t>116 mph (186 km/h, 101 kn)</t>
  </si>
  <si>
    <t>11,210 ft (3,400 m)</t>
  </si>
  <si>
    <t>ca. December 1927</t>
  </si>
  <si>
    <t>Hurel-Dubois HD.31</t>
  </si>
  <si>
    <t>The Hurel-Dubois HD.31, HD.32, and HD.34 were a family of civil aircraft produced in France in the 1950s, based on Maurice Hurel's high aspect ratio wing designs. Tests with the Hurel-Dubois HD.10 research aircraft had validated Hurel's ideas about the practicality of such wings, and the French government agreed to sponsor the construction of two prototypes of a medium-range airliner utilising this same principle. These aircraft, the HD.31 and HD.32 were conventional designs in all respects other than their unorthodox wings, and differed from one another only in their powerplants, although both were later converted to use the same engines. The twin-tails originally fitted were also later replaced by a large single tail fin assisted by smaller auxiliary fins. With their new engines and tails, they were redesignated HD.321.01 and HD.321.02.  Apart from the HD.34 survey aircraft, all had fixed, faired tricycle undercarriages. Two HD.31s were ordered by the French government but only one was built, the Wright Cyclone-powered HD.31 F-WFKU flew on the 27 January 1953. The company then produced a Pratt &amp; Whitney R-1830-92-powered variant, the HD.32. Other than the engines it was the same as the HD.31. Keeping the original twin tails of the prototype the first HD.32 flew on 29 December 1953. The engines were changed to 1525 hp Wright 982-4 engines and to counter the increased power the twin fin was replaced by a single one and the type was redesigated the HD.321. The second HD.32 which first flew in February 1955 was also modified to HD.321 standard. Air France originally placed an order for 24 aircraft in November 1953 to use as feederliners, it was followed by an order for four for the Institut Géographique National and four for Aigle Azur. With these orders discussion took place with SNCASE to build and market up to 150 aircraft. None were actually built for Air France or Aigle Azur but the IGN continued to be interested in an aerial photography variant to replace the Boeing B-17 Flying Fortress the company was then using. Eight aircraft were ordered by the IGN, based at Creil airfield to the north of Paris. The aircraft's wing design made it ideal for long-duration, low-speed flight, ideal for aerial photography and survey work. These machines were designated HD.34 and were fitted with an extensively glazed nose and an offset retractable nosewheel. They flew with IGN between the late 1950s and mid 1970s. A single example remains airworthy, operated by the Association des Mécaniciens-Pilotes d'Aéronefs Anciens. The Aeronatique Naval evaluated the HD.31 and the company proposed an anti-submarine warfare variant to meet a requirement for 100 aircraft but nothing materialised. [1] Of the HD.31, HD.32, and HD.34 family, there have been two fatal, hull-loss accidents, both involving Hurel-Dubois HD.321s. Data from Jane's All the World's Aircraft 1958–59[6]General characteristics Performance</t>
  </si>
  <si>
    <t>//upload.wikimedia.org/wikipedia/commons/thumb/b/bf/Hurel-Dubois_HD.31_F-WFKU_Baginton_06.54.jpg/300px-Hurel-Dubois_HD.31_F-WFKU_Baginton_06.54.jpg</t>
  </si>
  <si>
    <t>Hurel-Dubois</t>
  </si>
  <si>
    <t>https://en.wikipedia.org/Hurel-Dubois</t>
  </si>
  <si>
    <t>Three</t>
  </si>
  <si>
    <t>44 passengers</t>
  </si>
  <si>
    <t>23.27 m (76 ft 4 in)</t>
  </si>
  <si>
    <t>45.30 m (148 ft 7 in)</t>
  </si>
  <si>
    <t>100.0 m2 (1,076 sq ft)</t>
  </si>
  <si>
    <t>11,112 kg (24,498 lb)</t>
  </si>
  <si>
    <t>18,700 kg (41,226 lb)</t>
  </si>
  <si>
    <t>2 × Wright Cyclone 982-C9-HE1 nine-cylinder air-cooled radial engine, 1,137 kW (1,525 hp)  each</t>
  </si>
  <si>
    <t>275 km/h (171 mph, 148 kn)</t>
  </si>
  <si>
    <t>2,200 km (1,400 mi, 1,200 nmi)</t>
  </si>
  <si>
    <t>{'HD.31': ' Prototype with 800\xa0hp (600\xa0kW) ', 'HD.32': ' Two 1,200\xa0hp (890\xa0kW) ', 'HD.321': ' Conversion of HD.32 with 1,525\xa0hp (1,137\xa0kW) Wright Cyclone 982 engines and single central and two small auxiliary fins.', 'HD.324': ' ', 'HD.331': ' projected militarised version for use as troop transport or air ambulance. (not built)', 'HD.34': ' Aerial survey version for IGN, powered by 1,475\xa0hp (1,100\xa0kW) Cyclone R1820 C.9 HE engines, with retractable, offset nosewheel and lengthened, glazed nose. Eight built.', 'HD.35': ' Proposed anti-submarine variant for the French Navy, not built.', 'HD.36': ' Proposed anti-submarine variant for the French Navy, not built.', 'HD.37': ' a proposed car-ferry version, not built.'}</t>
  </si>
  <si>
    <t>8.73 m (28 ft 8 in)</t>
  </si>
  <si>
    <t>27 January 1953 (HD.31)29 December 1953 (HD.32)</t>
  </si>
  <si>
    <t>Institut Géographique National</t>
  </si>
  <si>
    <t>https://en.wikipedia.org/Institut Géographique National</t>
  </si>
  <si>
    <t>British Aircraft Company Drone</t>
  </si>
  <si>
    <t>The B.A.C. Drone was a British ultralight single-seat aircraft of the 1930s. During the early 1930s, the British Aircraft Company of Maidstone, Kent built a series of gliders culminating in the B.A.C. VII tandem two-seater. In 1932 the firm fitted a 600 c.c. Douglas motorcycle engine above the high wing on a steel tube pylon. It flew as a single-seater, and was known as the B.A.C. Planette. On 13 May 1933, the talented 32-year old designer C.H. Lowe-Wylde was killed in a crash of the first Planette at West Malling. The firm was then taken over by Robert Kronfeld who modified the second Planette with a streamlined pylon, and renamed the design the Drone.[1] In 1937, B.A.C. also introduced a machine called the Flying Ground Trainer. This was a powered primary glider which could be assembled either with a stub wing or with a Drone wing. It would fly only with the latter and was fitted with extra wheels at the nose and wing tips in order to ameliorate the consequences of inexperienced piloting. Premises nearer London were acquired in 1935 at London Air Park, Hanworth, in Middlesex, and production of the single-seat aircraft commenced there. In 1936, the company was renamed Kronfeld Ltd, and 20 Drones were built during the year. Aircraft fitted with the 23 hp (17 kW) Douglas Sprite engine became known as the Kronfeld Super Drone. A version with a 30 hp (22 kW) water-cooled Carden-Ford converted car engine and folding wings was known as the Drone de Luxe. The firm closed down in 1937, after 33 Drones had been completed.[1] The Drone became popular with private owners. Col. the Master of Sempill startled the aviation world in April 1936, when he flew Drone G-ADPJ from Croydon Airport to Berlin in 11 hours flying time on 14 gallons of petrol. The return took him nine hours.[2] Two Drones flew over 40,000 miles with C.W.A. Scott's air display team. During the Second World War, a camouflaged Drone de Luxe was unofficially flown by pilots of No. 609 Squadron on duck-shooting sorties using a 12-bore shot  gun and a ring-and-bead sight.[1] Eight Drones survived the Second World War, and three of those flew again. Three Drones remained extant in 2006, including the sole surviving Kronfeld Drone de Luxe, G-AEKV, which last flew in 1984 and is now owned by Brooklands Museum in Surrey.[3] and currently loaned to the Gliding Heritage Centre at Lasham, Hants. Data from British civil aircraft, 1919-1972 Volume I[1]General characteristics Performance  Related development Aircraft of comparable role, configuration, and era</t>
  </si>
  <si>
    <t>//upload.wikimedia.org/wikipedia/commons/thumb/2/2b/BAC_Super_Drone_G-AEDB_Duxford_1982.jpg/300px-BAC_Super_Drone_G-AEDB_Duxford_1982.jpg</t>
  </si>
  <si>
    <t>British Aircraft Company</t>
  </si>
  <si>
    <t>https://en.wikipedia.org/British Aircraft Company</t>
  </si>
  <si>
    <t>C.H Lowe Wylde</t>
  </si>
  <si>
    <t>21 ft 2 in (6.45 m)</t>
  </si>
  <si>
    <t>39 ft 8 in (12.09 m)</t>
  </si>
  <si>
    <t>172 sq ft (16.0 m2)</t>
  </si>
  <si>
    <t>390 lb (177 kg)</t>
  </si>
  <si>
    <t>640 lb (290 kg)</t>
  </si>
  <si>
    <t>1 × Douglas Sprite 2-cylinder air-cooled horizontally-opposed piston engine, 23 hp (17 kW)</t>
  </si>
  <si>
    <t>300 mi (480 km, 260 nmi)</t>
  </si>
  <si>
    <t>380 ft/min (1.9 m/s)</t>
  </si>
  <si>
    <t>0.059 hp/lb (0.097 kW/kg)</t>
  </si>
  <si>
    <t>7 ft 0 in (2.13 m)</t>
  </si>
  <si>
    <t>70 mph (110 km/h, 61 kn)</t>
  </si>
  <si>
    <t>12,500 ft (3,800 m)</t>
  </si>
  <si>
    <t>2-bladed fixed-pitch pusher propeller</t>
  </si>
  <si>
    <t>2.67 lb/sq ft (13.0 kg/m2)</t>
  </si>
  <si>
    <t>Keystone B-5</t>
  </si>
  <si>
    <t>The Keystone B-5 is a light bomber made by the Keystone Aircraft company for the America Army Air Corps in the early 1930s. The B-5A was a Keystone B-3A with Wright Cyclone rather than Pratt &amp; Whitney engines. Three B-3A (LB-10A) were reengined with Wright R-1750-3 radial engines and were redesignated Y1B-5. The Army Air Corps changed the design of the last 27 LB-10As on order, replacing the Pratt &amp; Whitney R-1690 radial engines with the Wright R-1750-3. The Pratt &amp; Whitney-powered aircraft were designated B-3A, and the Wright-powered aircraft became B-5A. They provided the backbone of the U.S. bomber force from then to 1934. B-5A were first line bombers of the America for the period between 1930 and 1934. Afterwards, they remained in service primarily as observation aircraft until the early 1940s. General characteristics Performance Armament  Related development   Related lists</t>
  </si>
  <si>
    <t>//upload.wikimedia.org/wikipedia/commons/thumb/c/c0/Keystone_B-5A_front_left_quarter_060421-F-1234P-017.jpg/300px-Keystone_B-5A_front_left_quarter_060421-F-1234P-017.jpg</t>
  </si>
  <si>
    <t>3 Y1B-527 B-5A</t>
  </si>
  <si>
    <t>7,705 lb (3,945 kg)</t>
  </si>
  <si>
    <t>2 × Wright R-1750-3 radial engines, 525 hp (392 kW)  each</t>
  </si>
  <si>
    <t>98 mph (160 km/h, 86 kn)</t>
  </si>
  <si>
    <t>815 mi (1,310 km, 707 nmi)</t>
  </si>
  <si>
    <t>0.0810 hp/lb (133 W/kg)</t>
  </si>
  <si>
    <t>{'Y1B-5': ''}</t>
  </si>
  <si>
    <t>111 mph (179 km/h, 97 kn)</t>
  </si>
  <si>
    <t>14,000 ft (4,270 m)</t>
  </si>
  <si>
    <t>273.3 lb/sq ft (52.22 kg/m2)</t>
  </si>
  <si>
    <t>LH Aviation LH-10 Ellipse</t>
  </si>
  <si>
    <t>The LH Aviation LH-10 Ellipse is a two-seat light aircraft kitplane designed by LH Aviation of France. It is a low-wing single-engine pusher configuration with a tandem seating arrangement, and is constructed of composite materials.[1][2] The plane is marketed in a surveillance configuration as the Grand Duc (Eurasian eagle-owl). The LH-10 Ellipse was conceived by Frenchman Sébastien Lefebvre, starting as an engineering grande école (university) project to conceive "a small plane with different design and performance than available for private pilots".[3] This led to the founding of the company, LH Aviation, in May 2004. As a surveillance plane, Sébastien Lefebvre conceives of the plane as an alternative to drone UAVs, the latter being costly to operate, especially near airports. The Ellipse aims to "deliver 80% of the range of drone missions for 20% of the cost".[3] The potential of the plane for surveillance and military missions led the investment fund Magellan Industries to become a shareholder in LH Aviation. The Ellipse was thus further developed in collaboration with Thales as a modular platform for civilian and military missions with different equipment systems, including day and night vision, rocket launching, and on-board communication systems.[3] The LH-10 Ellipse is a low-wing, tandem two-seat light kit aircraft, powered by a 100 hp Rotax petrol engine in a pusher-propeller configuration. Its low weight and unusual configuration is designed to deliver a very high cruising speed with exceptional fuel economy.[2] This high speed and a relatively high 50-knot stall speed will exclude it from the UK Microlight or America LSA categories, so a full single-engine private pilot certificate will be the minimum certification requirement to fly it in these countries, which are not the immediate target of the manufacturer, anyway. At the 2008 Farnborough Airshow LH-Aviation said that for the future they would be looking into LSA/ELA compliant production, possibly for the America. The airframe is constructed of composite material based on ingredients produced by DSM.[1] The production model is powered by a Rotax 912 four-cylinder reciprocating engine. (It has been tested using the 100 hp ULS variant,[2] other options having been tested and discarded.)[1] The undercarriage is a tricycle design, and will be available in fixed or electrically retractable front wheel configuration.[1] The plane's design, with propeller in the tail and a short-nosed fuselage with a forward pilot seat in glider configuration, offers a field of view of 300 degrees.[3]  The design follows the Bede BD-5 configuration, but is longer, more streamlined and of lighter composite material.[4] In February 2010, the aircraft began a series of tests required to achieve the French CNSK standard (an acronym for Certificat de Navigabilité Spécial Kit, the French kitplane certification). The company reported that "all construction documents have been validated in December 2009 by the French and English authorities."[5] The Benin Armed Forces ordered two Grand Ducs to monitor their coastlines around the capital Porto-Novo. The Grand Duc is a so-called "aerial territory surveillance system" and differs from the original version only in its more extensive on-board instrumentation, including an autopilot, equipment for night flying, GPS, Iridium satellite communications, transponder, digital camera and a Geobox system for tracking the aircraft from the ground.[6] The first production Grand Duc appeared at the June 2011 Paris Air Show, painted in the colours of the Benin Air Force.[7] The first unit was delivered to Benin in late 2012 and the second unit was scheduled to be delivered in September 2013. By 2018, no aircraft were operational.[8] At the 2013 Paris Air Show, the company announced that it had received an order for 10 planes from Dubai-based Jet Energy. The planes are to be used in monitoring pipelines, oil rigs, and in tracking the dhows that conduct contraband trade between Iran and the United Arab Emirates.[3] Data from Jane's All the World's Aircraft 2011/12[9]General characteristics Performance   Aircraft of comparable role, configuration, and era</t>
  </si>
  <si>
    <t>//upload.wikimedia.org/wikipedia/commons/thumb/d/d0/LH-10_Ellipse_F-WWML.JPG/300px-LH-10_Ellipse_F-WWML.JPG</t>
  </si>
  <si>
    <t>Light aircraft</t>
  </si>
  <si>
    <t>LH Aviation</t>
  </si>
  <si>
    <t>https://en.wikipedia.org/LH Aviation</t>
  </si>
  <si>
    <t>5.11 m (16 ft 9 in) excluding nose probe</t>
  </si>
  <si>
    <t>8.00 m (26 ft 3 in)</t>
  </si>
  <si>
    <t>4.50 m2 (48.4 sq ft)</t>
  </si>
  <si>
    <t>540 kg (1,190 lb)</t>
  </si>
  <si>
    <t>1 × Rotax 912 ULS flat 4-cylinder piston, air- and water-cooled, 73.5 kW (98.6 hp)</t>
  </si>
  <si>
    <t>269 km/h (167 mph, 145 kn)</t>
  </si>
  <si>
    <t>1,408 km (875 mi, 760 nmi)</t>
  </si>
  <si>
    <t>70 L (15.4 Imp gal, 18.5 US gal)</t>
  </si>
  <si>
    <t>370 km/h (230 mph, 200 kn)</t>
  </si>
  <si>
    <t>450 km/h (280 mph, 240 kn)</t>
  </si>
  <si>
    <t>Benin Air Force</t>
  </si>
  <si>
    <t>https://en.wikipedia.org/Benin Air Force</t>
  </si>
  <si>
    <t>4-bladed ground adjustable pusher</t>
  </si>
  <si>
    <t>+4.4/-2.2</t>
  </si>
  <si>
    <t>10 hr</t>
  </si>
  <si>
    <t>2007-present</t>
  </si>
  <si>
    <t>Honda MH01</t>
  </si>
  <si>
    <t>The Honda MH01 is an experimental business jet developed by the Japanese company Honda, in cooperation with the Raspet Flight Research Laboratory of Mississippi State University. Using the airframe of a Beechcraft Bonanza, Honda sought to incorporate composite materials into a metal aircraft, the first this had been done in a business aircraft. The goal was also to gain experience in aircraft design and construction.[1] Although at the time there was a twin engine with the engines above the wings (the VFW-Fokker 614), this arrangement used in the MH01 was unusual.[citation needed] The wings are slightly anhedral and the two engines are above them.[citation needed] The prototype is currently in a museum in Japan.[citation needed][where?] Its successor is the Honda MH02, a jet that uses the same configuration and uses exclusively composite materials.[citation needed]  Related development   Related lists This article on an aircraft of the 1980s is a stub. You can help Wikipedia by expanding it.</t>
  </si>
  <si>
    <t>HondaMississippi State University</t>
  </si>
  <si>
    <t>https://en.wikipedia.org/HondaMississippi State University</t>
  </si>
  <si>
    <t>Huff-Daland XHB-1</t>
  </si>
  <si>
    <t>The Huff-Daland XHB-1 "Cyclops" was a 1920s American prototype heavy bomber designed and built by the Huff-Daland company.[1] The XHB-1 was designed as an enlarged version of the earlier LB-1 powered by a single 750 hp Packard 2A-2540 nose-mounted engine. It had a crew of four and had a 4000 lb bomb load. The Army decided not to order the Cyclops into production as it had decided single-engined aircraft were not suitable for the role. A twin-engined version was developed as the XB-1 Super Cyclops.[2] Data from [3]General characteristics Performance     Related lists</t>
  </si>
  <si>
    <t>//upload.wikimedia.org/wikipedia/commons/thumb/b/b8/Huff-Daland_HB-1.jpg/300px-Huff-Daland_HB-1.jpg</t>
  </si>
  <si>
    <t>Heavy single-engined bomber</t>
  </si>
  <si>
    <t>Huff-Daland</t>
  </si>
  <si>
    <t>https://en.wikipedia.org/Huff-Daland</t>
  </si>
  <si>
    <t>4 (pilot, co-pilot, rear gunner, navigator/ventral gunner)</t>
  </si>
  <si>
    <t>59 ft 7 in (18.17 m)</t>
  </si>
  <si>
    <t>84 ft 7 in (25.79 m)</t>
  </si>
  <si>
    <t>16,834 lb (7,636 kg)</t>
  </si>
  <si>
    <t>1 × Packard 2A-2540 , 750 hp (560 kW)</t>
  </si>
  <si>
    <t>Huff-Daland XB-1</t>
  </si>
  <si>
    <t>17 ft 2 in (5.23 m)</t>
  </si>
  <si>
    <t>109 mph (175 km/h, 95 kn)</t>
  </si>
  <si>
    <t>https://en.wikipedia.org/Huff-Daland XB-1</t>
  </si>
  <si>
    <t>PTO-4</t>
  </si>
  <si>
    <t>The PTO-4 was an Estonian-designed military training aircraft of World War II. In 1938, the Estonian aviation engineers Voldemar Post, Rein Tooma and Otto Org, previously responsible for the PON-1 trainer, designed and built the PTO-4 training aircraft.[1] It was a two-seat low-winged monoplane powered by a De Havilland Gypsy of 120 hp, with a fixed undercarriage that could be fitted with wheels or skis.[citation needed] The aircraft could fly at a maximum speed of 245 km per hour and had a ceiling of 5,000 meters.[citation needed] On 12 October 1938, the PTO-4 was taken into service of the Air Force.[citation needed] The Estonian Air Force received two PTO-4s (serial numbers 161 and 162), one with an open cockpit and the other an enclosed cockpit.[1]  Six examples were in civil use,[citation needed] of which five were used by the Eesti Aeroklubi (EAK), a flying club controlled by the Estonian Military.[1] Four examples surviving from the Soviet occupation of Estonia (1940–41) were operated by the German Luftwaffe, being operated by a unit manned by Estonian volunteers (initially called Sonderstaffel Buschmann and later 1./SAGr.127) based at Reval-Ülemiste airfield. They were operated as training and liaison aircraft as well for coastal patrol over the shores of the Baltic.[2]  Related development   Related lists This military aviation article is a stub. You can help Wikipedia by expanding it.This World War II article is a stub. You can help Wikipedia by expanding it.</t>
  </si>
  <si>
    <t>//upload.wikimedia.org/wikipedia/commons/thumb/c/c8/%D0%A1%D0%B0%D0%BC%D0%BE%D0%BB%D1%91%D1%82_%D0%A0%D0%A2%D0%9E-4%D0%90_%D0%BD%D0%B0_%D0%BB%D1%91%D1%82%D0%BD%D0%BE%D0%BC_%D0%BF%D0%BE%D0%BB%D0%B5.jpg/300px-%D0%A1%D0%B0%D0%BC%D0%BE%D0%BB%D1%91%D1%82_%D0%A0%D0%A2%D0%9E-4%D0%90_%D0%BD%D0%B0_%D0%BB%D1%91%D1%82%D0%BD%D0%BE%D0%BC_%D0%BF%D0%BE%D0%BB%D0%B5.jpg</t>
  </si>
  <si>
    <t>Aviotöökoda, Tallinn</t>
  </si>
  <si>
    <t>https://en.wikipedia.org/Aviotöökoda, Tallinn</t>
  </si>
  <si>
    <t>Voldemar Post, Richard Tooma and Otto Org</t>
  </si>
  <si>
    <t>Estonian Air ForceLuftwaffe</t>
  </si>
  <si>
    <t>https://en.wikipedia.org/Estonian Air ForceLuftwaffe</t>
  </si>
  <si>
    <t>Wright Glider</t>
  </si>
  <si>
    <t>The Wright brothers designed, built and flew a series of three manned gliders in 1900–1902 as they worked towards achieving powered flight. They also made preliminary tests with a kite in 1899. In 1911 Orville conducted tests with a much more sophisticated glider. Neither the kite nor any of the gliders were preserved, but replicas of all have been built. The 1899 kite, which Wilbur flew near his home in Dayton, Ohio had a wingspan of only 5 feet (1.5 m). This pine wood and shellacked craft, although too small to carry a pilot, tested the concept of wing-warping for roll control that would prove essential to the brothers' solving the problem of controlled flight. The Wrights burned the craft along with other trash in 1905.[1] The 1900 Wright Glider was the brothers' first to be capable of carrying a human. Its overall structure was based on Octave Chanute's two-surface glider of 1896. Its wing airfoil was derived from Otto Lilienthal's published tables of aerodynamic lift. The glider was designed with wing-warping capability for full-size testing of the concept first tried on the 1899 Wright Kite. On 23 September 1900, Wilbur wrote from Kitty Hawk, "My idea is merely to experiment and practice with a view to solving the problem of equilibrium. When once a machine is under proper control under all conditions, the motor problem will be quickly solved.  I am constructing my machine to sustain about five times my weight...trussed like a bridge." Weighing 52 pounds (24 kg), the glider had a wingspan of 17.5 feet (5.3 m), a wing area of 155 square feet (14.4 m2), while the wings were curved with a ratio of 1-in-22.  In 1924, Orville wrote, "...we retained the elevator in front for many years because it absolutely prevented a nose dive such as that in which Lilienthal and many others since have met their deaths."  Harry B. Combs noted, "...because the elevator was forward instead of behind, the aircraft, when it stalled, instead of spinning out and killing them the way a conventional aircraft would have done, simply parachuted to the ground in a flat position.  The forward elevator also served as a visual indicator of the airplane's attitude in flight."  The flyer would operate the craft from a prone position on the bottom wing, so as to reduce wind resistance.[2] The glider was first flown as an unmanned kite on October 5, 1900 near Kitty Hawk, North Carolina. Next, Wilbur rode as pilot while men on the ground held tether ropes attached to the airborne craft. Subsequently, Wilbur made about a dozen free flights on a single day, concluding the season's test efforts. The brothers abandoned the glider when they broke camp on 23 October, and it eventually disappeared in the region's severe storms. The fabric covering of the wing components was given to the wife of helper Bill Tate, whose family Wilbur first stayed with at Kitty Hawk in 1900. Mrs. Tate allegedly used the material to make dresses for her daughters. Afterwards, Wilbur wrote, "longitudinal balancing and steering were effected by means of a horizontal rudder projecting in front of the planes.  Lateral balancing and right and left steering were obtained by increasing the inclination of the wings at one end and decreasing their inclination at the other."  The brothers had demonstrated two thirds of the eventual three-dimension control system (the glider did not possess a vertical rudder).[2]: 116–122  The 1901 Wright Glider was the second of the brothers' experimental gliders. They tested it over the Kill Devil Hills, four miles south of Kitty Hawk. The glider was similar to the 1900 version, but had larger wings. It first flew on July 27, 1901, and was retired on August 17. During this time it made between 50 and 100 free flights, in addition to tethered flights as a kite. Operating from Big Kill Devil Hill once again, the new glider now had a 22 feet (6.7 m) wingspan, a chord of 7 feet (2.1 m), a wing area of 290 square feet (27 m2), and weighed 98 pounds (44 kg).  However, the camber was increased to a ratio of 1-in-12, with a blunt edge.  This new wing design required Wilbur to apply full elevator deflection to get the glider flying, and Wilbur encountered stalls for the first time.  However, the forward placement of the elevator allowed the glider the descend in a floating manner, rather than fall off into a spin.  Wilbur noted that with light winds, "the center of pressure was in front of the center of gravity," while with increasing wind speed, the center of pressure moved aft, until with strong winds, "the center of pressure had reached a point even behind the center of gravity."  This discovery led the brothers to reduce the wing depth of curvature.  Wilbur noted that with the modification, "...we made glide after glide, sometimes following the ground closely, and sometimes sailing in the air."  They also measured pressure at various angles of incidence, and noted the pressure was not at a right angle to the chord as expected, but inclined forward, overcoming structural resistance as well as generating lift.  Yet the measured lift was only one third of what they had calculated it should be.  That led them to doubt the Smeaton coefficient used to compute that lift, and to doubt the calculations made by Otto Lilienthal and Samuel Langley.  The glider was also used to initiate a turn using wing-warping, which led to a surprise.  Wilbur noted that the, "Upturned wing seems to fall behind, but at first rises."  This would require a third means of controlling the glider, besides wing-warping and elevator deflection.[2]: 131–147     The wing ribs flexed under the weight of the pilot, distorting the airfoil shapes of the wings. The brothers fixed the trouble, but the wings still produced much less lift than expected, and wing-warping sometimes made the glider turn opposite the intended direction : it was the discovery and first description of the adverse yaw.[3] After testing concluded, the brothers stored the glider in their camp shed. The shed and glider were badly damaged later by windstorms. The wing uprights were salvaged for the 1902 Glider, but the rest was abandoned. According to Combs, "When the Wrights first tested their 1900 glider on Big Kill Devil Hill, they had observed their calculations to be in error. Actually, the glider, to their bitter disappointment, produced about one half the computed lift. They had observed that the drag, or resistance of the total frame when it was carrying no weight and was therefore flown at a very flat angle of attack, was very much less than they had anticipated, perhaps more than half less."  The discrepancy was due to the Wrights using a published value of 0.005 for the pressure coefficient of air (Smeaton coefficient).  Convinced this coefficient value was in error, they derived a smaller value 0.0033 from their experiments, explaining why the encountered less lift, and drag, than originally computed, and expected.[2]: 367–375  The 1902 Wright Glider was the third free-flight glider built by the brothers. This was their first glider to incorporate yaw control by use of a rear rudder, and its design led directly to the powered 1903 Wright Flyer. The brothers wind tunnel tested about 200 wing configurations, varying the aspect ratios, curves, cambers, dihedral, and anhedral in monoplane and multiwing combinations.  Each airfoil was made from sheet metal, with welded leading edges.  Wilbur described using a "wind straightener...a number of narrow vertical surfaces," so as to obtain "a current very nearly constant in direction. The instrument itself was mounted in a long square tube or trough having a glass cover..."  Measuring 6 feet (1.8 m) long and 16 inches (41 cm) square, the wind was provided by a fan, connected by gears to a small internal combustion engine, all designed and built by the brothers.  The resulting new glider, according to Wilbur, was "...32 feet (9.8 m) x 5 feet (1.5 m) spreading an area of 305 square feet (28.3 m2) altogether. The curvature is about 1 in 25. The indications are that it will glide on an angle of about 7° to 7½° instead of 9½° to 10° as last year."  Significantly, the peak of the camber was now about a third of the chord from the leading edge.  The forward elevator was now smaller at 15 square feet (1.4 m2) and in the shape of a small wing.  The glider included a hip cradle to control the wing warping, and two, fixed, vertical rudders, each measuring about 1 foot (0.30 m) by 6 feet (1.8 m).[2]: 152–161   The brothers designed the 1902 glider during the winter of 1901/02. The wing design was based on data from extensive tests of miniature airfoils in their homemade wind tunnel. They built the components of the glider in Dayton and completed assembly at their Kill Devil Hills camp in September 1902. Flights took place between 19 September and 24 October. In order to cope with their 1901 discovery of adverse yaw in the glider, the Wrights tested a double fixed rear rudder, hoping to improve turning control, but several times[4] the pilot was unable to stop turning and collided with the ground. "The addition of a fixed vertical vane in the rear increased the trouble, and made the machine absolutely dangerous." The brothers decided to remove one rudder, then make the remaining rudder steerable to achieve better control.[5]  The new rudder was ready by 6 October, measured 5 feet (1.5 m) high, 14 inches (36 cm) wide, and had left or right movement of 30 degrees.  Turns were coordinated by attaching the rudder to the same wires controlling wing warping.  According to Combs, "In the last weeks of October at Kitty Hawk, they made more than a thousand gliding flights. They flew more than 600 feet on a number of occasions, and up to 26 seconds for a single flight. They flew in winds of more than 30 miles per hour." Most importantly, both brothers had flown, with Orville's first flight on 23 September.  Wilbur noted, "We now hold all the records! The largest machine we handled in any kind of weather, made the longest distance glide (American), the longest time in the air, the smallest angle of descent, and the highest wind!!!"[2]: 165, 170–173  In September 1903 they found their 1902 glider had survived the winter, though its building had been blown off its foundation 2 feet (0.61 m).  They used the 1902 glider to practice flying, while preparing the powered Wright Flyer. They put up a new building measuring 44 feet (13 m) by 16 feet (4.9 m) by 9 feet (2.7 m), and built a stove to stay warm, as they made several gliding flights.  On 3 October, they set a world glider endurance record of 43 seconds, then in November, they flew a new record of 1 minute and 12 seconds.[2]: 189–199  One of their photographs shows they installed a second vertical fin as part of the steerable rear rudder, matching the original design and also that of the powered Flyer's twin rear rudder. The glider was last flown in November 1903. After their successful powered flights, they put the glider back in storage at camp before returning home for Christmas. When they next visited Kitty Hawk in 1908 to test their improved Wright Flyer III, Outer Banks weather had taken its toll: the storage shed and glider inside were wrecked. Today a salvaged piece of wingtip from the 1902 Glider is preserved at the National Air and Space Museum a few feet from the 1903 Wright Flyer.   General characteristics In 1911 Orville Wright returned to the Kill Devil Hills with a new glider, accompanied by his English friend Alec Ogilvie. Orville intended to test an automatic control system on the glider, but did not because of the presence of reporters (he eventually perfected the system in a powered airplane in 1913). The glider had what was then becoming a conventional tailplane, rather than the front-mounted elevator or canard. The pilot also was seated with hand controls, rather than lying prone in a cradle, as with the original gliders. On October 24 Orville soared in the glider above Kill Devil Hill in a 40 miles per hour (64 km/h) wind for 9 minutes 45 seconds, far exceeding the brothers' previous gliding durations. The record stood for ten years until broken in Germany in 1921 by Wolfgang Klemperer.[6][7] General characteristics A number of replicas of the gliders exist. Wright brothers historian Rick Young of Richmond, Virginia has built 9 accurate working replicas of all of the Wright gliders and the 1903 Flyer. Young's 1902 gliders have appeared in numerous films and television documentaries, including a 1986 IMAX film On the Wing. One of his 1902 replicas is on display at the Smithsonian National Air and Space Museum's Wright Brothers gallery. The Virginia Aviation Museum[8] at Richmond International Airport is home to the Wright 1899 Kite, the 1900, 1901 and 1902 gliders and the 1903 Flyer, all built by Young. In 2011, Young researched and built a Wright 1911 glider replica that was displayed during the Soaring 100 event at the Wright Brothers National Monument to commemorate the 100th anniversary of Orville Wright's record-setting glide. A replica of the 1902 glider is on display at the Dayton Aviation Heritage National Historic Park in Dayton Ohio. Another replica of the 1902 glider is also on display at the U.S. National Soaring Museum in Elmira, New York.[9] A full-scale replica of the 1902 glider was constructed and is on display at the San Diego Air &amp; Space Museum in San Diego, California.[10] Another replica, a half-scale model, is on display at the Wings Over the Rockies Air and Space Museum in Denver, Colorado.[11] A team led by Nick Engler of the Wright Brothers Aeroplane Company has also built replicas of all three gliders. A replica of the 1911 glider was built by Ernest Schweizer for the 75th anniversary of Orville's soaring flight. It has hung in the National Soaring Museum in Elmira, New York since 1986. Some replicas are flown in modern times.[12]  Media related to Wright glider at Wikimedia Commons</t>
  </si>
  <si>
    <t>//upload.wikimedia.org/wikipedia/commons/thumb/2/28/Wright-Glider-LC-DIG-ppprs-00571.jpg/300px-Wright-Glider-LC-DIG-ppprs-00571.jpg</t>
  </si>
  <si>
    <t>Experimental glider</t>
  </si>
  <si>
    <t>https://en.wikipedia.org/Experimental glider</t>
  </si>
  <si>
    <t>Orville and Wilbur Wright</t>
  </si>
  <si>
    <t>https://en.wikipedia.org/Orville and Wilbur Wright</t>
  </si>
  <si>
    <t>1 kite, 3 gliders</t>
  </si>
  <si>
    <t>16 ft 1 in (4.9 m)</t>
  </si>
  <si>
    <t>32 ft 1 in (9.8 m)</t>
  </si>
  <si>
    <t>305 sq ft (28.3 m2)</t>
  </si>
  <si>
    <t>117 lb (53 kg)</t>
  </si>
  <si>
    <t>8 ft 0 in (2.4 m)</t>
  </si>
  <si>
    <t>Wright Flyer</t>
  </si>
  <si>
    <t>https://en.wikipedia.org/Wright Flyer</t>
  </si>
  <si>
    <t>1902 Wright Glider - National Air and Space Museum</t>
  </si>
  <si>
    <t>Kreider-Reisner XC-31</t>
  </si>
  <si>
    <t>The Kreider-Reisner XC-31 or Fairchild XC-31 was an American single-engined monoplane transport aircraft of the 1930s designed and built by Kreider-Reisner. It was one of the last fabric-covered aircraft tested by the U.S. Army Air Corps.[1] Designed as an alternative to the emerging twin-engined transports of the time such as the Douglas DC-2, it was evaluated by the Air Corps at Wright Field, Ohio, under the test designation XC-941,[1] but rejected in favor of all-metal twin-engined designs. The XC-31 was built with an aluminum alloy framework covered by fabric, and featured strut-braced wing and a fully retractable landing gear, the main gear units mounted on small wing-like stubs and retracting inwards. An additional novel feature was the provision of main cargo doors that were parallel with the ground to facilitate loading. Following evaluation by the USAAC, the XC-31 was transferred to NACA, which used it for icing studies at its Langley Research Center.[2] Data from ,[1][2]General characteristics Performance  Related development Aircraft of comparable role, configuration, and era  Related lists</t>
  </si>
  <si>
    <t>//upload.wikimedia.org/wikipedia/commons/thumb/8/8d/Kreider-Reisner_XC-31_USAF.JPG/300px-Kreider-Reisner_XC-31_USAF.JPG</t>
  </si>
  <si>
    <t>Single-engine transport</t>
  </si>
  <si>
    <t>Kreider-Reisner  Fairchild Aircraft</t>
  </si>
  <si>
    <t>https://en.wikipedia.org/Kreider-Reisner  Fairchild Aircraft</t>
  </si>
  <si>
    <t>1 (Pilot)</t>
  </si>
  <si>
    <t>15 passengers or 3,500 pounds (1,600 kg) of cargo</t>
  </si>
  <si>
    <t>55 ft 5 in (16.89 m)</t>
  </si>
  <si>
    <t>75 ft 0 in (22.86 m)</t>
  </si>
  <si>
    <t>802 sq ft (74.5 m2)</t>
  </si>
  <si>
    <t>7,322 lb (3,321 kg)</t>
  </si>
  <si>
    <t>12,750 lb (5,783 kg)</t>
  </si>
  <si>
    <t>1 × Wright R-1820-25 radial , 750 hp (559 kW)</t>
  </si>
  <si>
    <t>143 mph (230 km/h, 124 kn)</t>
  </si>
  <si>
    <t>775 mi (1,247 km, 673 nmi)</t>
  </si>
  <si>
    <t>15 ft 10 in (4.83 m)</t>
  </si>
  <si>
    <t>154 mph (248 km/h, 134 kn)</t>
  </si>
  <si>
    <t>15,000 ft (4,570 m)</t>
  </si>
  <si>
    <t>Martin XB-27</t>
  </si>
  <si>
    <t>The Martin XB-27 (Martin Model 182) was an aircraft proposed by the Glenn L. Martin Company to fill a strong need in the America Army Air Corps for a high-altitude medium bomber. Its design was based approximately on that of Martin's own B-26 Marauder. The XB-27 remained on paper, and no prototypes were built. Data from [1]General characteristics Performance Armament  Related development Aircraft of comparable role, configuration, and era  Related lists  This article on an aircraft of the 1940s is a stub. You can help Wikipedia by expanding it.This article on a bomber aircraft is a stub. You can help Wikipedia by expanding it.</t>
  </si>
  <si>
    <t>High-altitude medium bomber</t>
  </si>
  <si>
    <t>60 ft 9 in (18.52 m)</t>
  </si>
  <si>
    <t>84 ft 0 in (25.60 m)</t>
  </si>
  <si>
    <t>2 × Pratt &amp; Whitney R-2800-9 , 2,000 shp (1,500 kW)  each</t>
  </si>
  <si>
    <t>2,900 mi (4,700 km, 2,500 nmi)</t>
  </si>
  <si>
    <t>0.12 hp/lb (0.20 kW/kg)</t>
  </si>
  <si>
    <t>280 mph (450 km/h, 240 kn)</t>
  </si>
  <si>
    <t>33,500 ft (10,200 m)</t>
  </si>
  <si>
    <t>4-bladed constant-speed propellers</t>
  </si>
  <si>
    <t>3 × .30 in (7.6 mm) machine guns1 × .30 in (7.6 mm) machine gun</t>
  </si>
  <si>
    <t>&gt;4,000 lb (1,800 kg)</t>
  </si>
  <si>
    <t>Kellett XR-10</t>
  </si>
  <si>
    <t>The Kellett XR-10 was a military transport helicopter developed in the America in the 1940s that only flew in prototype form. It was designed in response to a USAAF Technical Instruction issued for the development of a helicopter to transport passengers, cargo, or wounded personnel within an enclosed fuselage. Kellett's proposal followed the general layout that the company was developing in the XR-8, with twin intermeshing rotors, and was accepted by the Air Force on 16 October over proposals by Sikorsky, Bell, and Platt-LePage. The XR-10 resembled a scaled-up XR-8, although its twin engines were carried in nacelles at the fuselage sides, driving the rotors via long driveshafts, and the aircraft was skinned entirely in metal. The first of two prototypes flew on 24 April 1947, and at the time, was the largest rotorcraft to fly in the America.[2] During test-flights, however, the same problem that had been encountered with the XR-8's rotor system emerged when blades from the two rotors collided in flight. With fixes in place, flight testing continued, but on 3 October 1949, the first prototype crashed due to a control system failure and killed Kellett's chief test pilot, Dave Driskill. The project was abandoned shortly thereafter, and a 16-seat civil variant, the KH-2, never left the drawing board.  Data from Jane's All the World's Aircraft 1948[1]General characteristics Performance</t>
  </si>
  <si>
    <t>//upload.wikimedia.org/wikipedia/commons/thumb/4/46/Kellett_XR-10.jpg/300px-Kellett_XR-10.jpg</t>
  </si>
  <si>
    <t>Military transport helicopter</t>
  </si>
  <si>
    <t>Kellett Autogiro Corporation</t>
  </si>
  <si>
    <t>https://en.wikipedia.org/Kellett Autogiro Corporation</t>
  </si>
  <si>
    <t>Kellett XR-8</t>
  </si>
  <si>
    <t>https://en.wikipedia.org/Kellett XR-8</t>
  </si>
  <si>
    <t>10 troops or  1,100 lb (500 kg) of cargo</t>
  </si>
  <si>
    <t>28 ft 8 in (8.74 m) (fuselage length)</t>
  </si>
  <si>
    <t>8,200 lb (3,719 kg)</t>
  </si>
  <si>
    <t>11,000 lb (4,990 kg)</t>
  </si>
  <si>
    <t>2 × Continental R-975-15 nine-cylinder radial engines, 525 hp (391 kW)  each</t>
  </si>
  <si>
    <t>362 mi (583 km, 315 nmi)</t>
  </si>
  <si>
    <t>13 ft 9 in (4.19 m)</t>
  </si>
  <si>
    <t>6,000 ft (1,800 m) (hover ceiling)</t>
  </si>
  <si>
    <t>24 April 1947[1]</t>
  </si>
  <si>
    <t>4.9 hr at 62 mph (100 km/h; 54 kn)</t>
  </si>
  <si>
    <t>2 × 65 ft 0 in (19.81 m)</t>
  </si>
  <si>
    <t>3,320 sq ft (308 m2)</t>
  </si>
  <si>
    <t>Caudron C.60</t>
  </si>
  <si>
    <t>The Caudron C.60 was a French two-seat biplane of the 1920s and 1930s with a single engine and a canvas-covered fuselage. The French aircraft manufacturer Caudron developed this aircraft from the Caudron C.59. It was mainly used as a trainer aircraft. The Caudron C.60 was used in France, Finland, Latvia, and in Venezuela. The 1921 Michelin Cup for the fastest time over a (3,000 km {1,860 mi) circuit of France was won by a C.60 flown by Alphonse Poiré, with a time of 37.mw-parser-output .frac{white-space:nowrap}.mw-parser-output .frac .num,.mw-parser-output .frac .den{font-size:80%;line-height:0;vertical-align:super}.mw-parser-output .frac .den{vertical-align:sub}.mw-parser-output .sr-only{border:0;clip:rect(0,0,0,0);height:1px;margin:-1px;overflow:hidden;padding:0;position:absolute;width:1px}1⁄4 hours.[1] The Finnish Air Force purchased 30 Caudron C.60s from France in 1923–1924. A further 34 aircraft were license-built in Finland  1927–1928. The Finnish Air Force had a total of 64 Caudron C.60s. The French-manufactured aircraft carried the codes 1E20–1E30 and 1F31–1F49, and later CA-20–CA-49. The Finnish-manufactured ones carried the codes CA-61–CA-94.[2] The aircraft were in use 1923–1936. The Finnish Aviation Museum in Vantaa has one of the Finnish-manufactured C.60s (CA-84) Data from Suomen ilmavoimien lentokoneet,[3] Aviafrance:Caudron C.60,[4] Jane's all the World's Aircraft 1924[5]General characteristics Performance     Related lists</t>
  </si>
  <si>
    <t>//upload.wikimedia.org/wikipedia/commons/thumb/5/5f/Caudron_C.60_F-AINX_St_Cyr_05.57.jpg/300px-Caudron_C.60_F-AINX_St_Cyr_05.57.jpg</t>
  </si>
  <si>
    <t>Training aircraft</t>
  </si>
  <si>
    <t>Caudron C.59</t>
  </si>
  <si>
    <t>https://en.wikipedia.org/Caudron C.59</t>
  </si>
  <si>
    <t>505 kg (1,113 lb)</t>
  </si>
  <si>
    <t>862 kg (1,900 lb)</t>
  </si>
  <si>
    <t>1 × Clerget 9B 9-cylinder air-cooled rotary piston engine, 97 kW (130 hp)</t>
  </si>
  <si>
    <t>0.1129 kW/kg (0.0687 hp/lb)</t>
  </si>
  <si>
    <t>2.6 m (8 ft 6 in)</t>
  </si>
  <si>
    <t>33 kg/m2 (6.8 lb/sq ft)</t>
  </si>
  <si>
    <t>5 hours</t>
  </si>
  <si>
    <t>9.52 m (31 ft 3 in)</t>
  </si>
  <si>
    <t>4,000 m (13,000 ft) in 36 minutes</t>
  </si>
  <si>
    <t>French Air ForceFinnish Air ForceLatvian NavyVenezuelan Air ForceSpanish Republican Air Force</t>
  </si>
  <si>
    <t>https://en.wikipedia.org/French Air ForceFinnish Air ForceLatvian NavyVenezuelan Air ForceSpanish Republican Air Force</t>
  </si>
  <si>
    <t>Bilsam Sky Walker II</t>
  </si>
  <si>
    <t>The Bilsam Sky Walker II is a Polish powered parachute designed and produced by Bilsam Aviation of Poznań. The aircraft is supplied as a complete ready-to-fly-aircraft.[1] The manufacturer's website is non-functional and has been so since about 2008, so it is not clear if the company is still in business.[2] The Sky Walker II is very different from the company's Sky Walker I and was designed to comply with the Fédération Aéronautique Internationale microlight category, including the category's maximum gross weight of 450 kg (992 lb). The aircraft has a maximum gross weight of 400 kg (882 lb). It features a 50 m2 (540 sq ft) parachute-style wing, two-seats-in-side-by-side configuration, tricycle landing gear and a single 60 hp (45 kW) Bilsam TNA 625 four stroke engine in pusher configuration.[1] The aircraft carriage is built from a combination of composite material and steel tubing. In flight steering is accomplished via foot pedals that actuate the canopy brakes, creating roll and yaw. Unusually for this class of aircraft, the Sky Walker II has an enclosed cockpit. A variety of wings can be fitted.[1] The aircraft has an empty weight of 155 kg (342 lb) and a gross weight of 400 kg (882 lb), giving a useful load of 245 kg (540 lb). With full fuel of 40 litres (8.8 imp gal; 11 US gal) the payload for crew and baggage is 216 kg (476 lb).[1] Data from Bertrand[1]General characteristics Performance</t>
  </si>
  <si>
    <t>Bilsam Aviation</t>
  </si>
  <si>
    <t>https://en.wikipedia.org/Bilsam Aviation</t>
  </si>
  <si>
    <t>50 m2 (540 sq ft)</t>
  </si>
  <si>
    <t>155 kg (342 lb)</t>
  </si>
  <si>
    <t>1 × Bilsam TNA 625 four-stroke, air-cooled aircraft engine, 45 kW (60 hp)</t>
  </si>
  <si>
    <t>40 km/h (25 mph, 22 kn)</t>
  </si>
  <si>
    <t>16 km/h (9.9 mph, 8.6 kn)</t>
  </si>
  <si>
    <t>40 litres (8.8 imp gal; 11 US gal)</t>
  </si>
  <si>
    <t>8.0 kg/m2 (1.6 lb/sq ft)</t>
  </si>
  <si>
    <t>Primoco UAV</t>
  </si>
  <si>
    <t>Primoco UAV is an unmanned aerial vehicle (UAV) for civilian use, designed and manufactured in the Czech Republic. Its first flight took place in July 2015 and the UAV Model One 100 started full production in January 2016. Its primary usage is in civilian air operations, supporting applications ranging from border protection and security to pipeline monitoring and remote infrastructure management. The aircraft has a fixed wing construction, providing extended range and reliability in adverse weather conditions.  The UAVis operated from a Ground Control Station with a pilot and a flight operator. It can be manually controlled or run in fully automatic mode, where pre-programmed waypoints allow automatic takeoff, flight and landing. The aircraft also has additional safety modes which allow it to return to base or land in a safe area if communications are lost or faults occur.  The UAV has an S mode transponder which allow its flight path to be integrated into normal civilian airspace without special authorization. The equipment and aircraft can be transported in a light van.. Secure communications via radio or satellite Inmarsat connections are built in for continuous transmission of video and sensor readings to a ground station. Onboard sensors include Infra-Red cameras, Optical cameras, Radar/Lidar and others to the operator’s requirements. [1] [2] [3] [4] [5] [6] [7] [8] [9] [10] [11] [12] [13]</t>
  </si>
  <si>
    <t>//upload.wikimedia.org/wikipedia/commons/thumb/b/bd/Logo_Primoco_UAV.jpg/300px-Logo_Primoco_UAV.jpg</t>
  </si>
  <si>
    <t>Unmanned aerial vehicle for civilian use</t>
  </si>
  <si>
    <t>Primoco UAV SE, Czech Republic</t>
  </si>
  <si>
    <t>40 as of 2016</t>
  </si>
  <si>
    <t>Hennion two-seater</t>
  </si>
  <si>
    <t>The Hennion was a two seat French training and touring aircraft, completed just before World War II began. It was flown again post-war and later fitted with a new engine; it survived into the early 1960s. Emile Hennion was the chief pilot at the Casablanca Aero Club in the 1930s. Just before the outbreak of World War II he designed, built and flew a side-by-side seat two seat aircraft, powered by a Train 4A 01 inverted four cylinder air-cooled engine which produced only 30 kW (40 hp).[1][2] His goals were safety in the hands of a beginner, economy, comfort and true touring ability.[1] The first two features made it of some interest as an ab initio trainer after France had gone to war.[3] In this pre-war form it was known as the Hennion 01. It was a low wing, cantilever monoplane, its wings straight tapered with blunt tips and of quite high aspect ratio (10). The wings were built around a single spar and fabric covered, though the ailerons were plywood skinned.[1] The fuselage was flat sided and ply skinned, except behind the cockpit where rounded, raised decking was fabric covered.  The Hennion's cockpit was fully enclosed under a two piece canopy with a sliding rear component. Its two seats were equipped with dual controls. Behind them there were luggage and light baggage/chart spaces, respectively 900 mm × 300 mm × 530 mm (35 in × 12 in × 21 in) and 900 mm × 200 mm × 400 mm (35 in × 8 in × 16 in). The inverted Train engine in the nose drove a two blade propeller and its fuel tank held 85 l (18.7 imp gal; 22.5 US gal).[1]  At the rear the vertical tail was tall, with an unbalanced rudder which reached down to the keel and a fuselage mounted tailplane ahead of it.[3]  The Hennion had a tail wheel undercarriage with a track of 2.20 m (86.6 in), its spatted main wheels on vertical, streamlined legs.[1] The Hennion 01 flew for the first time on 28 September 1939 at Casablanca. Despite the low power, it had a maximum speed of 150 km/h (93 mph) and cruised at 125–130 km/h (78–81 mph). Cruising, it used about 10 l (2.2 imp gal; 2.6 US gal) per hour, giving it a range around 1,000 km (620 mi). Landing speed was 45 km/h (28 mph). The Hennion 01 survived the war and was flown again in 1949, now on the French civil register as F-WFOY.[2][4] After a period of disuse, it was re-engined in 1956 with a 48 kW (65 hp) Continental A65 air-cooled flat-four in a revised nose and redesignated the Hennion II.[2] The extra power gave a useful increase in speed despite an increase in empty weight of about 17%.[1][2] On 4 February 1962 it was destroyed at Meknes.[4] Data from Gaillard (1990)[2]General characteristics Performance</t>
  </si>
  <si>
    <t>Two seat sports aircraft</t>
  </si>
  <si>
    <t>Emile Hennion</t>
  </si>
  <si>
    <t>12.60 m (41 ft 4 in)</t>
  </si>
  <si>
    <t>15.5 m2 (167 sq ft)</t>
  </si>
  <si>
    <t>352 kg (776 lb)</t>
  </si>
  <si>
    <t>572 kg (1,261 lb)</t>
  </si>
  <si>
    <t>1 × Continental A65 air-cooled flat-four, 48 kW (65 hp)</t>
  </si>
  <si>
    <t>NACA 23012[1]</t>
  </si>
  <si>
    <t>10[1]</t>
  </si>
  <si>
    <t>Macchi M.C.73</t>
  </si>
  <si>
    <t>The Macchi M.C.73 was a two-seat touring landplane / floatplane built by Macchi in the early 1930s.  Intended to replace the Macchi M.70 from which it was derived, in 1931 the M.C.73 took part in the Giro d'Italia races. In addition to the M.C.73, 32 more aircraft took part in the race, which the M.C.73 won.[1] Data from Macchi aircraft from 1912 to 1963[1]General characteristics Performance</t>
  </si>
  <si>
    <t>//upload.wikimedia.org/wikipedia/commons/thumb/9/90/Macchi_MC.73.jpg/300px-Macchi_MC.73.jpg</t>
  </si>
  <si>
    <t>Touring landplane / floatplane</t>
  </si>
  <si>
    <t>Macchi</t>
  </si>
  <si>
    <t>https://en.wikipedia.org/Macchi</t>
  </si>
  <si>
    <t>Mario Castoldi</t>
  </si>
  <si>
    <t>https://en.wikipedia.org/Mario Castoldi</t>
  </si>
  <si>
    <t>7.45 m (24 ft 5 in)</t>
  </si>
  <si>
    <t>9.55 m (31 ft 4 in)</t>
  </si>
  <si>
    <t>23.3 m2 (251 sq ft)</t>
  </si>
  <si>
    <t>765 kg (1,687 lb)</t>
  </si>
  <si>
    <t>1 × Colombo S.63 6-cylinder air-cooled in-line piston engine, 89 kW (120 hp)</t>
  </si>
  <si>
    <t>67 km/h (42 mph, 36 kn)</t>
  </si>
  <si>
    <t>6,250 m (20,510 ft)</t>
  </si>
  <si>
    <t>prototype only</t>
  </si>
  <si>
    <t>RRG Storch V</t>
  </si>
  <si>
    <t>The RRG Storch V was the only member of Alexander Lippisch's Storch series of tailless aircraft to be powered. It flew successfully in the year 1929. Before the Storch V, Lippisch had designed only gliders, many of them tailless.  The first of these, the Espenlaub E.2, was built by Espenlaub in 1922 but Lippisch, at RRG from 1925, did not return to the tailless layout until 1927. Development progressed with a series of the Storch models; with the Storch IV he achieved a fully controllable aircraft which flew well.  The Storch V was essentially the Storch IV with a small pusher configuration engine added behind the pilot.[1] The Storch V had a straight edged wing with about 17° of sweep on the leading edge and with only slight taper and dihedral. It was built around a plywood skinned D-box leading edge spar and a second spar near mid-chord and was fabric covered. Broad, lobate ailerons were hinged at right angles to the line of flight, protruding beyond the trailing edges and carrying small trim tabs not fitted to the Storch IV.[1]  Broad, low endplate fins and rudders of about equal area, cambered on their inner surfaces provided directional stability and control.  Their profiles were lower and simpler than those on the Storch IV. The rudders could work together for steering and in opposition for braking.[1][2] Each wing was braced from a single point on the lower fuselage pod longeron to nose and rear spars at about 40% span by a faired V-strut.  There were a pair of sturdy, faired, vertical struts between the upper pod and the wing centre. The pod was flat sided, with angled upper and lower surfaces and on the Storch IV projected back almost to a line between the aileron trailing edges to provide some yaw stability.[1] On the Storch V this provided a place to mount a small DKW 5–7 kW (7–9 hp) air-cooled two-stroke engine in pusher configuration with its output shaft just lower than the wing.  Enclosed within a humped, metal cowling, it proved difficult to cool, so it was generally run at less than full power.  There was a landing skid under the pod which extended back past the end of the pod to protect the propeller.[2] The date of the first flight of the Storch V is not known but it was active during 1929 and flew well despite its low engine power. It finally crashed whilst demonstrating at Darmstadt in gusty conditions.[1] Data from L'Aerophile February 1930, p.39[2]General characteristics Performance</t>
  </si>
  <si>
    <t>//upload.wikimedia.org/wikipedia/commons/thumb/e/e9/Bundesarchiv_Bild_102-11369%2C_Berlin-Tempelhof%2C_Schwanzloses_Flugzeug.jpg/300px-Bundesarchiv_Bild_102-11369%2C_Berlin-Tempelhof%2C_Schwanzloses_Flugzeug.jpg</t>
  </si>
  <si>
    <t>Powered glider</t>
  </si>
  <si>
    <t>Rhön-Rossitten Gesellschaft (RRG)</t>
  </si>
  <si>
    <t>https://en.wikipedia.org/Rhön-Rossitten Gesellschaft (RRG)</t>
  </si>
  <si>
    <t>Alexander Lippisch</t>
  </si>
  <si>
    <t>https://en.wikipedia.org/Alexander Lippisch</t>
  </si>
  <si>
    <t>12.37 m (40 ft 7 in)</t>
  </si>
  <si>
    <t>18.5 m2 (199 sq ft)</t>
  </si>
  <si>
    <t>170 kg (375 lb)</t>
  </si>
  <si>
    <t>1 × DKW 500 cm3 (31 cu in) air-cooled 2-stroke piston engine, 5.2–6.7 kW (7–9 hp)</t>
  </si>
  <si>
    <t>125 km/h (78 mph, 67 kn) at 100 m (330 ft)</t>
  </si>
  <si>
    <t>2-bladed RRG, 1.24 m (4 ft 1 in) diameter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</si>
</sst>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mmmm yyyy"/>
    <numFmt numFmtId="166" formatCode="mmmm d, yyyy"/>
  </numFmts>
  <fonts count="4">
    <font>
      <sz val="10.0"/>
      <color rgb="FF000000"/>
      <name val="Arial"/>
      <scheme val="minor"/>
    </font>
    <font>
      <color theme="1"/>
      <name val="Arial"/>
      <scheme val="minor"/>
    </font>
    <font>
      <sz val="11.0"/>
      <color rgb="FF000000"/>
      <name val="Inconsolata"/>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quotePrefix="1" borderId="0" fillId="0" fontId="1" numFmtId="0" xfId="0" applyAlignment="1" applyFont="1">
      <alignment readingOrder="0"/>
    </xf>
    <xf borderId="0" fillId="0" fontId="3"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Luftwaffe" TargetMode="External"/><Relationship Id="rId42" Type="http://schemas.openxmlformats.org/officeDocument/2006/relationships/hyperlink" Target="https://en.wikipedia.org/France" TargetMode="External"/><Relationship Id="rId41" Type="http://schemas.openxmlformats.org/officeDocument/2006/relationships/hyperlink" Target="https://en.wikipedia.org/CAMS" TargetMode="External"/><Relationship Id="rId44" Type="http://schemas.openxmlformats.org/officeDocument/2006/relationships/hyperlink" Target="https://en.wikipedia.org/America" TargetMode="External"/><Relationship Id="rId43" Type="http://schemas.openxmlformats.org/officeDocument/2006/relationships/hyperlink" Target="https://en.wikipedia.org/Poland" TargetMode="External"/><Relationship Id="rId46" Type="http://schemas.openxmlformats.org/officeDocument/2006/relationships/hyperlink" Target="https://en.wikipedia.org/Canada" TargetMode="External"/><Relationship Id="rId45" Type="http://schemas.openxmlformats.org/officeDocument/2006/relationships/hyperlink" Target="https://en.wikipedia.org/AeroVelo" TargetMode="External"/><Relationship Id="rId107" Type="http://schemas.openxmlformats.org/officeDocument/2006/relationships/hyperlink" Target="https://en.wikipedia.org/France" TargetMode="External"/><Relationship Id="rId106" Type="http://schemas.openxmlformats.org/officeDocument/2006/relationships/hyperlink" Target="https://en.wikipedia.org/France" TargetMode="External"/><Relationship Id="rId105" Type="http://schemas.openxmlformats.org/officeDocument/2006/relationships/hyperlink" Target="https://en.wikipedia.org/Caudron" TargetMode="External"/><Relationship Id="rId104" Type="http://schemas.openxmlformats.org/officeDocument/2006/relationships/hyperlink" Target="https://en.wikipedia.org/France" TargetMode="External"/><Relationship Id="rId109" Type="http://schemas.openxmlformats.org/officeDocument/2006/relationships/hyperlink" Target="https://en.wikipedia.org/Caudron" TargetMode="External"/><Relationship Id="rId108" Type="http://schemas.openxmlformats.org/officeDocument/2006/relationships/hyperlink" Target="https://en.wikipedia.org/Portugal" TargetMode="External"/><Relationship Id="rId48" Type="http://schemas.openxmlformats.org/officeDocument/2006/relationships/hyperlink" Target="https://en.wikipedia.org/France" TargetMode="External"/><Relationship Id="rId187" Type="http://schemas.openxmlformats.org/officeDocument/2006/relationships/drawing" Target="../drawings/drawing1.xml"/><Relationship Id="rId47" Type="http://schemas.openxmlformats.org/officeDocument/2006/relationships/hyperlink" Target="https://en.wikipedia.org/Caudron" TargetMode="External"/><Relationship Id="rId186" Type="http://schemas.openxmlformats.org/officeDocument/2006/relationships/hyperlink" Target="https://en.wikipedia.org/Macchi" TargetMode="External"/><Relationship Id="rId185" Type="http://schemas.openxmlformats.org/officeDocument/2006/relationships/hyperlink" Target="https://en.wikipedia.org/France" TargetMode="External"/><Relationship Id="rId49" Type="http://schemas.openxmlformats.org/officeDocument/2006/relationships/hyperlink" Target="https://en.wikipedia.org/Caudron" TargetMode="External"/><Relationship Id="rId184" Type="http://schemas.openxmlformats.org/officeDocument/2006/relationships/hyperlink" Target="https://en.wikipedia.org/Poland" TargetMode="External"/><Relationship Id="rId103" Type="http://schemas.openxmlformats.org/officeDocument/2006/relationships/hyperlink" Target="https://en.wikipedia.org/Caudron" TargetMode="External"/><Relationship Id="rId102" Type="http://schemas.openxmlformats.org/officeDocument/2006/relationships/hyperlink" Target="https://en.wikipedia.org/France" TargetMode="External"/><Relationship Id="rId101" Type="http://schemas.openxmlformats.org/officeDocument/2006/relationships/hyperlink" Target="https://en.wikipedia.org/Caudron" TargetMode="External"/><Relationship Id="rId100" Type="http://schemas.openxmlformats.org/officeDocument/2006/relationships/hyperlink" Target="https://en.wikipedia.org/France" TargetMode="External"/><Relationship Id="rId31" Type="http://schemas.openxmlformats.org/officeDocument/2006/relationships/hyperlink" Target="https://en.wikipedia.org/Germany" TargetMode="External"/><Relationship Id="rId30" Type="http://schemas.openxmlformats.org/officeDocument/2006/relationships/hyperlink" Target="https://en.wikipedia.org/Stemme" TargetMode="External"/><Relationship Id="rId33" Type="http://schemas.openxmlformats.org/officeDocument/2006/relationships/hyperlink" Target="https://en.wikipedia.org/Boeing" TargetMode="External"/><Relationship Id="rId183" Type="http://schemas.openxmlformats.org/officeDocument/2006/relationships/hyperlink" Target="https://en.wikipedia.org/Caudron" TargetMode="External"/><Relationship Id="rId32" Type="http://schemas.openxmlformats.org/officeDocument/2006/relationships/hyperlink" Target="https://en.wikipedia.org/Italy" TargetMode="External"/><Relationship Id="rId182" Type="http://schemas.openxmlformats.org/officeDocument/2006/relationships/hyperlink" Target="https://en.wikipedia.org/America" TargetMode="External"/><Relationship Id="rId35" Type="http://schemas.openxmlformats.org/officeDocument/2006/relationships/hyperlink" Target="https://en.wikipedia.org/Pipistrel" TargetMode="External"/><Relationship Id="rId181" Type="http://schemas.openxmlformats.org/officeDocument/2006/relationships/hyperlink" Target="https://en.wikipedia.org/Trainer" TargetMode="External"/><Relationship Id="rId34" Type="http://schemas.openxmlformats.org/officeDocument/2006/relationships/hyperlink" Target="https://en.wikipedia.org/America" TargetMode="External"/><Relationship Id="rId180" Type="http://schemas.openxmlformats.org/officeDocument/2006/relationships/hyperlink" Target="https://en.wikipedia.org/Huff-Daland" TargetMode="External"/><Relationship Id="rId37" Type="http://schemas.openxmlformats.org/officeDocument/2006/relationships/hyperlink" Target="https://en.wikipedia.org/Tecnam" TargetMode="External"/><Relationship Id="rId176" Type="http://schemas.openxmlformats.org/officeDocument/2006/relationships/hyperlink" Target="https://en.wikipedia.org/Bulgaria" TargetMode="External"/><Relationship Id="rId36" Type="http://schemas.openxmlformats.org/officeDocument/2006/relationships/hyperlink" Target="https://en.wikipedia.org/Slovenia" TargetMode="External"/><Relationship Id="rId175" Type="http://schemas.openxmlformats.org/officeDocument/2006/relationships/hyperlink" Target="https://en.wikipedia.org/Hungary" TargetMode="External"/><Relationship Id="rId39" Type="http://schemas.openxmlformats.org/officeDocument/2006/relationships/hyperlink" Target="https://en.wikipedia.org/Dornier" TargetMode="External"/><Relationship Id="rId174" Type="http://schemas.openxmlformats.org/officeDocument/2006/relationships/hyperlink" Target="https://en.wikipedia.org/Spain" TargetMode="External"/><Relationship Id="rId38" Type="http://schemas.openxmlformats.org/officeDocument/2006/relationships/hyperlink" Target="https://en.wikipedia.org/Italy" TargetMode="External"/><Relationship Id="rId173" Type="http://schemas.openxmlformats.org/officeDocument/2006/relationships/hyperlink" Target="https://en.wikipedia.org/Argentina" TargetMode="External"/><Relationship Id="rId179" Type="http://schemas.openxmlformats.org/officeDocument/2006/relationships/hyperlink" Target="https://en.wikipedia.org/Hurel-Dubois" TargetMode="External"/><Relationship Id="rId178" Type="http://schemas.openxmlformats.org/officeDocument/2006/relationships/hyperlink" Target="https://en.wikipedia.org/France" TargetMode="External"/><Relationship Id="rId177" Type="http://schemas.openxmlformats.org/officeDocument/2006/relationships/hyperlink" Target="https://en.wikipedia.org/Aquilair" TargetMode="External"/><Relationship Id="rId20" Type="http://schemas.openxmlformats.org/officeDocument/2006/relationships/hyperlink" Target="https://en.wikipedia.org/Switzerland" TargetMode="External"/><Relationship Id="rId22" Type="http://schemas.openxmlformats.org/officeDocument/2006/relationships/hyperlink" Target="https://en.wikipedia.org/Martinsyde" TargetMode="External"/><Relationship Id="rId21" Type="http://schemas.openxmlformats.org/officeDocument/2006/relationships/hyperlink" Target="https://en.wikipedia.org/Martin" TargetMode="External"/><Relationship Id="rId24" Type="http://schemas.openxmlformats.org/officeDocument/2006/relationships/hyperlink" Target="https://en.wikipedia.org/France" TargetMode="External"/><Relationship Id="rId23" Type="http://schemas.openxmlformats.org/officeDocument/2006/relationships/hyperlink" Target="https://en.wikipedia.org/1946" TargetMode="External"/><Relationship Id="rId129" Type="http://schemas.openxmlformats.org/officeDocument/2006/relationships/hyperlink" Target="https://en.wikipedia.org/France" TargetMode="External"/><Relationship Id="rId128" Type="http://schemas.openxmlformats.org/officeDocument/2006/relationships/hyperlink" Target="https://en.wikipedia.org/America" TargetMode="External"/><Relationship Id="rId127" Type="http://schemas.openxmlformats.org/officeDocument/2006/relationships/hyperlink" Target="https://en.wikipedia.org/Potez" TargetMode="External"/><Relationship Id="rId126" Type="http://schemas.openxmlformats.org/officeDocument/2006/relationships/hyperlink" Target="https://en.wikipedia.org/Fouga" TargetMode="External"/><Relationship Id="rId26" Type="http://schemas.openxmlformats.org/officeDocument/2006/relationships/hyperlink" Target="https://en.wikipedia.org/America" TargetMode="External"/><Relationship Id="rId121" Type="http://schemas.openxmlformats.org/officeDocument/2006/relationships/hyperlink" Target="https://en.wikipedia.org/1937" TargetMode="External"/><Relationship Id="rId25" Type="http://schemas.openxmlformats.org/officeDocument/2006/relationships/hyperlink" Target="https://en.wikipedia.org/France" TargetMode="External"/><Relationship Id="rId120" Type="http://schemas.openxmlformats.org/officeDocument/2006/relationships/hyperlink" Target="https://en.wikipedia.org/France" TargetMode="External"/><Relationship Id="rId28" Type="http://schemas.openxmlformats.org/officeDocument/2006/relationships/hyperlink" Target="https://en.wikipedia.org/Autogyro" TargetMode="External"/><Relationship Id="rId27" Type="http://schemas.openxmlformats.org/officeDocument/2006/relationships/hyperlink" Target="https://en.wikipedia.org/Italy" TargetMode="External"/><Relationship Id="rId125" Type="http://schemas.openxmlformats.org/officeDocument/2006/relationships/hyperlink" Target="https://en.wikipedia.org/DAR" TargetMode="External"/><Relationship Id="rId29" Type="http://schemas.openxmlformats.org/officeDocument/2006/relationships/hyperlink" Target="https://en.wikipedia.org/America" TargetMode="External"/><Relationship Id="rId124" Type="http://schemas.openxmlformats.org/officeDocument/2006/relationships/hyperlink" Target="https://en.wikipedia.org/Gourdou-Leseurre" TargetMode="External"/><Relationship Id="rId123" Type="http://schemas.openxmlformats.org/officeDocument/2006/relationships/hyperlink" Target="https://en.wikipedia.org/Hanriot" TargetMode="External"/><Relationship Id="rId122" Type="http://schemas.openxmlformats.org/officeDocument/2006/relationships/hyperlink" Target="https://en.wikipedia.org/France" TargetMode="External"/><Relationship Id="rId95" Type="http://schemas.openxmlformats.org/officeDocument/2006/relationships/hyperlink" Target="https://en.wikipedia.org/Caudron" TargetMode="External"/><Relationship Id="rId94" Type="http://schemas.openxmlformats.org/officeDocument/2006/relationships/hyperlink" Target="https://en.wikipedia.org/France" TargetMode="External"/><Relationship Id="rId97" Type="http://schemas.openxmlformats.org/officeDocument/2006/relationships/hyperlink" Target="https://en.wikipedia.org/Caudron" TargetMode="External"/><Relationship Id="rId96" Type="http://schemas.openxmlformats.org/officeDocument/2006/relationships/hyperlink" Target="https://en.wikipedia.org/France" TargetMode="External"/><Relationship Id="rId11" Type="http://schemas.openxmlformats.org/officeDocument/2006/relationships/hyperlink" Target="https://en.wikipedia.org/America" TargetMode="External"/><Relationship Id="rId99" Type="http://schemas.openxmlformats.org/officeDocument/2006/relationships/hyperlink" Target="https://en.wikipedia.org/Caudron" TargetMode="External"/><Relationship Id="rId10" Type="http://schemas.openxmlformats.org/officeDocument/2006/relationships/hyperlink" Target="https://en.wikipedia.org/Glider" TargetMode="External"/><Relationship Id="rId98" Type="http://schemas.openxmlformats.org/officeDocument/2006/relationships/hyperlink" Target="https://en.wikipedia.org/France" TargetMode="External"/><Relationship Id="rId13" Type="http://schemas.openxmlformats.org/officeDocument/2006/relationships/hyperlink" Target="https://en.wikipedia.org/Mil" TargetMode="External"/><Relationship Id="rId12" Type="http://schemas.openxmlformats.org/officeDocument/2006/relationships/hyperlink" Target="https://en.wikipedia.org/1936" TargetMode="External"/><Relationship Id="rId91" Type="http://schemas.openxmlformats.org/officeDocument/2006/relationships/hyperlink" Target="https://en.wikipedia.org/Caudron" TargetMode="External"/><Relationship Id="rId90" Type="http://schemas.openxmlformats.org/officeDocument/2006/relationships/hyperlink" Target="https://en.wikipedia.org/Airliner" TargetMode="External"/><Relationship Id="rId93" Type="http://schemas.openxmlformats.org/officeDocument/2006/relationships/hyperlink" Target="https://en.wikipedia.org/Caudron" TargetMode="External"/><Relationship Id="rId92" Type="http://schemas.openxmlformats.org/officeDocument/2006/relationships/hyperlink" Target="https://en.wikipedia.org/France" TargetMode="External"/><Relationship Id="rId118" Type="http://schemas.openxmlformats.org/officeDocument/2006/relationships/hyperlink" Target="https://en.wikipedia.org/Fiat" TargetMode="External"/><Relationship Id="rId117" Type="http://schemas.openxmlformats.org/officeDocument/2006/relationships/hyperlink" Target="https://en.wikipedia.org/Fairchild" TargetMode="External"/><Relationship Id="rId116" Type="http://schemas.openxmlformats.org/officeDocument/2006/relationships/hyperlink" Target="https://en.wikipedia.org/America" TargetMode="External"/><Relationship Id="rId115" Type="http://schemas.openxmlformats.org/officeDocument/2006/relationships/hyperlink" Target="https://en.wikipedia.org/Bomber" TargetMode="External"/><Relationship Id="rId119" Type="http://schemas.openxmlformats.org/officeDocument/2006/relationships/hyperlink" Target="https://en.wikipedia.org/Potez" TargetMode="External"/><Relationship Id="rId15" Type="http://schemas.openxmlformats.org/officeDocument/2006/relationships/hyperlink" Target="https://en.wikipedia.org/France" TargetMode="External"/><Relationship Id="rId110" Type="http://schemas.openxmlformats.org/officeDocument/2006/relationships/hyperlink" Target="https://en.wikipedia.org/France" TargetMode="External"/><Relationship Id="rId14" Type="http://schemas.openxmlformats.org/officeDocument/2006/relationships/hyperlink" Target="https://en.wikipedia.org/Russia" TargetMode="External"/><Relationship Id="rId17" Type="http://schemas.openxmlformats.org/officeDocument/2006/relationships/hyperlink" Target="https://en.wikipedia.org/Glider" TargetMode="External"/><Relationship Id="rId16" Type="http://schemas.openxmlformats.org/officeDocument/2006/relationships/hyperlink" Target="https://en.wikipedia.org/France" TargetMode="External"/><Relationship Id="rId19" Type="http://schemas.openxmlformats.org/officeDocument/2006/relationships/hyperlink" Target="https://en.wikipedia.org/Martin-Handasyde" TargetMode="External"/><Relationship Id="rId114" Type="http://schemas.openxmlformats.org/officeDocument/2006/relationships/hyperlink" Target="https://en.wikipedia.org/Farman" TargetMode="External"/><Relationship Id="rId18" Type="http://schemas.openxmlformats.org/officeDocument/2006/relationships/hyperlink" Target="https://en.wikipedia.org/America" TargetMode="External"/><Relationship Id="rId113" Type="http://schemas.openxmlformats.org/officeDocument/2006/relationships/hyperlink" Target="https://en.wikipedia.org/Fairchild" TargetMode="External"/><Relationship Id="rId112" Type="http://schemas.openxmlformats.org/officeDocument/2006/relationships/hyperlink" Target="https://en.wikipedia.org/France" TargetMode="External"/><Relationship Id="rId111" Type="http://schemas.openxmlformats.org/officeDocument/2006/relationships/hyperlink" Target="https://en.wikipedia.org/Caudron" TargetMode="External"/><Relationship Id="rId84" Type="http://schemas.openxmlformats.org/officeDocument/2006/relationships/hyperlink" Target="https://en.wikipedia.org/Caudron" TargetMode="External"/><Relationship Id="rId83" Type="http://schemas.openxmlformats.org/officeDocument/2006/relationships/hyperlink" Target="https://en.wikipedia.org/France" TargetMode="External"/><Relationship Id="rId86" Type="http://schemas.openxmlformats.org/officeDocument/2006/relationships/hyperlink" Target="https://en.wikipedia.org/Caudron" TargetMode="External"/><Relationship Id="rId85" Type="http://schemas.openxmlformats.org/officeDocument/2006/relationships/hyperlink" Target="https://en.wikipedia.org/France" TargetMode="External"/><Relationship Id="rId88" Type="http://schemas.openxmlformats.org/officeDocument/2006/relationships/hyperlink" Target="https://en.wikipedia.org/Euler-Werke" TargetMode="External"/><Relationship Id="rId150" Type="http://schemas.openxmlformats.org/officeDocument/2006/relationships/hyperlink" Target="https://en.wikipedia.org/Hungary" TargetMode="External"/><Relationship Id="rId87" Type="http://schemas.openxmlformats.org/officeDocument/2006/relationships/hyperlink" Target="https://en.wikipedia.org/France" TargetMode="External"/><Relationship Id="rId89" Type="http://schemas.openxmlformats.org/officeDocument/2006/relationships/hyperlink" Target="https://en.wikipedia.org/Germany" TargetMode="External"/><Relationship Id="rId80" Type="http://schemas.openxmlformats.org/officeDocument/2006/relationships/hyperlink" Target="https://en.wikipedia.org/Caudron" TargetMode="External"/><Relationship Id="rId82" Type="http://schemas.openxmlformats.org/officeDocument/2006/relationships/hyperlink" Target="https://en.wikipedia.org/Caudron" TargetMode="External"/><Relationship Id="rId81" Type="http://schemas.openxmlformats.org/officeDocument/2006/relationships/hyperlink" Target="https://en.wikipedia.org/France" TargetMode="External"/><Relationship Id="rId1" Type="http://schemas.openxmlformats.org/officeDocument/2006/relationships/hyperlink" Target="https://en.wikipedia.org/America" TargetMode="External"/><Relationship Id="rId2" Type="http://schemas.openxmlformats.org/officeDocument/2006/relationships/hyperlink" Target="https://en.wikipedia.org/Zenair" TargetMode="External"/><Relationship Id="rId3" Type="http://schemas.openxmlformats.org/officeDocument/2006/relationships/hyperlink" Target="https://en.wikipedia.org/Canada" TargetMode="External"/><Relationship Id="rId149" Type="http://schemas.openxmlformats.org/officeDocument/2006/relationships/hyperlink" Target="https://en.wikipedia.org/Hungary" TargetMode="External"/><Relationship Id="rId4" Type="http://schemas.openxmlformats.org/officeDocument/2006/relationships/hyperlink" Target="https://en.wikipedia.org/Australia" TargetMode="External"/><Relationship Id="rId148" Type="http://schemas.openxmlformats.org/officeDocument/2006/relationships/hyperlink" Target="https://en.wikipedia.org/Airline" TargetMode="External"/><Relationship Id="rId9" Type="http://schemas.openxmlformats.org/officeDocument/2006/relationships/hyperlink" Target="https://en.wikipedia.org/MKEK" TargetMode="External"/><Relationship Id="rId143" Type="http://schemas.openxmlformats.org/officeDocument/2006/relationships/hyperlink" Target="https://en.wikipedia.org/Canada" TargetMode="External"/><Relationship Id="rId142" Type="http://schemas.openxmlformats.org/officeDocument/2006/relationships/hyperlink" Target="https://en.wikipedia.org/America" TargetMode="External"/><Relationship Id="rId141" Type="http://schemas.openxmlformats.org/officeDocument/2006/relationships/hyperlink" Target="https://en.wikipedia.org/Boeing" TargetMode="External"/><Relationship Id="rId140" Type="http://schemas.openxmlformats.org/officeDocument/2006/relationships/hyperlink" Target="https://en.wikipedia.org/Morane-Saulnier" TargetMode="External"/><Relationship Id="rId5" Type="http://schemas.openxmlformats.org/officeDocument/2006/relationships/hyperlink" Target="https://en.wikipedia.org/Supermarine" TargetMode="External"/><Relationship Id="rId147" Type="http://schemas.openxmlformats.org/officeDocument/2006/relationships/hyperlink" Target="https://en.wikipedia.org/Russia" TargetMode="External"/><Relationship Id="rId6" Type="http://schemas.openxmlformats.org/officeDocument/2006/relationships/hyperlink" Target="https://en.wikipedia.org/Germany" TargetMode="External"/><Relationship Id="rId146" Type="http://schemas.openxmlformats.org/officeDocument/2006/relationships/hyperlink" Target="https://en.wikipedia.org/Airbridge" TargetMode="External"/><Relationship Id="rId7" Type="http://schemas.openxmlformats.org/officeDocument/2006/relationships/hyperlink" Target="https://en.wikipedia.org/Marawing" TargetMode="External"/><Relationship Id="rId145" Type="http://schemas.openxmlformats.org/officeDocument/2006/relationships/hyperlink" Target="https://en.wikipedia.org/Australia" TargetMode="External"/><Relationship Id="rId8" Type="http://schemas.openxmlformats.org/officeDocument/2006/relationships/hyperlink" Target="https://en.wikipedia.org/Martinsyde" TargetMode="External"/><Relationship Id="rId144" Type="http://schemas.openxmlformats.org/officeDocument/2006/relationships/hyperlink" Target="https://en.wikipedia.org/Canada" TargetMode="External"/><Relationship Id="rId73" Type="http://schemas.openxmlformats.org/officeDocument/2006/relationships/hyperlink" Target="https://en.wikipedia.org/Caudron" TargetMode="External"/><Relationship Id="rId72" Type="http://schemas.openxmlformats.org/officeDocument/2006/relationships/hyperlink" Target="https://en.wikipedia.org/France" TargetMode="External"/><Relationship Id="rId75" Type="http://schemas.openxmlformats.org/officeDocument/2006/relationships/hyperlink" Target="https://en.wikipedia.org/Caudron" TargetMode="External"/><Relationship Id="rId74" Type="http://schemas.openxmlformats.org/officeDocument/2006/relationships/hyperlink" Target="https://en.wikipedia.org/France" TargetMode="External"/><Relationship Id="rId77" Type="http://schemas.openxmlformats.org/officeDocument/2006/relationships/hyperlink" Target="https://en.wikipedia.org/Caudron" TargetMode="External"/><Relationship Id="rId76" Type="http://schemas.openxmlformats.org/officeDocument/2006/relationships/hyperlink" Target="https://en.wikipedia.org/France" TargetMode="External"/><Relationship Id="rId79" Type="http://schemas.openxmlformats.org/officeDocument/2006/relationships/hyperlink" Target="https://en.wikipedia.org/Trainer" TargetMode="External"/><Relationship Id="rId78" Type="http://schemas.openxmlformats.org/officeDocument/2006/relationships/hyperlink" Target="https://en.wikipedia.org/France" TargetMode="External"/><Relationship Id="rId71" Type="http://schemas.openxmlformats.org/officeDocument/2006/relationships/hyperlink" Target="https://en.wikipedia.org/Caudron" TargetMode="External"/><Relationship Id="rId70" Type="http://schemas.openxmlformats.org/officeDocument/2006/relationships/hyperlink" Target="https://en.wikipedia.org/France" TargetMode="External"/><Relationship Id="rId139" Type="http://schemas.openxmlformats.org/officeDocument/2006/relationships/hyperlink" Target="https://en.wikipedia.org/Mooney" TargetMode="External"/><Relationship Id="rId138" Type="http://schemas.openxmlformats.org/officeDocument/2006/relationships/hyperlink" Target="https://en.wikipedia.org/Mooney" TargetMode="External"/><Relationship Id="rId137" Type="http://schemas.openxmlformats.org/officeDocument/2006/relationships/hyperlink" Target="https://en.wikipedia.org/America" TargetMode="External"/><Relationship Id="rId132" Type="http://schemas.openxmlformats.org/officeDocument/2006/relationships/hyperlink" Target="https://en.wikipedia.org/Canada" TargetMode="External"/><Relationship Id="rId131" Type="http://schemas.openxmlformats.org/officeDocument/2006/relationships/hyperlink" Target="https://en.wikipedia.org/Bulgaria" TargetMode="External"/><Relationship Id="rId130" Type="http://schemas.openxmlformats.org/officeDocument/2006/relationships/hyperlink" Target="https://en.wikipedia.org/Autogyro" TargetMode="External"/><Relationship Id="rId136" Type="http://schemas.openxmlformats.org/officeDocument/2006/relationships/hyperlink" Target="https://en.wikipedia.org/Helicopter" TargetMode="External"/><Relationship Id="rId135" Type="http://schemas.openxmlformats.org/officeDocument/2006/relationships/hyperlink" Target="https://en.wikipedia.org/America" TargetMode="External"/><Relationship Id="rId134" Type="http://schemas.openxmlformats.org/officeDocument/2006/relationships/hyperlink" Target="https://en.wikipedia.org/Canada" TargetMode="External"/><Relationship Id="rId133" Type="http://schemas.openxmlformats.org/officeDocument/2006/relationships/hyperlink" Target="https://en.wikipedia.org/America" TargetMode="External"/><Relationship Id="rId62" Type="http://schemas.openxmlformats.org/officeDocument/2006/relationships/hyperlink" Target="https://en.wikipedia.org/Serbia" TargetMode="External"/><Relationship Id="rId61" Type="http://schemas.openxmlformats.org/officeDocument/2006/relationships/hyperlink" Target="https://en.wikipedia.org/EdePro" TargetMode="External"/><Relationship Id="rId64" Type="http://schemas.openxmlformats.org/officeDocument/2006/relationships/hyperlink" Target="https://en.wikipedia.org/France" TargetMode="External"/><Relationship Id="rId63" Type="http://schemas.openxmlformats.org/officeDocument/2006/relationships/hyperlink" Target="https://en.wikipedia.org/Caudron" TargetMode="External"/><Relationship Id="rId66" Type="http://schemas.openxmlformats.org/officeDocument/2006/relationships/hyperlink" Target="https://en.wikipedia.org/France" TargetMode="External"/><Relationship Id="rId172" Type="http://schemas.openxmlformats.org/officeDocument/2006/relationships/hyperlink" Target="https://en.wikipedia.org/Spain" TargetMode="External"/><Relationship Id="rId65" Type="http://schemas.openxmlformats.org/officeDocument/2006/relationships/hyperlink" Target="https://en.wikipedia.org/Caudron" TargetMode="External"/><Relationship Id="rId171" Type="http://schemas.openxmlformats.org/officeDocument/2006/relationships/hyperlink" Target="https://en.wikipedia.org/Helicopter" TargetMode="External"/><Relationship Id="rId68" Type="http://schemas.openxmlformats.org/officeDocument/2006/relationships/hyperlink" Target="https://en.wikipedia.org/France" TargetMode="External"/><Relationship Id="rId170" Type="http://schemas.openxmlformats.org/officeDocument/2006/relationships/hyperlink" Target="https://en.wikipedia.org/Russia" TargetMode="External"/><Relationship Id="rId67" Type="http://schemas.openxmlformats.org/officeDocument/2006/relationships/hyperlink" Target="https://en.wikipedia.org/Caudron" TargetMode="External"/><Relationship Id="rId60" Type="http://schemas.openxmlformats.org/officeDocument/2006/relationships/hyperlink" Target="https://en.wikipedia.org/EdePro" TargetMode="External"/><Relationship Id="rId165" Type="http://schemas.openxmlformats.org/officeDocument/2006/relationships/hyperlink" Target="https://en.wikipedia.org/France" TargetMode="External"/><Relationship Id="rId69" Type="http://schemas.openxmlformats.org/officeDocument/2006/relationships/hyperlink" Target="https://en.wikipedia.org/Caudron" TargetMode="External"/><Relationship Id="rId164" Type="http://schemas.openxmlformats.org/officeDocument/2006/relationships/hyperlink" Target="https://en.wikipedia.org/Dewoitine" TargetMode="External"/><Relationship Id="rId163" Type="http://schemas.openxmlformats.org/officeDocument/2006/relationships/hyperlink" Target="https://en.wikipedia.org/Germany" TargetMode="External"/><Relationship Id="rId162" Type="http://schemas.openxmlformats.org/officeDocument/2006/relationships/hyperlink" Target="https://en.wikipedia.org/Airtrike" TargetMode="External"/><Relationship Id="rId169" Type="http://schemas.openxmlformats.org/officeDocument/2006/relationships/hyperlink" Target="https://en.wikipedia.org/Aviasouz" TargetMode="External"/><Relationship Id="rId168" Type="http://schemas.openxmlformats.org/officeDocument/2006/relationships/hyperlink" Target="https://en.wikipedia.org/France" TargetMode="External"/><Relationship Id="rId167" Type="http://schemas.openxmlformats.org/officeDocument/2006/relationships/hyperlink" Target="https://en.wikipedia.org/SPAD" TargetMode="External"/><Relationship Id="rId166" Type="http://schemas.openxmlformats.org/officeDocument/2006/relationships/hyperlink" Target="https://en.wikipedia.org/India" TargetMode="External"/><Relationship Id="rId51" Type="http://schemas.openxmlformats.org/officeDocument/2006/relationships/hyperlink" Target="https://en.wikipedia.org/Caudron" TargetMode="External"/><Relationship Id="rId50" Type="http://schemas.openxmlformats.org/officeDocument/2006/relationships/hyperlink" Target="https://en.wikipedia.org/France" TargetMode="External"/><Relationship Id="rId53" Type="http://schemas.openxmlformats.org/officeDocument/2006/relationships/hyperlink" Target="https://en.wikipedia.org/EdePro" TargetMode="External"/><Relationship Id="rId52" Type="http://schemas.openxmlformats.org/officeDocument/2006/relationships/hyperlink" Target="https://en.wikipedia.org/France" TargetMode="External"/><Relationship Id="rId55" Type="http://schemas.openxmlformats.org/officeDocument/2006/relationships/hyperlink" Target="https://en.wikipedia.org/Serbia" TargetMode="External"/><Relationship Id="rId161" Type="http://schemas.openxmlformats.org/officeDocument/2006/relationships/hyperlink" Target="https://en.wikipedia.org/America" TargetMode="External"/><Relationship Id="rId54" Type="http://schemas.openxmlformats.org/officeDocument/2006/relationships/hyperlink" Target="https://en.wikipedia.org/EdePro" TargetMode="External"/><Relationship Id="rId160" Type="http://schemas.openxmlformats.org/officeDocument/2006/relationships/hyperlink" Target="https://en.wikipedia.org/Germany" TargetMode="External"/><Relationship Id="rId57" Type="http://schemas.openxmlformats.org/officeDocument/2006/relationships/hyperlink" Target="https://en.wikipedia.org/France" TargetMode="External"/><Relationship Id="rId56" Type="http://schemas.openxmlformats.org/officeDocument/2006/relationships/hyperlink" Target="https://en.wikipedia.org/Caudron" TargetMode="External"/><Relationship Id="rId159" Type="http://schemas.openxmlformats.org/officeDocument/2006/relationships/hyperlink" Target="https://en.wikipedia.org/Bautek" TargetMode="External"/><Relationship Id="rId59" Type="http://schemas.openxmlformats.org/officeDocument/2006/relationships/hyperlink" Target="https://en.wikipedia.org/Germany" TargetMode="External"/><Relationship Id="rId154" Type="http://schemas.openxmlformats.org/officeDocument/2006/relationships/hyperlink" Target="https://en.wikipedia.org/Russia" TargetMode="External"/><Relationship Id="rId58" Type="http://schemas.openxmlformats.org/officeDocument/2006/relationships/hyperlink" Target="https://en.wikipedia.org/Explorair" TargetMode="External"/><Relationship Id="rId153" Type="http://schemas.openxmlformats.org/officeDocument/2006/relationships/hyperlink" Target="https://en.wikipedia.org/Airbridge" TargetMode="External"/><Relationship Id="rId152" Type="http://schemas.openxmlformats.org/officeDocument/2006/relationships/hyperlink" Target="https://en.wikipedia.org/Bulgaria" TargetMode="External"/><Relationship Id="rId151" Type="http://schemas.openxmlformats.org/officeDocument/2006/relationships/hyperlink" Target="https://en.wikipedia.org/Hungary" TargetMode="External"/><Relationship Id="rId158" Type="http://schemas.openxmlformats.org/officeDocument/2006/relationships/hyperlink" Target="https://en.wikipedia.org/Austria" TargetMode="External"/><Relationship Id="rId157" Type="http://schemas.openxmlformats.org/officeDocument/2006/relationships/hyperlink" Target="https://en.wikipedia.org/Caproni" TargetMode="External"/><Relationship Id="rId156" Type="http://schemas.openxmlformats.org/officeDocument/2006/relationships/hyperlink" Target="https://en.wikipedia.org/America" TargetMode="External"/><Relationship Id="rId155" Type="http://schemas.openxmlformats.org/officeDocument/2006/relationships/hyperlink" Target="https://en.wikipedia.org/Heinke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2" t="str">
        <f>IFERROR(__xludf.DUMMYFUNCTION("GOOGLETRANSLATE(C:C, ""en"", ""te"")"),"వివరణ")</f>
        <v>వివరణ</v>
      </c>
      <c r="E1" s="1" t="s">
        <v>2</v>
      </c>
      <c r="F1" s="1" t="s">
        <v>3</v>
      </c>
      <c r="G1" s="1" t="str">
        <f>IFERROR(__xludf.DUMMYFUNCTION("GOOGLETRANSLATE(F:F, ""en"", ""te"")"),"పాత్ర")</f>
        <v>పాత్ర</v>
      </c>
      <c r="H1" s="1" t="s">
        <v>4</v>
      </c>
      <c r="I1" s="1" t="s">
        <v>5</v>
      </c>
      <c r="J1" s="1" t="str">
        <f>IFERROR(__xludf.DUMMYFUNCTION("GOOGLETRANSLATE(I:I, ""en"", ""te"")"),"తయారీదారు")</f>
        <v>తయారీదారు</v>
      </c>
      <c r="K1" s="1" t="s">
        <v>6</v>
      </c>
      <c r="L1" s="1" t="s">
        <v>7</v>
      </c>
      <c r="M1" s="2" t="str">
        <f>IFERROR(__xludf.DUMMYFUNCTION("GOOGLETRANSLATE(L:L, ""en"", ""te"")"),"డిజైనర్")</f>
        <v>డిజైనర్</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3" t="s">
        <v>79</v>
      </c>
      <c r="CH1" s="1" t="s">
        <v>80</v>
      </c>
      <c r="CI1" s="1" t="s">
        <v>81</v>
      </c>
      <c r="CJ1" s="1" t="s">
        <v>82</v>
      </c>
      <c r="CK1" s="1" t="s">
        <v>83</v>
      </c>
      <c r="CL1" s="1" t="s">
        <v>84</v>
      </c>
      <c r="CM1" s="1" t="s">
        <v>85</v>
      </c>
      <c r="CN1" s="1" t="s">
        <v>86</v>
      </c>
      <c r="CO1" s="1" t="s">
        <v>87</v>
      </c>
      <c r="CP1" s="1" t="s">
        <v>88</v>
      </c>
      <c r="CQ1" s="1" t="s">
        <v>89</v>
      </c>
      <c r="CR1" s="1" t="s">
        <v>79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row>
    <row r="2">
      <c r="A2" s="1" t="s">
        <v>117</v>
      </c>
      <c r="B2" s="1" t="str">
        <f>IFERROR(__xludf.DUMMYFUNCTION("GOOGLETRANSLATE(A:A, ""en"", ""te"")"),"జెనిత్ స్టోల్ సిహెచ్ 801")</f>
        <v>జెనిత్ స్టోల్ సిహెచ్ 801</v>
      </c>
      <c r="C2" s="1" t="s">
        <v>118</v>
      </c>
      <c r="D2" s="2" t="str">
        <f>IFERROR(__xludf.DUMMYFUNCTION("GOOGLETRANSLATE(C:C, ""en"", ""te"")"),"జెనిత్ స్టోల్ సిహెచ్ 801 అనేది క్రిస్ హీంట్జ్ చేత అభివృద్ధి చేయబడిన నాలుగు-సీట్ల స్పోర్ట్ స్టోల్ విమానం మరియు ఇది జెనిత్ ఎయిర్క్రాఫ్ట్ కంపెనీ నుండి కిట్ రూపంలో లభిస్తుంది. [1] [2] [3] [4] CH 801 చిన్న రెండు-స్థానంలో ఉన్న STOL CH 701 మోడల్ యొక్క సాధారణ రూప"&amp;"కల్పన మరియు లక్షణాలపై ఆధారపడి ఉంటుంది. ఇది 1,000 lb (450 kg) యొక్క ఉపయోగకరమైన లోడ్‌ను అందిస్తుంది, ఇది 701 యొక్క 500 lb (230 kg) రెట్టింపు. రెండు విమానాలు ఒకేలా కనిపిస్తున్నప్పటికీ అవి సాధారణ భాగాలను పంచుకోవు. [2] [4] STOL CH 801 షీట్ అల్యూమినియం నుండి తయ"&amp;"ారవుతుంది మరియు లోతైన వింగ్ తీగ, పూర్తి-నిడివి గల ప్రముఖ అంచు స్లాట్లు మరియు తక్కువ వేగంతో అధిక లిఫ్ట్‌ను అభివృద్ధి చేయడానికి లోతైన వింగ్ తీగ, పూర్తి-నిడివి గల అంచు స్లాట్లు మరియు వెనుకంజలో ఉన్న అంచు ఫ్లాపెరాన్లను ఉపయోగిస్తుంది, అదే సమయంలో గరిష్ట బలం మరియ"&amp;"ు గ్రౌండ్ యుక్తి కోసం ఒక చిన్న వింగ్-స్పాన్‌ను నిర్వహిస్తుంది. [2 నటించు 2011 చివరి నాటికి 160 CH 801 లు పూర్తయ్యాయి మరియు ఎగురుతున్నాయి. [1] మూలం నుండి డేటా: కిట్‌ప్లాన్స్ మ్యాగజైన్ [3] సాధారణ లక్షణాలు పనితీరు")</f>
        <v>జెనిత్ స్టోల్ సిహెచ్ 801 అనేది క్రిస్ హీంట్జ్ చేత అభివృద్ధి చేయబడిన నాలుగు-సీట్ల స్పోర్ట్ స్టోల్ విమానం మరియు ఇది జెనిత్ ఎయిర్క్రాఫ్ట్ కంపెనీ నుండి కిట్ రూపంలో లభిస్తుంది. [1] [2] [3] [4] CH 801 చిన్న రెండు-స్థానంలో ఉన్న STOL CH 701 మోడల్ యొక్క సాధారణ రూపకల్పన మరియు లక్షణాలపై ఆధారపడి ఉంటుంది. ఇది 1,000 lb (450 kg) యొక్క ఉపయోగకరమైన లోడ్‌ను అందిస్తుంది, ఇది 701 యొక్క 500 lb (230 kg) రెట్టింపు. రెండు విమానాలు ఒకేలా కనిపిస్తున్నప్పటికీ అవి సాధారణ భాగాలను పంచుకోవు. [2] [4] STOL CH 801 షీట్ అల్యూమినియం నుండి తయారవుతుంది మరియు లోతైన వింగ్ తీగ, పూర్తి-నిడివి గల ప్రముఖ అంచు స్లాట్లు మరియు తక్కువ వేగంతో అధిక లిఫ్ట్‌ను అభివృద్ధి చేయడానికి లోతైన వింగ్ తీగ, పూర్తి-నిడివి గల అంచు స్లాట్లు మరియు వెనుకంజలో ఉన్న అంచు ఫ్లాపెరాన్లను ఉపయోగిస్తుంది, అదే సమయంలో గరిష్ట బలం మరియు గ్రౌండ్ యుక్తి కోసం ఒక చిన్న వింగ్-స్పాన్‌ను నిర్వహిస్తుంది. [2 నటించు 2011 చివరి నాటికి 160 CH 801 లు పూర్తయ్యాయి మరియు ఎగురుతున్నాయి. [1] మూలం నుండి డేటా: కిట్‌ప్లాన్స్ మ్యాగజైన్ [3] సాధారణ లక్షణాలు పనితీరు</v>
      </c>
      <c r="E2" s="1" t="s">
        <v>119</v>
      </c>
      <c r="F2" s="1" t="s">
        <v>120</v>
      </c>
      <c r="G2" s="1" t="str">
        <f>IFERROR(__xludf.DUMMYFUNCTION("GOOGLETRANSLATE(F:F, ""en"", ""te"")"),"స్టోల్ విమానం")</f>
        <v>స్టోల్ విమానం</v>
      </c>
      <c r="H2" s="1" t="s">
        <v>121</v>
      </c>
      <c r="I2" s="1" t="s">
        <v>122</v>
      </c>
      <c r="J2" s="1" t="str">
        <f>IFERROR(__xludf.DUMMYFUNCTION("GOOGLETRANSLATE(I:I, ""en"", ""te"")"),"జెనిత్ ఎయిర్క్రాఫ్ట్ కంపెనీ")</f>
        <v>జెనిత్ ఎయిర్క్రాఫ్ట్ కంపెనీ</v>
      </c>
      <c r="K2" s="1" t="s">
        <v>123</v>
      </c>
      <c r="L2" s="1" t="s">
        <v>124</v>
      </c>
      <c r="M2" s="2" t="str">
        <f>IFERROR(__xludf.DUMMYFUNCTION("GOOGLETRANSLATE(L:L, ""en"", ""te"")"),"క్రిస్ హీంట్జ్")</f>
        <v>క్రిస్ హీంట్జ్</v>
      </c>
      <c r="N2" s="1" t="s">
        <v>125</v>
      </c>
      <c r="O2" s="1" t="s">
        <v>126</v>
      </c>
      <c r="P2" s="1" t="s">
        <v>127</v>
      </c>
      <c r="Q2" s="1" t="s">
        <v>128</v>
      </c>
      <c r="R2" s="1" t="s">
        <v>129</v>
      </c>
      <c r="S2" s="1" t="s">
        <v>130</v>
      </c>
      <c r="T2" s="1" t="s">
        <v>131</v>
      </c>
      <c r="U2" s="1" t="s">
        <v>132</v>
      </c>
      <c r="V2" s="1" t="s">
        <v>133</v>
      </c>
      <c r="W2" s="1" t="s">
        <v>134</v>
      </c>
      <c r="X2" s="1" t="s">
        <v>135</v>
      </c>
      <c r="Y2" s="1" t="s">
        <v>135</v>
      </c>
      <c r="Z2" s="1" t="s">
        <v>136</v>
      </c>
      <c r="AA2" s="1" t="s">
        <v>137</v>
      </c>
      <c r="AB2" s="1" t="s">
        <v>138</v>
      </c>
      <c r="AC2" s="1" t="s">
        <v>139</v>
      </c>
      <c r="AD2" s="1" t="s">
        <v>140</v>
      </c>
      <c r="AE2" s="1" t="s">
        <v>141</v>
      </c>
    </row>
    <row r="3">
      <c r="A3" s="1" t="s">
        <v>142</v>
      </c>
      <c r="B3" s="1" t="str">
        <f>IFERROR(__xludf.DUMMYFUNCTION("GOOGLETRANSLATE(A:A, ""en"", ""te"")"),"Zlin సావేజ్")</f>
        <v>Zlin సావేజ్</v>
      </c>
      <c r="C3" s="1" t="s">
        <v>143</v>
      </c>
      <c r="D3" s="2" t="str">
        <f>IFERROR(__xludf.DUMMYFUNCTION("GOOGLETRANSLATE(C:C, ""en"", ""te"")"),"Zlin సావేజ్ అనేది పైపర్ పిల్లకు నిర్మాణంలో సమానమైన తేలికపాటి క్రీడా విమానాల శ్రేణి. [1] [2] [3] Zlin సావేజ్ సిరీస్ సాంప్రదాయిక ల్యాండింగ్ గేర్‌తో స్ట్రట్-బ్రేస్డ్, హై-వింగ్ విమానం. ఫ్యూజ్‌లేజ్ వెల్డెడ్ స్టీల్ గొట్టాలతో నిర్మించబడింది. రెక్కలు అల్యూమినియం "&amp;"స్పార్స్ మరియు వింగ్ పక్కటెముకలతో విమాన ఫాబ్రిక్ కవరింగ్‌తో నిర్మించబడతాయి. ఇంధనాన్ని రెండు వింగ్ రూట్ ట్యాంకులలో నిల్వ చేస్తారు. నియంత్రణ ఉపరితలాలు అల్యూమినియం తొక్కలను ఉపయోగిస్తాయి. [1] [2] [3] డిజైన్ అనేది సావేజ్, క్లాసిక్, క్రూయిజర్, కబ్, ఐకబ్, కబ్ ఎస"&amp;"్, బాబర్, నోమాడ్ మరియు అవుట్‌బ్యాక్ యొక్క మార్కెటింగ్ పేర్లతో అంగీకరించబడిన ఫెడరల్ ఏవియేషన్ అడ్మినిస్ట్రేషన్ స్పెషల్ లైట్-స్పోర్ట్ విమానాలు. [4] తయారీ నుండి డేటా పనితీరు పనితీరు")</f>
        <v>Zlin సావేజ్ అనేది పైపర్ పిల్లకు నిర్మాణంలో సమానమైన తేలికపాటి క్రీడా విమానాల శ్రేణి. [1] [2] [3] Zlin సావేజ్ సిరీస్ సాంప్రదాయిక ల్యాండింగ్ గేర్‌తో స్ట్రట్-బ్రేస్డ్, హై-వింగ్ విమానం. ఫ్యూజ్‌లేజ్ వెల్డెడ్ స్టీల్ గొట్టాలతో నిర్మించబడింది. రెక్కలు అల్యూమినియం స్పార్స్ మరియు వింగ్ పక్కటెముకలతో విమాన ఫాబ్రిక్ కవరింగ్‌తో నిర్మించబడతాయి. ఇంధనాన్ని రెండు వింగ్ రూట్ ట్యాంకులలో నిల్వ చేస్తారు. నియంత్రణ ఉపరితలాలు అల్యూమినియం తొక్కలను ఉపయోగిస్తాయి. [1] [2] [3] డిజైన్ అనేది సావేజ్, క్లాసిక్, క్రూయిజర్, కబ్, ఐకబ్, కబ్ ఎస్, బాబర్, నోమాడ్ మరియు అవుట్‌బ్యాక్ యొక్క మార్కెటింగ్ పేర్లతో అంగీకరించబడిన ఫెడరల్ ఏవియేషన్ అడ్మినిస్ట్రేషన్ స్పెషల్ లైట్-స్పోర్ట్ విమానాలు. [4] తయారీ నుండి డేటా పనితీరు పనితీరు</v>
      </c>
      <c r="E3" s="1" t="s">
        <v>144</v>
      </c>
      <c r="F3" s="1" t="s">
        <v>145</v>
      </c>
      <c r="G3" s="1" t="str">
        <f>IFERROR(__xludf.DUMMYFUNCTION("GOOGLETRANSLATE(F:F, ""en"", ""te"")"),"తేలికపాటి క్రీడా విమానం")</f>
        <v>తేలికపాటి క్రీడా విమానం</v>
      </c>
      <c r="I3" s="1" t="s">
        <v>146</v>
      </c>
      <c r="J3" s="1" t="str">
        <f>IFERROR(__xludf.DUMMYFUNCTION("GOOGLETRANSLATE(I:I, ""en"", ""te"")"),"Zlin ఏవియేషన్")</f>
        <v>Zlin ఏవియేషన్</v>
      </c>
      <c r="K3" s="1" t="s">
        <v>147</v>
      </c>
      <c r="M3" s="2"/>
      <c r="R3" s="1">
        <v>1.0</v>
      </c>
      <c r="S3" s="1">
        <v>1.0</v>
      </c>
      <c r="T3" s="1" t="s">
        <v>148</v>
      </c>
      <c r="U3" s="1" t="s">
        <v>149</v>
      </c>
      <c r="V3" s="1" t="s">
        <v>150</v>
      </c>
      <c r="W3" s="1" t="s">
        <v>151</v>
      </c>
      <c r="X3" s="1" t="s">
        <v>152</v>
      </c>
      <c r="Z3" s="1" t="s">
        <v>153</v>
      </c>
      <c r="AA3" s="1" t="s">
        <v>154</v>
      </c>
      <c r="AB3" s="1" t="s">
        <v>155</v>
      </c>
      <c r="AC3" s="1" t="s">
        <v>156</v>
      </c>
      <c r="AD3" s="1" t="s">
        <v>157</v>
      </c>
      <c r="AF3" s="1" t="s">
        <v>158</v>
      </c>
      <c r="AG3" s="1" t="s">
        <v>159</v>
      </c>
      <c r="AH3" s="1" t="s">
        <v>160</v>
      </c>
      <c r="AI3" s="1" t="s">
        <v>161</v>
      </c>
      <c r="AJ3" s="1" t="s">
        <v>162</v>
      </c>
      <c r="AK3" s="1" t="s">
        <v>163</v>
      </c>
      <c r="AL3" s="1" t="s">
        <v>164</v>
      </c>
      <c r="AM3" s="1" t="s">
        <v>165</v>
      </c>
      <c r="AN3" s="1" t="s">
        <v>166</v>
      </c>
    </row>
    <row r="4">
      <c r="A4" s="1" t="s">
        <v>167</v>
      </c>
      <c r="B4" s="1" t="str">
        <f>IFERROR(__xludf.DUMMYFUNCTION("GOOGLETRANSLATE(A:A, ""en"", ""te"")"),"హైడ్రా టెక్నాలజీస్ గవిలాన్")</f>
        <v>హైడ్రా టెక్నాలజీస్ గవిలాన్</v>
      </c>
      <c r="C4" s="1" t="s">
        <v>168</v>
      </c>
      <c r="D4" s="2" t="str">
        <f>IFERROR(__xludf.DUMMYFUNCTION("GOOGLETRANSLATE(C:C, ""en"", ""te"")"),"E1 గవిలాన్ మెక్సికో యొక్క మెక్సికన్ సంస్థ హైడ్రా టెక్నాలజీస్ చేత డిజైన్ మరియు తయారీ యొక్క మానవరహిత విద్యుత్-సర్వీలెన్స్ విమానం. విమానం రిమోట్‌గా నియంత్రించబడిన మానవరహిత వైమానిక వాహనం. [1] గవిలాన్‌ను జూన్ 10 న కాలిఫోర్నియాలోని శాన్ డియాగోలో జూన్ 10 న 'హైడ్"&amp;"రా టెక్నాలజీస్ ఆఫ్ మెక్సికో' AUVSI (అసోసియేషన్ ఫర్ మానవరహిత వెహికల్ సిస్టమ్స్ ఇంటర్నేషనల్) నార్త్ అమెరికా 2008 లో ప్రదర్శించారు, ఇది ప్రపంచంలోని ఈ ప్రత్యేక పరిశ్రమ యొక్క అతిపెద్ద ప్రపంచ ఎక్స్‌పో. అమెరికాలో ప్రవేశపెట్టిన ఒక నెల తరువాత, జూలై 14, ఫర్న్‌బరో ఎ"&amp;"యిర్‌షోలో E1 గవిలాన్‌ను కూడా ప్రదర్శించారు. గవిలాన్ స్పారోహాక్‌కు స్పానిష్ పదం. గవిలాన్ అనేది నిఘా కోసం మానవరహిత వైమానిక వ్యవస్థ, ఇది మానవ ప్రాణాలను పణంగా పెట్టకుండా బహుళ ఉపయోగాలు మరియు కార్యాచరణలకు భరోసా ఇస్తుంది. ఈ విమానం దాని సోదరుడు-వ్యవస్థచే స్థాపించ"&amp;"బడిన ఎక్కువ వేగం మరియు తక్కువ స్థలం అవసరమయ్యే సామర్థ్యాలను అందిస్తుంది: S4 ehécatl. విమానం యొక్క అతి ముఖ్యమైన ఆవిష్కరణ ఏమిటంటే, దాని టేకాఫ్ అమలు చేయడానికి రన్‌వేలపై ఆధారపడటం, చేతితో తయారు చేసిన నిష్క్రమణ కోసం ఈ అవసరాన్ని మార్పిడి చేయడం, అసమాన భూభాగంలో గ్ర"&amp;"ౌండ్ యుక్తిని సులభతరం చేస్తుంది. ఈ విమానం 90 నిమిషాల విమాన స్వయంప్రతిపత్తిని కలిగి ఉంది, ఇది పగలు లేదా రాత్రికి ఎగురుతుంది మరియు పోర్టబుల్ జిసిల ద్వారా ఒకే వినియోగదారుచే నియంత్రించబడుతుంది. S4 మాదిరిగానే, ఈ వ్యవస్థ మెక్సికన్ ఫెడరల్ ప్రభుత్వం, నాఫిన్సా మరి"&amp;"యు విద్యా లేదా శాస్త్రీయ సంస్థలైన కోనాసైట్, ఇన్స్టిట్యూటో పొలిటోక్నికో నేషనల్, యూనివర్సిడాడ్ ఆటోనోమా డి గ్వాడాలజారా మరియు ఇటెసో మధ్య ఉమ్మడి ప్రయత్నం యొక్క ఫలితం. ఎల్ ఇ 1 గవిలాన్ ఫ్లైట్ ఎల్ ఇ 1 గవిలాన్ ఫ్లైట్")</f>
        <v>E1 గవిలాన్ మెక్సికో యొక్క మెక్సికన్ సంస్థ హైడ్రా టెక్నాలజీస్ చేత డిజైన్ మరియు తయారీ యొక్క మానవరహిత విద్యుత్-సర్వీలెన్స్ విమానం. విమానం రిమోట్‌గా నియంత్రించబడిన మానవరహిత వైమానిక వాహనం. [1] గవిలాన్‌ను జూన్ 10 న కాలిఫోర్నియాలోని శాన్ డియాగోలో జూన్ 10 న 'హైడ్రా టెక్నాలజీస్ ఆఫ్ మెక్సికో' AUVSI (అసోసియేషన్ ఫర్ మానవరహిత వెహికల్ సిస్టమ్స్ ఇంటర్నేషనల్) నార్త్ అమెరికా 2008 లో ప్రదర్శించారు, ఇది ప్రపంచంలోని ఈ ప్రత్యేక పరిశ్రమ యొక్క అతిపెద్ద ప్రపంచ ఎక్స్‌పో. అమెరికాలో ప్రవేశపెట్టిన ఒక నెల తరువాత, జూలై 14, ఫర్న్‌బరో ఎయిర్‌షోలో E1 గవిలాన్‌ను కూడా ప్రదర్శించారు. గవిలాన్ స్పారోహాక్‌కు స్పానిష్ పదం. గవిలాన్ అనేది నిఘా కోసం మానవరహిత వైమానిక వ్యవస్థ, ఇది మానవ ప్రాణాలను పణంగా పెట్టకుండా బహుళ ఉపయోగాలు మరియు కార్యాచరణలకు భరోసా ఇస్తుంది. ఈ విమానం దాని సోదరుడు-వ్యవస్థచే స్థాపించబడిన ఎక్కువ వేగం మరియు తక్కువ స్థలం అవసరమయ్యే సామర్థ్యాలను అందిస్తుంది: S4 ehécatl. విమానం యొక్క అతి ముఖ్యమైన ఆవిష్కరణ ఏమిటంటే, దాని టేకాఫ్ అమలు చేయడానికి రన్‌వేలపై ఆధారపడటం, చేతితో తయారు చేసిన నిష్క్రమణ కోసం ఈ అవసరాన్ని మార్పిడి చేయడం, అసమాన భూభాగంలో గ్రౌండ్ యుక్తిని సులభతరం చేస్తుంది. ఈ విమానం 90 నిమిషాల విమాన స్వయంప్రతిపత్తిని కలిగి ఉంది, ఇది పగలు లేదా రాత్రికి ఎగురుతుంది మరియు పోర్టబుల్ జిసిల ద్వారా ఒకే వినియోగదారుచే నియంత్రించబడుతుంది. S4 మాదిరిగానే, ఈ వ్యవస్థ మెక్సికన్ ఫెడరల్ ప్రభుత్వం, నాఫిన్సా మరియు విద్యా లేదా శాస్త్రీయ సంస్థలైన కోనాసైట్, ఇన్స్టిట్యూటో పొలిటోక్నికో నేషనల్, యూనివర్సిడాడ్ ఆటోనోమా డి గ్వాడాలజారా మరియు ఇటెసో మధ్య ఉమ్మడి ప్రయత్నం యొక్క ఫలితం. ఎల్ ఇ 1 గవిలాన్ ఫ్లైట్ ఎల్ ఇ 1 గవిలాన్ ఫ్లైట్</v>
      </c>
      <c r="E4" s="1" t="s">
        <v>169</v>
      </c>
      <c r="F4" s="1" t="s">
        <v>170</v>
      </c>
      <c r="G4" s="1" t="str">
        <f>IFERROR(__xludf.DUMMYFUNCTION("GOOGLETRANSLATE(F:F, ""en"", ""te"")"),"మానవరహిత వైమానిక వాహనం")</f>
        <v>మానవరహిత వైమానిక వాహనం</v>
      </c>
      <c r="H4" s="1" t="s">
        <v>171</v>
      </c>
      <c r="I4" s="1" t="s">
        <v>172</v>
      </c>
      <c r="J4" s="1" t="str">
        <f>IFERROR(__xludf.DUMMYFUNCTION("GOOGLETRANSLATE(I:I, ""en"", ""te"")"),"మెక్సికో యొక్క హైడ్రా టెక్నాలజీస్")</f>
        <v>మెక్సికో యొక్క హైడ్రా టెక్నాలజీస్</v>
      </c>
      <c r="K4" s="1" t="s">
        <v>173</v>
      </c>
      <c r="M4" s="2"/>
      <c r="AO4" s="1">
        <v>2008.0</v>
      </c>
      <c r="AP4" s="1" t="s">
        <v>174</v>
      </c>
      <c r="AQ4" s="1" t="s">
        <v>175</v>
      </c>
    </row>
    <row r="5">
      <c r="A5" s="1" t="s">
        <v>176</v>
      </c>
      <c r="B5" s="1" t="str">
        <f>IFERROR(__xludf.DUMMYFUNCTION("GOOGLETRANSLATE(A:A, ""en"", ""te"")"),"తులియు")</f>
        <v>తులియు</v>
      </c>
      <c r="C5" s="1" t="s">
        <v>177</v>
      </c>
      <c r="D5" s="2" t="str">
        <f>IFERROR(__xludf.DUMMYFUNCTION("GOOGLETRANSLATE(C:C, ""en"", ""te"")"),"థులిన్ ఇ 1910 ల చివరలో నిర్మించిన స్వీడిష్ నిఘా విమానం. థులిన్ ఇ ఎనోచ్ థులిన్ సంస్థ రూపొందించిన మొదటి స్వదేశీ రూపకల్పన. ఇది రెండు సీట్ల బైప్‌లేన్, ఫ్యూజ్‌లేజ్ దిగువన దిగువ రెక్కలు అమర్చబడి ఉన్నాయి. అప్పర్ వింగ్‌కు నాలుగు వింగ్ స్ట్రట్స్ మరియు నాలుగు వి-ఆక"&amp;"ారపు ఫ్యూజ్‌లేజ్ స్ట్రట్‌లు ఉన్నాయి. ఎగువ రెక్కలు మాత్రమే ఐలెరాన్‌లతో అమర్చారు. ఫ్యూజ్‌లేజ్‌కు రెండు ఓపెన్ కాక్‌పిట్‌లు, అప్పర్ వింగ్ కింద, సమిష్టిగా అందించబడ్డాయి. వెనుక ల్యాండింగ్ గేర్ ఒక స్థిర స్పర్ స్ప్రింగ్. ఫ్లోట్లతో బైప్‌లేన్‌ను సన్నద్ధం చేసే ప్రయత"&amp;"్నం జరిగింది. [1] సాధారణ లక్షణాల పనితీరు సంబంధిత జాబితాల నుండి డేటా")</f>
        <v>థులిన్ ఇ 1910 ల చివరలో నిర్మించిన స్వీడిష్ నిఘా విమానం. థులిన్ ఇ ఎనోచ్ థులిన్ సంస్థ రూపొందించిన మొదటి స్వదేశీ రూపకల్పన. ఇది రెండు సీట్ల బైప్‌లేన్, ఫ్యూజ్‌లేజ్ దిగువన దిగువ రెక్కలు అమర్చబడి ఉన్నాయి. అప్పర్ వింగ్‌కు నాలుగు వింగ్ స్ట్రట్స్ మరియు నాలుగు వి-ఆకారపు ఫ్యూజ్‌లేజ్ స్ట్రట్‌లు ఉన్నాయి. ఎగువ రెక్కలు మాత్రమే ఐలెరాన్‌లతో అమర్చారు. ఫ్యూజ్‌లేజ్‌కు రెండు ఓపెన్ కాక్‌పిట్‌లు, అప్పర్ వింగ్ కింద, సమిష్టిగా అందించబడ్డాయి. వెనుక ల్యాండింగ్ గేర్ ఒక స్థిర స్పర్ స్ప్రింగ్. ఫ్లోట్లతో బైప్‌లేన్‌ను సన్నద్ధం చేసే ప్రయత్నం జరిగింది. [1] సాధారణ లక్షణాల పనితీరు సంబంధిత జాబితాల నుండి డేటా</v>
      </c>
      <c r="E5" s="1" t="s">
        <v>178</v>
      </c>
      <c r="F5" s="1" t="s">
        <v>179</v>
      </c>
      <c r="G5" s="1" t="str">
        <f>IFERROR(__xludf.DUMMYFUNCTION("GOOGLETRANSLATE(F:F, ""en"", ""te"")"),"నిఘా విమానం")</f>
        <v>నిఘా విమానం</v>
      </c>
      <c r="I5" s="1" t="s">
        <v>180</v>
      </c>
      <c r="J5" s="1" t="str">
        <f>IFERROR(__xludf.DUMMYFUNCTION("GOOGLETRANSLATE(I:I, ""en"", ""te"")"),"అబ్ థిన్వెన్వెర్కెన్")</f>
        <v>అబ్ థిన్వెన్వెర్కెన్</v>
      </c>
      <c r="K5" s="1" t="s">
        <v>181</v>
      </c>
      <c r="L5" s="1" t="s">
        <v>182</v>
      </c>
      <c r="M5" s="2" t="str">
        <f>IFERROR(__xludf.DUMMYFUNCTION("GOOGLETRANSLATE(L:L, ""en"", ""te"")"),"ఎనోచ్ తులిన్")</f>
        <v>ఎనోచ్ తులిన్</v>
      </c>
      <c r="N5" s="1" t="s">
        <v>183</v>
      </c>
      <c r="O5" s="1">
        <v>5.0</v>
      </c>
      <c r="R5" s="1">
        <v>2.0</v>
      </c>
      <c r="T5" s="1" t="s">
        <v>184</v>
      </c>
      <c r="U5" s="1" t="s">
        <v>185</v>
      </c>
      <c r="X5" s="1" t="s">
        <v>186</v>
      </c>
      <c r="Z5" s="1" t="s">
        <v>187</v>
      </c>
      <c r="AA5" s="1" t="s">
        <v>188</v>
      </c>
      <c r="AI5" s="1" t="s">
        <v>189</v>
      </c>
      <c r="AL5" s="1" t="s">
        <v>190</v>
      </c>
      <c r="AO5" s="1">
        <v>1916.0</v>
      </c>
      <c r="AP5" s="1" t="s">
        <v>191</v>
      </c>
      <c r="AQ5" s="1" t="s">
        <v>192</v>
      </c>
      <c r="AR5" s="1" t="s">
        <v>193</v>
      </c>
    </row>
    <row r="6">
      <c r="A6" s="1" t="s">
        <v>194</v>
      </c>
      <c r="B6" s="1" t="str">
        <f>IFERROR(__xludf.DUMMYFUNCTION("GOOGLETRANSLATE(A:A, ""en"", ""te"")"),"రైట్ f2w")</f>
        <v>రైట్ f2w</v>
      </c>
      <c r="C6" s="1" t="s">
        <v>195</v>
      </c>
      <c r="D6" s="2" t="str">
        <f>IFERROR(__xludf.DUMMYFUNCTION("GOOGLETRANSLATE(C:C, ""en"", ""te"")"),"రైట్ ఎఫ్ 2 డబ్ల్యు అనేది యుఎస్ నేవీ కోసం రైట్ ఏరోనాటికల్ కార్పొరేషన్ నిర్మించిన ఒక అమెరికన్ రేసింగ్ విమానం. 1923 పులిట్జర్ ట్రోఫీలో యుఎస్ నేవీ ప్రవేశించాలని ఎఫ్ 2 డబ్ల్యూ ఆదేశించింది. రైట్ ప్రధానంగా కలపతో విమానాన్ని నిర్మించాడు, ఫాబ్రిక్‌తో కప్పబడి ఉన్నాడ"&amp;"ు మరియు రైట్ టి -3 సుడిగాలి ఇంజిన్ చేత శక్తిని పొందాడు. మొదటి F2W మొదటిసారి 2 ఆగస్టు 1923 న ప్రయాణించింది. [1] పులిట్జర్ రేసులో, మొదటి F2W ఇంధనం అయిపోయి క్రాష్ అయ్యింది. రెండవ F2W, రెండు రెట్లు ఎక్కువ ఇంధనాన్ని కలిగి ఉంది, ఇది 230.06 mph (370.25 కిమీ/గం) "&amp;"వద్ద మూడవ స్థానంలో నిలిచింది. తరువాత దీనిని 1924 ష్నైడర్ ట్రోఫీ రేసులో పాల్గొనడానికి F2W-2 గా ఫ్లోట్‌ప్లేన్‌గా మార్చారు. పరీక్ష సమయంలో ఇది చాలా అస్థిరంగా ఉంది, మరియు దాని ఏకైక విమానంలో, 11 అక్టోబర్ 1924 న, పెన్సిల్వేనియాలోని ఫిలడెల్ఫియాలోని డెలావేర్ నదిని"&amp;" ras ీకొట్టింది, సుడిగాలి ఇంజిన్ యొక్క విపరీతమైన టార్క్ భూమికి ప్రయత్నిస్తున్నప్పుడు దాని వెనుక భాగంలో తిప్పికొట్టింది. [2] పైలట్, తీవ్రంగా గాయపడిన, శిధిలాల నుండి తనను తాను రక్షించుకున్నాడు. [3] 1917 నుండి ప్రస్తుత [1] సాధారణ లక్షణాల పనితీరు వరకు అమెరికన్"&amp;" ఫైటర్ నుండి డేటా")</f>
        <v>రైట్ ఎఫ్ 2 డబ్ల్యు అనేది యుఎస్ నేవీ కోసం రైట్ ఏరోనాటికల్ కార్పొరేషన్ నిర్మించిన ఒక అమెరికన్ రేసింగ్ విమానం. 1923 పులిట్జర్ ట్రోఫీలో యుఎస్ నేవీ ప్రవేశించాలని ఎఫ్ 2 డబ్ల్యూ ఆదేశించింది. రైట్ ప్రధానంగా కలపతో విమానాన్ని నిర్మించాడు, ఫాబ్రిక్‌తో కప్పబడి ఉన్నాడు మరియు రైట్ టి -3 సుడిగాలి ఇంజిన్ చేత శక్తిని పొందాడు. మొదటి F2W మొదటిసారి 2 ఆగస్టు 1923 న ప్రయాణించింది. [1] పులిట్జర్ రేసులో, మొదటి F2W ఇంధనం అయిపోయి క్రాష్ అయ్యింది. రెండవ F2W, రెండు రెట్లు ఎక్కువ ఇంధనాన్ని కలిగి ఉంది, ఇది 230.06 mph (370.25 కిమీ/గం) వద్ద మూడవ స్థానంలో నిలిచింది. తరువాత దీనిని 1924 ష్నైడర్ ట్రోఫీ రేసులో పాల్గొనడానికి F2W-2 గా ఫ్లోట్‌ప్లేన్‌గా మార్చారు. పరీక్ష సమయంలో ఇది చాలా అస్థిరంగా ఉంది, మరియు దాని ఏకైక విమానంలో, 11 అక్టోబర్ 1924 న, పెన్సిల్వేనియాలోని ఫిలడెల్ఫియాలోని డెలావేర్ నదిని ras ీకొట్టింది, సుడిగాలి ఇంజిన్ యొక్క విపరీతమైన టార్క్ భూమికి ప్రయత్నిస్తున్నప్పుడు దాని వెనుక భాగంలో తిప్పికొట్టింది. [2] పైలట్, తీవ్రంగా గాయపడిన, శిధిలాల నుండి తనను తాను రక్షించుకున్నాడు. [3] 1917 నుండి ప్రస్తుత [1] సాధారణ లక్షణాల పనితీరు వరకు అమెరికన్ ఫైటర్ నుండి డేటా</v>
      </c>
      <c r="E6" s="1" t="s">
        <v>196</v>
      </c>
      <c r="F6" s="1" t="s">
        <v>197</v>
      </c>
      <c r="G6" s="1" t="str">
        <f>IFERROR(__xludf.DUMMYFUNCTION("GOOGLETRANSLATE(F:F, ""en"", ""te"")"),"రేసర్")</f>
        <v>రేసర్</v>
      </c>
      <c r="I6" s="1" t="s">
        <v>198</v>
      </c>
      <c r="J6" s="1" t="str">
        <f>IFERROR(__xludf.DUMMYFUNCTION("GOOGLETRANSLATE(I:I, ""en"", ""te"")"),"రైట్ ఏరోనాటికల్ కార్పొరేషన్")</f>
        <v>రైట్ ఏరోనాటికల్ కార్పొరేషన్</v>
      </c>
      <c r="K6" s="1" t="s">
        <v>199</v>
      </c>
      <c r="M6" s="2"/>
      <c r="O6" s="1">
        <v>2.0</v>
      </c>
      <c r="R6" s="1">
        <v>1.0</v>
      </c>
      <c r="T6" s="1" t="s">
        <v>200</v>
      </c>
      <c r="U6" s="1" t="s">
        <v>201</v>
      </c>
      <c r="V6" s="1" t="s">
        <v>202</v>
      </c>
      <c r="W6" s="1" t="s">
        <v>203</v>
      </c>
      <c r="X6" s="1" t="s">
        <v>204</v>
      </c>
      <c r="Z6" s="1" t="s">
        <v>205</v>
      </c>
      <c r="AF6" s="1" t="s">
        <v>206</v>
      </c>
      <c r="AG6" s="4" t="s">
        <v>207</v>
      </c>
      <c r="AI6" s="1" t="s">
        <v>208</v>
      </c>
      <c r="AL6" s="1" t="s">
        <v>209</v>
      </c>
      <c r="AO6" s="1" t="s">
        <v>210</v>
      </c>
      <c r="AS6" s="1" t="s">
        <v>211</v>
      </c>
    </row>
    <row r="7">
      <c r="A7" s="1" t="s">
        <v>212</v>
      </c>
      <c r="B7" s="1" t="str">
        <f>IFERROR(__xludf.DUMMYFUNCTION("GOOGLETRANSLATE(A:A, ""en"", ""te"")"),"జెనైర్ సిహెచ్ 640")</f>
        <v>జెనైర్ సిహెచ్ 640</v>
      </c>
      <c r="C7" s="1" t="s">
        <v>213</v>
      </c>
      <c r="D7" s="2" t="str">
        <f>IFERROR(__xludf.DUMMYFUNCTION("GOOGLETRANSLATE(C:C, ""en"", ""te"")"),"జెనెయిర్ రాశిచక్ర సిహెచ్ 640 అనేది కెనడియన్ తేలికపాటి విమానం, దీనిని క్రిస్ హీంట్జ్ రూపొందించారు మరియు ఇది జెనెయిర్ చేత te త్సాహిక నిర్మాణం కోసం కిట్ రూపంలో ఉత్పత్తి అవుతుంది. [1] [2] CH 640 ను రెండు-సీట్ల రకం సర్టిఫైడ్ AMD అలరస్ నుండి అభివృద్ధి చేశారు, ద"&amp;"ీనిని జెనైర్ CH 2000 అని కూడా పిలుస్తారు, రెక్కలు మరియు స్టెబిలేటర్ యొక్క వ్యవధిని పెంచడం ద్వారా, పెద్ద ఇంజిన్‌కు అనుగుణంగా మరియు స్థూల బరువు పెరగడానికి. ఈ డిజైన్‌ను జెనిత్ సిహెచ్ 601 మరియు జెనెయిర్ సిహెచ్ 300 కూడా ప్రభావితం చేసింది. పూర్తి సీట్లతో క్రాస్"&amp;" కంట్రీ విమానాలను ఎగురుతున్న సామర్థ్యం గల సాధారణ నాలుగు-సీట్ల విమానాలను ఉత్పత్తి చేయడమే డిజైన్ లక్ష్యాలు. [2] CH 640 అనేది నాలుగు సీట్ల, తక్కువ-వింగ్ టూరింగ్ విమానం, ఇది ట్రైసైకిల్ ల్యాండింగ్ గేర్‌తో మరియు ట్రాక్టర్ కాన్ఫిగరేషన్‌లో ఒకే ఇంజిన్. ఇది ప్రామాణ"&amp;"ిక ఖాళీ బరువు 1,147 పౌండ్లు (520 కిలోలు), స్థూల బరువు 2,200 ఎల్బి (998 కిలోలు) మరియు ఆమోదయోగ్యమైన ఇంజిన్ శక్తి పరిధి 150 నుండి 240 హెచ్‌పి (112 నుండి 179 కిలోవాట్). సిఫార్సు చేయబడిన ఇంజిన్ 180 హెచ్‌పి (134 కిలోవాట్) యొక్క లైమింగ్ O-360. [1] [2] ఈ విమానం 6"&amp;"061-టి 6 అల్యూమినియం నుండి తయారు చేయబడింది. దీని 31.5 అడుగుల (9.6 మీ) స్పాన్ వింగ్ ఒక కాంటిలివర్ నిర్మాణం మరియు ఫ్లాప్స్ కలిగి ఉంటుంది. 46 in (116.8 సెం.మీ) వెడల్పు క్యాబిన్ రెండు గల్-వింగ్డ్ తలుపుల ద్వారా యాక్సెస్ చేయబడుతుంది. ఫ్యాక్టరీ-సరఫరా చేసిన ప్రామ"&amp;"ాణిక కిట్ నుండి నిర్మాణ సమయం పూర్తి కావడానికి 1250 గంటలు మరియు శీఘ్ర-నిర్మాణ కిట్ 750 గంటలకు అంచనా వేయబడింది. 2011 లో, కిట్ ఖర్చు US $ 28,995 డిసెంబర్ 2011 లో 50 పూర్తయింది మరియు ఎగురుతుంది. [1] [2] CH 640 ఏరోన్‌వ్స్ నెట్‌వర్క్‌ను అంచనా వేయడంలో, ""ఇది చాల"&amp;"ా స్థిరమైన చిన్న విమానం మరియు మీరు అనుకున్నదానికంటే వేగంగా సరసమైన మొత్తం."" [2] కిట్‌ప్లేన్‌ల నుండి డేటా [1] [3] సాధారణ లక్షణాల పనితీరు")</f>
        <v>జెనెయిర్ రాశిచక్ర సిహెచ్ 640 అనేది కెనడియన్ తేలికపాటి విమానం, దీనిని క్రిస్ హీంట్జ్ రూపొందించారు మరియు ఇది జెనెయిర్ చేత te త్సాహిక నిర్మాణం కోసం కిట్ రూపంలో ఉత్పత్తి అవుతుంది. [1] [2] CH 640 ను రెండు-సీట్ల రకం సర్టిఫైడ్ AMD అలరస్ నుండి అభివృద్ధి చేశారు, దీనిని జెనైర్ CH 2000 అని కూడా పిలుస్తారు, రెక్కలు మరియు స్టెబిలేటర్ యొక్క వ్యవధిని పెంచడం ద్వారా, పెద్ద ఇంజిన్‌కు అనుగుణంగా మరియు స్థూల బరువు పెరగడానికి. ఈ డిజైన్‌ను జెనిత్ సిహెచ్ 601 మరియు జెనెయిర్ సిహెచ్ 300 కూడా ప్రభావితం చేసింది. పూర్తి సీట్లతో క్రాస్ కంట్రీ విమానాలను ఎగురుతున్న సామర్థ్యం గల సాధారణ నాలుగు-సీట్ల విమానాలను ఉత్పత్తి చేయడమే డిజైన్ లక్ష్యాలు. [2] CH 640 అనేది నాలుగు సీట్ల, తక్కువ-వింగ్ టూరింగ్ విమానం, ఇది ట్రైసైకిల్ ల్యాండింగ్ గేర్‌తో మరియు ట్రాక్టర్ కాన్ఫిగరేషన్‌లో ఒకే ఇంజిన్. ఇది ప్రామాణిక ఖాళీ బరువు 1,147 పౌండ్లు (520 కిలోలు), స్థూల బరువు 2,200 ఎల్బి (998 కిలోలు) మరియు ఆమోదయోగ్యమైన ఇంజిన్ శక్తి పరిధి 150 నుండి 240 హెచ్‌పి (112 నుండి 179 కిలోవాట్). సిఫార్సు చేయబడిన ఇంజిన్ 180 హెచ్‌పి (134 కిలోవాట్) యొక్క లైమింగ్ O-360. [1] [2] ఈ విమానం 6061-టి 6 అల్యూమినియం నుండి తయారు చేయబడింది. దీని 31.5 అడుగుల (9.6 మీ) స్పాన్ వింగ్ ఒక కాంటిలివర్ నిర్మాణం మరియు ఫ్లాప్స్ కలిగి ఉంటుంది. 46 in (116.8 సెం.మీ) వెడల్పు క్యాబిన్ రెండు గల్-వింగ్డ్ తలుపుల ద్వారా యాక్సెస్ చేయబడుతుంది. ఫ్యాక్టరీ-సరఫరా చేసిన ప్రామాణిక కిట్ నుండి నిర్మాణ సమయం పూర్తి కావడానికి 1250 గంటలు మరియు శీఘ్ర-నిర్మాణ కిట్ 750 గంటలకు అంచనా వేయబడింది. 2011 లో, కిట్ ఖర్చు US $ 28,995 డిసెంబర్ 2011 లో 50 పూర్తయింది మరియు ఎగురుతుంది. [1] [2] CH 640 ఏరోన్‌వ్స్ నెట్‌వర్క్‌ను అంచనా వేయడంలో, "ఇది చాలా స్థిరమైన చిన్న విమానం మరియు మీరు అనుకున్నదానికంటే వేగంగా సరసమైన మొత్తం." [2] కిట్‌ప్లేన్‌ల నుండి డేటా [1] [3] సాధారణ లక్షణాల పనితీరు</v>
      </c>
      <c r="E7" s="1" t="s">
        <v>214</v>
      </c>
      <c r="F7" s="1" t="s">
        <v>215</v>
      </c>
      <c r="G7" s="1" t="str">
        <f>IFERROR(__xludf.DUMMYFUNCTION("GOOGLETRANSLATE(F:F, ""en"", ""te"")"),"కిట్ విమానం")</f>
        <v>కిట్ విమానం</v>
      </c>
      <c r="H7" s="1" t="s">
        <v>216</v>
      </c>
      <c r="I7" s="1" t="s">
        <v>217</v>
      </c>
      <c r="J7" s="1" t="str">
        <f>IFERROR(__xludf.DUMMYFUNCTION("GOOGLETRANSLATE(I:I, ""en"", ""te"")"),"జెనైర్")</f>
        <v>జెనైర్</v>
      </c>
      <c r="K7" s="4" t="s">
        <v>218</v>
      </c>
      <c r="L7" s="1" t="s">
        <v>124</v>
      </c>
      <c r="M7" s="2" t="str">
        <f>IFERROR(__xludf.DUMMYFUNCTION("GOOGLETRANSLATE(L:L, ""en"", ""te"")"),"క్రిస్ హీంట్జ్")</f>
        <v>క్రిస్ హీంట్జ్</v>
      </c>
      <c r="N7" s="1" t="s">
        <v>125</v>
      </c>
      <c r="O7" s="1" t="s">
        <v>219</v>
      </c>
      <c r="P7" s="1" t="s">
        <v>220</v>
      </c>
      <c r="Q7" s="1" t="s">
        <v>221</v>
      </c>
      <c r="R7" s="1" t="s">
        <v>222</v>
      </c>
      <c r="S7" s="1" t="s">
        <v>223</v>
      </c>
      <c r="T7" s="1" t="s">
        <v>224</v>
      </c>
      <c r="U7" s="1" t="s">
        <v>225</v>
      </c>
      <c r="V7" s="1" t="s">
        <v>226</v>
      </c>
      <c r="W7" s="1" t="s">
        <v>227</v>
      </c>
      <c r="X7" s="1" t="s">
        <v>135</v>
      </c>
      <c r="Z7" s="1" t="s">
        <v>228</v>
      </c>
      <c r="AA7" s="1" t="s">
        <v>229</v>
      </c>
      <c r="AB7" s="1" t="s">
        <v>230</v>
      </c>
      <c r="AC7" s="1" t="s">
        <v>231</v>
      </c>
      <c r="AD7" s="1" t="s">
        <v>232</v>
      </c>
      <c r="AF7" s="1" t="s">
        <v>233</v>
      </c>
      <c r="AG7" s="4" t="s">
        <v>234</v>
      </c>
      <c r="AI7" s="1" t="s">
        <v>235</v>
      </c>
      <c r="AK7" s="1" t="s">
        <v>236</v>
      </c>
      <c r="AL7" s="1" t="s">
        <v>237</v>
      </c>
      <c r="AM7" s="1" t="s">
        <v>238</v>
      </c>
      <c r="AR7" s="1" t="s">
        <v>239</v>
      </c>
      <c r="AS7" s="1" t="s">
        <v>240</v>
      </c>
      <c r="AT7" s="1" t="s">
        <v>241</v>
      </c>
      <c r="AU7" s="1" t="s">
        <v>242</v>
      </c>
    </row>
    <row r="8">
      <c r="A8" s="1" t="s">
        <v>243</v>
      </c>
      <c r="B8" s="1" t="str">
        <f>IFERROR(__xludf.DUMMYFUNCTION("GOOGLETRANSLATE(A:A, ""en"", ""te"")"),"ఫాక్స్కాన్ టెర్రియర్ 200")</f>
        <v>ఫాక్స్కాన్ టెర్రియర్ 200</v>
      </c>
      <c r="C8" s="1" t="s">
        <v>244</v>
      </c>
      <c r="D8" s="2" t="str">
        <f>IFERROR(__xludf.DUMMYFUNCTION("GOOGLETRANSLATE(C:C, ""en"", ""te"")"),"ఫాక్స్కాన్ టెర్రియర్ 200 ఒక ఆస్ట్రేలియన్ లైట్-స్పోర్ట్ విమానం, ఇది క్వీన్స్లాండ్లోని మాకే యొక్క ఫాక్స్కాన్ ఏవియేషన్ చేత రూపొందించబడింది మరియు నిర్మించింది. ఈ విమానం te త్సాహిక నిర్మాణానికి కిట్‌గా లేదా పూర్తి రెడీ-టు-ఫ్లై-ఎయిర్‌క్రాఫ్ట్‌గా సరఫరా చేయబడుతుం"&amp;"ది. [1] [2] టెర్రియర్ 200 యుఎస్ లైట్-స్పోర్ట్ ఎయిర్క్రాఫ్ట్ నిబంధనలను పాటించేలా రూపొందించబడింది. ఇది స్ట్రట్-బ్రేస్డ్ హై-వింగ్, రెండు-సీట్ల-సైడ్-సైడ్ కాన్ఫిగరేషన్ పరివేష్టిత కాక్‌పిట్, స్థిర ట్రైసైకిల్ ల్యాండింగ్ గేర్ మరియు ట్రాక్టర్ కాన్ఫిగరేషన్‌లో ఒకే ఇ"&amp;"ంజిన్ కలిగి ఉంది. [1] [2] ఈ విమానం వాక్యూమ్-అచ్చుపోసిన మిశ్రమాల నుండి తక్కువ బరువుతో బలం యొక్క రూపకల్పన లక్ష్యంతో తయారు చేయబడింది. దీని 8.7 మీ (28.5 అడుగులు) స్పాన్ వింగ్ క్రిస్ మార్క్ 4 ఎయిర్‌ఫాయిల్‌ను ఉపయోగిస్తుంది మరియు ఫ్లాప్‌లను మౌంట్ చేస్తుంది. 2012"&amp;" లో లభించే ప్రామాణిక ఇంజన్లు 80 హెచ్‌పి (60 కిలోవాట్ల) డి-మోటార్ ఎల్‌ఎఫ్ 26, 100 హెచ్‌పి (75 కిలోవాట్ 233-LSA ఫోర్-స్ట్రోక్ పవర్‌ప్లాంట్లు. 2015 నాటికి సుబారు EA 81 మరియు రోటాక్స్ 912లు మాత్రమే అందించబడ్డాయి. నీటి కార్యకలాపాల కోసం ఫ్లోట్లు ఐచ్ఛికం. [1] [2"&amp;"] [3] [4] [5] బేయర్ల్ మరియు ఫాక్స్కాన్ నుండి డేటా [1] [3] సాధారణ లక్షణాల పనితీరు")</f>
        <v>ఫాక్స్కాన్ టెర్రియర్ 200 ఒక ఆస్ట్రేలియన్ లైట్-స్పోర్ట్ విమానం, ఇది క్వీన్స్లాండ్లోని మాకే యొక్క ఫాక్స్కాన్ ఏవియేషన్ చేత రూపొందించబడింది మరియు నిర్మించింది. ఈ విమానం te త్సాహిక నిర్మాణానికి కిట్‌గా లేదా పూర్తి రెడీ-టు-ఫ్లై-ఎయిర్‌క్రాఫ్ట్‌గా సరఫరా చేయబడుతుంది. [1] [2] టెర్రియర్ 200 యుఎస్ లైట్-స్పోర్ట్ ఎయిర్క్రాఫ్ట్ నిబంధనలను పాటించేలా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ఈ విమానం వాక్యూమ్-అచ్చుపోసిన మిశ్రమాల నుండి తక్కువ బరువుతో బలం యొక్క రూపకల్పన లక్ష్యంతో తయారు చేయబడింది. దీని 8.7 మీ (28.5 అడుగులు) స్పాన్ వింగ్ క్రిస్ మార్క్ 4 ఎయిర్‌ఫాయిల్‌ను ఉపయోగిస్తుంది మరియు ఫ్లాప్‌లను మౌంట్ చేస్తుంది. 2012 లో లభించే ప్రామాణిక ఇంజన్లు 80 హెచ్‌పి (60 కిలోవాట్ల) డి-మోటార్ ఎల్‌ఎఫ్ 26, 100 హెచ్‌పి (75 కిలోవాట్ 233-LSA ఫోర్-స్ట్రోక్ పవర్‌ప్లాంట్లు. 2015 నాటికి సుబారు EA 81 మరియు రోటాక్స్ 912లు మాత్రమే అందించబడ్డాయి. నీటి కార్యకలాపాల కోసం ఫ్లోట్లు ఐచ్ఛికం. [1] [2] [3] [4] [5] బేయర్ల్ మరియు ఫాక్స్కాన్ నుండి డేటా [1] [3] సాధారణ లక్షణాల పనితీరు</v>
      </c>
      <c r="E8" s="1" t="s">
        <v>245</v>
      </c>
      <c r="F8" s="1" t="s">
        <v>246</v>
      </c>
      <c r="G8" s="1" t="str">
        <f>IFERROR(__xludf.DUMMYFUNCTION("GOOGLETRANSLATE(F:F, ""en"", ""te"")"),"లైట్-స్పోర్ట్ విమానం")</f>
        <v>లైట్-స్పోర్ట్ విమానం</v>
      </c>
      <c r="H8" s="1" t="s">
        <v>247</v>
      </c>
      <c r="I8" s="1" t="s">
        <v>248</v>
      </c>
      <c r="J8" s="1" t="str">
        <f>IFERROR(__xludf.DUMMYFUNCTION("GOOGLETRANSLATE(I:I, ""en"", ""te"")"),"ఫాక్స్కాన్ ఏవియేషన్")</f>
        <v>ఫాక్స్కాన్ ఏవియేషన్</v>
      </c>
      <c r="K8" s="1" t="s">
        <v>249</v>
      </c>
      <c r="M8" s="2"/>
      <c r="R8" s="1" t="s">
        <v>222</v>
      </c>
      <c r="S8" s="1" t="s">
        <v>250</v>
      </c>
      <c r="T8" s="1" t="s">
        <v>251</v>
      </c>
      <c r="U8" s="1" t="s">
        <v>252</v>
      </c>
      <c r="W8" s="1" t="s">
        <v>253</v>
      </c>
      <c r="X8" s="1" t="s">
        <v>254</v>
      </c>
      <c r="Z8" s="1" t="s">
        <v>255</v>
      </c>
      <c r="AA8" s="1" t="s">
        <v>256</v>
      </c>
      <c r="AB8" s="1" t="s">
        <v>257</v>
      </c>
      <c r="AD8" s="1" t="s">
        <v>258</v>
      </c>
      <c r="AF8" s="1" t="s">
        <v>259</v>
      </c>
      <c r="AG8" s="4" t="s">
        <v>260</v>
      </c>
      <c r="AH8" s="1" t="s">
        <v>261</v>
      </c>
      <c r="AI8" s="1" t="s">
        <v>262</v>
      </c>
      <c r="AJ8" s="1" t="s">
        <v>263</v>
      </c>
      <c r="AK8" s="1" t="s">
        <v>264</v>
      </c>
      <c r="AL8" s="1" t="s">
        <v>265</v>
      </c>
      <c r="AM8" s="1" t="s">
        <v>266</v>
      </c>
      <c r="AS8" s="1" t="s">
        <v>240</v>
      </c>
      <c r="AT8" s="1" t="s">
        <v>267</v>
      </c>
      <c r="AV8" s="1" t="s">
        <v>268</v>
      </c>
      <c r="AW8" s="1">
        <v>12.0</v>
      </c>
    </row>
    <row r="9">
      <c r="A9" s="1" t="s">
        <v>269</v>
      </c>
      <c r="B9" s="1" t="str">
        <f>IFERROR(__xludf.DUMMYFUNCTION("GOOGLETRANSLATE(A:A, ""en"", ""te"")"),"సూపర్ మెరైన్ ఛానల్")</f>
        <v>సూపర్ మెరైన్ ఛానల్</v>
      </c>
      <c r="C9" s="1" t="s">
        <v>270</v>
      </c>
      <c r="D9" s="2" t="str">
        <f>IFERROR(__xludf.DUMMYFUNCTION("GOOGLETRANSLATE(C:C, ""en"", ""te"")"),"సూపర్ మేరిన్ ఛానల్ (వాస్తవానికి సూపర్ మేరిన్ ఛానల్ రకం) అనేది ప్రకటన ఫ్లయింగ్ బోట్ యొక్క సవరించిన సంస్కరణ, ఇది బ్రిటిష్ వైమానిక మంత్రిత్వ శాఖ నుండి సూపర్ మేరిన్ కొనుగోలు చేసింది మరియు ఇంగ్లీష్ ఛానల్ అంతటా సాధారణ విమాన విమానాలను ప్రారంభించాలనే ఉద్దేశ్యంతో "&amp;"పౌర మార్కెట్ కోసం సవరించబడింది. ఈ విమానానికి జూలై 1919 లో ఎయిర్‌వర్త్ సర్టిఫికెట్లు ఇవ్వబడ్డాయి. మార్క్ I వెర్షన్ తరువాత ఛానల్ I అని పిలుస్తారు, ఇది 160 హార్స్‌పవర్ (120 kW) బార్డ్‌మోర్ ఇంజిన్‌తో శక్తినిచ్చింది; ఛానల్ II గా నియమించబడిన వేరియంట్‌ను 240 హార"&amp;"్స్‌పవర్ (180 కిలోవాట్) ఆర్మ్‌స్ట్రాంగ్ సిడ్డిలీ ప్యూమా ఇంజిన్‌తో అమర్చారు. నలుగురు ప్రయాణీకులకు వసతి కల్పించడానికి సూపర్ మేరిన్ రూపొందించిన సంస్థ, చిన్న నోటీసు వద్ద ఉపయోగించగల పరస్పర మార్పిడి ఇంటీరియర్‌ల శ్రేణిని ఉత్పత్తి చేసింది, ఇది ఛానెల్‌ను ఫైటర్‌గా "&amp;"లేదా శిక్షణా ప్రయోజనాల కోసం ఉపయోగించుకోవడానికి వీలు కల్పించింది. ఈ ఛానెల్ మొదట ఆగస్టు 1919 నుండి, ఇది సోలెంట్ మీదుగా ప్రయాణీకులను మరియు ఐల్ ఆఫ్ వైట్ వరకు ఉపయోగించబడింది. క్రిస్టియానియాకు చెందిన నార్వే యొక్క మొట్టమొదటి విమానయాన సంస్థ డెట్ నార్స్కే లుఫ్ట్‌ఫ"&amp;"ార్ట్‌స్రెడర్ A/S 1920 లో మూడు విమానాలను కొనుగోలు చేసింది, మరియు నార్వేజియన్ సాయుధ దళాల కోసం నాలుగు విమానాలను ఆదేశించారు, ఇది ఆ సంవత్సరం మే నుండి పనిచేయడం ప్రారంభించింది. న్యూజిలాండ్ ఫ్లయింగ్ స్కూల్ ఒక ఛానెల్‌ను ఉపయోగించారు, మరియు ఛానల్ II విమానాలను ఈ ప్ర"&amp;"ాంతంలో విమానయనాన్ని ప్రోత్సహించడానికి ఒక ప్రాజెక్టులో భాగంగా బెర్ముడాకు పంపారు మరియు వెనిజులాకు రవాణా చేయబడ్డాయి, ఒరినోకో డెల్టా వద్ద చమురు కోసం సర్వే చేపట్టడానికి ఉపయోగించారు. 1921 లో ఇంపీరియల్ జపనీస్ నేవీ ఎయిర్ సర్వీస్ మూడు ఛానల్ II ఎగిరే పడవలను కొనుగోల"&amp;"ు చేసింది, వీటిని బ్రిటిష్ నేతృత్వంలోని సెంపిల్ మిషన్తో జపాన్‌కు రవాణా చేశారు. మొదటి ప్రపంచ యుద్ధంలో విధించిన యునైటెడ్ కింగ్‌డమ్‌లో వాణిజ్య విమానాల నిషేధం మే 1919 లో ఎత్తివేయబడింది. ఇంగ్లీష్ ఛానల్ అంతటా షార్ట్-హాల్ సముద్ర మార్గాల్లో రెగ్యులర్ ఎయిర్ విమానా"&amp;"లను ప్రారంభించాలనే ఉద్దేశ్యంతో, సూపర్మారైన్ యుద్ధ సమయంలో పది ప్రకటనల పడవలను కొనుగోలు చేసింది. వారి నిర్మాణం తరువాత మిలటరీ నిల్వలో ఉంచారు. ప్రకటన ఎగిరే పడవను 1915 లో బ్రిటిష్ యాచ్ డిజైనర్ లింటన్ హోప్ రూపొందించారు. [1] ప్రకటన ఫ్లయింగ్ బోట్లను కొనుగోలు చేసిన"&amp;" తరువాత, సూపర్ మేరిన్ వాటిని సివిల్ మార్కెట్ కోసం సవరించాడు, జూలై 1919 లో వాయు యోగ్యత ధృవపత్రాలు ఇవ్వడానికి ముందు. [2] [3] ఈ విమానం నలుగురు ప్రయాణీకులకు వసతి కల్పించడానికి పున es రూపకల్పన చేయబడింది, అయినప్పటికీ ఉభయచర ల్యాండింగ్ గేర్ అమర్చబడి ఉంటే మూడుకి ప"&amp;"రిమితం చేయబడింది. [4] సవరించిన విమానం సూపర్ మేరిన్ ఛానల్ రకంగా రీబ్రాండ్ చేయబడింది, 'ఛానల్' పేరు మొదటి 2 ఏప్రిల్ 1920 న కనిపిస్తుంది. [5] [6] ప్రయాణీకుల సౌలభ్యం వైపు శ్రద్ధ చూపబడింది, వీరికి కంపార్ట్మెంట్లు మూసివేయబడతాయి లేదా తెరిచి ఉంచవచ్చు (వాటిని గాలి "&amp;"మరియు స్ప్రే నుండి రక్షించడానికి విండ్‌స్క్రీన్ చేర్చబడింది), మరియు వసంతకాలం కోసం రూపొందించబడిన సీట్లు శుభ్రంగా ఉంచబడ్డాయి ఉపయోగంలో లేనప్పుడు. [7] అక్టోబర్ 1920 లో, ఏరోనాటికల్ మ్యాగజైన్ ఫ్లైట్ ఈ విమానం ""ఏ సముద్రపు అడుగు మనిషి యొక్క హృదయాన్ని ఆహ్లాదపరుస్త"&amp;"ుంది, ఎందుకంటే వారు సముద్రం మరియు దాని మార్గాలను తెలిసిన మరియు అర్థం చేసుకునే పురుషుల ఉత్పత్తి"" అని ప్రశంసించారు. [7] ఛానల్ యొక్క ఇంజిన్ 160 హార్స్‌పవర్ (120 కిలోవాట్ల) బార్డ్‌మోర్ 160 హెచ్‌పి, [8] రెక్కల నిర్మాణం నుండి వేరు చేయబడి, వైబ్రేషన్స్ రెక్కలకు "&amp;"వెళ్ళకుండా నిరోధించడానికి A- ఆకారపు ఫ్రేమ్ పైభాగంలో పరిష్కరించబడింది. ఇంజిన్ యొక్క స్థానం కారణంగా, తోక యూనిట్ రెండు విమానాలతో తయారు చేయబడింది. [7] ఛానెల్‌లో యాంకర్ మరియు బోథూక్ ఉన్నాయి. మిచెల్ యొక్క బృందం పరస్పర మార్పిడి చేయగల ఇంటీరియర్‌ల శ్రేణిని రూపొంది"&amp;"ంచింది, అది చిన్న నోటీసు వద్ద ఉపయోగించవచ్చు, దీనిని ఫైటర్‌గా లేదా శిక్షణ ప్రయోజనాల కోసం ఉపయోగించుకోవచ్చు. [8] [9] సూపర్ మేరిన్ వాణిజ్య ఉభయచరాలు, మిచెల్ రూపొందించిన మొట్టమొదటి విమానం అయిన ప్రయాణీకుల మోసే ఎగిరే పడవ, ఇది సూపర్ మెరైన్ ఛానెల్ ఆధారంగా రూపొందించ"&amp;"బడింది. సెప్టెంబర్ 1920 లో జరిగిన వైమానిక మంత్రిత్వ శాఖ పోటీ కోసం సౌతాంప్టన్లోని వూల్స్టన్లో కంపెనీ రచనలలో దీనిని నిర్మించారు. [10] సౌతాంప్టన్ నౌకాశ్రయం నుండి బౌర్న్‌మౌత్ మరియు ఐల్ ఆఫ్ వైట్ వరకు కొత్త పౌర విమాన సేవలు ఆగస్టు 1919 ప్రారంభంలో ప్రారంభమయ్యాయి."&amp;" [11] పది ఛానెళ్లలో, ఐదుగురిని క్రమం తప్పకుండా ఉపయోగించుకున్నారు, మరికొన్నింటిని రిజర్వ్‌లో ఉంచారు, కాబట్టి నిర్వహణ పనుల కోసం ఎక్కువ సమయం కేటాయించారు. [3] కొత్త సేవ రకరకాల మార్గాల్లో ఉపయోగించబడింది: ఐల్ ఆఫ్ వైట్ వరకు తమ పడవను కోల్పోయిన ఫెర్రీ ప్రయాణీకులు "&amp;"బౌర్న్‌మౌత్ పీర్ నుండి సోలెంట్ మీదుగా విమానంలో ప్రయాణించవచ్చు; మరియు కౌవ్స్ రెగట్టాకు హాజరయ్యే ప్రేక్షకులు ఒక ఛానెల్‌లో గాలి నుండి పడవను చూసే అవకాశం ఉంది. [12] 1919 యొక్క బ్రిటిష్ రైల్వే సమ్మె సమయంలో, దక్షిణ తీరం చుట్టూ వార్తాపత్రికలను అందించడానికి ఛానెల్"&amp;"స్ ఉపయోగించబడ్డాయి. 28 సెప్టెంబర్ 1919 న, సూపర్మారైన్ మొదటి అంతర్జాతీయ ఫ్లయింగ్ బోట్ సేవను నిర్వహించింది, [13] ఛానల్ I విమానాన్ని స్వల్ప కాలానికి విమానాలు వూల్స్టన్ నుండి లే హవ్రేకు చెల్లించేటప్పుడు, [14] రైల్వేకు మద్దతుగా పనిచేయడం ఆపివేసిన ఆవిరి ప్యాకెట్"&amp;"లను భర్తీ చేయడం సమ్మె. [15] సూపర్ మేరిన్ శీతాకాలంలో ఐల్ ఆఫ్ వైట్ కు విమానాలను సస్పెండ్ చేసింది, మరియు వాతావరణ పరిస్థితులు పేలవమైనప్పుడు. [6] మే 1920 లో, నార్వే యొక్క మొట్టమొదటి విమానయాన సంస్థ డెట్ నార్స్కే లుఫ్ట్‌ఫార్ట్‌స్రెడర్ A/S క్రిస్టియానియా మూడు సూప"&amp;"ర్ మేరిన్ ఛానెల్‌లను కొనుగోలు చేసింది. [6] [16] బెర్గెన్-హౌగేసుండ్-స్టావాంజర్ సేవను 1920 ఆగస్టులో ప్రారంభించారు, మెయిల్ మరియు ప్రయాణీకులను తీసుకెళ్లారు. విమానయాన సంస్థ తరువాత మూడు ఫ్రెడరిచాఫెన్ ఫ్లోట్‌ప్లేన్‌లను కొనుగోలు చేసింది, ఇది వారి శక్తివంతమైన ఇంజి"&amp;"న్‌లతో, ఛానెల్‌లను వాటిని కొనసాగించడం కష్టతరం చేసింది. 1920 డిసెంబర్ వరకు 200 కి పైగా విమానాలు పూర్తయ్యాయి, ఆ తరువాత ప్రయాణీకుల లేకపోవడం మరియు గాలి ద్వారా మెయిల్ డెలివరీ యొక్క అధిక వ్యయం కారణంగా ఈ సేవ ఉపసంహరించబడింది. [16] నార్వేజియన్ ప్రభుత్వం జూన్ 1919 "&amp;"లో ఎనిమిది నావికాదళ సీప్లేన్ల కోసం ఒక స్పెసిఫికేషన్ జారీ చేసింది, మరియు ఛానెళ్ల కోసం సూపర్ మేరిన్ యొక్క టెండర్‌ను అంగీకరించిన తరువాత, మే 1920 నుండి పనిచేయడం ప్రారంభించిన నార్వేజియన్ సాయుధ దళాల కోసం నాలుగు విమానాలను ఆదేశించారు. [17] [18] వారి కార్యాచరణ చరి"&amp;"త్రలో, రెండు విమానాలు (విమానాలు F-40 మరియు F-44) మరింత శక్తివంతమైన ప్యూమా ఇంజిన్లతో తిరిగి ఇంజిన్ చేయబడ్డాయి. నార్వేజియన్ల విమానం యొక్క పనితీరును మెరుగుపరిచిన తరువాత, సూపర్మారైన్ వారి స్వంత ఛానల్ ఫ్లయింగ్ బోట్లను తిరిగి ఇంజనీరింగ్ చేసింది, తరువాత వాటిని ఛ"&amp;"ానల్ II పేరుతో కేటాయించింది. [19] 1921 లో ఒక ఛానెల్ నేను న్యూజిలాండ్ సంస్థ వాల్ష్ బ్రదర్స్ కు న్యూజిలాండ్ ఫ్లయింగ్ స్కూల్ ఉపయోగం కోసం పంపిణీ చేయబడ్డాను. 4 అక్టోబర్ 1921 న, ఈ విమానం, అప్పటికి జి-ఎన్జాయ్ గా నమోదు చేయబడింది, ఆక్లాండ్ నుండి వెల్లింగ్టన్ వరకు "&amp;"మొదటి విమానంలో చేసింది. జూలై 1921 లో ఛానెల్ మొదటి విమానంలో ద్వీపాలకు మొదటి విమానంలో చేసినప్పుడు ఫిజిని సర్వే చేశారు. 1924 లో మూసివేయవలసి వచ్చిన తరువాత న్యూజిలాండ్ ప్రభుత్వం ఫ్లయింగ్ స్కూల్ ఆస్తులను స్వాధీనం చేసుకున్నప్పుడు G-NZAI విచ్ఛిన్నమైంది. [20] 1920"&amp;" లో, ఛానెల్స్ బెర్ముడాలో సేవలను చూశాయి, ఈ ప్రాంతంలో విమానయానను ప్రోత్సహించడానికి ఒక ప్రాజెక్టులో భాగంగా మూడు విమానాలను ఉపయోగించినప్పుడు. [19] రాయల్ ఫ్లయింగ్ కార్ప్స్ యొక్క హాల్ కిచెనర్ బెర్ముడాకు తిరిగి వచ్చాడు మరియు ఆ సంవత్సరం వసంతకాలంలో ఒక భాగస్వామితో స"&amp;"్వల్పకాలిక బెర్ముడా మరియు వెస్ట్ అట్లాంటిక్ ఏవియేషన్ కంపెనీతో ఏర్పడింది, బెర్ముడాను వైమానిక సర్వేలకు బేస్ గా మార్చాలనే లక్ష్యంతో. మూడు AVRO 504 సముద్ర విమానాలు మరియు మూడు ఛానల్ I ఫ్లయింగ్ బోట్లతో సహా అనేక విమానాలను కంపెనీకి పంపిణీ చేశారు; మరియు హంగర్లు మర"&amp;"ియు స్లిప్‌వే హిన్సన్ ద్వీపంలో నిర్మించబడ్డాయి. [21] [22] [23] 1921 లో, బ్రిటిష్ కంట్రోల్డ్ ఆయిల్‌ఫీల్డ్స్ కంపెనీ ఒరినోకో యొక్క డెల్టా ప్రాంతం యొక్క వైమానిక సర్వేను ఉత్పత్తి చేయాలనే లక్ష్యంతో బెర్ముడా మరియు వెస్ట్ అట్లాంటిక్ ఏవియేషన్ కంపెనీ లిమిటెడ్‌ను బా"&amp;"రిన పడ్డారు. స్పెషలిస్ట్ కెమెరా పరికరాలతో అమర్చబడి, బ్రిటన్లో పరీక్షించబడిన తరువాత, రెండు ఛానల్ II విమానాలను అట్లాంటిక్ మహాసముద్రం మీదుగా ఓడ ద్వారా రవాణా చేశారు. కోక్రాన్ పాట్రిక్ నేతృత్వంలోని యాత్ర బృందంలో ఇద్దరు పైలట్లు, ముగ్గురు మెకానిక్స్ మరియు నలుగుర"&amp;"ు ఫోటోగ్రాఫర్‌లు ఉన్నారు, అనేక చిన్న చిన్న ప్రవాహాలు మరియు మడ అడవులను సర్వే చేశారు, ఈ పని విమానం ఉపయోగించకుండా అసాధ్యమని భావించబడింది. [26] 14 మార్చి 1921 న, ఈ ఛానెల్ ఒక జపనీస్ నావికాదళ ప్రతినిధి బృందానికి ప్రదర్శించబడింది, ఇందులో ఇంపీరియల్ జపనీస్ నేవీ ఎయ"&amp;"ిర్ సర్వీస్ చీఫ్ ఉన్నారు, అతను ఐల్ ఆఫ్ వైట్ మరియు ది సెలెంట్ చుట్టూ బలమైన గేల్ సమయంలో ఎగిరినప్పుడు మీదికి వచ్చారు. [27] మూడు ఛానల్ II ఫ్లయింగ్ బోట్ల కోసం విమానం యొక్క ప్రదర్శన జపనీస్ చేత సంపాదించబడటానికి మరియు బ్రిటిష్ నేతృత్వంలోని సెంపిల్ మిషన్తో జపాన్కు"&amp;" రవాణా చేయబడిందని ప్రతినిధి బృందం ఆకట్టుకుంది. [18] [28] 1914 నుండి సూపర్ మెరైన్ విమానాల నుండి డేటా [8] సాధారణ లక్షణాల పనితీరు")</f>
        <v>సూపర్ మేరిన్ ఛానల్ (వాస్తవానికి సూపర్ మేరిన్ ఛానల్ రకం) అనేది ప్రకటన ఫ్లయింగ్ బోట్ యొక్క సవరించిన సంస్కరణ, ఇది బ్రిటిష్ వైమానిక మంత్రిత్వ శాఖ నుండి సూపర్ మేరిన్ కొనుగోలు చేసింది మరియు ఇంగ్లీష్ ఛానల్ అంతటా సాధారణ విమాన విమానాలను ప్రారంభించాలనే ఉద్దేశ్యంతో పౌర మార్కెట్ కోసం సవరించబడింది. ఈ విమానానికి జూలై 1919 లో ఎయిర్‌వర్త్ సర్టిఫికెట్లు ఇవ్వబడ్డాయి. మార్క్ I వెర్షన్ తరువాత ఛానల్ I అని పిలుస్తారు, ఇది 160 హార్స్‌పవర్ (120 kW) బార్డ్‌మోర్ ఇంజిన్‌తో శక్తినిచ్చింది; ఛానల్ II గా నియమించబడిన వేరియంట్‌ను 240 హార్స్‌పవర్ (180 కిలోవాట్) ఆర్మ్‌స్ట్రాంగ్ సిడ్డిలీ ప్యూమా ఇంజిన్‌తో అమర్చారు. నలుగురు ప్రయాణీకులకు వసతి కల్పించడానికి సూపర్ మేరిన్ రూపొందించిన సంస్థ, చిన్న నోటీసు వద్ద ఉపయోగించగల పరస్పర మార్పిడి ఇంటీరియర్‌ల శ్రేణిని ఉత్పత్తి చేసింది, ఇది ఛానెల్‌ను ఫైటర్‌గా లేదా శిక్షణా ప్రయోజనాల కోసం ఉపయోగించుకోవడానికి వీలు కల్పించింది. ఈ ఛానెల్ మొదట ఆగస్టు 1919 నుండి, ఇది సోలెంట్ మీదుగా ప్రయాణీకులను మరియు ఐల్ ఆఫ్ వైట్ వరకు ఉపయోగించబడింది. క్రిస్టియానియాకు చెందిన నార్వే యొక్క మొట్టమొదటి విమానయాన సంస్థ డెట్ నార్స్కే లుఫ్ట్‌ఫార్ట్‌స్రెడర్ A/S 1920 లో మూడు విమానాలను కొనుగోలు చేసింది, మరియు నార్వేజియన్ సాయుధ దళాల కోసం నాలుగు విమానాలను ఆదేశించారు, ఇది ఆ సంవత్సరం మే నుండి పనిచేయడం ప్రారంభించింది. న్యూజిలాండ్ ఫ్లయింగ్ స్కూల్ ఒక ఛానెల్‌ను ఉపయోగించారు, మరియు ఛానల్ II విమానాలను ఈ ప్రాంతంలో విమానయనాన్ని ప్రోత్సహించడానికి ఒక ప్రాజెక్టులో భాగంగా బెర్ముడాకు పంపారు మరియు వెనిజులాకు రవాణా చేయబడ్డాయి, ఒరినోకో డెల్టా వద్ద చమురు కోసం సర్వే చేపట్టడానికి ఉపయోగించారు. 1921 లో ఇంపీరియల్ జపనీస్ నేవీ ఎయిర్ సర్వీస్ మూడు ఛానల్ II ఎగిరే పడవలను కొనుగోలు చేసింది, వీటిని బ్రిటిష్ నేతృత్వంలోని సెంపిల్ మిషన్తో జపాన్‌కు రవాణా చేశారు. మొదటి ప్రపంచ యుద్ధంలో విధించిన యునైటెడ్ కింగ్‌డమ్‌లో వాణిజ్య విమానాల నిషేధం మే 1919 లో ఎత్తివేయబడింది. ఇంగ్లీష్ ఛానల్ అంతటా షార్ట్-హాల్ సముద్ర మార్గాల్లో రెగ్యులర్ ఎయిర్ విమానాలను ప్రారంభించాలనే ఉద్దేశ్యంతో, సూపర్మారైన్ యుద్ధ సమయంలో పది ప్రకటనల పడవలను కొనుగోలు చేసింది. వారి నిర్మాణం తరువాత మిలటరీ నిల్వలో ఉంచారు. ప్రకటన ఎగిరే పడవను 1915 లో బ్రిటిష్ యాచ్ డిజైనర్ లింటన్ హోప్ రూపొందించారు. [1] ప్రకటన ఫ్లయింగ్ బోట్లను కొనుగోలు చేసిన తరువాత, సూపర్ మేరిన్ వాటిని సివిల్ మార్కెట్ కోసం సవరించాడు, జూలై 1919 లో వాయు యోగ్యత ధృవపత్రాలు ఇవ్వడానికి ముందు. [2] [3] ఈ విమానం నలుగురు ప్రయాణీకులకు వసతి కల్పించడానికి పున es రూపకల్పన చేయబడింది, అయినప్పటికీ ఉభయచర ల్యాండింగ్ గేర్ అమర్చబడి ఉంటే మూడుకి పరిమితం చేయబడింది. [4] సవరించిన విమానం సూపర్ మేరిన్ ఛానల్ రకంగా రీబ్రాండ్ చేయబడింది, 'ఛానల్' పేరు మొదటి 2 ఏప్రిల్ 1920 న కనిపిస్తుంది. [5] [6] ప్రయాణీకుల సౌలభ్యం వైపు శ్రద్ధ చూపబడింది, వీరికి కంపార్ట్మెంట్లు మూసివేయబడతాయి లేదా తెరిచి ఉంచవచ్చు (వాటిని గాలి మరియు స్ప్రే నుండి రక్షించడానికి విండ్‌స్క్రీన్ చేర్చబడింది), మరియు వసంతకాలం కోసం రూపొందించబడిన సీట్లు శుభ్రంగా ఉంచబడ్డాయి ఉపయోగంలో లేనప్పుడు. [7] అక్టోబర్ 1920 లో, ఏరోనాటికల్ మ్యాగజైన్ ఫ్లైట్ ఈ విమానం "ఏ సముద్రపు అడుగు మనిషి యొక్క హృదయాన్ని ఆహ్లాదపరుస్తుంది, ఎందుకంటే వారు సముద్రం మరియు దాని మార్గాలను తెలిసిన మరియు అర్థం చేసుకునే పురుషుల ఉత్పత్తి" అని ప్రశంసించారు. [7] ఛానల్ యొక్క ఇంజిన్ 160 హార్స్‌పవర్ (120 కిలోవాట్ల) బార్డ్‌మోర్ 160 హెచ్‌పి, [8] రెక్కల నిర్మాణం నుండి వేరు చేయబడి, వైబ్రేషన్స్ రెక్కలకు వెళ్ళకుండా నిరోధించడానికి A- ఆకారపు ఫ్రేమ్ పైభాగంలో పరిష్కరించబడింది. ఇంజిన్ యొక్క స్థానం కారణంగా, తోక యూనిట్ రెండు విమానాలతో తయారు చేయబడింది. [7] ఛానెల్‌లో యాంకర్ మరియు బోథూక్ ఉన్నాయి. మిచెల్ యొక్క బృందం పరస్పర మార్పిడి చేయగల ఇంటీరియర్‌ల శ్రేణిని రూపొందించింది, అది చిన్న నోటీసు వద్ద ఉపయోగించవచ్చు, దీనిని ఫైటర్‌గా లేదా శిక్షణ ప్రయోజనాల కోసం ఉపయోగించుకోవచ్చు. [8] [9] సూపర్ మేరిన్ వాణిజ్య ఉభయచరాలు, మిచెల్ రూపొందించిన మొట్టమొదటి విమానం అయిన ప్రయాణీకుల మోసే ఎగిరే పడవ, ఇది సూపర్ మెరైన్ ఛానెల్ ఆధారంగా రూపొందించబడింది. సెప్టెంబర్ 1920 లో జరిగిన వైమానిక మంత్రిత్వ శాఖ పోటీ కోసం సౌతాంప్టన్లోని వూల్స్టన్లో కంపెనీ రచనలలో దీనిని నిర్మించారు. [10] సౌతాంప్టన్ నౌకాశ్రయం నుండి బౌర్న్‌మౌత్ మరియు ఐల్ ఆఫ్ వైట్ వరకు కొత్త పౌర విమాన సేవలు ఆగస్టు 1919 ప్రారంభంలో ప్రారంభమయ్యాయి. [11] పది ఛానెళ్లలో, ఐదుగురిని క్రమం తప్పకుండా ఉపయోగించుకున్నారు, మరికొన్నింటిని రిజర్వ్‌లో ఉంచారు, కాబట్టి నిర్వహణ పనుల కోసం ఎక్కువ సమయం కేటాయించారు. [3] కొత్త సేవ రకరకాల మార్గాల్లో ఉపయోగించబడింది: ఐల్ ఆఫ్ వైట్ వరకు తమ పడవను కోల్పోయిన ఫెర్రీ ప్రయాణీకులు బౌర్న్‌మౌత్ పీర్ నుండి సోలెంట్ మీదుగా విమానంలో ప్రయాణించవచ్చు; మరియు కౌవ్స్ రెగట్టాకు హాజరయ్యే ప్రేక్షకులు ఒక ఛానెల్‌లో గాలి నుండి పడవను చూసే అవకాశం ఉంది. [12] 1919 యొక్క బ్రిటిష్ రైల్వే సమ్మె సమయంలో, దక్షిణ తీరం చుట్టూ వార్తాపత్రికలను అందించడానికి ఛానెల్స్ ఉపయోగించబడ్డాయి. 28 సెప్టెంబర్ 1919 న, సూపర్మారైన్ మొదటి అంతర్జాతీయ ఫ్లయింగ్ బోట్ సేవను నిర్వహించింది, [13] ఛానల్ I విమానాన్ని స్వల్ప కాలానికి విమానాలు వూల్స్టన్ నుండి లే హవ్రేకు చెల్లించేటప్పుడు, [14] రైల్వేకు మద్దతుగా పనిచేయడం ఆపివేసిన ఆవిరి ప్యాకెట్లను భర్తీ చేయడం సమ్మె. [15] సూపర్ మేరిన్ శీతాకాలంలో ఐల్ ఆఫ్ వైట్ కు విమానాలను సస్పెండ్ చేసింది, మరియు వాతావరణ పరిస్థితులు పేలవమైనప్పుడు. [6] మే 1920 లో, నార్వే యొక్క మొట్టమొదటి విమానయాన సంస్థ డెట్ నార్స్కే లుఫ్ట్‌ఫార్ట్‌స్రెడర్ A/S క్రిస్టియానియా మూడు సూపర్ మేరిన్ ఛానెల్‌లను కొనుగోలు చేసింది. [6] [16] బెర్గెన్-హౌగేసుండ్-స్టావాంజర్ సేవను 1920 ఆగస్టులో ప్రారంభించారు, మెయిల్ మరియు ప్రయాణీకులను తీసుకెళ్లారు. విమానయాన సంస్థ తరువాత మూడు ఫ్రెడరిచాఫెన్ ఫ్లోట్‌ప్లేన్‌లను కొనుగోలు చేసింది, ఇది వారి శక్తివంతమైన ఇంజిన్‌లతో, ఛానెల్‌లను వాటిని కొనసాగించడం కష్టతరం చేసింది. 1920 డిసెంబర్ వరకు 200 కి పైగా విమానాలు పూర్తయ్యాయి, ఆ తరువాత ప్రయాణీకుల లేకపోవడం మరియు గాలి ద్వారా మెయిల్ డెలివరీ యొక్క అధిక వ్యయం కారణంగా ఈ సేవ ఉపసంహరించబడింది. [16] నార్వేజియన్ ప్రభుత్వం జూన్ 1919 లో ఎనిమిది నావికాదళ సీప్లేన్ల కోసం ఒక స్పెసిఫికేషన్ జారీ చేసింది, మరియు ఛానెళ్ల కోసం సూపర్ మేరిన్ యొక్క టెండర్‌ను అంగీకరించిన తరువాత, మే 1920 నుండి పనిచేయడం ప్రారంభించిన నార్వేజియన్ సాయుధ దళాల కోసం నాలుగు విమానాలను ఆదేశించారు. [17] [18] వారి కార్యాచరణ చరిత్రలో, రెండు విమానాలు (విమానాలు F-40 మరియు F-44) మరింత శక్తివంతమైన ప్యూమా ఇంజిన్లతో తిరిగి ఇంజిన్ చేయబడ్డాయి. నార్వేజియన్ల విమానం యొక్క పనితీరును మెరుగుపరిచిన తరువాత, సూపర్మారైన్ వారి స్వంత ఛానల్ ఫ్లయింగ్ బోట్లను తిరిగి ఇంజనీరింగ్ చేసింది, తరువాత వాటిని ఛానల్ II పేరుతో కేటాయించింది. [19] 1921 లో ఒక ఛానెల్ నేను న్యూజిలాండ్ సంస్థ వాల్ష్ బ్రదర్స్ కు న్యూజిలాండ్ ఫ్లయింగ్ స్కూల్ ఉపయోగం కోసం పంపిణీ చేయబడ్డాను. 4 అక్టోబర్ 1921 న, ఈ విమానం, అప్పటికి జి-ఎన్జాయ్ గా నమోదు చేయబడింది, ఆక్లాండ్ నుండి వెల్లింగ్టన్ వరకు మొదటి విమానంలో చేసింది. జూలై 1921 లో ఛానెల్ మొదటి విమానంలో ద్వీపాలకు మొదటి విమానంలో చేసినప్పుడు ఫిజిని సర్వే చేశారు. 1924 లో మూసివేయవలసి వచ్చిన తరువాత న్యూజిలాండ్ ప్రభుత్వం ఫ్లయింగ్ స్కూల్ ఆస్తులను స్వాధీనం చేసుకున్నప్పుడు G-NZAI విచ్ఛిన్నమైంది. [20] 1920 లో, ఛానెల్స్ బెర్ముడాలో సేవలను చూశాయి, ఈ ప్రాంతంలో విమానయానను ప్రోత్సహించడానికి ఒక ప్రాజెక్టులో భాగంగా మూడు విమానాలను ఉపయోగించినప్పుడు. [19] రాయల్ ఫ్లయింగ్ కార్ప్స్ యొక్క హాల్ కిచెనర్ బెర్ముడాకు తిరిగి వచ్చాడు మరియు ఆ సంవత్సరం వసంతకాలంలో ఒక భాగస్వామితో స్వల్పకాలిక బెర్ముడా మరియు వెస్ట్ అట్లాంటిక్ ఏవియేషన్ కంపెనీతో ఏర్పడింది, బెర్ముడాను వైమానిక సర్వేలకు బేస్ గా మార్చాలనే లక్ష్యంతో. మూడు AVRO 504 సముద్ర విమానాలు మరియు మూడు ఛానల్ I ఫ్లయింగ్ బోట్లతో సహా అనేక విమానాలను కంపెనీకి పంపిణీ చేశారు; మరియు హంగర్లు మరియు స్లిప్‌వే హిన్సన్ ద్వీపంలో నిర్మించబడ్డాయి. [21] [22] [23] 1921 లో, బ్రిటిష్ కంట్రోల్డ్ ఆయిల్‌ఫీల్డ్స్ కంపెనీ ఒరినోకో యొక్క డెల్టా ప్రాంతం యొక్క వైమానిక సర్వేను ఉత్పత్తి చేయాలనే లక్ష్యంతో బెర్ముడా మరియు వెస్ట్ అట్లాంటిక్ ఏవియేషన్ కంపెనీ లిమిటెడ్‌ను బారిన పడ్డారు. స్పెషలిస్ట్ కెమెరా పరికరాలతో అమర్చబడి, బ్రిటన్లో పరీక్షించబడిన తరువాత, రెండు ఛానల్ II విమానాలను అట్లాంటిక్ మహాసముద్రం మీదుగా ఓడ ద్వారా రవాణా చేశారు. కోక్రాన్ పాట్రిక్ నేతృత్వంలోని యాత్ర బృందంలో ఇద్దరు పైలట్లు, ముగ్గురు మెకానిక్స్ మరియు నలుగురు ఫోటోగ్రాఫర్‌లు ఉన్నారు, అనేక చిన్న చిన్న ప్రవాహాలు మరియు మడ అడవులను సర్వే చేశారు, ఈ పని విమానం ఉపయోగించకుండా అసాధ్యమని భావించబడింది. [26] 14 మార్చి 1921 న, ఈ ఛానెల్ ఒక జపనీస్ నావికాదళ ప్రతినిధి బృందానికి ప్రదర్శించబడింది, ఇందులో ఇంపీరియల్ జపనీస్ నేవీ ఎయిర్ సర్వీస్ చీఫ్ ఉన్నారు, అతను ఐల్ ఆఫ్ వైట్ మరియు ది సెలెంట్ చుట్టూ బలమైన గేల్ సమయంలో ఎగిరినప్పుడు మీదికి వచ్చారు. [27] మూడు ఛానల్ II ఫ్లయింగ్ బోట్ల కోసం విమానం యొక్క ప్రదర్శన జపనీస్ చేత సంపాదించబడటానికి మరియు బ్రిటిష్ నేతృత్వంలోని సెంపిల్ మిషన్తో జపాన్కు రవాణా చేయబడిందని ప్రతినిధి బృందం ఆకట్టుకుంది. [18] [28] 1914 నుండి సూపర్ మెరైన్ విమానాల నుండి డేటా [8] సాధారణ లక్షణాల పనితీరు</v>
      </c>
      <c r="E9" s="1" t="s">
        <v>271</v>
      </c>
      <c r="F9" s="1" t="s">
        <v>272</v>
      </c>
      <c r="G9" s="1" t="str">
        <f>IFERROR(__xludf.DUMMYFUNCTION("GOOGLETRANSLATE(F:F, ""en"", ""te"")"),"ఫ్లయింగ్ బోట్, వాణిజ్య విమానంగా లేదా మిలటరీ ద్వారా నిర్వహించడానికి రూపొందించబడింది")</f>
        <v>ఫ్లయింగ్ బోట్, వాణిజ్య విమానంగా లేదా మిలటరీ ద్వారా నిర్వహించడానికి రూపొందించబడింది</v>
      </c>
      <c r="H9" s="1" t="s">
        <v>273</v>
      </c>
      <c r="I9" s="1" t="s">
        <v>274</v>
      </c>
      <c r="J9" s="1" t="str">
        <f>IFERROR(__xludf.DUMMYFUNCTION("GOOGLETRANSLATE(I:I, ""en"", ""te"")"),"సూపర్ మెరైన్")</f>
        <v>సూపర్ మెరైన్</v>
      </c>
      <c r="K9" s="4" t="s">
        <v>275</v>
      </c>
      <c r="L9" s="1" t="s">
        <v>276</v>
      </c>
      <c r="M9" s="2" t="str">
        <f>IFERROR(__xludf.DUMMYFUNCTION("GOOGLETRANSLATE(L:L, ""en"", ""te"")"),"R.J. మిచెల్")</f>
        <v>R.J. మిచెల్</v>
      </c>
      <c r="N9" s="1" t="s">
        <v>277</v>
      </c>
      <c r="O9" s="1">
        <v>10.0</v>
      </c>
      <c r="P9" s="1" t="s">
        <v>278</v>
      </c>
      <c r="Q9" s="1" t="s">
        <v>279</v>
      </c>
      <c r="R9" s="1" t="s">
        <v>280</v>
      </c>
      <c r="T9" s="1" t="s">
        <v>281</v>
      </c>
      <c r="V9" s="1" t="s">
        <v>282</v>
      </c>
      <c r="W9" s="1" t="s">
        <v>283</v>
      </c>
      <c r="X9" s="1" t="s">
        <v>284</v>
      </c>
      <c r="Z9" s="1" t="s">
        <v>285</v>
      </c>
      <c r="AA9" s="1" t="s">
        <v>286</v>
      </c>
      <c r="AD9" s="1" t="s">
        <v>287</v>
      </c>
      <c r="AI9" s="1" t="s">
        <v>288</v>
      </c>
      <c r="AL9" s="1" t="s">
        <v>289</v>
      </c>
      <c r="AN9" s="1" t="s">
        <v>290</v>
      </c>
      <c r="AV9" s="1" t="s">
        <v>291</v>
      </c>
      <c r="AX9" s="1">
        <v>1919.0</v>
      </c>
      <c r="AY9" s="1" t="s">
        <v>292</v>
      </c>
      <c r="AZ9" s="1" t="s">
        <v>293</v>
      </c>
      <c r="BA9" s="1" t="s">
        <v>294</v>
      </c>
      <c r="BB9" s="1" t="s">
        <v>295</v>
      </c>
      <c r="BC9" s="1" t="s">
        <v>296</v>
      </c>
    </row>
    <row r="10">
      <c r="A10" s="1" t="s">
        <v>297</v>
      </c>
      <c r="B10" s="1" t="str">
        <f>IFERROR(__xludf.DUMMYFUNCTION("GOOGLETRANSLATE(A:A, ""en"", ""te"")"),"మెయిన్ ఎయిర్ బ్లేడ్")</f>
        <v>మెయిన్ ఎయిర్ బ్లేడ్</v>
      </c>
      <c r="C10" s="1" t="s">
        <v>298</v>
      </c>
      <c r="D10" s="2" t="str">
        <f>IFERROR(__xludf.DUMMYFUNCTION("GOOGLETRANSLATE(C:C, ""en"", ""te"")"),"మెయిన్ ఎయిర్ బ్లేడ్ అనేది బ్రిటిష్ అల్ట్రాలైట్ ట్రైక్, దీనిని మెయిన్ ఎయిర్ స్పోర్ట్స్ మరియు తరువాత పి అండ్ ఎమ్ ఏవియేషన్ రూపొందించారు మరియు నిర్మించారు. విమానం పూర్తయిన విమానం వలె సరఫరా చేయబడింది. [1] [2] [3] 2000 ల ప్రారంభంలో, మెయిన్ ఎయిర్ ప్రత్యర్థి పెగస"&amp;"ాస్ విమానయానంతో పి అండ్ ఎమ్ ఏవియేషన్‌లో విలీనం చేయబడింది, కాని బ్లేడ్ ఉత్పత్తి కొనసాగింది. సంస్థ రెండు విమాన మార్గాలను హేతుబద్ధం చేయడంతో, బ్లేడ్ ఉత్పత్తి ముగిసింది. 2012 నాటికి తయారీదారు సూచించాడు, ""ఈ విమానం ఇకపై ఉత్పత్తిలో లేదు ... పూర్తి విడిభాగాలు మరి"&amp;"యు మద్దతు ఇప్పటికీ అందుబాటులో ఉన్నాయి మరియు future హించదగిన భవిష్యత్తు కోసం అలాగే ఉంటాయి. పూర్తి విమానాలను ఇప్పటికీ తయారు చేయవచ్చు కానీ ప్రత్యేక అభ్యర్థన ద్వారా మాత్రమే."" [2] [ 4] ఈ విమానం హై-ఎండ్ టూరింగ్ ట్రైక్‌గా రూపొందించబడింది, ఫెడెరేషన్ ఏరోనటిక్ ఇంట"&amp;"ర్నేషనల్ మైక్రోలైట్ కేటగిరీకి అనుగుణంగా, వర్గం యొక్క గరిష్ట స్థూల బరువు 450 కిలోల (992 ఎల్బి) తో సహా UK BCAR విభాగం ""S"" కు అనుగుణంగా ధృవీకరించబడింది. . ఈ విమానం గరిష్టంగా స్థూల బరువు 390 కిలోలు (860 పౌండ్లు). ఇది కేబుల్-బ్రేస్డ్ హాంగ్ గ్లైడర్-స్టైల్ హై-"&amp;"వింగ్, వెయిట్-షిఫ్ట్ కంట్రోల్స్, రెండు-సీట్ల-టెన్డం, ఓపెన్ కాక్‌పిట్, ట్రైసైకిల్ ల్యాండింగ్ గేర్ మరియు పషర్ కాన్ఫిగరేషన్‌లో ఒకే ఇంజిన్ కలిగి ఉంది. [1] ఈ విమానం బోల్ట్-టుగెథర్ అల్యూమినియం గొట్టాల నుండి తయారవుతుంది, దాని డబుల్-ఉపరితల విభాగం డాక్రాన్ సెయిల్‌"&amp;"క్లాత్‌లో కప్పబడి ఉంటుంది. దీని 10.6 మీ (34.8 అడుగులు) స్పాన్ వింగ్‌కు ఒకే ట్యూబ్-రకం కింగ్‌పోస్ట్ మద్దతు ఇస్తుంది మరియు ""ఫ్రేమ్ కంట్రోల్ బార్‌ను ఉపయోగిస్తుంది. యజమానులు సమిష్టి సీటింగ్‌లో వసతి కల్పిస్తారు, ఫైబర్గ్లాస్ కాక్‌పిట్ ఫెయిరింగ్, ఇందులో చిన్న వ"&amp;"ిండ్‌షీల్డ్ ఉంటుంది. సరఫరా చేయబడిన ఇంజిన్ల ఫ్యాక్టరీలో 37 kW (50 HP) రోటాక్స్ 503 ట్విన్ సిలిండర్, టూ-స్ట్రోక్, ఎయిర్ కూల్డ్ పవర్‌ప్లాస్ట్ అలాగే ట్విన్ సిలిండర్, టూ-స్ట్రోక్, లిక్విడ్ చల్లబడిన 48 kW (64 HP) రోటాక్స్ 582 మరియు నాలుగు సిలిండర్, నాలుగు ఉన్నా"&amp;"యి -స్ట్రోక్ 60 కిలోవాట్ కోలిన్ బోడిల్ మరియు సైమన్ రీవ్ చేత ఆస్ట్రేలియాకు విమానంతో సహా అనేక మైక్రోలైట్ రికార్డ్ దూర విమానాల కోసం బ్లేడ్లు ఉపయోగించబడ్డాయి మరియు బోధిల్ చేత ప్రపంచవ్యాప్తంగా ఫ్లైట్. [2] బ్లేడ్ 912 లండన్ కోసం సిడ్నీకి రికార్డును 49 రోజుల మైక్"&amp;"రోలైట్ ద్వారా (175 గంటల ఎగురుతూ) సగటు 124 కిమీ/గం (77 mph) వేగంతో నెలకొల్పింది. [3] బెర్ట్రాండ్ మరియు కిట్‌ప్లాన్‌ల నుండి డేటా [2] [3] సాధారణ లక్షణాల పనితీరు")</f>
        <v>మెయిన్ ఎయిర్ బ్లేడ్ అనేది బ్రిటిష్ అల్ట్రాలైట్ ట్రైక్, దీనిని మెయిన్ ఎయిర్ స్పోర్ట్స్ మరియు తరువాత పి అండ్ ఎమ్ ఏవియేషన్ రూపొందించారు మరియు నిర్మించారు. విమానం పూర్తయిన విమానం వలె సరఫరా చేయబడింది. [1] [2] [3] 2000 ల ప్రారంభంలో, మెయిన్ ఎయిర్ ప్రత్యర్థి పెగసాస్ విమానయానంతో పి అండ్ ఎమ్ ఏవియేషన్‌లో విలీనం చేయబడింది, కాని బ్లేడ్ ఉత్పత్తి కొనసాగింది. సంస్థ రెండు విమాన మార్గాలను హేతుబద్ధం చేయడంతో, బ్లేడ్ ఉత్పత్తి ముగిసింది. 2012 నాటికి తయారీదారు సూచించాడు, "ఈ విమానం ఇకపై ఉత్పత్తిలో లేదు ... పూర్తి విడిభాగాలు మరియు మద్దతు ఇప్పటికీ అందుబాటులో ఉన్నాయి మరియు future హించదగిన భవిష్యత్తు కోసం అలాగే ఉంటాయి. పూర్తి విమానాలను ఇప్పటికీ తయారు చేయవచ్చు కానీ ప్రత్యేక అభ్యర్థన ద్వారా మాత్రమే." [2] [ 4] ఈ విమానం హై-ఎండ్ టూరింగ్ ట్రైక్‌గా రూపొందించబడింది, ఫెడెరేషన్ ఏరోనటిక్ ఇంటర్నేషనల్ మైక్రోలైట్ కేటగిరీకి అనుగుణంగా, వర్గం యొక్క గరిష్ట స్థూల బరువు 450 కిలోల (992 ఎల్బి) తో సహా UK BCAR విభాగం "S" కు అనుగుణంగా ధృవీకరించబడింది. . ఈ విమానం గరిష్టంగా స్థూల బరువు 390 కిలోలు (860 పౌండ్లు). ఇది కేబుల్-బ్రేస్డ్ హాంగ్ గ్లైడర్-స్టైల్ హై-వింగ్, వెయిట్-షిఫ్ట్ కంట్రోల్స్, రెండు-సీట్ల-టెన్డం, ఓపెన్ కాక్‌పిట్, ట్రైసైకిల్ ల్యాండింగ్ గేర్ మరియు పషర్ కాన్ఫిగరేషన్‌లో ఒకే ఇంజిన్ కలిగి ఉంది. [1] ఈ విమానం బోల్ట్-టుగెథర్ అల్యూమినియం గొట్టాల నుండి తయారవుతుంది, దాని డబుల్-ఉపరితల విభాగం డాక్రాన్ సెయిల్‌క్లాత్‌లో కప్పబడి ఉంటుంది. దీని 10.6 మీ (34.8 అడుగులు) స్పాన్ వింగ్‌కు ఒకే ట్యూబ్-రకం కింగ్‌పోస్ట్ మద్దతు ఇస్తుంది మరియు "ఫ్రేమ్ కంట్రోల్ బార్‌ను ఉపయోగిస్తుంది. యజమానులు సమిష్టి సీటింగ్‌లో వసతి కల్పిస్తారు, ఫైబర్గ్లాస్ కాక్‌పిట్ ఫెయిరింగ్, ఇందులో చిన్న విండ్‌షీల్డ్ ఉంటుంది. సరఫరా చేయబడిన ఇంజిన్ల ఫ్యాక్టరీలో 37 kW (50 HP) రోటాక్స్ 503 ట్విన్ సిలిండర్, టూ-స్ట్రోక్, ఎయిర్ కూల్డ్ పవర్‌ప్లాస్ట్ అలాగే ట్విన్ సిలిండర్, టూ-స్ట్రోక్, లిక్విడ్ చల్లబడిన 48 kW (64 HP) రోటాక్స్ 582 మరియు నాలుగు సిలిండర్, నాలుగు ఉన్నాయి -స్ట్రోక్ 60 కిలోవాట్ కోలిన్ బోడిల్ మరియు సైమన్ రీవ్ చేత ఆస్ట్రేలియాకు విమానంతో సహా అనేక మైక్రోలైట్ రికార్డ్ దూర విమానాల కోసం బ్లేడ్లు ఉపయోగించబడ్డాయి మరియు బోధిల్ చేత ప్రపంచవ్యాప్తంగా ఫ్లైట్. [2] బ్లేడ్ 912 లండన్ కోసం సిడ్నీకి రికార్డును 49 రోజుల మైక్రోలైట్ ద్వారా (175 గంటల ఎగురుతూ) సగటు 124 కిమీ/గం (77 mph) వేగంతో నెలకొల్పింది. [3] బెర్ట్రాండ్ మరియు కిట్‌ప్లాన్‌ల నుండి డేటా [2] [3] సాధారణ లక్షణాల పనితీరు</v>
      </c>
      <c r="E10" s="1" t="s">
        <v>299</v>
      </c>
      <c r="F10" s="1" t="s">
        <v>300</v>
      </c>
      <c r="G10" s="1" t="str">
        <f>IFERROR(__xludf.DUMMYFUNCTION("GOOGLETRANSLATE(F:F, ""en"", ""te"")"),"అల్ట్రాలైట్ ట్రైక్")</f>
        <v>అల్ట్రాలైట్ ట్రైక్</v>
      </c>
      <c r="H10" s="1" t="s">
        <v>301</v>
      </c>
      <c r="I10" s="1" t="s">
        <v>302</v>
      </c>
      <c r="J10" s="1" t="str">
        <f>IFERROR(__xludf.DUMMYFUNCTION("GOOGLETRANSLATE(I:I, ""en"", ""te"")"),"మెయిన్ ఎయిర్ స్పోర్ట్స్ప్స్ప్ &amp; ఎమ్ ఏవియేషన్")</f>
        <v>మెయిన్ ఎయిర్ స్పోర్ట్స్ప్స్ప్ &amp; ఎమ్ ఏవియేషన్</v>
      </c>
      <c r="K10" s="1" t="s">
        <v>303</v>
      </c>
      <c r="M10" s="2"/>
      <c r="O10" s="1" t="s">
        <v>304</v>
      </c>
      <c r="R10" s="1" t="s">
        <v>222</v>
      </c>
      <c r="S10" s="1" t="s">
        <v>250</v>
      </c>
      <c r="U10" s="1" t="s">
        <v>305</v>
      </c>
      <c r="V10" s="1" t="s">
        <v>306</v>
      </c>
      <c r="W10" s="1" t="s">
        <v>307</v>
      </c>
      <c r="X10" s="1" t="s">
        <v>308</v>
      </c>
      <c r="Z10" s="1" t="s">
        <v>309</v>
      </c>
      <c r="AA10" s="1" t="s">
        <v>310</v>
      </c>
      <c r="AB10" s="1" t="s">
        <v>311</v>
      </c>
      <c r="AC10" s="1" t="s">
        <v>312</v>
      </c>
      <c r="AD10" s="1" t="s">
        <v>313</v>
      </c>
      <c r="AF10" s="1" t="s">
        <v>314</v>
      </c>
      <c r="AH10" s="1" t="s">
        <v>261</v>
      </c>
      <c r="AK10" s="1" t="s">
        <v>315</v>
      </c>
      <c r="AL10" s="1" t="s">
        <v>316</v>
      </c>
      <c r="AN10" s="1" t="s">
        <v>317</v>
      </c>
      <c r="AS10" s="1" t="s">
        <v>318</v>
      </c>
      <c r="AU10" s="1" t="s">
        <v>319</v>
      </c>
      <c r="BD10" s="1" t="s">
        <v>320</v>
      </c>
    </row>
    <row r="11">
      <c r="A11" s="1" t="s">
        <v>321</v>
      </c>
      <c r="B11" s="1" t="str">
        <f>IFERROR(__xludf.DUMMYFUNCTION("GOOGLETRANSLATE(A:A, ""en"", ""te"")"),"మెంట్జెల్ బాల్టిక్ ఫాక్స్")</f>
        <v>మెంట్జెల్ బాల్టిక్ ఫాక్స్</v>
      </c>
      <c r="C11" s="1" t="s">
        <v>322</v>
      </c>
      <c r="D11" s="2" t="str">
        <f>IFERROR(__xludf.DUMMYFUNCTION("GOOGLETRANSLATE(C:C, ""en"", ""te"")"),"మెంట్జెల్ బాల్టిక్ ఫాక్స్ ఒక జర్మన్ అల్ట్రాలైట్ మరియు లైట్-స్పోర్ట్ ఫ్లయింగ్ బోట్, ఇది అన్నో క్లాజ్ మెంట్జెల్ చేత రూపొందించబడింది మరియు 2009 లో ధృవీకరించబడిన ప్రిన్జ్‌హోఫ్టేకు చెందిన ఇంగ్ బోరో మెంట్జెల్ చేత ఉత్పత్తి చేయబడింది. ఈ విమానం పూర్తిస్థాయిలో విమా"&amp;"నయానంగా సరఫరా చేయబడుతుంది, విడదీయబడింది, విడదీయబడింది రవాణా కోసం. [1] [2] బాల్టిక్ ఫాక్స్ యాత్రల ద్వారా ఉపయోగం కోసం స్పెషలిస్ట్ విమానంగా రూపొందించబడింది మరియు అందువల్ల, బాక్సులను దాని గమ్యస్థానానికి రవాణా చేయడానికి మరియు తరువాత వేగంగా తిరిగి కలపడానికి మరి"&amp;"యు ఎగిరినందుకు ఇది విడదీయడానికి ఉద్దేశించబడింది. ఇది ఫెడరేషన్ Aéronautique ఇంటర్నేషనల్ మైక్రోలైట్ రూల్స్ మరియు యుఎస్ లైట్-స్పోర్ట్ ఎయిర్క్రాఫ్ట్ రూల్స్ లకు అనుగుణంగా ఉండటానికి ఉద్దేశించబడింది. ఇది స్ట్రట్-బ్రేస్డ్ హై-వింగ్, రెండు-సీట్ల-సైడ్-సైడ్ కాన్ఫిగరే"&amp;"షన్ ఓపెన్ కాక్‌పిట్, ముడుచుకునే ట్రైసైకిల్ ల్యాండింగ్ గేర్ మరియు పషర్ కాన్ఫిగరేషన్‌లో ఒకే ఇంజిన్ కలిగి ఉంది. [1] [2] ఈ విమానం బోల్ట్-కలిసి అల్యూమినియం గొట్టాల నుండి తయారవుతుంది, దాని ఎగిరే ఉపరితలాలు డాక్రాన్ సెయిల్‌క్లాత్‌లో కప్పబడి ఉంటాయి. దీని 10 మీ (32"&amp;".8 అడుగులు) స్పాన్ వింగ్ 16.1 మీ 2 (173 చదరపు అడుగులు) విస్తీర్ణంలో ఉంది. అందుబాటులో ఉన్న ప్రామాణిక ఇంజిన్ 84 HP (63 kW) హిర్త్ 3702 మూడు సిలిండర్ టూ-స్ట్రోక్ పవర్‌ప్లాంట్. [1] [2] బేయర్ల్ మరియు టాక్ నుండి డేటా [1] [2] సాధారణ లక్షణాల పనితీరు")</f>
        <v>మెంట్జెల్ బాల్టిక్ ఫాక్స్ ఒక జర్మన్ అల్ట్రాలైట్ మరియు లైట్-స్పోర్ట్ ఫ్లయింగ్ బోట్, ఇది అన్నో క్లాజ్ మెంట్జెల్ చేత రూపొందించబడింది మరియు 2009 లో ధృవీకరించబడిన ప్రిన్జ్‌హోఫ్టేకు చెందిన ఇంగ్ బోరో మెంట్జెల్ చేత ఉత్పత్తి చేయబడింది. ఈ విమానం పూర్తిస్థాయిలో విమానయానంగా సరఫరా చేయబడుతుంది, విడదీయబడింది, విడదీయబడింది రవాణా కోసం. [1] [2] బాల్టిక్ ఫాక్స్ యాత్రల ద్వారా ఉపయోగం కోసం స్పెషలిస్ట్ విమానంగా రూపొందించబడింది మరియు అందువల్ల, బాక్సులను దాని గమ్యస్థానానికి రవాణా చేయడానికి మరియు తరువాత వేగంగా తిరిగి కలపడానికి మరియు ఎగిరినందుకు ఇది విడదీయడానికి ఉద్దేశించబడింది. ఇది ఫెడరేషన్ Aéronautique ఇంటర్నేషనల్ మైక్రోలైట్ రూల్స్ మరియు యుఎస్ లైట్-స్పోర్ట్ ఎయిర్క్రాఫ్ట్ రూల్స్ లకు అనుగుణంగా ఉండటానికి ఉద్దేశించబడింది. ఇది స్ట్రట్-బ్రేస్డ్ హై-వింగ్, రెండు-సీట్ల-సైడ్-సైడ్ కాన్ఫిగరేషన్ ఓపెన్ కాక్‌పిట్, ముడుచుకునే ట్రైసైకిల్ ల్యాండింగ్ గేర్ మరియు పషర్ కాన్ఫిగరేషన్‌లో ఒకే ఇంజిన్ కలిగి ఉంది. [1] [2] ఈ విమానం బోల్ట్-కలిసి అల్యూమినియం గొట్టాల నుండి తయారవుతుంది, దాని ఎగిరే ఉపరితలాలు డాక్రాన్ సెయిల్‌క్లాత్‌లో కప్పబడి ఉంటాయి. దీని 10 మీ (32.8 అడుగులు) స్పాన్ వింగ్ 16.1 మీ 2 (173 చదరపు అడుగులు) విస్తీర్ణంలో ఉంది. అందుబాటులో ఉన్న ప్రామాణిక ఇంజిన్ 84 HP (63 kW) హిర్త్ 3702 మూడు సిలిండర్ టూ-స్ట్రోక్ పవర్‌ప్లాంట్. [1] [2] బేయర్ల్ మరియు టాక్ నుండి డేటా [1] [2] సాధారణ లక్షణాల పనితీరు</v>
      </c>
      <c r="F11" s="1" t="s">
        <v>323</v>
      </c>
      <c r="G11" s="1" t="str">
        <f>IFERROR(__xludf.DUMMYFUNCTION("GOOGLETRANSLATE(F:F, ""en"", ""te"")"),"అల్ట్రాలైట్ విమానం మరియు లైట్-స్పోర్ట్ విమానం")</f>
        <v>అల్ట్రాలైట్ విమానం మరియు లైట్-స్పోర్ట్ విమానం</v>
      </c>
      <c r="H11" s="1" t="s">
        <v>324</v>
      </c>
      <c r="I11" s="1" t="s">
        <v>325</v>
      </c>
      <c r="J11" s="1" t="str">
        <f>IFERROR(__xludf.DUMMYFUNCTION("GOOGLETRANSLATE(I:I, ""en"", ""te"")"),"ఇంగ్ బోరో మెంట్జెల్")</f>
        <v>ఇంగ్ బోరో మెంట్జెల్</v>
      </c>
      <c r="K11" s="1" t="s">
        <v>326</v>
      </c>
      <c r="L11" s="1" t="s">
        <v>327</v>
      </c>
      <c r="M11" s="2" t="str">
        <f>IFERROR(__xludf.DUMMYFUNCTION("GOOGLETRANSLATE(L:L, ""en"", ""te"")"),"అన్నో క్లాజ్ మెంట్జెల్")</f>
        <v>అన్నో క్లాజ్ మెంట్జెల్</v>
      </c>
      <c r="R11" s="1" t="s">
        <v>222</v>
      </c>
      <c r="S11" s="1" t="s">
        <v>250</v>
      </c>
      <c r="U11" s="1" t="s">
        <v>328</v>
      </c>
      <c r="V11" s="1" t="s">
        <v>329</v>
      </c>
      <c r="W11" s="1" t="s">
        <v>330</v>
      </c>
      <c r="X11" s="1" t="s">
        <v>331</v>
      </c>
      <c r="Z11" s="1" t="s">
        <v>332</v>
      </c>
      <c r="AA11" s="1" t="s">
        <v>333</v>
      </c>
      <c r="AB11" s="1" t="s">
        <v>334</v>
      </c>
      <c r="AF11" s="1" t="s">
        <v>335</v>
      </c>
      <c r="AG11" s="4" t="s">
        <v>336</v>
      </c>
      <c r="AH11" s="1" t="s">
        <v>261</v>
      </c>
      <c r="AK11" s="1" t="s">
        <v>337</v>
      </c>
      <c r="AL11" s="1" t="s">
        <v>338</v>
      </c>
      <c r="AS11" s="1" t="s">
        <v>339</v>
      </c>
      <c r="AU11" s="1" t="s">
        <v>340</v>
      </c>
      <c r="AX11" s="1">
        <v>2009.0</v>
      </c>
    </row>
    <row r="12">
      <c r="A12" s="1" t="s">
        <v>341</v>
      </c>
      <c r="B12" s="1" t="str">
        <f>IFERROR(__xludf.DUMMYFUNCTION("GOOGLETRANSLATE(A:A, ""en"", ""te"")"),"మరావింగ్ 1-ఎల్ మాలాముట్")</f>
        <v>మరావింగ్ 1-ఎల్ మాలాముట్</v>
      </c>
      <c r="C12" s="1" t="s">
        <v>342</v>
      </c>
      <c r="D12" s="2" t="str">
        <f>IFERROR(__xludf.DUMMYFUNCTION("GOOGLETRANSLATE(C:C, ""en"", ""te"")"),"మారవింగ్ 1-ఎల్ మాలాముట్ అనేది చెక్ అల్ట్రాలైట్ విమానం, ఇది కోలాన్ యొక్క మరావింగ్ చేత రూపొందించబడింది మరియు ఉత్పత్తి చేయబడింది. విమానం పూర్తి రెడీ-టు-ఫ్లై-ఎయిర్‌క్రాఫ్ట్‌గా సరఫరా చేయబడుతుంది. [1] [2] మాలాముట్ క్లాసిక్ పైపర్ జె -3 పిల్ల నుండి అభివృద్ధి చేయబ"&amp;"డింది. ఇది ఫెడెరేషన్ ఏరోనటిక్ ఇంటర్నేషనల్ మైక్రోలైట్ నిబంధనలకు అనుగుణంగా రూపొందించబడింది. ఇది స్ట్రట్-బ్రేస్డ్ హై-వింగ్, రెండు-సీట్ల-టెన్డం పరివేష్టిత కాక్‌పిట్, స్థిర సాంప్రదాయ ల్యాండింగ్ గేర్ మరియు ట్రాక్టర్ కాన్ఫిగరేషన్‌లో ఒకే ఇంజిన్ కలిగి ఉంది. [1] [2"&amp;"] ఈ విమానం పిల్ల మాదిరిగానే నిర్మించబడింది. ఫ్యూజ్‌లేజ్ వెల్డెడ్ స్టీల్ గొట్టాల నుండి తయారవుతుంది, అయితే రెక్కలు చెక్క నిర్మాణాన్ని కలిగి ఉంటాయి, అన్నీ డోప్డ్ ఎయిర్క్రాఫ్ట్ ఫాబ్రిక్‌లో కప్పబడి ఉంటాయి. దీని 10.1 మీ (33.1 అడుగులు) స్పాన్ వింగ్ 15.1 మీ 2 (16"&amp;"3 చదరపు అడుగులు) మరియు ఫ్లాప్‌లను కలిగి ఉంది. అందుబాటులో ఉన్న ప్రామాణిక ఇంజిన్ 80 HP (60 kW) రోటాక్స్ 912UL ఫోర్-స్ట్రోక్ పవర్‌ప్లాంట్. [1] [2] బేయర్ల్ &amp; టాక్ నుండి డేటా [1] [2] సాధారణ లక్షణాల పనితీరు")</f>
        <v>మారవింగ్ 1-ఎల్ మాలాముట్ అనేది చెక్ అల్ట్రాలైట్ విమానం, ఇది కోలాన్ యొక్క మరావింగ్ చేత రూపొందించబడింది మరియు ఉత్పత్తి చేయబడింది. విమానం పూర్తి రెడీ-టు-ఫ్లై-ఎయిర్‌క్రాఫ్ట్‌గా సరఫరా చేయబడుతుంది. [1] [2] మాలాముట్ క్లాసిక్ పైపర్ జె -3 పిల్ల నుండి అభివృద్ధి చేయబడింది. ఇది ఫెడెరేషన్ ఏరోనటిక్ ఇంటర్నేషనల్ మైక్రోలైట్ నిబంధనలకు అనుగుణంగా రూపొందించబడింది. ఇది స్ట్రట్-బ్రేస్డ్ హై-వింగ్, రెండు-సీట్ల-టెన్డం పరివేష్టిత కాక్‌పిట్, స్థిర సాంప్రదాయ ల్యాండింగ్ గేర్ మరియు ట్రాక్టర్ కాన్ఫిగరేషన్‌లో ఒకే ఇంజిన్ కలిగి ఉంది. [1] [2] ఈ విమానం పిల్ల మాదిరిగానే నిర్మించబడింది. ఫ్యూజ్‌లేజ్ వెల్డెడ్ స్టీల్ గొట్టాల నుండి తయారవుతుంది, అయితే రెక్కలు చెక్క నిర్మాణాన్ని కలిగి ఉంటాయి, అన్నీ డోప్డ్ ఎయిర్క్రాఫ్ట్ ఫాబ్రిక్‌లో కప్పబడి ఉంటాయి. దీని 10.1 మీ (33.1 అడుగులు) స్పాన్ వింగ్ 15.1 మీ 2 (163 చదరపు అడుగులు) మరియు ఫ్లాప్‌లను కలిగి ఉంది. అందుబాటులో ఉన్న ప్రామాణిక ఇంజిన్ 80 HP (60 kW) రోటాక్స్ 912UL ఫోర్-స్ట్రోక్ పవర్‌ప్లాంట్. [1] [2] బేయర్ల్ &amp; టాక్ నుండి డేటా [1] [2] సాధారణ లక్షణాల పనితీరు</v>
      </c>
      <c r="F12" s="1" t="s">
        <v>343</v>
      </c>
      <c r="G12" s="1" t="str">
        <f>IFERROR(__xludf.DUMMYFUNCTION("GOOGLETRANSLATE(F:F, ""en"", ""te"")"),"అల్ట్రాలైట్ విమానం")</f>
        <v>అల్ట్రాలైట్ విమానం</v>
      </c>
      <c r="H12" s="1" t="s">
        <v>344</v>
      </c>
      <c r="I12" s="1" t="s">
        <v>345</v>
      </c>
      <c r="J12" s="1" t="str">
        <f>IFERROR(__xludf.DUMMYFUNCTION("GOOGLETRANSLATE(I:I, ""en"", ""te"")"),"మరావింగ్")</f>
        <v>మరావింగ్</v>
      </c>
      <c r="K12" s="4" t="s">
        <v>346</v>
      </c>
      <c r="M12" s="2"/>
      <c r="P12" s="1" t="s">
        <v>347</v>
      </c>
      <c r="Q12" s="1" t="s">
        <v>348</v>
      </c>
      <c r="R12" s="1" t="s">
        <v>222</v>
      </c>
      <c r="S12" s="1" t="s">
        <v>250</v>
      </c>
      <c r="U12" s="1" t="s">
        <v>349</v>
      </c>
      <c r="V12" s="1" t="s">
        <v>350</v>
      </c>
      <c r="W12" s="1" t="s">
        <v>351</v>
      </c>
      <c r="X12" s="1" t="s">
        <v>352</v>
      </c>
      <c r="Z12" s="1" t="s">
        <v>353</v>
      </c>
      <c r="AA12" s="1" t="s">
        <v>354</v>
      </c>
      <c r="AB12" s="1" t="s">
        <v>355</v>
      </c>
      <c r="AD12" s="1" t="s">
        <v>356</v>
      </c>
      <c r="AF12" s="1" t="s">
        <v>158</v>
      </c>
      <c r="AG12" s="1" t="s">
        <v>159</v>
      </c>
      <c r="AK12" s="1" t="s">
        <v>357</v>
      </c>
      <c r="AL12" s="1" t="s">
        <v>358</v>
      </c>
      <c r="AS12" s="1" t="s">
        <v>339</v>
      </c>
      <c r="AU12" s="1" t="s">
        <v>359</v>
      </c>
    </row>
    <row r="13">
      <c r="A13" s="1" t="s">
        <v>360</v>
      </c>
      <c r="B13" s="1" t="str">
        <f>IFERROR(__xludf.DUMMYFUNCTION("GOOGLETRANSLATE(A:A, ""en"", ""te"")"),"మార్టిన్సిడ్ సెమిక్యూవర్")</f>
        <v>మార్టిన్సిడ్ సెమిక్యూవర్</v>
      </c>
      <c r="C13" s="1" t="s">
        <v>361</v>
      </c>
      <c r="D13" s="2" t="str">
        <f>IFERROR(__xludf.DUMMYFUNCTION("GOOGLETRANSLATE(C:C, ""en"", ""te"")"),"మార్టిన్‌సైడ్ సెమిక్యూవర్ 1920 లో మార్టిన్‌సైడ్ నిర్మించిన బ్రిటిష్ సింగిల్-సీట్ రేసింగ్ బిప్‌లేన్. ఇది 1920 ఏరియల్ డెర్బీని గెలుచుకుంది మరియు 1920 గోర్డాన్ బెన్నెట్ ట్రోఫీ కోసం ప్రవేశించింది, కాని కోర్సును పూర్తి చేయలేదు. 1921 లో, ఫ్యూజ్‌లేజ్ అలులా మోనోప"&amp;"్లేన్‌కు ప్రాతిపదికగా ఉపయోగించబడింది, ఇది ఎ. ఎ హోలే చేత రాడికల్ వింగ్ డిజైన్ యొక్క పనితీరును పరిశోధించడానికి ఉద్దేశించిన ఒక ప్రయోగాత్మక విమానం. సెమికావర్ అనేది సింగిల్-బే ట్రాక్టర్ బిప్‌లేన్, ఇది దిగువ కంటే కొంచెం ఎక్కువ స్పాన్ మరియు తీగ యొక్క ఎగువ వింగ్."&amp;" ఐలెరాన్‌లను టాప్ వింగ్‌కు మాత్రమే అమర్చారు, ఇది లోతైన దీర్ఘచతురస్రాకార-సెక్షన్ ఫ్యూజ్‌లేజ్ పైన నేరుగా అమర్చబడింది. పైలట్ ఎగువ వింగ్ యొక్క వెనుకంజలో ఉన్న అంచు వెనుక ఓపెన్ కాక్‌పిట్‌లో కూర్చున్నాడు. నిర్మాణం చెక్కతో ఉంది, రెక్కలు, తోక ఉపరితలాలు మరియు ఫ్యూజ"&amp;"్‌లేజ్ వెనుక భాగంలో ఫాబ్రిక్ కప్పబడి ఉంది: ఫ్యూజ్‌లేజ్ ముందు భాగం ప్లైవుడ్‌తో కప్పబడి ఉంది. ఎరుపు రంగులో పెయింట్ చేసి సివిల్ రిజిస్ట్రేషన్ జి-ఎగ్జిఎక్స్ ఇచ్చినట్లయితే, దీనిని ఎఫ్. పి. రేన్హామ్ చేత ఎగురవేయబడింది, ఇది కొత్త బ్రిటిష్ స్పీడ్ రికార్డును 161.43"&amp;"4 mph (గంటకు 259.75 కిమీ/గం) మార్చి 1920 న మార్టెల్షామ్ హీత్ వద్ద. [1] గాయం కారణంగా రేన్‌హామ్‌ను పైలట్‌గా భర్తీ చేసిన ఫ్రాంక్ కోర్ట్నీ చేత పైలట్ చేయబడిన ఇది 1920 వైమానిక డెర్బీని గెలుచుకుంది, 200 మై (320 కిమీ) కోర్సును 153.45 mph (246.95 కిమీ/గం) వేగంతో ప"&amp;"ూర్తి చేసింది. రేసు చివరలో తాకినప్పుడు కోర్ట్నీ ఎయిర్‌ఫీల్డ్‌లో ఒక బంప్‌ను తాకి, తిరిగి గాలిలోకి విసిరి, ఒక వింగ్‌టిప్‌తో భూమిని తాకి, తిరిగాడు. అతను గాయపడలేదు. [2] ఇది రిపేర్ చేయబడింది, వింగ్స్పాన్‌లో స్వల్పంగా తగ్గింది మరియు 1920 గోర్డాన్ బెన్నెట్ ట్రోఫ"&amp;"ీ పోటీకి ప్రవేశించింది, రేన్‌హామ్ ఎగిరింది, అతను ఈ విమానాన్ని తన కారు వెనుకకు లాగడం ద్వారా ఫ్రాన్స్‌కు రవాణా చేశాడు. చమురు పంపు యొక్క వైఫల్యం కారణంగా ఇది కోర్సును పూర్తి చేయలేదు. [3] అలులా వింగ్ అనేది ఒక నవల రూపకల్పన, ఇది విల్లును పోలి ఉంటుంది, స్ట్రెయిట్"&amp;" వెనుకంజలో ఉన్న అంచు మరియు వింగ్టిప్స్ వద్ద ఒక బిందువుకు వంగిన ప్రముఖ అంచు ఉంది. ఇది మోనోకోక్ నిర్మాణం, స్పార్స్ లేదు, తేలికపాటి స్పాన్వైస్ స్ట్రింగర్లు మాత్రమే, కలప కవరింగ్ ద్వారా బలం అందించడం కూడా అసాధారణమైనది. దీనిని డచ్ ఇంజనీర్ A.A. హోల్లే మరియు వాణిజ"&amp;"్య విమానం వింగ్ సిండికేట్ అనే సంస్థ మద్దతుతో, ఇది వేరియోప్లేన్ కంపెనీ నుండి హోలే యొక్క పేటెంట్లను స్వాధీనం చేసుకుంది మరియు బ్లాక్బర్న్ విమానాలతో సంబంధం కలిగి ఉంది, [4] నిర్మాణం మరియు పరీక్షా పనులను నిర్వహించింది. ఒక పరీక్ష విమానం నిర్మించబడింది, రెక్కలు D"&amp;".H.6 యొక్క ఫ్యూజ్‌లేజ్ పైన 200 HP (150 kW) బెంట్లీ BR2 రోటరీ ఇంజిన్‌తో తిరిగి ఇంజిన్ చేయబడ్డాయి. ఇది మొదట జనవరి 1921 లో కెప్టెన్ క్లిన్చ్ చేత ఎగురవేయబడింది. [5] తూర్పు లండన్ కాలేజీలో నిర్వహించిన విండ్-టన్నెల్ పరీక్షలలో రెక్క యొక్క లక్షణాలు [6] తక్కువ వేగం"&amp;"తో భారీ భారాన్ని మోయడానికి ఉద్దేశించిన విమానాలకు ఇది చాలా ఉపయోగకరంగా ఉంటుందని సూచించింది (నాలుగు టన్నులు, పెలికాన్ మోసుకెళ్ళే సామర్థ్యం ఉన్న విమానం ఏరో-లోరీ ప్రణాళిక చేయబడింది) [7] కానీ అధిక వేగంతో రెక్క యొక్క సామర్థ్యాలను ప్రదర్శించాలనే ఉద్దేశ్యంతో, రెక్"&amp;"క యొక్క సంస్కరణ సెమిక్యూవర్ యొక్క ఫ్యూజ్‌లేజ్‌కు అమర్చబడింది, రెక్క ఫ్యూజ్‌లేజ్ పైన స్ట్రట్‌లపై అమర్చబడి ఉంటుంది. అలులా మోనోప్లేన్ అని పిలుస్తారు, 28 అడుగుల 6 మరియు 106.25 చదరపు అడుగుల విస్తీర్ణంలో ఇది 1921 వైమానిక డెర్బీకి ఫ్రాంక్ కోర్ట్నీతో పైలట్‌గా ప్ర"&amp;"వేశించింది, కాని కోర్ట్నీ దాని గ్రౌండ్ హ్యాండ్లింగ్ లక్షణాలతో అసంతృప్తిగా ఉంది, ఎందుకంటే a కలయిక కారణంగా అధిక గురుత్వాకర్షణ మరియు ఇరుకైన ట్రాక్ అండర్ క్యారేజ్, మరియు ఇది పోటీలో ఎగరలేదు. [8] అసలు ల్యాండింగ్ గేర్ స్థానంలో ఉన్న తరువాత, ఆగస్టు 27 న నార్తోల్ట్"&amp;" వద్ద ఆర్. డబ్ల్యూ. కెన్‌వర్తి చేత ఎగురవేయబడింది, టేకాఫ్ వేగం 110 mph (180 కిమీ/గం) [9] [10] డేటా [నుండి [10] డేటా [ 11] సాధారణ లక్షణాల పనితీరు")</f>
        <v>మార్టిన్‌సైడ్ సెమిక్యూవర్ 1920 లో మార్టిన్‌సైడ్ నిర్మించిన బ్రిటిష్ సింగిల్-సీట్ రేసింగ్ బిప్‌లేన్. ఇది 1920 ఏరియల్ డెర్బీని గెలుచుకుంది మరియు 1920 గోర్డాన్ బెన్నెట్ ట్రోఫీ కోసం ప్రవేశించింది, కాని కోర్సును పూర్తి చేయలేదు. 1921 లో, ఫ్యూజ్‌లేజ్ అలులా మోనోప్లేన్‌కు ప్రాతిపదికగా ఉపయోగించబడింది, ఇది ఎ. ఎ హోలే చేత రాడికల్ వింగ్ డిజైన్ యొక్క పనితీరును పరిశోధించడానికి ఉద్దేశించిన ఒక ప్రయోగాత్మక విమానం. సెమికావర్ అనేది సింగిల్-బే ట్రాక్టర్ బిప్‌లేన్, ఇది దిగువ కంటే కొంచెం ఎక్కువ స్పాన్ మరియు తీగ యొక్క ఎగువ వింగ్. ఐలెరాన్‌లను టాప్ వింగ్‌కు మాత్రమే అమర్చారు, ఇది లోతైన దీర్ఘచతురస్రాకార-సెక్షన్ ఫ్యూజ్‌లేజ్ పైన నేరుగా అమర్చబడింది. పైలట్ ఎగువ వింగ్ యొక్క వెనుకంజలో ఉన్న అంచు వెనుక ఓపెన్ కాక్‌పిట్‌లో కూర్చున్నాడు. నిర్మాణం చెక్కతో ఉంది, రెక్కలు, తోక ఉపరితలాలు మరియు ఫ్యూజ్‌లేజ్ వెనుక భాగంలో ఫాబ్రిక్ కప్పబడి ఉంది: ఫ్యూజ్‌లేజ్ ముందు భాగం ప్లైవుడ్‌తో కప్పబడి ఉంది. ఎరుపు రంగులో పెయింట్ చేసి సివిల్ రిజిస్ట్రేషన్ జి-ఎగ్జిఎక్స్ ఇచ్చినట్లయితే, దీనిని ఎఫ్. పి. రేన్హామ్ చేత ఎగురవేయబడింది, ఇది కొత్త బ్రిటిష్ స్పీడ్ రికార్డును 161.434 mph (గంటకు 259.75 కిమీ/గం) మార్చి 1920 న మార్టెల్షామ్ హీత్ వద్ద. [1] గాయం కారణంగా రేన్‌హామ్‌ను పైలట్‌గా భర్తీ చేసిన ఫ్రాంక్ కోర్ట్నీ చేత పైలట్ చేయబడిన ఇది 1920 వైమానిక డెర్బీని గెలుచుకుంది, 200 మై (320 కిమీ) కోర్సును 153.45 mph (246.95 కిమీ/గం) వేగంతో పూర్తి చేసింది. రేసు చివరలో తాకినప్పుడు కోర్ట్నీ ఎయిర్‌ఫీల్డ్‌లో ఒక బంప్‌ను తాకి, తిరిగి గాలిలోకి విసిరి, ఒక వింగ్‌టిప్‌తో భూమిని తాకి, తిరిగాడు. అతను గాయపడలేదు. [2] ఇది రిపేర్ చేయబడింది, వింగ్స్పాన్‌లో స్వల్పంగా తగ్గింది మరియు 1920 గోర్డాన్ బెన్నెట్ ట్రోఫీ పోటీకి ప్రవేశించింది, రేన్‌హామ్ ఎగిరింది, అతను ఈ విమానాన్ని తన కారు వెనుకకు లాగడం ద్వారా ఫ్రాన్స్‌కు రవాణా చేశాడు. చమురు పంపు యొక్క వైఫల్యం కారణంగా ఇది కోర్సును పూర్తి చేయలేదు. [3] అలులా వింగ్ అనేది ఒక నవల రూపకల్పన, ఇది విల్లును పోలి ఉంటుంది, స్ట్రెయిట్ వెనుకంజలో ఉన్న అంచు మరియు వింగ్టిప్స్ వద్ద ఒక బిందువుకు వంగిన ప్రముఖ అంచు ఉంది. ఇది మోనోకోక్ నిర్మాణం, స్పార్స్ లేదు, తేలికపాటి స్పాన్వైస్ స్ట్రింగర్లు మాత్రమే, కలప కవరింగ్ ద్వారా బలం అందించడం కూడా అసాధారణమైనది. దీనిని డచ్ ఇంజనీర్ A.A. హోల్లే మరియు వాణిజ్య విమానం వింగ్ సిండికేట్ అనే సంస్థ మద్దతుతో, ఇది వేరియోప్లేన్ కంపెనీ నుండి హోలే యొక్క పేటెంట్లను స్వాధీనం చేసుకుంది మరియు బ్లాక్బర్న్ విమానాలతో సంబంధం కలిగి ఉంది, [4] నిర్మాణం మరియు పరీక్షా పనులను నిర్వహించింది. ఒక పరీక్ష విమానం నిర్మించబడింది, రెక్కలు D.H.6 యొక్క ఫ్యూజ్‌లేజ్ పైన 200 HP (150 kW) బెంట్లీ BR2 రోటరీ ఇంజిన్‌తో తిరిగి ఇంజిన్ చేయబడ్డాయి. ఇది మొదట జనవరి 1921 లో కెప్టెన్ క్లిన్చ్ చేత ఎగురవేయబడింది. [5] తూర్పు లండన్ కాలేజీలో నిర్వహించిన విండ్-టన్నెల్ పరీక్షలలో రెక్క యొక్క లక్షణాలు [6] తక్కువ వేగంతో భారీ భారాన్ని మోయడానికి ఉద్దేశించిన విమానాలకు ఇది చాలా ఉపయోగకరంగా ఉంటుందని సూచించింది (నాలుగు టన్నులు, పెలికాన్ మోసుకెళ్ళే సామర్థ్యం ఉన్న విమానం ఏరో-లోరీ ప్రణాళిక చేయబడింది) [7] కానీ అధిక వేగంతో రెక్క యొక్క సామర్థ్యాలను ప్రదర్శించాలనే ఉద్దేశ్యంతో, రెక్క యొక్క సంస్కరణ సెమిక్యూవర్ యొక్క ఫ్యూజ్‌లేజ్‌కు అమర్చబడింది, రెక్క ఫ్యూజ్‌లేజ్ పైన స్ట్రట్‌లపై అమర్చబడి ఉంటుంది. అలులా మోనోప్లేన్ అని పిలుస్తారు, 28 అడుగుల 6 మరియు 106.25 చదరపు అడుగుల విస్తీర్ణంలో ఇది 1921 వైమానిక డెర్బీకి ఫ్రాంక్ కోర్ట్నీతో పైలట్‌గా ప్రవేశించింది, కాని కోర్ట్నీ దాని గ్రౌండ్ హ్యాండ్లింగ్ లక్షణాలతో అసంతృప్తిగా ఉంది, ఎందుకంటే a కలయిక కారణంగా అధిక గురుత్వాకర్షణ మరియు ఇరుకైన ట్రాక్ అండర్ క్యారేజ్, మరియు ఇది పోటీలో ఎగరలేదు. [8] అసలు ల్యాండింగ్ గేర్ స్థానంలో ఉన్న తరువాత, ఆగస్టు 27 న నార్తోల్ట్ వద్ద ఆర్. డబ్ల్యూ. కెన్‌వర్తి చేత ఎగురవేయబడింది, టేకాఫ్ వేగం 110 mph (180 కిమీ/గం) [9] [10] డేటా [నుండి [10] డేటా [ 11] సాధారణ లక్షణాల పనితీరు</v>
      </c>
      <c r="E13" s="1" t="s">
        <v>362</v>
      </c>
      <c r="F13" s="1" t="s">
        <v>363</v>
      </c>
      <c r="G13" s="1" t="str">
        <f>IFERROR(__xludf.DUMMYFUNCTION("GOOGLETRANSLATE(F:F, ""en"", ""te"")"),"రేసింగ్ విమానం")</f>
        <v>రేసింగ్ విమానం</v>
      </c>
      <c r="H13" s="1" t="s">
        <v>364</v>
      </c>
      <c r="I13" s="1" t="s">
        <v>365</v>
      </c>
      <c r="J13" s="1" t="str">
        <f>IFERROR(__xludf.DUMMYFUNCTION("GOOGLETRANSLATE(I:I, ""en"", ""te"")"),"మార్టిన్సిడ్")</f>
        <v>మార్టిన్సిడ్</v>
      </c>
      <c r="K13" s="4" t="s">
        <v>366</v>
      </c>
      <c r="M13" s="2"/>
      <c r="O13" s="1">
        <v>1.0</v>
      </c>
      <c r="R13" s="1" t="s">
        <v>222</v>
      </c>
      <c r="T13" s="1" t="s">
        <v>367</v>
      </c>
      <c r="U13" s="1" t="s">
        <v>368</v>
      </c>
      <c r="Z13" s="1" t="s">
        <v>369</v>
      </c>
      <c r="AF13" s="1" t="s">
        <v>314</v>
      </c>
      <c r="AG13" s="1" t="s">
        <v>370</v>
      </c>
      <c r="AL13" s="1" t="s">
        <v>371</v>
      </c>
      <c r="AO13" s="1">
        <v>1920.0</v>
      </c>
      <c r="AR13" s="1" t="s">
        <v>372</v>
      </c>
    </row>
    <row r="14">
      <c r="A14" s="1" t="s">
        <v>373</v>
      </c>
      <c r="B14" s="1" t="str">
        <f>IFERROR(__xludf.DUMMYFUNCTION("GOOGLETRANSLATE(A:A, ""en"", ""te"")"),"సూక్ష్మ వినాశనం బి 22 బాంటమ్")</f>
        <v>సూక్ష్మ వినాశనం బి 22 బాంటమ్</v>
      </c>
      <c r="C14" s="1" t="s">
        <v>374</v>
      </c>
      <c r="D14" s="2" t="str">
        <f>IFERROR(__xludf.DUMMYFUNCTION("GOOGLETRANSLATE(C:C, ""en"", ""te"")"),"మైక్రో ఏవియేషన్ B22 బాంటమ్ న్యూజిలాండ్ అల్ట్రాలైట్ విమానం, ఇది న్యూజిలాండ్లోని హామిల్టన్ మరియు తరువాత న్యూజిలాండ్‌లోని మాండెవిల్లే యొక్క మైక్రో ఏవియేషన్ NZ చేత రూపొందించబడింది మరియు ఉత్పత్తి చేయబడింది. విమానం పూర్తి రెడీ-టు-ఫ్లై-ఎయిర్‌క్రాఫ్ట్‌గా సరఫరా చే"&amp;"యబడుతుంది. [1] [2] ఈ విమానం Fédération Aéronautique ఇంటర్నేషనల్ మైక్రోలైట్ రూల్స్ మరియు యునైటెడ్ కింగ్‌డమ్ BCAR విభాగం ""S"" నిబంధనలకు అనుగుణంగా ఉంటుంది. ఇది స్ట్రట్-బ్రేస్డ్ హై-వింగ్, రెండు-సీట్ల-సైడ్-సైడ్ కాన్ఫిగరేషన్ పరివేష్టిత కాక్‌పిట్, స్థిర ట్రైసైక"&amp;"ిల్ ల్యాండింగ్ గేర్ మరియు ట్రాక్టర్ కాన్ఫిగరేషన్‌లో ఒకే ఇంజిన్ కలిగి ఉంది. [1] [2] ఈ విమానం బోల్ట్-కలిసి అల్యూమినియం గొట్టాల నుండి తయారవుతుంది, దాని ఎగిరే ఉపరితలాలు డాక్రాన్ సెయిల్‌క్లాత్‌లో కప్పబడి ఉంటాయి. దీని 9.03 మీ (29.6 అడుగులు) స్పాన్ వింగ్ 15.1 మీ"&amp;" 2 (163 చదరపు అడుగులు) విస్తీర్ణంలో ఉంది మరియు దీనికి వి-స్ట్రట్స్ మరియు జ్యూరీ స్ట్రట్స్ మద్దతు ఇస్తున్నాయి. మెయిన్ కీల్ ట్యూబ్ యొక్క ఫార్వర్డ్ ఎండ్‌లో ఇంజిన్ కాక్‌పిట్ పైన అమర్చబడి ఉంటుంది. ప్రామాణిక ఇంజన్లు అందుబాటులో ఉన్నాయి 64 హెచ్‌పి (48 కిలోవాట్) ర"&amp;"ోటాక్స్ 582 టూ-స్ట్రోక్ మరియు 85 హెచ్‌పి (63 కిలోవాట్ దక్షిణాఫ్రికాలోని క్రుగర్ నేషనల్ పార్క్‌లో పార్క్ రేంజర్స్ రెండు బాంటమ్‌లను వాడుకలో ఉంచుతున్నారు. [3] [4] మొత్తం ఉత్పత్తి 300 విమానాలను మించిపోయింది. [1] [2] వరల్డ్ డైరెక్టరీ ఆఫ్ లీజర్ ఏవియేషన్ బాంటమ్‌"&amp;"ను సమీక్షించింది మరియు దీనిని ""దాని చురుకుదనం, వైస్-ఫ్రీ హ్యాండ్లింగ్ మరియు నిర్వహణ సౌలభ్యం కలిగి ఉన్న ఒక సాధారణ ఆచరణాత్మక విమానం"" గా అభివర్ణించింది. [1] [2] బేయర్ల్ &amp; టాక్ నుండి డేటా [1] [2] సాధారణ లక్షణాల పనితీరు")</f>
        <v>మైక్రో ఏవియేషన్ B22 బాంటమ్ న్యూజిలాండ్ అల్ట్రాలైట్ విమానం, ఇది న్యూజిలాండ్లోని హామిల్టన్ మరియు తరువాత న్యూజిలాండ్‌లోని మాండెవిల్లే యొక్క మైక్రో ఏవియేషన్ NZ చేత రూపొందించబడింది మరియు ఉత్పత్తి చేయబడింది. విమానం పూర్తి రెడీ-టు-ఫ్లై-ఎయిర్‌క్రాఫ్ట్‌గా సరఫరా చేయబడుతుంది. [1] [2] ఈ విమానం Fédération Aéronautique ఇంటర్నేషనల్ మైక్రోలైట్ రూల్స్ మరియు యునైటెడ్ కింగ్‌డమ్ BCAR విభాగం "S" నిబంధనలకు అనుగుణంగా ఉంటుంది. ఇది స్ట్రట్-బ్రేస్డ్ హై-వింగ్, రెండు-సీట్ల-సైడ్-సైడ్ కాన్ఫిగరేషన్ పరివేష్టిత కాక్‌పిట్, స్థిర ట్రైసైకిల్ ల్యాండింగ్ గేర్ మరియు ట్రాక్టర్ కాన్ఫిగరేషన్‌లో ఒకే ఇంజిన్ కలిగి ఉంది. [1] [2] ఈ విమానం బోల్ట్-కలిసి అల్యూమినియం గొట్టాల నుండి తయారవుతుంది, దాని ఎగిరే ఉపరితలాలు డాక్రాన్ సెయిల్‌క్లాత్‌లో కప్పబడి ఉంటాయి. దీని 9.03 మీ (29.6 అడుగులు) స్పాన్ వింగ్ 15.1 మీ 2 (163 చదరపు అడుగులు) విస్తీర్ణంలో ఉంది మరియు దీనికి వి-స్ట్రట్స్ మరియు జ్యూరీ స్ట్రట్స్ మద్దతు ఇస్తున్నాయి. మెయిన్ కీల్ ట్యూబ్ యొక్క ఫార్వర్డ్ ఎండ్‌లో ఇంజిన్ కాక్‌పిట్ పైన అమర్చబడి ఉంటుంది. ప్రామాణిక ఇంజన్లు అందుబాటులో ఉన్నాయి 64 హెచ్‌పి (48 కిలోవాట్) రోటాక్స్ 582 టూ-స్ట్రోక్ మరియు 85 హెచ్‌పి (63 కిలోవాట్ దక్షిణాఫ్రికాలోని క్రుగర్ నేషనల్ పార్క్‌లో పార్క్ రేంజర్స్ రెండు బాంటమ్‌లను వాడుకలో ఉంచుతున్నారు. [3] [4] మొత్తం ఉత్పత్తి 300 విమానాలను మించిపోయింది. [1] [2] వరల్డ్ డైరెక్టరీ ఆఫ్ లీజర్ ఏవియేషన్ బాంటమ్‌ను సమీక్షించింది మరియు దీనిని "దాని చురుకుదనం, వైస్-ఫ్రీ హ్యాండ్లింగ్ మరియు నిర్వహణ సౌలభ్యం కలిగి ఉన్న ఒక సాధారణ ఆచరణాత్మక విమానం" గా అభివర్ణించింది. [1] [2] బేయర్ల్ &amp; టాక్ నుండి డేటా [1] [2] సాధారణ లక్షణాల పనితీరు</v>
      </c>
      <c r="E14" s="1" t="s">
        <v>375</v>
      </c>
      <c r="F14" s="1" t="s">
        <v>343</v>
      </c>
      <c r="G14" s="1" t="str">
        <f>IFERROR(__xludf.DUMMYFUNCTION("GOOGLETRANSLATE(F:F, ""en"", ""te"")"),"అల్ట్రాలైట్ విమానం")</f>
        <v>అల్ట్రాలైట్ విమానం</v>
      </c>
      <c r="H14" s="1" t="s">
        <v>344</v>
      </c>
      <c r="I14" s="1" t="s">
        <v>376</v>
      </c>
      <c r="J14" s="1" t="str">
        <f>IFERROR(__xludf.DUMMYFUNCTION("GOOGLETRANSLATE(I:I, ""en"", ""te"")"),"మైక్రో ఏవియేషన్ NZ")</f>
        <v>మైక్రో ఏవియేషన్ NZ</v>
      </c>
      <c r="K14" s="1" t="s">
        <v>377</v>
      </c>
      <c r="M14" s="2"/>
      <c r="O14" s="1" t="s">
        <v>378</v>
      </c>
      <c r="R14" s="1" t="s">
        <v>222</v>
      </c>
      <c r="S14" s="1" t="s">
        <v>250</v>
      </c>
      <c r="U14" s="1" t="s">
        <v>379</v>
      </c>
      <c r="V14" s="1" t="s">
        <v>350</v>
      </c>
      <c r="W14" s="1" t="s">
        <v>380</v>
      </c>
      <c r="X14" s="1" t="s">
        <v>381</v>
      </c>
      <c r="Z14" s="1" t="s">
        <v>382</v>
      </c>
      <c r="AA14" s="1" t="s">
        <v>333</v>
      </c>
      <c r="AB14" s="1" t="s">
        <v>334</v>
      </c>
      <c r="AD14" s="1" t="s">
        <v>383</v>
      </c>
      <c r="AF14" s="1" t="s">
        <v>384</v>
      </c>
      <c r="AG14" s="1" t="s">
        <v>385</v>
      </c>
      <c r="AH14" s="1" t="s">
        <v>261</v>
      </c>
      <c r="AK14" s="1" t="s">
        <v>386</v>
      </c>
      <c r="AL14" s="1" t="s">
        <v>387</v>
      </c>
      <c r="AS14" s="1" t="s">
        <v>339</v>
      </c>
      <c r="AU14" s="1" t="s">
        <v>388</v>
      </c>
    </row>
    <row r="15">
      <c r="A15" s="1" t="s">
        <v>389</v>
      </c>
      <c r="B15" s="1" t="str">
        <f>IFERROR(__xludf.DUMMYFUNCTION("GOOGLETRANSLATE(A:A, ""en"", ""te"")"),"MKEK-1")</f>
        <v>MKEK-1</v>
      </c>
      <c r="C15" s="1" t="s">
        <v>390</v>
      </c>
      <c r="D15" s="2" t="str">
        <f>IFERROR(__xludf.DUMMYFUNCTION("GOOGLETRANSLATE(C:C, ""en"", ""te"")"),"MKEK -1 గోజ్కా (టర్కిష్ - ""అబ్జర్వర్"") అనేది ఒక అంచనా వేసిన విమానం, ఇది టర్కిష్ సైన్యాన్ని దేశీయంగా రూపొందించిన మరియు ఉత్పత్తి చేసిన వాయుమార్గాన పరిశీలన పోస్ట్‌ను ఫిరంగిదళం మరియు సాధారణ అనుసంధానం విధుల కోసం అందించింది. [1] 1952 లో THK యొక్క ఉత్పాదక సదుప"&amp;"ాయాలను కొనుగోలు చేసిన తరువాత MKEK చేపట్టిన మొట్టమొదటి విమాన రూపకల్పన ఇది. [1] ఏదేమైనా, పైపర్ పిల్ల మరియు సూపర్ కబ్ యొక్క విస్తృత లభ్యత బదులుగా సైన్యం ఆ విమానం యొక్క ఎంపికకు దారితీసింది, మరియు MKEK-1 లో పని వదిలివేయబడింది. [1] 1950 ల విమానంలో ఈ వ్యాసం ఒక స"&amp;"్టబ్. వికీపీడియా విస్తరించడం ద్వారా మీరు సహాయపడవచ్చు.")</f>
        <v>MKEK -1 గోజ్కా (టర్కిష్ - "అబ్జర్వర్") అనేది ఒక అంచనా వేసిన విమానం, ఇది టర్కిష్ సైన్యాన్ని దేశీయంగా రూపొందించిన మరియు ఉత్పత్తి చేసిన వాయుమార్గాన పరిశీలన పోస్ట్‌ను ఫిరంగిదళం మరియు సాధారణ అనుసంధానం విధుల కోసం అందించింది. [1] 1952 లో THK యొక్క ఉత్పాదక సదుపాయాలను కొనుగోలు చేసిన తరువాత MKEK చేపట్టిన మొట్టమొదటి విమాన రూపకల్పన ఇది. [1] ఏదేమైనా, పైపర్ పిల్ల మరియు సూపర్ కబ్ యొక్క విస్తృత లభ్యత బదులుగా సైన్యం ఆ విమానం యొక్క ఎంపికకు దారితీసింది, మరియు MKEK-1 లో పని వదిలివేయబడింది. [1] 1950 ల విమానంలో ఈ వ్యాసం ఒక స్టబ్. వికీపీడియా విస్తరించడం ద్వారా మీరు సహాయపడవచ్చు.</v>
      </c>
      <c r="F15" s="1" t="s">
        <v>391</v>
      </c>
      <c r="G15" s="1" t="str">
        <f>IFERROR(__xludf.DUMMYFUNCTION("GOOGLETRANSLATE(F:F, ""en"", ""te"")"),"పరిశీలన విమానం")</f>
        <v>పరిశీలన విమానం</v>
      </c>
      <c r="I15" s="1" t="s">
        <v>392</v>
      </c>
      <c r="J15" s="1" t="str">
        <f>IFERROR(__xludf.DUMMYFUNCTION("GOOGLETRANSLATE(I:I, ""en"", ""te"")"),"Mkek")</f>
        <v>Mkek</v>
      </c>
      <c r="K15" s="4" t="s">
        <v>393</v>
      </c>
      <c r="M15" s="2"/>
      <c r="AF15" s="1" t="s">
        <v>394</v>
      </c>
      <c r="AS15" s="1" t="s">
        <v>395</v>
      </c>
    </row>
    <row r="16">
      <c r="A16" s="1" t="s">
        <v>396</v>
      </c>
      <c r="B16" s="1" t="str">
        <f>IFERROR(__xludf.DUMMYFUNCTION("GOOGLETRANSLATE(A:A, ""en"", ""te"")"),"మార్స్కే XM-1")</f>
        <v>మార్స్కే XM-1</v>
      </c>
      <c r="C16" s="1" t="s">
        <v>397</v>
      </c>
      <c r="D16" s="2" t="str">
        <f>IFERROR(__xludf.DUMMYFUNCTION("GOOGLETRANSLATE(C:C, ""en"", ""te"")"),"మార్స్కే XM-1 అనేది ఒక అమెరికన్ మిడ్-వింగ్, సింగిల్-సీట్, ప్రయోగాత్మక టైలెస్ గ్లైడర్, దీనిని 1957 లో జిమ్ మార్స్కే రూపొందించారు మరియు నిర్మించారు. [1] [2] [3] [4] XM-1 తో ప్రయోగం తరువాత మార్స్కే పయనీర్ యొక్క తుది ఆకృతీకరణకు దారితీస్తుంది. [1] మార్స్కే యొక"&amp;"్క ఫ్లయింగ్ వింగ్స్‌లో మొదటిది XM-1, ఇది చార్లెస్ ఫావెల్ మరియు అల్ బ్యాక్‌స్ట్రోమ్ యొక్క ఫ్లయింగ్ వింగ్ డిజైన్ల నుండి ప్రేరణ పొందింది. అతను 19 సంవత్సరాల వయస్సులో XM-1 ను నిర్మించాడు. ఈ విమానం అనేక సంస్కరణల ద్వారా వెళ్ళింది, ప్రతి ఒక్కటి అదే ప్రాథమిక ఎయిర్"&amp;"ఫ్రేమ్ యొక్క మార్పు మార్స్కే కాన్ఫిగరేషన్లతో ప్రయోగాలు చేసింది. విమానం రెక్క చిట్కాలపై రెక్కలతో ప్రారంభమైంది మరియు తరువాత దాని ""XM-1D"" కాన్ఫిగరేషన్‌లో చిన్న ఫ్యూజ్‌లేజ్ వెనుక భాగంలో ఒకే ఫిన్‌గా మార్చబడింది. [1] [4] XM-1 ను ఫైబర్‌గ్లాస్‌తో కప్పబడిన వెల్డ"&amp;"ెడ్ స్టీల్ ట్యూబ్ ఫ్యూజ్‌లేజ్‌తో నిర్మించారు. 40 అడుగుల (12.2 మీ) వింగ్ కలప నుండి కల్పించబడింది మరియు డోప్డ్ ఎయిర్క్రాఫ్ట్ ఫాబ్రిక్‌తో కప్పబడి ఉంటుంది. వింగ్ 14% ఫౌవెల్ ఎయిర్‌ఫాయిల్‌ను ఉపయోగించింది. ల్యాండింగ్ గేర్ ఒక స్థిర మోనోహీల్. [1] ఒక XM-1 మాత్రమే న"&amp;"ిర్మించబడింది. ఇది ప్రయోగాత్మక - te త్సాహిక -నిర్మిత వర్గంలో యుఎస్ ఫెడరల్ ఏవియేషన్ అడ్మినిస్ట్రేషన్‌లో నమోదు చేయబడింది. [1] [2] XM-1 ను మ్యాగజైన్‌ను ""ఎగరడం సులభం"" అని వర్ణించారు. విమానం స్టాల్ మరియు స్పిన్ ప్రూఫ్. మార్స్కే ఈ విమానాన్ని విక్రయించాడు మరియ"&amp;"ు ఇది వరుస యజమానుల ద్వారా వెళ్ళింది. XM-1 తరువాత FAA రిజిస్టర్ నుండి తొలగించబడింది మరియు ఇకపై ఉండదు. [1] [2] ప్రపంచంలోని సెయిల్‌ప్లేన్‌ల నుండి డేటా: డై సెగెల్ఫ్లుగ్జ్యూజ్ డెర్ వెల్ట్: లెస్ ప్లానర్స్ డు మోండే వాల్యూమ్ II [5] సాధారణ లక్షణాలు పనితీరు సంబంధిత"&amp;" జాబితాలు")</f>
        <v>మార్స్కే XM-1 అనేది ఒక అమెరికన్ మిడ్-వింగ్, సింగిల్-సీట్, ప్రయోగాత్మక టైలెస్ గ్లైడర్, దీనిని 1957 లో జిమ్ మార్స్కే రూపొందించారు మరియు నిర్మించారు. [1] [2] [3] [4] XM-1 తో ప్రయోగం తరువాత మార్స్కే పయనీర్ యొక్క తుది ఆకృతీకరణకు దారితీస్తుంది. [1] మార్స్కే యొక్క ఫ్లయింగ్ వింగ్స్‌లో మొదటిది XM-1, ఇది చార్లెస్ ఫావెల్ మరియు అల్ బ్యాక్‌స్ట్రోమ్ యొక్క ఫ్లయింగ్ వింగ్ డిజైన్ల నుండి ప్రేరణ పొందింది. అతను 19 సంవత్సరాల వయస్సులో XM-1 ను నిర్మించాడు. ఈ విమానం అనేక సంస్కరణల ద్వారా వెళ్ళింది, ప్రతి ఒక్కటి అదే ప్రాథమిక ఎయిర్ఫ్రేమ్ యొక్క మార్పు మార్స్కే కాన్ఫిగరేషన్లతో ప్రయోగాలు చేసింది. విమానం రెక్క చిట్కాలపై రెక్కలతో ప్రారంభమైంది మరియు తరువాత దాని "XM-1D" కాన్ఫిగరేషన్‌లో చిన్న ఫ్యూజ్‌లేజ్ వెనుక భాగంలో ఒకే ఫిన్‌గా మార్చబడింది. [1] [4] XM-1 ను ఫైబర్‌గ్లాస్‌తో కప్పబడిన వెల్డెడ్ స్టీల్ ట్యూబ్ ఫ్యూజ్‌లేజ్‌తో నిర్మించారు. 40 అడుగుల (12.2 మీ) వింగ్ కలప నుండి కల్పించబడింది మరియు డోప్డ్ ఎయిర్క్రాఫ్ట్ ఫాబ్రిక్‌తో కప్పబడి ఉంటుంది. వింగ్ 14% ఫౌవెల్ ఎయిర్‌ఫాయిల్‌ను ఉపయోగించింది. ల్యాండింగ్ గేర్ ఒక స్థిర మోనోహీల్. [1] ఒక XM-1 మాత్రమే నిర్మించబడింది. ఇది ప్రయోగాత్మక - te త్సాహిక -నిర్మిత వర్గంలో యుఎస్ ఫెడరల్ ఏవియేషన్ అడ్మినిస్ట్రేషన్‌లో నమోదు చేయబడింది. [1] [2] XM-1 ను మ్యాగజైన్‌ను "ఎగరడం సులభం" అని వర్ణించారు. విమానం స్టాల్ మరియు స్పిన్ ప్రూఫ్. మార్స్కే ఈ విమానాన్ని విక్రయించాడు మరియు ఇది వరుస యజమానుల ద్వారా వెళ్ళింది. XM-1 తరువాత FAA రిజిస్టర్ నుండి తొలగించబడింది మరియు ఇకపై ఉండదు. [1] [2] ప్రపంచంలోని సెయిల్‌ప్లేన్‌ల నుండి డేటా: డై సెగెల్ఫ్లుగ్జ్యూజ్ డెర్ వెల్ట్: లెస్ ప్లానర్స్ డు మోండే వాల్యూమ్ II [5] సాధారణ లక్షణాలు పనితీరు సంబంధిత జాబితాలు</v>
      </c>
      <c r="E16" s="1" t="s">
        <v>398</v>
      </c>
      <c r="F16" s="1" t="s">
        <v>399</v>
      </c>
      <c r="G16" s="1" t="str">
        <f>IFERROR(__xludf.DUMMYFUNCTION("GOOGLETRANSLATE(F:F, ""en"", ""te"")"),"గ్లైడర్")</f>
        <v>గ్లైడర్</v>
      </c>
      <c r="H16" s="4" t="s">
        <v>400</v>
      </c>
      <c r="L16" s="1" t="s">
        <v>401</v>
      </c>
      <c r="M16" s="2" t="str">
        <f>IFERROR(__xludf.DUMMYFUNCTION("GOOGLETRANSLATE(L:L, ""en"", ""te"")"),"జిమ్ మార్స్కే")</f>
        <v>జిమ్ మార్స్కే</v>
      </c>
      <c r="N16" s="1" t="s">
        <v>402</v>
      </c>
      <c r="O16" s="1" t="s">
        <v>222</v>
      </c>
      <c r="R16" s="1" t="s">
        <v>222</v>
      </c>
      <c r="T16" s="1" t="s">
        <v>403</v>
      </c>
      <c r="U16" s="1" t="s">
        <v>404</v>
      </c>
      <c r="V16" s="1" t="s">
        <v>405</v>
      </c>
      <c r="W16" s="1" t="s">
        <v>406</v>
      </c>
      <c r="X16" s="1" t="s">
        <v>407</v>
      </c>
      <c r="AF16" s="1" t="s">
        <v>206</v>
      </c>
      <c r="AG16" s="4" t="s">
        <v>207</v>
      </c>
      <c r="AH16" s="1" t="s">
        <v>408</v>
      </c>
      <c r="AI16" s="1" t="s">
        <v>409</v>
      </c>
      <c r="AJ16" s="1" t="s">
        <v>410</v>
      </c>
      <c r="AM16" s="1" t="s">
        <v>411</v>
      </c>
      <c r="AO16" s="1">
        <v>1957.0</v>
      </c>
      <c r="AS16" s="1" t="s">
        <v>412</v>
      </c>
      <c r="AT16" s="1" t="s">
        <v>413</v>
      </c>
      <c r="AU16" s="1" t="s">
        <v>414</v>
      </c>
      <c r="AW16" s="1">
        <v>24.0</v>
      </c>
      <c r="BE16" s="1">
        <v>9.0</v>
      </c>
      <c r="BF16" s="1" t="s">
        <v>415</v>
      </c>
      <c r="BG16" s="1" t="s">
        <v>416</v>
      </c>
      <c r="BH16" s="1" t="s">
        <v>417</v>
      </c>
    </row>
    <row r="17">
      <c r="A17" s="1" t="s">
        <v>418</v>
      </c>
      <c r="B17" s="1" t="str">
        <f>IFERROR(__xludf.DUMMYFUNCTION("GOOGLETRANSLATE(A:A, ""en"", ""te"")"),"మేయర్స్ ఓట్")</f>
        <v>మేయర్స్ ఓట్</v>
      </c>
      <c r="C17" s="1" t="s">
        <v>419</v>
      </c>
      <c r="D17" s="2" t="str">
        <f>IFERROR(__xludf.DUMMYFUNCTION("GOOGLETRANSLATE(C:C, ""en"", ""te"")"),"మేయర్స్ OTW (అవుట్ టు విన్) 1930 ల అమెరికా శిక్షణా బైప్‌లాన్ అలెన్ మేయర్స్ రూపొందించింది మరియు 1936 నుండి 1944 వరకు అతని మేయర్స్ ఎయిర్క్రాఫ్ట్ కంపెనీ నిర్మించింది. పౌర యుద్ధ శిక్షణా పథకం (లో ప్రవేశపెట్టడం వల్ల కలిగే విమానాల డిమాండ్ కోసం in హించి (లో ఏ సివ"&amp;"ిల్ ఫ్లయింగ్ పాఠశాలలు మిలిటరీకి ప్రాధమిక శిక్షణను అందిస్తాయి), అలెన్ మేయర్స్ OTW ను రూపొందించారు మరియు మేయర్స్ ఎయిర్క్రాఫ్ట్ కంపెనీని నిర్మించడానికి ఏర్పాటు చేశారు. OTW ఒక సాంప్రదాయిక బైప్‌లేన్, ఓపెన్ కాక్‌పిట్స్‌లో రెండు కోసం టెన్డం సీటింగ్ మరియు స్థిర ట"&amp;"ెయిల్‌వీల్ ల్యాండింగ్ గేర్. ఈ నమూనా 125 హెచ్‌పి (93 కిలోవాట్ల) వార్నర్ స్కార్బ్ ఇంజిన్ చేత శక్తిని పొందింది మరియు ఇది మొదట 10 మే 1936 న ప్రయాణించింది. ఈ విమానం రెండు ప్రధాన వేరియంట్లలో ఉత్పత్తి చేయబడింది; OTW-145 145 HP (108 kW) వార్నర్ సూపర్ స్కార్బ్, మర"&amp;"ియు OTW-160 160 HP (119 kW) కిన్నర్ R-5 ఇంజిన్ చేత శక్తినిస్తుంది. జేన్ యొక్క అన్ని ప్రపంచ విమానాల నుండి డేటా 1947. [6] సాధారణ లక్షణాలు పనితీరు సంబంధిత అభివృద్ధి")</f>
        <v>మేయర్స్ OTW (అవుట్ టు విన్) 1930 ల అమెరికా శిక్షణా బైప్‌లాన్ అలెన్ మేయర్స్ రూపొందించింది మరియు 1936 నుండి 1944 వరకు అతని మేయర్స్ ఎయిర్క్రాఫ్ట్ కంపెనీ నిర్మించింది. పౌర యుద్ధ శిక్షణా పథకం (లో ప్రవేశపెట్టడం వల్ల కలిగే విమానాల డిమాండ్ కోసం in హించి (లో ఏ సివిల్ ఫ్లయింగ్ పాఠశాలలు మిలిటరీకి ప్రాధమిక శిక్షణను అందిస్తాయి), అలెన్ మేయర్స్ OTW ను రూపొందించారు మరియు మేయర్స్ ఎయిర్క్రాఫ్ట్ కంపెనీని నిర్మించడానికి ఏర్పాటు చేశారు. OTW ఒక సాంప్రదాయిక బైప్‌లేన్, ఓపెన్ కాక్‌పిట్స్‌లో రెండు కోసం టెన్డం సీటింగ్ మరియు స్థిర టెయిల్‌వీల్ ల్యాండింగ్ గేర్. ఈ నమూనా 125 హెచ్‌పి (93 కిలోవాట్ల) వార్నర్ స్కార్బ్ ఇంజిన్ చేత శక్తిని పొందింది మరియు ఇది మొదట 10 మే 1936 న ప్రయాణించింది. ఈ విమానం రెండు ప్రధాన వేరియంట్లలో ఉత్పత్తి చేయబడింది; OTW-145 145 HP (108 kW) వార్నర్ సూపర్ స్కార్బ్, మరియు OTW-160 160 HP (119 kW) కిన్నర్ R-5 ఇంజిన్ చేత శక్తినిస్తుంది. జేన్ యొక్క అన్ని ప్రపంచ విమానాల నుండి డేటా 1947. [6] సాధారణ లక్షణాలు పనితీరు సంబంధిత అభివృద్ధి</v>
      </c>
      <c r="E17" s="1" t="s">
        <v>420</v>
      </c>
      <c r="F17" s="1" t="s">
        <v>421</v>
      </c>
      <c r="G17" s="1" t="str">
        <f>IFERROR(__xludf.DUMMYFUNCTION("GOOGLETRANSLATE(F:F, ""en"", ""te"")"),"శిక్షణ బిప్‌లేన్")</f>
        <v>శిక్షణ బిప్‌లేన్</v>
      </c>
      <c r="I17" s="1" t="s">
        <v>422</v>
      </c>
      <c r="J17" s="1" t="str">
        <f>IFERROR(__xludf.DUMMYFUNCTION("GOOGLETRANSLATE(I:I, ""en"", ""te"")"),"మేయర్స్ ఎయిర్క్రాఫ్ట్ కంపెనీ")</f>
        <v>మేయర్స్ ఎయిర్క్రాఫ్ట్ కంపెనీ</v>
      </c>
      <c r="K17" s="1" t="s">
        <v>423</v>
      </c>
      <c r="L17" s="1" t="s">
        <v>424</v>
      </c>
      <c r="M17" s="2" t="str">
        <f>IFERROR(__xludf.DUMMYFUNCTION("GOOGLETRANSLATE(L:L, ""en"", ""te"")"),"అలెన్ మేయర్స్")</f>
        <v>అలెన్ మేయర్స్</v>
      </c>
      <c r="N17" s="1" t="s">
        <v>425</v>
      </c>
      <c r="O17" s="1">
        <v>104.0</v>
      </c>
      <c r="R17" s="1">
        <v>2.0</v>
      </c>
      <c r="T17" s="1" t="s">
        <v>426</v>
      </c>
      <c r="U17" s="1" t="s">
        <v>427</v>
      </c>
      <c r="V17" s="1" t="s">
        <v>428</v>
      </c>
      <c r="W17" s="1" t="s">
        <v>429</v>
      </c>
      <c r="X17" s="1" t="s">
        <v>430</v>
      </c>
      <c r="Z17" s="1" t="s">
        <v>431</v>
      </c>
      <c r="AA17" s="1" t="s">
        <v>432</v>
      </c>
      <c r="AC17" s="1" t="s">
        <v>433</v>
      </c>
      <c r="AD17" s="1" t="s">
        <v>434</v>
      </c>
      <c r="AE17" s="1" t="s">
        <v>435</v>
      </c>
      <c r="AH17" s="1" t="s">
        <v>261</v>
      </c>
      <c r="AI17" s="1" t="s">
        <v>436</v>
      </c>
      <c r="AK17" s="1" t="s">
        <v>437</v>
      </c>
      <c r="AL17" s="1" t="s">
        <v>438</v>
      </c>
      <c r="AN17" s="1" t="s">
        <v>439</v>
      </c>
      <c r="AO17" s="1">
        <v>1936.0</v>
      </c>
      <c r="AR17" s="1" t="s">
        <v>193</v>
      </c>
      <c r="AU17" s="1" t="s">
        <v>440</v>
      </c>
      <c r="BI17" s="4" t="s">
        <v>441</v>
      </c>
      <c r="BJ17" s="1" t="s">
        <v>442</v>
      </c>
    </row>
    <row r="18">
      <c r="A18" s="1" t="s">
        <v>443</v>
      </c>
      <c r="B18" s="1" t="str">
        <f>IFERROR(__xludf.DUMMYFUNCTION("GOOGLETRANSLATE(A:A, ""en"", ""te"")"),"MIL MI-X1")</f>
        <v>MIL MI-X1</v>
      </c>
      <c r="C18" s="1" t="s">
        <v>444</v>
      </c>
      <c r="D18" s="2" t="str">
        <f>IFERROR(__xludf.DUMMYFUNCTION("GOOGLETRANSLATE(C:C, ""en"", ""te"")"),"MIL MI-X1 అనేది రష్యాకు చెందిన MIL చేత ప్రతిపాదించిన హై-స్పీడ్ హెలికాప్టర్. ఈ విమానం దాని పోటీదారు కామోవ్ కెఎ -92 మాదిరిగానే కొత్త తరం మధ్యతరగతి హెలికాప్టర్లను 500 కిమీ/గం (312 ఎమ్‌పిహెచ్) వద్ద క్రూజింగ్ చేయడానికి ఉద్దేశించబడింది. మాస్కో సమీపంలోని హెలిరుస"&amp;"్సియా 2009 ప్రదర్శనలో దీని ప్రాథమిక రూపకల్పన మరియు ప్రారంభ లక్షణాలు ఆవిష్కరించబడ్డాయి. ఈ డిజైన్ రష్యన్ ప్రభుత్వం 1.3 బిలియన్ డాలర్ల ప్రాజెక్ట్ కోసం పోటీ పడుతోంది మరియు కామోవ్ ఇతర పోటీదారు. [1] . ఇది ఒక ప్రధాన రోటర్ మరియు వెనుక మౌంట్ లిఫ్ట్ రోటర్ కలిగి ఉంద"&amp;"ి. హెలికాప్టర్ యొక్క సింగిల్ మెయిన్ రోటర్ అంటే అధిక వేగంతో ప్రయాణించడానికి అది తిరోగమన బ్లేడ్ స్టాల్ (RBS) ను అధిగమించాల్సి ఉంటుంది. ఈ దృగ్విషయం గంటకు 300 కిమీ యొక్క ఎయిర్‌స్పీడ్‌ల వద్ద సంభవిస్తుంది మరియు చివరికి రోటర్‌ను నాశనం చేసే కంపనాలకు దారితీస్తుంది"&amp;". RBS యొక్క ప్రారంభానికి పోరాడటానికి MIL యొక్క పరిష్కారం, యాజమాన్య స్టాల్ లోకల్ ఎలిమినేషన్ సిస్టమ్ (SLE లు) సహాయంతో రోటర్‌ను ఆఫ్‌లోడ్ చేయడం. [5] [6] [7] MIL చీఫ్ డిజైనర్ నికోలే పావ్లెంకో ప్రకారం, డిజైనర్లు ఇప్పటికే రష్యా యొక్క TSAGI సెంట్రల్ ఏరోహైడ్రోడైనమ"&amp;"ిక్స్ ఇనిస్టిట్యూట్‌లో SLE లను పరీక్షించడానికి అంగీకరించారు. అంతకుముందు తయారీదారు SLE లను మాత్రమే ఉపయోగించడం MI-X1 కి 450–500 కిమీ వేగాన్ని ఇస్తుంది. హెలిరుస్సియా 2009 లో బహిరంగంగా చేసిన నవీకరించబడిన సమాచారం ప్రకారం, హెలికాప్టర్ గంటకు 475 కిమీ క్రూయిజ్ వే"&amp;"గం మరియు డాష్ వేగం 495 నుండి 520 కిమీ/గం. ఉపసంహరించుకునే ల్యాండింగ్ గేర్ మరియు క్రమబద్ధీకరించబడిన ముందుకు మరియు వెనుక ఫ్యూజ్‌లేజ్ విభాగాలతో సహా పషర్ ప్రొపెల్లర్ మరియు అనేక ఏరోడైనమిక్ మెరుగుదలల ద్వారా ఇది సాధ్యమవుతుంది. MI-X1 రెండు అప్‌ప్రేటెడ్ క్లిమోవ్ VK"&amp;"-2500 టర్బోషాఫ్ట్‌లు లేదా ప్రస్తుతం అభివృద్ధిలో ఉన్న రెండు భవిష్యత్ క్లిమోవ్ VK-3000 ద్వారా శక్తినివ్వవచ్చు. మిల్ మి -28 మరియు కామోవ్ కా -50 దాడి హెలికాప్టర్లలో ఇలాంటి ఇంజన్లు వ్యవస్థాపించబడ్డాయి. MI-X1 మరియు KA-92 యొక్క అభివృద్ధి ప్రభుత్వ నిధులు మరియు అధ"&amp;"ిక నిర్వహణ వ్యయం కారణంగా 2015 లో పరిశ్రమ మరియు వాణిజ్య మంత్రిత్వ శాఖ నుండి రక్షణ మంత్రిత్వ శాఖకు మార్చబడింది. రష్యన్ వైమానిక దళం జనరల్ 2022 లో ఉత్పత్తితో 2018 లో ఒక నమూనా ఎగురుతుందని ఆశిస్తున్నారు. [8] [9] [10] రష్యా 2015 లో మిల్ మి -24 ఆధారంగా ఒకే సీటు "&amp;"""ఫ్లయింగ్ లాబొరేటరీ"" ను ప్రారంభించింది, ఇది గంటకు 400 కిలోమీటర్లు (గంటకు 248 మైళ్ళు) వెళ్ళడానికి ఉద్దేశించబడింది. [సైటేషన్ అవసరం] పోల్చదగిన పాత్ర, ఆకృతీకరణ మరియు యుగం యొక్క విమానం")</f>
        <v>MIL MI-X1 అనేది రష్యాకు చెందిన MIL చేత ప్రతిపాదించిన హై-స్పీడ్ హెలికాప్టర్. ఈ విమానం దాని పోటీదారు కామోవ్ కెఎ -92 మాదిరిగానే కొత్త తరం మధ్యతరగతి హెలికాప్టర్లను 500 కిమీ/గం (312 ఎమ్‌పిహెచ్) వద్ద క్రూజింగ్ చేయడానికి ఉద్దేశించబడింది. మాస్కో సమీపంలోని హెలిరుస్సియా 2009 ప్రదర్శనలో దీని ప్రాథమిక రూపకల్పన మరియు ప్రారంభ లక్షణాలు ఆవిష్కరించబడ్డాయి. ఈ డిజైన్ రష్యన్ ప్రభుత్వం 1.3 బిలియన్ డాలర్ల ప్రాజెక్ట్ కోసం పోటీ పడుతోంది మరియు కామోవ్ ఇతర పోటీదారు. [1] . ఇది ఒక ప్రధాన రోటర్ మరియు వెనుక మౌంట్ లిఫ్ట్ రోటర్ కలిగి ఉంది. హెలికాప్టర్ యొక్క సింగిల్ మెయిన్ రోటర్ అంటే అధిక వేగంతో ప్రయాణించడానికి అది తిరోగమన బ్లేడ్ స్టాల్ (RBS) ను అధిగమించాల్సి ఉంటుంది. ఈ దృగ్విషయం గంటకు 300 కిమీ యొక్క ఎయిర్‌స్పీడ్‌ల వద్ద సంభవిస్తుంది మరియు చివరికి రోటర్‌ను నాశనం చేసే కంపనాలకు దారితీస్తుంది. RBS యొక్క ప్రారంభానికి పోరాడటానికి MIL యొక్క పరిష్కారం, యాజమాన్య స్టాల్ లోకల్ ఎలిమినేషన్ సిస్టమ్ (SLE లు) సహాయంతో రోటర్‌ను ఆఫ్‌లోడ్ చేయడం. [5] [6] [7] MIL చీఫ్ డిజైనర్ నికోలే పావ్లెంకో ప్రకారం, డిజైనర్లు ఇప్పటికే రష్యా యొక్క TSAGI సెంట్రల్ ఏరోహైడ్రోడైనమిక్స్ ఇనిస్టిట్యూట్‌లో SLE లను పరీక్షించడానికి అంగీకరించారు. అంతకుముందు తయారీదారు SLE లను మాత్రమే ఉపయోగించడం MI-X1 కి 450–500 కిమీ వేగాన్ని ఇస్తుంది. హెలిరుస్సియా 2009 లో బహిరంగంగా చేసిన నవీకరించబడిన సమాచారం ప్రకారం, హెలికాప్టర్ గంటకు 475 కిమీ క్రూయిజ్ వేగం మరియు డాష్ వేగం 495 నుండి 520 కిమీ/గం. ఉపసంహరించుకునే ల్యాండింగ్ గేర్ మరియు క్రమబద్ధీకరించబడిన ముందుకు మరియు వెనుక ఫ్యూజ్‌లేజ్ విభాగాలతో సహా పషర్ ప్రొపెల్లర్ మరియు అనేక ఏరోడైనమిక్ మెరుగుదలల ద్వారా ఇది సాధ్యమవుతుంది. MI-X1 రెండు అప్‌ప్రేటెడ్ క్లిమోవ్ VK-2500 టర్బోషాఫ్ట్‌లు లేదా ప్రస్తుతం అభివృద్ధిలో ఉన్న రెండు భవిష్యత్ క్లిమోవ్ VK-3000 ద్వారా శక్తినివ్వవచ్చు. మిల్ మి -28 మరియు కామోవ్ కా -50 దాడి హెలికాప్టర్లలో ఇలాంటి ఇంజన్లు వ్యవస్థాపించబడ్డాయి. MI-X1 మరియు KA-92 యొక్క అభివృద్ధి ప్రభుత్వ నిధులు మరియు అధిక నిర్వహణ వ్యయం కారణంగా 2015 లో పరిశ్రమ మరియు వాణిజ్య మంత్రిత్వ శాఖ నుండి రక్షణ మంత్రిత్వ శాఖకు మార్చబడింది. రష్యన్ వైమానిక దళం జనరల్ 2022 లో ఉత్పత్తితో 2018 లో ఒక నమూనా ఎగురుతుందని ఆశిస్తున్నారు. [8] [9] [10] రష్యా 2015 లో మిల్ మి -24 ఆధారంగా ఒకే సీటు "ఫ్లయింగ్ లాబొరేటరీ" ను ప్రారంభించింది, ఇది గంటకు 400 కిలోమీటర్లు (గంటకు 248 మైళ్ళు) వెళ్ళడానికి ఉద్దేశించబడింది. [సైటేషన్ అవసరం] పోల్చదగిన పాత్ర, ఆకృతీకరణ మరియు యుగం యొక్క విమానం</v>
      </c>
      <c r="F18" s="1" t="s">
        <v>445</v>
      </c>
      <c r="G18" s="1" t="str">
        <f>IFERROR(__xludf.DUMMYFUNCTION("GOOGLETRANSLATE(F:F, ""en"", ""te"")"),"హై-స్పీడ్ ట్రాన్స్‌పోర్ట్ హెలికాప్టర్")</f>
        <v>హై-స్పీడ్ ట్రాన్స్‌పోర్ట్ హెలికాప్టర్</v>
      </c>
      <c r="I18" s="1" t="s">
        <v>446</v>
      </c>
      <c r="J18" s="1" t="str">
        <f>IFERROR(__xludf.DUMMYFUNCTION("GOOGLETRANSLATE(I:I, ""en"", ""te"")"),"మిల్")</f>
        <v>మిల్</v>
      </c>
      <c r="K18" s="4" t="s">
        <v>447</v>
      </c>
      <c r="M18" s="2"/>
      <c r="AF18" s="1" t="s">
        <v>448</v>
      </c>
      <c r="AG18" s="4" t="s">
        <v>449</v>
      </c>
      <c r="AS18" s="1" t="s">
        <v>450</v>
      </c>
    </row>
    <row r="19">
      <c r="A19" s="1" t="s">
        <v>451</v>
      </c>
      <c r="B19" s="1" t="str">
        <f>IFERROR(__xludf.DUMMYFUNCTION("GOOGLETRANSLATE(A:A, ""en"", ""te"")"),"లూకాస్ ఎల్ 7")</f>
        <v>లూకాస్ ఎల్ 7</v>
      </c>
      <c r="C19" s="1" t="s">
        <v>452</v>
      </c>
      <c r="D19" s="2" t="str">
        <f>IFERROR(__xludf.DUMMYFUNCTION("GOOGLETRANSLATE(C:C, ""en"", ""te"")"),"L 7 మరియు L-7 అని కూడా పిలువబడే లూకాస్ L7, ఫ్రెంచ్ te త్సాహిక-నిర్మిత విమానం, దీనిని లాగ్నీ-లే-సెకనుకు చెందిన ఎమిలే లూకాస్ రూపొందించారు. ఈ విమానం te త్సాహిక నిర్మాణం కోసం ప్రణాళికల రూపంలో సరఫరా చేయబడుతుంది. [1] [2] L7 లో స్ట్రట్-బ్రేస్డ్ హై-వింగ్, ప్రాప్య"&amp;"త కోసం తలుపులతో రెండు-సైడ్-సైడ్-సైడ్ కాన్ఫిగరేషన్ పరివేష్టిత కాక్‌పిట్, ముడుచుకునే నోస్‌వీల్‌తో స్థిర ప్రధాన ట్రైసైకిల్ ల్యాండింగ్ గేర్ మరియు ట్రాక్టర్ కాన్ఫిగరేషన్‌లో ఒకే ఇంజిన్ ఉన్నాయి. [1 నటించు ఈ విమానం షీట్ అల్యూమినియం నుండి తయారు చేయబడింది. దీని 10 "&amp;"మీ (32.8 అడుగులు) స్పాన్ వింగ్ 12 మీ 2 (130 చదరపు అడుగులు) విస్తీర్ణంలో ఉంది మరియు స్టోల్ పనితీరు కోసం ఫ్లాప్‌లు మరియు ప్రముఖ ఎడ్జ్ స్లాట్‌లను మౌంట్ చేస్తుంది. ఉపయోగించిన ప్రామాణిక ఇంజిన్ 118 హెచ్‌పి (88 కిలోవాట్ సమీక్షకులు రాయ్ బీస్వెంజర్ మరియు మారినో బో"&amp;"రిక్ 2015 సమీక్షలో డిజైన్‌ను ""కొంతవరకు బాక్సీ ఆకారం"" అని వర్ణించారు. [2] బేయర్ల్ మరియు టాక్ నుండి డేటా [1] [2] సాధారణ లక్షణాల పనితీరు")</f>
        <v>L 7 మరియు L-7 అని కూడా పిలువబడే లూకాస్ L7, ఫ్రెంచ్ te త్సాహిక-నిర్మిత విమానం, దీనిని లాగ్నీ-లే-సెకనుకు చెందిన ఎమిలే లూకాస్ రూపొందించారు. ఈ విమానం te త్సాహిక నిర్మాణం కోసం ప్రణాళికల రూపంలో సరఫరా చేయబడుతుంది. [1] [2] L7 లో స్ట్రట్-బ్రేస్డ్ హై-వింగ్, ప్రాప్యత కోసం తలుపులతో రెండు-సైడ్-సైడ్-సైడ్ కాన్ఫిగరేషన్ పరివేష్టిత కాక్‌పిట్, ముడుచుకునే నోస్‌వీల్‌తో స్థిర ప్రధాన ట్రైసైకిల్ ల్యాండింగ్ గేర్ మరియు ట్రాక్టర్ కాన్ఫిగరేషన్‌లో ఒకే ఇంజిన్ ఉన్నాయి. [1 నటించు ఈ విమానం షీట్ అల్యూమినియం నుండి తయారు చేయబడింది. దీని 10 మీ (32.8 అడుగులు) స్పాన్ వింగ్ 12 మీ 2 (130 చదరపు అడుగులు) విస్తీర్ణంలో ఉంది మరియు స్టోల్ పనితీరు కోసం ఫ్లాప్‌లు మరియు ప్రముఖ ఎడ్జ్ స్లాట్‌లను మౌంట్ చేస్తుంది. ఉపయోగించిన ప్రామాణిక ఇంజిన్ 118 హెచ్‌పి (88 కిలోవాట్ సమీక్షకులు రాయ్ బీస్వెంజర్ మరియు మారినో బోరిక్ 2015 సమీక్షలో డిజైన్‌ను "కొంతవరకు బాక్సీ ఆకారం" అని వర్ణించారు. [2] బేయర్ల్ మరియు టాక్ నుండి డేటా [1] [2] సాధారణ లక్షణాల పనితీరు</v>
      </c>
      <c r="F19" s="1" t="s">
        <v>453</v>
      </c>
      <c r="G19" s="1" t="str">
        <f>IFERROR(__xludf.DUMMYFUNCTION("GOOGLETRANSLATE(F:F, ""en"", ""te"")"),"Te త్సాహిక నిర్మించిన విమానం")</f>
        <v>Te త్సాహిక నిర్మించిన విమానం</v>
      </c>
      <c r="H19" s="1" t="s">
        <v>454</v>
      </c>
      <c r="L19" s="1" t="s">
        <v>455</v>
      </c>
      <c r="M19" s="2" t="str">
        <f>IFERROR(__xludf.DUMMYFUNCTION("GOOGLETRANSLATE(L:L, ""en"", ""te"")"),"ఎమిలే లూకాస్")</f>
        <v>ఎమిలే లూకాస్</v>
      </c>
      <c r="N19" s="1" t="s">
        <v>456</v>
      </c>
      <c r="R19" s="1" t="s">
        <v>222</v>
      </c>
      <c r="S19" s="1" t="s">
        <v>250</v>
      </c>
      <c r="U19" s="1" t="s">
        <v>457</v>
      </c>
      <c r="V19" s="1" t="s">
        <v>458</v>
      </c>
      <c r="W19" s="1" t="s">
        <v>459</v>
      </c>
      <c r="X19" s="1" t="s">
        <v>460</v>
      </c>
      <c r="Z19" s="1" t="s">
        <v>461</v>
      </c>
      <c r="AA19" s="1" t="s">
        <v>462</v>
      </c>
      <c r="AB19" s="1" t="s">
        <v>463</v>
      </c>
      <c r="AD19" s="1" t="s">
        <v>464</v>
      </c>
      <c r="AF19" s="1" t="s">
        <v>465</v>
      </c>
      <c r="AG19" s="4" t="s">
        <v>466</v>
      </c>
      <c r="AK19" s="1" t="s">
        <v>467</v>
      </c>
      <c r="AL19" s="1" t="s">
        <v>468</v>
      </c>
      <c r="AR19" s="1" t="s">
        <v>469</v>
      </c>
      <c r="AS19" s="1" t="s">
        <v>470</v>
      </c>
      <c r="AU19" s="1" t="s">
        <v>471</v>
      </c>
    </row>
    <row r="20">
      <c r="A20" s="1" t="s">
        <v>472</v>
      </c>
      <c r="B20" s="1" t="str">
        <f>IFERROR(__xludf.DUMMYFUNCTION("GOOGLETRANSLATE(A:A, ""en"", ""te"")"),"మాక్ మాంబా")</f>
        <v>మాక్ మాంబా</v>
      </c>
      <c r="C20" s="1" t="s">
        <v>473</v>
      </c>
      <c r="D20" s="2" t="str">
        <f>IFERROR(__xludf.DUMMYFUNCTION("GOOGLETRANSLATE(C:C, ""en"", ""te"")"),"స్ట్రెస్ ఇంజనీర్ మెర్వ్ రీడ్ ది మాక్ మాంబా, మాంబా రేంజ్ మెల్బోర్న్ ఎయిర్క్రాఫ్ట్ కార్పొరేషన్ రూపొందించిన మరియు నిర్మించిన ఆస్ట్రేలియన్ రెండు-సీట్ల లైట్ విమానం. [2] మాంబా అనేది రెండు సంవత్సరాలలో రూపొందించిన స్ట్రట్-బ్రేస్డ్, హై-వింగ్ మోనోప్లేన్ మరియు 25 జన"&amp;"వరి 1989 న మొదట ఎగిరింది. ఇది ట్రైసైకిల్ ల్యాండింగ్ గేర్‌ను స్థిరపరిచింది మరియు ఇది 116 హెచ్‌పి (87 కిలోవాట్ . ఇది రెండు కోసం సైడ్-బై-సైడ్ కాన్ఫిగరేషన్ సీటింగ్‌తో పరివేష్టిత మెరుస్తున్న క్యాబిన్ కలిగి ఉంది. ఫ్యూజ్‌లేజ్ ఒత్తిడితో కూడిన అల్యూమినియం చర్మంతో "&amp;"వెల్డెడ్ స్టీల్ గొట్టాలతో నిర్మించబడింది. [1] ఇది మాంబా యొక్క నాలుగు-సీట్ల మరియు సైనిక సంస్కరణలను ప్రవేశపెట్టడానికి ఉద్దేశించబడింది. [2] సైనిక సంస్కరణను IO-360 చేత నడిచే AA-2S మాంబాగా ఆస్ట్రేలియన్ విమాన పరిశ్రమలు కాంట్రాక్టు కింద నిర్మించబడ్డాయి. , మరియు "&amp;"ERA 1990 ల విమానంలో ఈ వ్యాసం ఒక స్టబ్. వికీపీడియా విస్తరించడం ద్వారా మీరు సహాయపడవచ్చు.")</f>
        <v>స్ట్రెస్ ఇంజనీర్ మెర్వ్ రీడ్ ది మాక్ మాంబా, మాంబా రేంజ్ మెల్బోర్న్ ఎయిర్క్రాఫ్ట్ కార్పొరేషన్ రూపొందించిన మరియు నిర్మించిన ఆస్ట్రేలియన్ రెండు-సీట్ల లైట్ విమానం. [2] మాంబా అనేది రెండు సంవత్సరాలలో రూపొందించిన స్ట్రట్-బ్రేస్డ్, హై-వింగ్ మోనోప్లేన్ మరియు 25 జనవరి 1989 న మొదట ఎగిరింది. ఇది ట్రైసైకిల్ ల్యాండింగ్ గేర్‌ను స్థిరపరిచింది మరియు ఇది 116 హెచ్‌పి (87 కిలోవాట్ . ఇది రెండు కోసం సైడ్-బై-సైడ్ కాన్ఫిగరేషన్ సీటింగ్‌తో పరివేష్టిత మెరుస్తున్న క్యాబిన్ కలిగి ఉంది. ఫ్యూజ్‌లేజ్ ఒత్తిడితో కూడిన అల్యూమినియం చర్మంతో వెల్డెడ్ స్టీల్ గొట్టాలతో నిర్మించబడింది. [1] ఇది మాంబా యొక్క నాలుగు-సీట్ల మరియు సైనిక సంస్కరణలను ప్రవేశపెట్టడానికి ఉద్దేశించబడింది. [2] సైనిక సంస్కరణను IO-360 చేత నడిచే AA-2S మాంబాగా ఆస్ట్రేలియన్ విమాన పరిశ్రమలు కాంట్రాక్టు కింద నిర్మించబడ్డాయి. , మరియు ERA 1990 ల విమానంలో ఈ వ్యాసం ఒక స్టబ్. వికీపీడియా విస్తరించడం ద్వారా మీరు సహాయపడవచ్చు.</v>
      </c>
      <c r="F20" s="1" t="s">
        <v>474</v>
      </c>
      <c r="G20" s="1" t="str">
        <f>IFERROR(__xludf.DUMMYFUNCTION("GOOGLETRANSLATE(F:F, ""en"", ""te"")"),"రెండు-సీట్ల తేలికపాటి క్యాబిన్ మోనోప్లేన్")</f>
        <v>రెండు-సీట్ల తేలికపాటి క్యాబిన్ మోనోప్లేన్</v>
      </c>
      <c r="H20" s="1" t="s">
        <v>475</v>
      </c>
      <c r="I20" s="1" t="s">
        <v>476</v>
      </c>
      <c r="J20" s="1" t="str">
        <f>IFERROR(__xludf.DUMMYFUNCTION("GOOGLETRANSLATE(I:I, ""en"", ""te"")"),"మెల్బోర్న్ ఎయిర్క్రాఫ్ట్ కార్పొరేషన్ (మాంబా ఎయిర్క్రాఫ్ట్ కంపెనీ) ఆస్ట్రేలియన్ ఎయిర్క్రాఫ్ట్ ఇండస్ట్రీస్")</f>
        <v>మెల్బోర్న్ ఎయిర్క్రాఫ్ట్ కార్పొరేషన్ (మాంబా ఎయిర్క్రాఫ్ట్ కంపెనీ) ఆస్ట్రేలియన్ ఎయిర్క్రాఫ్ట్ ఇండస్ట్రీస్</v>
      </c>
      <c r="K20" s="1" t="s">
        <v>477</v>
      </c>
      <c r="L20" s="1" t="s">
        <v>478</v>
      </c>
      <c r="M20" s="2" t="str">
        <f>IFERROR(__xludf.DUMMYFUNCTION("GOOGLETRANSLATE(L:L, ""en"", ""te"")"),"జెస్ స్మిత్ [1] స్ట్రెస్ ఇంజనీర్ మెర్వ్ రీడ్")</f>
        <v>జెస్ స్మిత్ [1] స్ట్రెస్ ఇంజనీర్ మెర్వ్ రీడ్</v>
      </c>
      <c r="O20" s="1">
        <v>4.0</v>
      </c>
      <c r="R20" s="1" t="s">
        <v>222</v>
      </c>
      <c r="S20" s="1" t="s">
        <v>222</v>
      </c>
      <c r="T20" s="1" t="s">
        <v>479</v>
      </c>
      <c r="U20" s="1" t="s">
        <v>480</v>
      </c>
      <c r="V20" s="1" t="s">
        <v>481</v>
      </c>
      <c r="W20" s="1" t="s">
        <v>308</v>
      </c>
      <c r="X20" s="1" t="s">
        <v>482</v>
      </c>
      <c r="Z20" s="1" t="s">
        <v>483</v>
      </c>
      <c r="AD20" s="1" t="s">
        <v>484</v>
      </c>
      <c r="AF20" s="1" t="s">
        <v>259</v>
      </c>
      <c r="AH20" s="1" t="s">
        <v>261</v>
      </c>
      <c r="AI20" s="1" t="s">
        <v>485</v>
      </c>
      <c r="AL20" s="1" t="s">
        <v>486</v>
      </c>
      <c r="AO20" s="5">
        <v>32533.0</v>
      </c>
      <c r="AS20" s="1" t="s">
        <v>487</v>
      </c>
      <c r="AV20" s="1" t="s">
        <v>488</v>
      </c>
      <c r="AY20" s="1" t="s">
        <v>489</v>
      </c>
    </row>
    <row r="21">
      <c r="A21" s="1" t="s">
        <v>490</v>
      </c>
      <c r="B21" s="1" t="str">
        <f>IFERROR(__xludf.DUMMYFUNCTION("GOOGLETRANSLATE(A:A, ""en"", ""te"")"),"Maestranza సెంట్రల్ డి ఏవియాసియాన్ HF XX-02")</f>
        <v>Maestranza సెంట్రల్ డి ఏవియాసియాన్ HF XX-02</v>
      </c>
      <c r="C21" s="1" t="s">
        <v>491</v>
      </c>
      <c r="D21" s="2" t="str">
        <f>IFERROR(__xludf.DUMMYFUNCTION("GOOGLETRANSLATE(C:C, ""en"", ""te"")"),"మాస్ట్రాన్జా సెంట్రల్ డి ఏవియాసియన్ HF XX-02 1950 లలో చిలీలో అభివృద్ధి చేయబడిన సైనిక శిక్షకుల విమానం. [1] హ్యూగో ఫ్యూంటెస్ రూపొందించబడింది [2] (అందుకే హోదాలో HF), [2] HF XX-02 అనేది స్థిర టెయిల్‌వీల్ అండర్ క్యారేజ్‌తో మిశ్రమ నిర్మాణం యొక్క సాంప్రదాయిక, తక"&amp;"్కువ-వింగ్ కాంటిలివర్ మోనోప్లేన్. [2] పైలట్ మరియు బోధకుడు పక్కపక్కనే కూర్చున్నారు. [2] ఎల్ బోస్క్ ఎయిర్ బేస్ వద్ద రెండు ప్రోటోటైప్‌లు నిర్మించబడ్డాయి, నియమించబడిన XX-02 మరియు XX-02B. [3] తక్కువ ఎత్తులో ఉన్న ఇబ్బందుల కారణంగా అభివృద్ధిని వదిలివేసింది, ఇది ఒ"&amp;"క సందర్భంలో, ఒక క్రాష్‌కు దారితీసింది, దీనిలో తక్కువ ఎత్తులో గట్టి మలుపు తర్వాత దిగడానికి ప్రయత్నిస్తున్నప్పుడు బోధకుడు చంపబడ్డాడు. ఈ రూపకల్పన తరువాత ఫ్రాన్సిస్కో బ్రావో [2] మరియు మెరుగైన వెర్షన్ చేత శుద్ధి చేయబడింది, HFB XX-02 1958 లో ఎగిరింది, ఇది కాంటి"&amp;"నెంటల్ O-470 ఇంజిన్ చేత రేంజర్ L-440 స్థానంలో ఉంది. ఇలస్ట్రేటెడ్ ఎన్సైక్లోపీడియా ఆఫ్ ఎయిర్క్రాఫ్ట్ నుండి డేటా p.1997 జనరల్ లక్షణాల పనితీరు")</f>
        <v>మాస్ట్రాన్జా సెంట్రల్ డి ఏవియాసియన్ HF XX-02 1950 లలో చిలీలో అభివృద్ధి చేయబడిన సైనిక శిక్షకుల విమానం. [1] హ్యూగో ఫ్యూంటెస్ రూపొందించబడింది [2] (అందుకే హోదాలో HF), [2] HF XX-02 అనేది స్థిర టెయిల్‌వీల్ అండర్ క్యారేజ్‌తో మిశ్రమ నిర్మాణం యొక్క సాంప్రదాయిక, తక్కువ-వింగ్ కాంటిలివర్ మోనోప్లేన్. [2] పైలట్ మరియు బోధకుడు పక్కపక్కనే కూర్చున్నారు. [2] ఎల్ బోస్క్ ఎయిర్ బేస్ వద్ద రెండు ప్రోటోటైప్‌లు నిర్మించబడ్డాయి, నియమించబడిన XX-02 మరియు XX-02B. [3] తక్కువ ఎత్తులో ఉన్న ఇబ్బందుల కారణంగా అభివృద్ధిని వదిలివేసింది, ఇది ఒక సందర్భంలో, ఒక క్రాష్‌కు దారితీసింది, దీనిలో తక్కువ ఎత్తులో గట్టి మలుపు తర్వాత దిగడానికి ప్రయత్నిస్తున్నప్పుడు బోధకుడు చంపబడ్డాడు. ఈ రూపకల్పన తరువాత ఫ్రాన్సిస్కో బ్రావో [2] మరియు మెరుగైన వెర్షన్ చేత శుద్ధి చేయబడింది, HFB XX-02 1958 లో ఎగిరింది, ఇది కాంటినెంటల్ O-470 ఇంజిన్ చేత రేంజర్ L-440 స్థానంలో ఉంది. ఇలస్ట్రేటెడ్ ఎన్సైక్లోపీడియా ఆఫ్ ఎయిర్క్రాఫ్ట్ నుండి డేటా p.1997 జనరల్ లక్షణాల పనితీరు</v>
      </c>
      <c r="F21" s="1" t="s">
        <v>492</v>
      </c>
      <c r="G21" s="1" t="str">
        <f>IFERROR(__xludf.DUMMYFUNCTION("GOOGLETRANSLATE(F:F, ""en"", ""te"")"),"మిలిటరీ ట్రైనర్")</f>
        <v>మిలిటరీ ట్రైనర్</v>
      </c>
      <c r="H21" s="1" t="s">
        <v>493</v>
      </c>
      <c r="I21" s="1" t="s">
        <v>494</v>
      </c>
      <c r="J21" s="1" t="str">
        <f>IFERROR(__xludf.DUMMYFUNCTION("GOOGLETRANSLATE(I:I, ""en"", ""te"")"),"నీరసరీతి")</f>
        <v>నీరసరీతి</v>
      </c>
      <c r="K21" s="1" t="s">
        <v>495</v>
      </c>
      <c r="L21" s="1" t="s">
        <v>496</v>
      </c>
      <c r="M21" s="2" t="str">
        <f>IFERROR(__xludf.DUMMYFUNCTION("GOOGLETRANSLATE(L:L, ""en"", ""te"")"),"హ్యూగో ఫ్యుఎంటెస్")</f>
        <v>హ్యూగో ఫ్యుఎంటెస్</v>
      </c>
      <c r="N21" s="1" t="s">
        <v>497</v>
      </c>
      <c r="O21" s="1">
        <v>2.0</v>
      </c>
      <c r="R21" s="1" t="s">
        <v>498</v>
      </c>
      <c r="T21" s="1" t="s">
        <v>499</v>
      </c>
      <c r="U21" s="1" t="s">
        <v>500</v>
      </c>
      <c r="V21" s="1" t="s">
        <v>501</v>
      </c>
      <c r="W21" s="1" t="s">
        <v>502</v>
      </c>
      <c r="X21" s="1" t="s">
        <v>503</v>
      </c>
      <c r="Z21" s="1" t="s">
        <v>504</v>
      </c>
      <c r="AC21" s="1" t="s">
        <v>505</v>
      </c>
      <c r="AF21" s="1" t="s">
        <v>506</v>
      </c>
      <c r="AI21" s="1" t="s">
        <v>507</v>
      </c>
      <c r="AL21" s="1" t="s">
        <v>508</v>
      </c>
      <c r="AN21" s="1" t="s">
        <v>509</v>
      </c>
      <c r="AO21" s="1">
        <v>1954.0</v>
      </c>
    </row>
    <row r="22">
      <c r="A22" s="1" t="s">
        <v>510</v>
      </c>
      <c r="B22" s="1" t="str">
        <f>IFERROR(__xludf.DUMMYFUNCTION("GOOGLETRANSLATE(A:A, ""en"", ""te"")"),"MSL ఏరో H80")</f>
        <v>MSL ఏరో H80</v>
      </c>
      <c r="C22" s="1" t="s">
        <v>511</v>
      </c>
      <c r="D22" s="2" t="str">
        <f>IFERROR(__xludf.DUMMYFUNCTION("GOOGLETRANSLATE(C:C, ""en"", ""te"")"),"MSL ఏరో H80 అనేది ఫ్రెంచ్ అల్ట్రాలైట్ విమానం, దీనిని మాస్సిమో టెడెస్కో మరియు సెబాస్టియన్ లెఫెబ్రే రూపొందించారు మరియు లిమోజెస్-ఫోర్చెస్ యొక్క MSL ఏరో చేత ఉత్పత్తి చేయబడింది. [1] [2] సంస్థ 2015 ప్రారంభంలో వ్యాపారం నుండి బయటపడినట్లు అనిపిస్తుంది మరియు ఉత్పత్"&amp;"తి ముగిసింది. [3]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కాన్ఫిగరేషన్"&amp;"‌లో ఒకే ఇంజిన్ కలిగి ఉంది. [1] [2] ఈ విమానం షీట్ అల్యూమినియం నుండి తయారు చేయబడింది. దాని 8.60 మీ (28.2 అడుగులు) స్పాన్ వింగ్ 10.6 మీ 2 (114 చదరపు అడుగులు) మరియు ఫ్లాప్‌లను కలిగి ఉంది. రెక్కకు వి-స్ట్రట్స్ మరియు జ్యూరీ స్ట్రట్స్ మద్దతు ఇస్తున్నాయి. ప్రామాణ"&amp;"ిక ఇంజన్లు 80 హెచ్‌పి (60 కిలోవాట్ల) రోటాక్స్ 912 ఎల్ మరియు 100 హెచ్‌పి (75 కిలోవాట్ బేయర్ల్ మరియు టాక్ నుండి డేటా [1] [2] సాధారణ లక్షణాల పనితీరు")</f>
        <v>MSL ఏరో H80 అనేది ఫ్రెంచ్ అల్ట్రాలైట్ విమానం, దీనిని మాస్సిమో టెడెస్కో మరియు సెబాస్టియన్ లెఫెబ్రే రూపొందించారు మరియు లిమోజెస్-ఫోర్చెస్ యొక్క MSL ఏరో చేత ఉత్పత్తి చేయబడింది. [1] [2] సంస్థ 2015 ప్రారంభంలో వ్యాపారం నుండి బయటపడినట్లు అనిపిస్తుంది మరియు ఉత్పత్తి ముగిసింది. [3]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ఈ విమానం షీట్ అల్యూమినియం నుండి తయారు చేయబడింది. దాని 8.60 మీ (28.2 అడుగులు) స్పాన్ వింగ్ 10.6 మీ 2 (114 చదరపు అడుగులు) మరియు ఫ్లాప్‌లను కలిగి ఉంది. రెక్కకు వి-స్ట్రట్స్ మరియు జ్యూరీ స్ట్రట్స్ మద్దతు ఇస్తున్నాయి. ప్రామాణిక ఇంజన్లు 80 హెచ్‌పి (60 కిలోవాట్ల) రోటాక్స్ 912 ఎల్ మరియు 100 హెచ్‌పి (75 కిలోవాట్ బేయర్ల్ మరియు టాక్ నుండి డేటా [1] [2] సాధారణ లక్షణాల పనితీరు</v>
      </c>
      <c r="F22" s="1" t="s">
        <v>343</v>
      </c>
      <c r="G22" s="1" t="str">
        <f>IFERROR(__xludf.DUMMYFUNCTION("GOOGLETRANSLATE(F:F, ""en"", ""te"")"),"అల్ట్రాలైట్ విమానం")</f>
        <v>అల్ట్రాలైట్ విమానం</v>
      </c>
      <c r="H22" s="1" t="s">
        <v>344</v>
      </c>
      <c r="I22" s="1" t="s">
        <v>512</v>
      </c>
      <c r="J22" s="1" t="str">
        <f>IFERROR(__xludf.DUMMYFUNCTION("GOOGLETRANSLATE(I:I, ""en"", ""te"")"),"MSL ఏరో")</f>
        <v>MSL ఏరో</v>
      </c>
      <c r="K22" s="1" t="s">
        <v>513</v>
      </c>
      <c r="L22" s="1" t="s">
        <v>514</v>
      </c>
      <c r="M22" s="2" t="str">
        <f>IFERROR(__xludf.DUMMYFUNCTION("GOOGLETRANSLATE(L:L, ""en"", ""te"")"),"మాస్సిమో టెడెస్కో మరియు సెబాస్టియన్ లెఫెబ్రే")</f>
        <v>మాస్సిమో టెడెస్కో మరియు సెబాస్టియన్ లెఫెబ్రే</v>
      </c>
      <c r="R22" s="1" t="s">
        <v>222</v>
      </c>
      <c r="S22" s="1" t="s">
        <v>250</v>
      </c>
      <c r="U22" s="1" t="s">
        <v>515</v>
      </c>
      <c r="V22" s="1" t="s">
        <v>516</v>
      </c>
      <c r="W22" s="1" t="s">
        <v>517</v>
      </c>
      <c r="X22" s="1" t="s">
        <v>352</v>
      </c>
      <c r="Z22" s="1" t="s">
        <v>353</v>
      </c>
      <c r="AA22" s="1" t="s">
        <v>508</v>
      </c>
      <c r="AB22" s="1" t="s">
        <v>518</v>
      </c>
      <c r="AD22" s="1" t="s">
        <v>519</v>
      </c>
      <c r="AF22" s="1" t="s">
        <v>465</v>
      </c>
      <c r="AG22" s="4" t="s">
        <v>466</v>
      </c>
      <c r="AH22" s="1" t="s">
        <v>261</v>
      </c>
      <c r="AK22" s="1" t="s">
        <v>520</v>
      </c>
      <c r="AL22" s="1" t="s">
        <v>521</v>
      </c>
      <c r="AS22" s="1" t="s">
        <v>318</v>
      </c>
      <c r="AU22" s="1" t="s">
        <v>522</v>
      </c>
    </row>
    <row r="23">
      <c r="A23" s="1" t="s">
        <v>523</v>
      </c>
      <c r="B23" s="1" t="str">
        <f>IFERROR(__xludf.DUMMYFUNCTION("GOOGLETRANSLATE(A:A, ""en"", ""te"")"),"మార్స్కే పయనీర్")</f>
        <v>మార్స్కే పయనీర్</v>
      </c>
      <c r="C23" s="1" t="s">
        <v>524</v>
      </c>
      <c r="D23" s="2" t="str">
        <f>IFERROR(__xludf.DUMMYFUNCTION("GOOGLETRANSLATE(C:C, ""en"", ""te"")"),"మార్స్కే పయనీర్ అమెరికన్, సింగిల్-సీట్, మిడ్-వింగ్, టైలెస్ గ్లైడర్స్ యొక్క కుటుంబం, దీనిని జిమ్ మార్స్కే రూపొందించారు. పయనీర్ II వెర్షన్ ప్రణాళికలుగా మరియు కిట్ రూపంలో మార్స్కే ఎయిర్క్రాఫ్ట్ కార్పొరేషన్ నుండి te త్సాహిక నిర్మాణం కోసం అందుబాటులో ఉంది. [2] "&amp;"[3] [4] మొదటి మార్గదర్శకుడు 1965 లో వాల్ట్ మాక్‌ఫార్లేన్ యొక్క విమాన నిర్మాణ ప్రాజెక్టుగా ప్రారంభమైంది, కాని అతను ఈ విమానం పూర్తి చేయలేదు. పాక్షికంగా పూర్తయిన ప్రాజెక్టును బిల్ డేనియల్స్ మరియు జిమ్ మార్స్కే 1967 లో కొనుగోలు చేశారు, అతను దానిని పూర్తి చేసి"&amp;", మొదట 1968 లో విమానాన్ని ఎగరేశాడు. ఆ నమూనా, సీరియల్ నంబర్ 1, రిజిస్టర్డ్ N7910 ఇప్పటికీ 2011 లో డేనియల్స్‌కు నమోదు చేయబడింది. 5] దాని అసలు కాన్ఫిగరేషన్‌లో మార్గదర్శకుడికి 40 అడుగుల (12.2 మీ) వింగ్స్పాన్ ఉంది. ఈ విమానం ఒక కలప మరియు డోప్డ్ ఫాబ్రిక్ వింగ్‌త"&amp;"ో నిర్మించబడింది, స్టీల్ ట్యూబ్ మరియు ఫైబర్‌గ్లాస్‌తో తయారు చేసిన ఫ్యూజ్‌లేజ్‌తో. డిజైన్‌లో స్థిర మోనోహీల్ ల్యాండింగ్ గేర్, గ్లైడ్-పాత్ కంట్రోల్ కోసం ఫ్లాప్‌లు మరియు మరింత సాధారణ ఐలెరాన్‌లకు బదులుగా రోల్ కంట్రోల్ కోసం స్పాయిలర్లు ఉన్నాయి. [3] [4] అసలు మార"&amp;"్గదర్శకుడు వింగ్ పొడిగింపులతో సవరించబడింది, ఈ స్పాన్ 46 అడుగుల (14.0 మీ) కు తీసుకువచ్చింది మరియు ఇది పయనీర్ IA ను తిరిగి నియమించారు. ఈ కాన్ఫిగరేషన్‌లో విమానం నెమ్మదిగా 28 kn (52 km/h) లేదా 140 kn (259 km/h) వరకు ఎగురుతుంది. [2] [3] అసలు డిజైన్ హోమ్‌బిల్ట్"&amp;" నిర్మాణానికి సరళీకృతం చేయబడింది, కలప మరియు ఫాబ్రిక్ వింగ్ నిర్మాణాన్ని నిలుపుకుంది, కాని ఫ్యూజ్‌లేజ్ ఫైబర్‌గ్లాస్ నిర్మాణానికి మార్చబడింది. రెక్కలను ప్రామాణిక 20 అడుగుల (6.1 మీ) లోతైన గ్యారేజీలో నిర్మించడానికి రెక్కలను 42.64 అడుగుల (13.0 మీ) కు తగ్గించార"&amp;"ు. అసలు రూపకల్పనలో కాకుండా, రోల్ కంట్రోల్ ఐలెరాన్‌లుగా మార్చబడింది, ఎగువ ఉపరితల స్పాయిలర్లు గ్లైడ్‌పాత్ నియంత్రణ కోసం తక్కువ ఉపరితల డైవ్ బ్రేక్‌లతో జతచేయబడ్డాయి. విమానం టైలెస్ అయినందున గురుత్వాకర్షణ పరిధి యొక్క కేంద్రం చాలా ఇరుకైనది. బరువు మరియు సమతుల్య ప"&amp;"రిశీలనలను సరళీకృతం చేయడానికి మోనోహీల్ ల్యాండింగ్ గేర్ G యొక్క కావలసిన C లో ఉంది మరియు పైలట్ యొక్క సీటు సర్దుబాటు చేయగల ముందు మరియు-aft. బ్యాలెన్స్ సెంటర్-ఆఫ్-గురుత్వాకర్షణ పరిధిలో ఉందని నిర్ధారించడానికి విమానం చక్రం మీద సమతుల్యం చేసే వరకు పైలట్ సీటును కది"&amp;"లిస్తుంది. ఖాళీ బరువు 390 పౌండ్లు (177 కిలోలు) స్థూల బరువు 630 పౌండ్లు (286 కిలోలు). విమానం 35: 1 గ్లైడ్ నిష్పత్తి మరియు కనిష్ట సింక్ 2.26 అడుగులు/సె (0.69 మీ/సె) ను నిర్వహిస్తుంది. [2] [3] 1972 నుండి పయనీర్ II ప్రణాళికలుగా లేదా కిట్‌గా అందుబాటులో ఉంచబడిం"&amp;"ది. కిట్‌లో ముందే తయారుచేసిన ఫైబర్‌గ్లాస్ ఫ్యూజ్‌లేజ్ షెల్ ఉంది. నివేదించబడిన భవనం సమయాలు 600 నుండి 2000 గంటల వరకు ఉంటాయి. కనీసం ఒక మార్గదర్శకుడు II 45.93 అడుగుల (14.0 మీ) వింగ్స్పాన్‌తో సవరించబడింది. [2] [3] మార్స్కే ప్రాథమిక రూపకల్పన యొక్క ఆల్-కాంపోజిట్"&amp;" వేరియంట్ అయిన ప్రోటోటైప్ పయనీర్ III ను నిర్మించింది. పయనీర్ III పయనీర్ II కన్నా 100 lb (45 kg) తేలికగా ఉండటానికి ఉద్దేశించబడింది, 20% డ్రాగ్ తగ్గింపును ఉత్పత్తి చేస్తుంది మరియు బలహీనమైన లిఫ్ట్ పరిస్థితులలో విమానంలో ఆప్టిమైజ్ చేయబడుతుంది. [6] పయనీర్ IIS 3"&amp;"00 MI (483 కిమీ) పై విమానాలను తయారు చేసింది. [3] మార్చి 2011 లో, అసలు పయనీర్ IA మరియు ప్రోటోటైప్ పయనీర్ 3 తో ​​పాటు యుఎస్‌లో ఏడు మార్గదర్శక II లు నమోదు చేయబడ్డాయి. [7] [8] మార్చి 2011 లో కెనడాలో నాలుగు మార్గదర్శక II లు నమోదు చేయబడ్డాయి. [9] జేన్ యొక్క అన్"&amp;"ని ప్రపంచ విమానాల నుండి డేటా 1988-89 [1] సాధారణ లక్షణాల పనితీరు")</f>
        <v>మార్స్కే పయనీర్ అమెరికన్, సింగిల్-సీట్, మిడ్-వింగ్, టైలెస్ గ్లైడర్స్ యొక్క కుటుంబం, దీనిని జిమ్ మార్స్కే రూపొందించారు. పయనీర్ II వెర్షన్ ప్రణాళికలుగా మరియు కిట్ రూపంలో మార్స్కే ఎయిర్క్రాఫ్ట్ కార్పొరేషన్ నుండి te త్సాహిక నిర్మాణం కోసం అందుబాటులో ఉంది. [2] [3] [4] మొదటి మార్గదర్శకుడు 1965 లో వాల్ట్ మాక్‌ఫార్లేన్ యొక్క విమాన నిర్మాణ ప్రాజెక్టుగా ప్రారంభమైంది, కాని అతను ఈ విమానం పూర్తి చేయలేదు. పాక్షికంగా పూర్తయిన ప్రాజెక్టును బిల్ డేనియల్స్ మరియు జిమ్ మార్స్కే 1967 లో కొనుగోలు చేశారు, అతను దానిని పూర్తి చేసి, మొదట 1968 లో విమానాన్ని ఎగరేశాడు. ఆ నమూనా, సీరియల్ నంబర్ 1, రిజిస్టర్డ్ N7910 ఇప్పటికీ 2011 లో డేనియల్స్‌కు నమోదు చేయబడింది. 5] దాని అసలు కాన్ఫిగరేషన్‌లో మార్గదర్శకుడికి 40 అడుగుల (12.2 మీ) వింగ్స్పాన్ ఉంది. ఈ విమానం ఒక కలప మరియు డోప్డ్ ఫాబ్రిక్ వింగ్‌తో నిర్మించబడింది, స్టీల్ ట్యూబ్ మరియు ఫైబర్‌గ్లాస్‌తో తయారు చేసిన ఫ్యూజ్‌లేజ్‌తో. డిజైన్‌లో స్థిర మోనోహీల్ ల్యాండింగ్ గేర్, గ్లైడ్-పాత్ కంట్రోల్ కోసం ఫ్లాప్‌లు మరియు మరింత సాధారణ ఐలెరాన్‌లకు బదులుగా రోల్ కంట్రోల్ కోసం స్పాయిలర్లు ఉన్నాయి. [3] [4] అసలు మార్గదర్శకుడు వింగ్ పొడిగింపులతో సవరించబడింది, ఈ స్పాన్ 46 అడుగుల (14.0 మీ) కు తీసుకువచ్చింది మరియు ఇది పయనీర్ IA ను తిరిగి నియమించారు. ఈ కాన్ఫిగరేషన్‌లో విమానం నెమ్మదిగా 28 kn (52 km/h) లేదా 140 kn (259 km/h) వరకు ఎగురుతుంది. [2] [3] అసలు డిజైన్ హోమ్‌బిల్ట్ నిర్మాణానికి సరళీకృతం చేయబడింది, కలప మరియు ఫాబ్రిక్ వింగ్ నిర్మాణాన్ని నిలుపుకుంది, కాని ఫ్యూజ్‌లేజ్ ఫైబర్‌గ్లాస్ నిర్మాణానికి మార్చబడింది. రెక్కలను ప్రామాణిక 20 అడుగుల (6.1 మీ) లోతైన గ్యారేజీలో నిర్మించడానికి రెక్కలను 42.64 అడుగుల (13.0 మీ) కు తగ్గించారు. అసలు రూపకల్పనలో కాకుండా, రోల్ కంట్రోల్ ఐలెరాన్‌లుగా మార్చబడింది, ఎగువ ఉపరితల స్పాయిలర్లు గ్లైడ్‌పాత్ నియంత్రణ కోసం తక్కువ ఉపరితల డైవ్ బ్రేక్‌లతో జతచేయబడ్డాయి. విమానం టైలెస్ అయినందున గురుత్వాకర్షణ పరిధి యొక్క కేంద్రం చాలా ఇరుకైనది. బరువు మరియు సమతుల్య పరిశీలనలను సరళీకృతం చేయడానికి మోనోహీల్ ల్యాండింగ్ గేర్ G యొక్క కావలసిన C లో ఉంది మరియు పైలట్ యొక్క సీటు సర్దుబాటు చేయగల ముందు మరియు-aft. బ్యాలెన్స్ సెంటర్-ఆఫ్-గురుత్వాకర్షణ పరిధిలో ఉందని నిర్ధారించడానికి విమానం చక్రం మీద సమతుల్యం చేసే వరకు పైలట్ సీటును కదిలిస్తుంది. ఖాళీ బరువు 390 పౌండ్లు (177 కిలోలు) స్థూల బరువు 630 పౌండ్లు (286 కిలోలు). విమానం 35: 1 గ్లైడ్ నిష్పత్తి మరియు కనిష్ట సింక్ 2.26 అడుగులు/సె (0.69 మీ/సె) ను నిర్వహిస్తుంది. [2] [3] 1972 నుండి పయనీర్ II ప్రణాళికలుగా లేదా కిట్‌గా అందుబాటులో ఉంచబడింది. కిట్‌లో ముందే తయారుచేసిన ఫైబర్‌గ్లాస్ ఫ్యూజ్‌లేజ్ షెల్ ఉంది. నివేదించబడిన భవనం సమయాలు 600 నుండి 2000 గంటల వరకు ఉంటాయి. కనీసం ఒక మార్గదర్శకుడు II 45.93 అడుగుల (14.0 మీ) వింగ్స్పాన్‌తో సవరించబడింది. [2] [3] మార్స్కే ప్రాథమిక రూపకల్పన యొక్క ఆల్-కాంపోజిట్ వేరియంట్ అయిన ప్రోటోటైప్ పయనీర్ III ను నిర్మించింది. పయనీర్ III పయనీర్ II కన్నా 100 lb (45 kg) తేలికగా ఉండటానికి ఉద్దేశించబడింది, 20% డ్రాగ్ తగ్గింపును ఉత్పత్తి చేస్తుంది మరియు బలహీనమైన లిఫ్ట్ పరిస్థితులలో విమానంలో ఆప్టిమైజ్ చేయబడుతుంది. [6] పయనీర్ IIS 300 MI (483 కిమీ) పై విమానాలను తయారు చేసింది. [3] మార్చి 2011 లో, అసలు పయనీర్ IA మరియు ప్రోటోటైప్ పయనీర్ 3 తో ​​పాటు యుఎస్‌లో ఏడు మార్గదర్శక II లు నమోదు చేయబడ్డాయి. [7] [8] మార్చి 2011 లో కెనడాలో నాలుగు మార్గదర్శక II లు నమోదు చేయబడ్డాయి. [9] జేన్ యొక్క అన్ని ప్రపంచ విమానాల నుండి డేటా 1988-89 [1] సాధారణ లక్షణాల పనితీరు</v>
      </c>
      <c r="E23" s="1" t="s">
        <v>525</v>
      </c>
      <c r="F23" s="1" t="s">
        <v>399</v>
      </c>
      <c r="G23" s="1" t="str">
        <f>IFERROR(__xludf.DUMMYFUNCTION("GOOGLETRANSLATE(F:F, ""en"", ""te"")"),"గ్లైడర్")</f>
        <v>గ్లైడర్</v>
      </c>
      <c r="H23" s="4" t="s">
        <v>400</v>
      </c>
      <c r="I23" s="1" t="s">
        <v>526</v>
      </c>
      <c r="J23" s="1" t="str">
        <f>IFERROR(__xludf.DUMMYFUNCTION("GOOGLETRANSLATE(I:I, ""en"", ""te"")"),"మార్స్కే ఎయిర్క్రాఫ్ట్ కార్పొరేషన్")</f>
        <v>మార్స్కే ఎయిర్క్రాఫ్ట్ కార్పొరేషన్</v>
      </c>
      <c r="K23" s="1" t="s">
        <v>527</v>
      </c>
      <c r="L23" s="1" t="s">
        <v>401</v>
      </c>
      <c r="M23" s="2" t="str">
        <f>IFERROR(__xludf.DUMMYFUNCTION("GOOGLETRANSLATE(L:L, ""en"", ""te"")"),"జిమ్ మార్స్కే")</f>
        <v>జిమ్ మార్స్కే</v>
      </c>
      <c r="N23" s="1" t="s">
        <v>402</v>
      </c>
      <c r="O23" s="1" t="s">
        <v>528</v>
      </c>
      <c r="P23" s="1" t="s">
        <v>396</v>
      </c>
      <c r="Q23" s="1" t="s">
        <v>529</v>
      </c>
      <c r="R23" s="1" t="s">
        <v>222</v>
      </c>
      <c r="T23" s="1" t="s">
        <v>530</v>
      </c>
      <c r="U23" s="1" t="s">
        <v>531</v>
      </c>
      <c r="V23" s="1" t="s">
        <v>532</v>
      </c>
      <c r="W23" s="1" t="s">
        <v>533</v>
      </c>
      <c r="X23" s="1" t="s">
        <v>534</v>
      </c>
      <c r="AF23" s="1" t="s">
        <v>206</v>
      </c>
      <c r="AG23" s="4" t="s">
        <v>207</v>
      </c>
      <c r="AH23" s="1" t="s">
        <v>261</v>
      </c>
      <c r="AI23" s="1" t="s">
        <v>535</v>
      </c>
      <c r="AJ23" s="1" t="s">
        <v>536</v>
      </c>
      <c r="AM23" s="1" t="s">
        <v>537</v>
      </c>
      <c r="AO23" s="1">
        <v>1968.0</v>
      </c>
      <c r="AT23" s="1" t="s">
        <v>538</v>
      </c>
      <c r="AU23" s="1" t="s">
        <v>539</v>
      </c>
      <c r="AW23" s="1">
        <v>35.0</v>
      </c>
      <c r="BE23" s="1">
        <v>12.6</v>
      </c>
      <c r="BH23" s="1" t="s">
        <v>540</v>
      </c>
      <c r="BK23" s="1" t="s">
        <v>541</v>
      </c>
      <c r="BL23" s="1" t="s">
        <v>542</v>
      </c>
      <c r="BM23" s="1" t="s">
        <v>543</v>
      </c>
    </row>
    <row r="24">
      <c r="A24" s="1" t="s">
        <v>544</v>
      </c>
      <c r="B24" s="1" t="str">
        <f>IFERROR(__xludf.DUMMYFUNCTION("GOOGLETRANSLATE(A:A, ""en"", ""te"")"),"మార్టిన్-బండసీడ్ నం 3")</f>
        <v>మార్టిన్-బండసీడ్ నం 3</v>
      </c>
      <c r="C24" s="1" t="s">
        <v>545</v>
      </c>
      <c r="D24" s="2" t="str">
        <f>IFERROR(__xludf.DUMMYFUNCTION("GOOGLETRANSLATE(C:C, ""en"", ""te"")"),"మార్టిన్ హండాసీడ్ నెం .3 ఒక ప్రారంభ బ్రిటిష్ సింగిల్-సీట్ మోనోప్లేన్ డిజైన్, ఇది హెచ్.పి. మార్టిన్ మరియు జార్జ్ హండాసీడ్. ఒకటి మాత్రమే నిర్మించబడింది. మార్టిన్-బండసీడ్ నెం .3 ఆంటోనిట్టే మోనోప్లేన్లతో బలమైన పోలికను కలిగి ఉంది, సన్నని చెక్కతో కప్పబడిన త్రిభ"&amp;"ుజాకార విభాగం ఫ్యూజ్‌లేజ్, మరియు దెబ్బతిన్న రెక్కలు మిడ్-స్పాన్ కింగ్‌పోస్టుల ద్వారా కలుపుతారు. పార్శ్వ నియంత్రణ రెక్క-వార్పింగ్ ద్వారా మరియు రెక్కల సంభవం యొక్క కోణం 5 from నుండి రెక్క రూట్ వద్ద చిట్కా వద్ద సున్నాకి మారుతుంది. అండర్ క్యారేజ్ ఫార్వర్డ్-ప్ర"&amp;"ొజెక్ట్ వంగిన స్కిడ్ చేత భర్తీ చేయబడిన క్రాస్-యాక్సిల్‌లో ఒక జత చక్రాలను కలిగి ఉంది. ఇది మొదట్లో 60 హెచ్‌పి (45 కిలోవాట్ల) ఆంటోనిట్టే వి -8 ఇంజిన్ ద్వారా శక్తిని పొందింది. ఇది తరువాత 40 hp (30 kW) J.A.P. కోసం మార్చబడింది [1] దీనిని మొదట బ్రూక్లాండ్స్ వద్ద"&amp;" హెచ్.పి. మార్టిన్ నవంబర్ 1910 లో, మరియు 1912 లో గ్రాహం గిల్మౌర్ చేత ఎగురవేయబడింది, చివరికి 17 ఫిబ్రవరి 1912 న రిచ్మండ్ పార్క్ మీద మధ్య గాలి నిర్మాణ వైఫల్యానికి గురైనప్పుడు చివరికి విమానంలో చంపబడ్డాడు. [1] విమానం యొక్క రెండు-సీట్ల వెర్షన్, ది డ్రాగన్ఫ్లై "&amp;"అని కూడా పిలువబడే మార్టిన్ హండాసీడ్ 4 బి, 37 అడుగుల (11 మీ) రెక్కలతో థామస్ సోప్విత్ కోసం నిర్మించబడింది మరియు ఒలింపియాలో 1911 ఏరో షోలో ప్రదర్శించబడింది. లూయిస్ నుండి డేటా [1] సాధారణ లక్షణాల పనితీరు")</f>
        <v>మార్టిన్ హండాసీడ్ నెం .3 ఒక ప్రారంభ బ్రిటిష్ సింగిల్-సీట్ మోనోప్లేన్ డిజైన్, ఇది హెచ్.పి. మార్టిన్ మరియు జార్జ్ హండాసీడ్. ఒకటి మాత్రమే నిర్మించబడింది. మార్టిన్-బండసీడ్ నెం .3 ఆంటోనిట్టే మోనోప్లేన్లతో బలమైన పోలికను కలిగి ఉంది, సన్నని చెక్కతో కప్పబడిన త్రిభుజాకార విభాగం ఫ్యూజ్‌లేజ్, మరియు దెబ్బతిన్న రెక్కలు మిడ్-స్పాన్ కింగ్‌పోస్టుల ద్వారా కలుపుతారు. పార్శ్వ నియంత్రణ రెక్క-వార్పింగ్ ద్వారా మరియు రెక్కల సంభవం యొక్క కోణం 5 from నుండి రెక్క రూట్ వద్ద చిట్కా వద్ద సున్నాకి మారుతుంది. అండర్ క్యారేజ్ ఫార్వర్డ్-ప్రొజెక్ట్ వంగిన స్కిడ్ చేత భర్తీ చేయబడిన క్రాస్-యాక్సిల్‌లో ఒక జత చక్రాలను కలిగి ఉంది. ఇది మొదట్లో 60 హెచ్‌పి (45 కిలోవాట్ల) ఆంటోనిట్టే వి -8 ఇంజిన్ ద్వారా శక్తిని పొందింది. ఇది తరువాత 40 hp (30 kW) J.A.P. కోసం మార్చబడింది [1] దీనిని మొదట బ్రూక్లాండ్స్ వద్ద హెచ్.పి. మార్టిన్ నవంబర్ 1910 లో, మరియు 1912 లో గ్రాహం గిల్మౌర్ చేత ఎగురవేయబడింది, చివరికి 17 ఫిబ్రవరి 1912 న రిచ్మండ్ పార్క్ మీద మధ్య గాలి నిర్మాణ వైఫల్యానికి గురైనప్పుడు చివరికి విమానంలో చంపబడ్డాడు. [1] విమానం యొక్క రెండు-సీట్ల వెర్షన్, ది డ్రాగన్ఫ్లై అని కూడా పిలువబడే మార్టిన్ హండాసీడ్ 4 బి, 37 అడుగుల (11 మీ) రెక్కలతో థామస్ సోప్విత్ కోసం నిర్మించబడింది మరియు ఒలింపియాలో 1911 ఏరో షోలో ప్రదర్శించబడింది. లూయిస్ నుండి డేటా [1] సాధారణ లక్షణాల పనితీరు</v>
      </c>
      <c r="E24" s="1" t="s">
        <v>546</v>
      </c>
      <c r="F24" s="1" t="s">
        <v>547</v>
      </c>
      <c r="G24" s="1" t="str">
        <f>IFERROR(__xludf.DUMMYFUNCTION("GOOGLETRANSLATE(F:F, ""en"", ""te"")"),"క్రీడా విమానం")</f>
        <v>క్రీడా విమానం</v>
      </c>
      <c r="I24" s="1" t="s">
        <v>548</v>
      </c>
      <c r="J24" s="1" t="str">
        <f>IFERROR(__xludf.DUMMYFUNCTION("GOOGLETRANSLATE(I:I, ""en"", ""te"")"),"మార్టిన్-బండసీడే")</f>
        <v>మార్టిన్-బండసీడే</v>
      </c>
      <c r="K24" s="4" t="s">
        <v>549</v>
      </c>
      <c r="M24" s="2"/>
      <c r="O24" s="1" t="s">
        <v>550</v>
      </c>
      <c r="R24" s="1">
        <v>1.0</v>
      </c>
      <c r="T24" s="1" t="s">
        <v>551</v>
      </c>
      <c r="U24" s="1" t="s">
        <v>552</v>
      </c>
      <c r="V24" s="1" t="s">
        <v>553</v>
      </c>
      <c r="W24" s="1" t="s">
        <v>554</v>
      </c>
      <c r="Z24" s="1" t="s">
        <v>555</v>
      </c>
      <c r="AF24" s="1" t="s">
        <v>314</v>
      </c>
      <c r="AG24" s="1" t="s">
        <v>370</v>
      </c>
      <c r="AL24" s="1" t="s">
        <v>556</v>
      </c>
      <c r="AO24" s="1">
        <v>1910.0</v>
      </c>
      <c r="AR24" s="1" t="s">
        <v>557</v>
      </c>
    </row>
    <row r="25">
      <c r="A25" s="1" t="s">
        <v>558</v>
      </c>
      <c r="B25" s="1" t="str">
        <f>IFERROR(__xludf.DUMMYFUNCTION("GOOGLETRANSLATE(A:A, ""en"", ""te"")"),"మెడ్వే AV8R")</f>
        <v>మెడ్వే AV8R</v>
      </c>
      <c r="C25" s="1" t="s">
        <v>559</v>
      </c>
      <c r="D25" s="2" t="str">
        <f>IFERROR(__xludf.DUMMYFUNCTION("GOOGLETRANSLATE(C:C, ""en"", ""te"")"),"మెడ్వే AV8R (ఇంగ్లీష్: ఏవియేటర్) అనేది మెడ్‌వే మైక్రోలైట్స్ రూపొందించిన మరియు ఉత్పత్తి చేసే బ్రిటిష్ అల్ట్రాలైట్ ట్రైక్. విమానం పూర్తిగా ఫ్యాక్టరీ నిర్మించబడింది. [1] [2] [3] ఈ విమానం టూరింగ్ ట్రైక్‌గా రూపొందించబడింది, ఫెడెరేషన్ ఏరోనటిక్ ఇంటర్నేషనల్ మైక్ర"&amp;"ోలైట్ వర్గానికి అనుగుణంగా, వర్గం యొక్క గరిష్ట స్థూల బరువు 450 కిలోల (992 పౌండ్లు) తో సహా. ఈ విమానం గరిష్టంగా స్థూల బరువు 415 కిలోలు (915 పౌండ్లు). AV8R బ్రిటిష్ BCAR విభాగం ""S"" ప్రమాణానికి ధృవీకరించబడింది. ఇది కేబుల్-బ్రేస్డ్ హాంగ్ గ్లైడర్-స్టైల్ హై-విం"&amp;"గ్, వెయిట్-షిఫ్ట్ కంట్రోల్స్, రెండు-సీట్ల-టెన్డం ఓపెన్ కాక్‌పిట్, ట్రైసైకిల్ ల్యాండింగ్ గేర్ మరియు పషర్ కాన్ఫిగరేషన్‌లో ఒకే ఇంజిన్ కలిగి ఉంది. [1] [2] ఈ విమానం గొట్టాల నుండి తయారవుతుంది, దాని డబుల్-ఉపరితల రావెన్ వింగ్ డాక్రాన్ సెయిల్‌క్లాత్‌లో కప్పబడి ఉంట"&amp;"ుంది. దీని 11.0 మీ (36.1 అడుగులు) స్పాన్ వింగ్‌కు ఒకే ట్యూబ్-రకం కింగ్‌పోస్ట్ మద్దతు ఇస్తుంది మరియు ""ఎ"" ఫ్రేమ్ కంట్రోల్ బార్‌ను ఉపయోగిస్తుంది. క్యారేజీలో విండ్‌షీల్డ్ మరియు వీల్ స్పాట్‌లతో కాక్‌పిట్ ఫెయిరింగ్ ఉంటుంది. సీట్లు మరియు ఇంజిన్ మౌంట్ పరిష్కరిం"&amp;"చబడ్డాయి మరియు రిగ్గింగ్ మరియు నిల్వ కోసం రెక్క యొక్క మాస్ట్ క్యారేజీలోని స్లాట్‌లోకి ముడుచుకుంటుంది. హైడ్రాలిక్ బ్రేక్‌లు ప్రామాణిక పరికరాలు. అందుబాటులో ఉన్న ఇంజన్లు నాలుగు సిలిండర్, నాలుగు-స్ట్రోక్ 60 కిలోవాట్ బెర్ట్రాండ్ మరియు బేయర్ల్ నుండి డేటా [1] [2"&amp;"] సాధారణ లక్షణాల పనితీరు")</f>
        <v>మెడ్వే AV8R (ఇంగ్లీష్: ఏవియేటర్) అనేది మెడ్‌వే మైక్రోలైట్స్ రూపొందించిన మరియు ఉత్పత్తి చేసే బ్రిటిష్ అల్ట్రాలైట్ ట్రైక్. విమానం పూర్తిగా ఫ్యాక్టరీ నిర్మించబడింది. [1] [2] [3] ఈ విమానం టూరింగ్ ట్రైక్‌గా రూపొందించబడింది, ఫెడెరేషన్ ఏరోనటిక్ ఇంటర్నేషనల్ మైక్రోలైట్ వర్గానికి అనుగుణంగా, వర్గం యొక్క గరిష్ట స్థూల బరువు 450 కిలోల (992 పౌండ్లు) తో సహా. ఈ విమానం గరిష్టంగా స్థూల బరువు 415 కిలోలు (915 పౌండ్లు). AV8R బ్రిటిష్ BCAR విభాగం "S" ప్రమాణానికి ధృవీకరించబడింది. ఇది కేబుల్-బ్రేస్డ్ హాంగ్ గ్లైడర్-స్టైల్ హై-వింగ్, వెయిట్-షిఫ్ట్ కంట్రోల్స్, రెండు-సీట్ల-టెన్డం ఓపెన్ కాక్‌పిట్, ట్రైసైకిల్ ల్యాండింగ్ గేర్ మరియు పషర్ కాన్ఫిగరేషన్‌లో ఒకే ఇంజిన్ కలిగి ఉంది. [1] [2] ఈ విమానం గొట్టాల నుండి తయారవుతుంది, దాని డబుల్-ఉపరితల రావెన్ వింగ్ డాక్రాన్ సెయిల్‌క్లాత్‌లో కప్పబడి ఉంటుంది. దీని 11.0 మీ (36.1 అడుగులు) స్పాన్ వింగ్‌కు ఒకే ట్యూబ్-రకం కింగ్‌పోస్ట్ మద్దతు ఇస్తుంది మరియు "ఎ" ఫ్రేమ్ కంట్రోల్ బార్‌ను ఉపయోగిస్తుంది. క్యారేజీలో విండ్‌షీల్డ్ మరియు వీల్ స్పాట్‌లతో కాక్‌పిట్ ఫెయిరింగ్ ఉంటుంది. సీట్లు మరియు ఇంజిన్ మౌంట్ పరిష్కరించబడ్డాయి మరియు రిగ్గింగ్ మరియు నిల్వ కోసం రెక్క యొక్క మాస్ట్ క్యారేజీలోని స్లాట్‌లోకి ముడుచుకుంటుంది. హైడ్రాలిక్ బ్రేక్‌లు ప్రామాణిక పరికరాలు. అందుబాటులో ఉన్న ఇంజన్లు నాలుగు సిలిండర్, నాలుగు-స్ట్రోక్ 60 కిలోవాట్ బెర్ట్రాండ్ మరియు బేయర్ల్ నుండి డేటా [1] [2] సాధారణ లక్షణాల పనితీరు</v>
      </c>
      <c r="F25" s="1" t="s">
        <v>300</v>
      </c>
      <c r="G25" s="1" t="str">
        <f>IFERROR(__xludf.DUMMYFUNCTION("GOOGLETRANSLATE(F:F, ""en"", ""te"")"),"అల్ట్రాలైట్ ట్రైక్")</f>
        <v>అల్ట్రాలైట్ ట్రైక్</v>
      </c>
      <c r="H25" s="1" t="s">
        <v>301</v>
      </c>
      <c r="I25" s="1" t="s">
        <v>560</v>
      </c>
      <c r="J25" s="1" t="str">
        <f>IFERROR(__xludf.DUMMYFUNCTION("GOOGLETRANSLATE(I:I, ""en"", ""te"")"),"మెడ్వే మైక్రోలైట్స్")</f>
        <v>మెడ్వే మైక్రోలైట్స్</v>
      </c>
      <c r="K25" s="1" t="s">
        <v>561</v>
      </c>
      <c r="M25" s="2"/>
      <c r="R25" s="1" t="s">
        <v>222</v>
      </c>
      <c r="S25" s="1" t="s">
        <v>250</v>
      </c>
      <c r="U25" s="1" t="s">
        <v>562</v>
      </c>
      <c r="V25" s="1" t="s">
        <v>563</v>
      </c>
      <c r="X25" s="1" t="s">
        <v>564</v>
      </c>
      <c r="Z25" s="1" t="s">
        <v>565</v>
      </c>
      <c r="AA25" s="1" t="s">
        <v>566</v>
      </c>
      <c r="AB25" s="1" t="s">
        <v>311</v>
      </c>
      <c r="AD25" s="1" t="s">
        <v>567</v>
      </c>
      <c r="AF25" s="1" t="s">
        <v>314</v>
      </c>
      <c r="AK25" s="1" t="s">
        <v>568</v>
      </c>
      <c r="AL25" s="1" t="s">
        <v>569</v>
      </c>
      <c r="AS25" s="1" t="s">
        <v>570</v>
      </c>
      <c r="AU25" s="1" t="s">
        <v>571</v>
      </c>
      <c r="AX25" s="1">
        <v>2003.0</v>
      </c>
    </row>
    <row r="26">
      <c r="A26" s="1" t="s">
        <v>572</v>
      </c>
      <c r="B26" s="1" t="str">
        <f>IFERROR(__xludf.DUMMYFUNCTION("GOOGLETRANSLATE(A:A, ""en"", ""te"")"),"మైల్స్ మోహాక్")</f>
        <v>మైల్స్ మోహాక్</v>
      </c>
      <c r="C26" s="1" t="s">
        <v>573</v>
      </c>
      <c r="D26" s="2" t="str">
        <f>IFERROR(__xludf.DUMMYFUNCTION("GOOGLETRANSLATE(C:C, ""en"", ""te"")"),"మైల్స్ M.12 మోహాక్ 1930 ల బ్రిటిష్ రెండు-సీట్ల, టెన్డం క్యాబిన్ మోనోప్లేన్, ఫిలిప్ &amp; పోవిస్ విమానం (తరువాత మైల్స్ విమానం కావడానికి) 1936 లో చార్లెస్ లిండ్‌బర్గ్ క్రమం వరకు ఉంది. ఐరోపాలో లిండ్‌బర్గ్ ఉపయోగించిన తరువాత అది ఆకట్టుకుంది 1941 లో రాయల్ ఎయిర్ ఫోర"&amp;"్స్‌తో కమ్యూనికేషన్ విమానంగా సేవ. 1936 లో, లిండ్‌బర్గ్ ఇంగ్లాండ్‌కు వెళ్ళిన తరువాత, అతను జార్జ్ హెర్బర్ట్ మైల్స్‌ను వివిధ రాజధానుల మధ్య ఉపయోగం కోసం వేగవంతమైన, సుదూర యంత్రాన్ని నిర్మించమని కోరాడు. పైలట్ మరియు డిజైనర్ మధ్య దగ్గరి సహకారం ఫలితంగా, ఫస్ట్-క్లాస"&amp;"్ డిజైన్ ఉత్పత్తి చేయబడింది. [1] M.12 మోహాక్ ప్లైవుడ్‌లో కప్పబడిన స్ప్రూస్ నిర్మాణం యొక్క తక్కువ వింగ్ కాంటిలివర్ మోనోప్లేన్ రూపకల్పనను కలిగి ఉండటంలో మునుపటి మైల్స్ నైట్‌హాక్ మరియు మైల్స్ హావ్‌కాన్ డిజైన్‌లు మరియు ప్రాక్టీస్ అనుసరించింది. సెంటర్ విభాగానిక"&amp;"ి డైహెడ్రల్ మరియు స్థిరమైన విభాగం లేదు, బాహ్య విభాగాలు డైహెడ్రల్ మరియు చిట్కా వైపు టేపర్ కలిగి ఉంటాయి. ఫ్యూజ్‌లేజ్ అదేవిధంగా ప్లైవుడ్ కవరింగ్‌తో స్ప్రూస్ నిర్మాణం. M.12 అనేది స్థిరమైన ప్రధాన చక్రాలతో కూడిన సాంప్రదాయిక టెయిల్‌డ్రాగర్, ప్రతి ఒక్కటి రెక్క క్"&amp;"రింద ఏరోడైనమిక్ ఫెయిరింగ్‌లో కప్పబడి, తోక చక్రం కలిగి ఉంటుంది. లిండ్‌బర్గ్ యొక్క స్పెసిఫికేషన్‌లకు మరియు అమెరికన్ 200 హెచ్‌పి మెనాస్కో బక్కనీర్ బి 6 ఎస్ ఇంజిన్‌ను క్లాసిక్ మైల్స్ లో-వింగ్ కాన్ఫిగరేషన్‌కు చేర్చడంలో ఉద్దేశ్యంతో నిర్మించిన విమానంగా, [2] M.12"&amp;" స్పష్టంగా ఆంగ్లో-అమెరికన్ యంత్రం. [3] M.7A హైబ్రిడ్‌లో రెండవ మైళ్ల M.12 రెక్కలు ఉపయోగించబడ్డాయి. [4] M.12 17 జూలై 1936 న G-EAKW నమోదు చేయబడింది, అయితే ఇది మొదట 22 ఆగస్టు 1936 న పరీక్ష సీరియల్ U8 ధరించింది. [5] మోహాక్ 28 జనవరి 1937 న దాని సర్టిఫికేట్ ఆఫ్ "&amp;"ఎయిర్‌వర్తినెస్ అందుకుంది మరియు లిండ్‌బర్గ్ విమానాలతో సహా వరుస పరీక్ష విమానాలను ప్రారంభించింది. [5] 1 ఫిబ్రవరి 1937 న, వుడ్లీలో జరిగిన ఒక కార్యక్రమంలో ఈ విమానం అధికారికంగా లిండ్‌బర్గ్‌కు అప్పగించబడింది. [5] విమానం అప్పగించిన వెంటనే, లిండ్‌బర్గ్ మరియు అతని"&amp;" భార్య భారతదేశానికి ఒక పర్యటనలో బయలుదేరారు. [5] తరువాతి కొన్నేళ్లలో, లిండ్‌బర్గ్స్ ఐరోపా అంతటా విమానానికి ఎగిరింది, చార్లెస్ లిండ్‌బర్గ్ 4 ఏప్రిల్ 1939 న వుడ్లీకి ఎగిరిపోయే వరకు, లిండ్‌బర్గ్ అమెరికాకు తిరిగి రావడంతో ఈ విమానం నిల్వలో ఉంచింది. [5] ఆగష్టు 19"&amp;"39 లో, ఈ విమానాన్ని సైనిక సేవలో ఆకట్టుకునేందుకు వైమానిక మంత్రిత్వ శాఖ పరిశీలించింది. 31 అక్టోబర్ 1941 న, ఇది రాయల్ వైమానిక దళంతో సేవలో ఆకట్టుకుంది మరియు సైనిక సీరియల్ నంబర్ HM503 ను ఇచ్చింది. ఈ విమానం 8 నవంబర్ 1941 న స్కాట్లాండ్‌లోని RAF టర్న్‌హౌస్‌కు పంప"&amp;"ిణీ చేయబడింది. [5] మే 1943 లో ఫెయిరీ-రీడ్ ప్రొపెల్లర్ యొక్క సంస్థాపన తరువాత, ఇది నిర్వహణ కమాండ్ కమ్యూనికేషన్స్ స్క్వాడ్రన్ ఉపయోగం కోసం RAF ఆండోవర్‌కు పంపిణీ చేయబడింది. [5] మెనాస్కో బక్కనీర్ ఇంజిన్‌తో ఇబ్బందులు ఉన్నందున M.12 తక్కువగా ఉపయోగించబడింది, మరియు "&amp;"స్క్వాడ్రన్ బాబ్‌డౌన్ ఫామ్‌కు మారినప్పుడు, వారు మోహాక్‌ను ఆండోవర్ వద్ద వదిలిపెట్టారు. [5] ఫిబ్రవరి 1944 లో, ఈ విమానం నిల్వ కోసం RAF కెంబ్లే వద్ద 5 వ నిర్వహణ విభాగానికి పంపిణీ చేయబడింది మరియు మళ్ళీ RAF చేత ఎగురవేయలేదు. [5] మే 1946 లో, మోహాక్‌ను సదరన్ ఎయిర్"&amp;"‌క్రాఫ్ట్ (గాట్విక్) లిమిటెడ్ కొనుగోలు చేసింది మరియు తరువాత పునర్నిర్మాణం జూలై 1947 లో అమ్మకానికి ప్రచారం చేయబడింది. [5] ఆగష్టు 1947 లో, మోహాక్ 138.5 mph వేగంతో ఫోక్ స్టోన్ ట్రోఫీ ఎయిర్ రేసులో రెండవ స్థానంలో నిలిచారు. [5] అక్టోబర్ 1949 నాటికి, ఈ విమానం బ్"&amp;"రూనో పినికి చెందినది, అతను నెవిల్లే బ్రౌనింగ్‌తో పాటు ఓరన్ ఇంటర్నేషనల్ ర్యాలీలో పాల్గొనడానికి ఉత్తర ఆఫ్రికాకు వెళ్లారు. [5] 1 జనవరి 1950 న, ఇంటికి వెళ్ళేటప్పుడు, వారు స్పెయిన్లో విమానాలను ల్యాండ్ చేయవలసి వచ్చింది. విమానం తక్కువ నష్టం కలిగి ఉన్నప్పటికీ, ఈ "&amp;"జంట ఇంగ్లాండ్‌కు తిరిగి రావడంతో అది వదిలివేయబడింది. మైల్స్ మోహాక్ మళ్ళీ ఎగరడం కాదు. [5] 1973 లో, మైల్స్ మోహాక్ సెవిల్లె సమీపంలోని ఒక జంక్యార్డ్‌లో కనుగొనబడింది మరియు స్మిత్సోనియన్ నేషనల్ ఎయిర్ &amp; స్పేస్ మ్యూజియంలో క్యూరేటర్ లూ కాసే చేత రక్షించబడింది మరియు "&amp;"పునరుద్ధరణ కోసం అమెరికాకు తీసుకువెళ్లారు. [5] అనేక కదలికలు మరియు నెమ్మదిగా పునరుద్ధరణ ప్రయత్నం తరువాత, కాసే మోహాక్‌ను రాయల్ ఎయిర్ ఫోర్స్ మ్యూజియానికి విరాళంగా ఇవ్వాలని నిర్ణయించుకున్నాడు. [5] అక్టోబర్ 2002 లో, ఈ విమానం యునైటెడ్ కింగ్‌డమ్‌కు రవాణా చేయబడింద"&amp;"ి మరియు మ్యూజియం స్టాటిక్ ప్రదర్శన కోసం విమానాన్ని పునరుద్ధరించడం ప్రారంభించింది. [5] ఆగష్టు 2008 లో, పునరుద్ధరించబడిన విమానాన్ని RAF మ్యూజియం హెండన్ వద్ద ""మైలురాళ్ళు ఆఫ్ ఫ్లైట్"" ప్రదర్శనలో ప్రదర్శించారు. [5] [6] సాధారణ లక్షణాల నుండి డేటా పనితీరు సంబంధి"&amp;"త అభివృద్ధి విమానం పోల్చదగిన పాత్ర, కాన్ఫిగరేషన్ మరియు ERA సంబంధిత జాబితాల యొక్క విమానం")</f>
        <v>మైల్స్ M.12 మోహాక్ 1930 ల బ్రిటిష్ రెండు-సీట్ల, టెన్డం క్యాబిన్ మోనోప్లేన్, ఫిలిప్ &amp; పోవిస్ విమానం (తరువాత మైల్స్ విమానం కావడానికి) 1936 లో చార్లెస్ లిండ్‌బర్గ్ క్రమం వరకు ఉంది. ఐరోపాలో లిండ్‌బర్గ్ ఉపయోగించిన తరువాత అది ఆకట్టుకుంది 1941 లో రాయల్ ఎయిర్ ఫోర్స్‌తో కమ్యూనికేషన్ విమానంగా సేవ. 1936 లో, లిండ్‌బర్గ్ ఇంగ్లాండ్‌కు వెళ్ళిన తరువాత, అతను జార్జ్ హెర్బర్ట్ మైల్స్‌ను వివిధ రాజధానుల మధ్య ఉపయోగం కోసం వేగవంతమైన, సుదూర యంత్రాన్ని నిర్మించమని కోరాడు. పైలట్ మరియు డిజైనర్ మధ్య దగ్గరి సహకారం ఫలితంగా, ఫస్ట్-క్లాస్ డిజైన్ ఉత్పత్తి చేయబడింది. [1] M.12 మోహాక్ ప్లైవుడ్‌లో కప్పబడిన స్ప్రూస్ నిర్మాణం యొక్క తక్కువ వింగ్ కాంటిలివర్ మోనోప్లేన్ రూపకల్పనను కలిగి ఉండటంలో మునుపటి మైల్స్ నైట్‌హాక్ మరియు మైల్స్ హావ్‌కాన్ డిజైన్‌లు మరియు ప్రాక్టీస్ అనుసరించింది. సెంటర్ విభాగానికి డైహెడ్రల్ మరియు స్థిరమైన విభాగం లేదు, బాహ్య విభాగాలు డైహెడ్రల్ మరియు చిట్కా వైపు టేపర్ కలిగి ఉంటాయి. ఫ్యూజ్‌లేజ్ అదేవిధంగా ప్లైవుడ్ కవరింగ్‌తో స్ప్రూస్ నిర్మాణం. M.12 అనేది స్థిరమైన ప్రధాన చక్రాలతో కూడిన సాంప్రదాయిక టెయిల్‌డ్రాగర్, ప్రతి ఒక్కటి రెక్క క్రింద ఏరోడైనమిక్ ఫెయిరింగ్‌లో కప్పబడి, తోక చక్రం కలిగి ఉంటుంది. లిండ్‌బర్గ్ యొక్క స్పెసిఫికేషన్‌లకు మరియు అమెరికన్ 200 హెచ్‌పి మెనాస్కో బక్కనీర్ బి 6 ఎస్ ఇంజిన్‌ను క్లాసిక్ మైల్స్ లో-వింగ్ కాన్ఫిగరేషన్‌కు చేర్చడంలో ఉద్దేశ్యంతో నిర్మించిన విమానంగా, [2] M.12 స్పష్టంగా ఆంగ్లో-అమెరికన్ యంత్రం. [3] M.7A హైబ్రిడ్‌లో రెండవ మైళ్ల M.12 రెక్కలు ఉపయోగించబడ్డాయి. [4] M.12 17 జూలై 1936 న G-EAKW నమోదు చేయబడింది, అయితే ఇది మొదట 22 ఆగస్టు 1936 న పరీక్ష సీరియల్ U8 ధరించింది. [5] మోహాక్ 28 జనవరి 1937 న దాని సర్టిఫికేట్ ఆఫ్ ఎయిర్‌వర్తినెస్ అందుకుంది మరియు లిండ్‌బర్గ్ విమానాలతో సహా వరుస పరీక్ష విమానాలను ప్రారంభించింది. [5] 1 ఫిబ్రవరి 1937 న, వుడ్లీలో జరిగిన ఒక కార్యక్రమంలో ఈ విమానం అధికారికంగా లిండ్‌బర్గ్‌కు అప్పగించబడింది. [5] విమానం అప్పగించిన వెంటనే, లిండ్‌బర్గ్ మరియు అతని భార్య భారతదేశానికి ఒక పర్యటనలో బయలుదేరారు. [5] తరువాతి కొన్నేళ్లలో, లిండ్‌బర్గ్స్ ఐరోపా అంతటా విమానానికి ఎగిరింది, చార్లెస్ లిండ్‌బర్గ్ 4 ఏప్రిల్ 1939 న వుడ్లీకి ఎగిరిపోయే వరకు, లిండ్‌బర్గ్ అమెరికాకు తిరిగి రావడంతో ఈ విమానం నిల్వలో ఉంచింది. [5] ఆగష్టు 1939 లో, ఈ విమానాన్ని సైనిక సేవలో ఆకట్టుకునేందుకు వైమానిక మంత్రిత్వ శాఖ పరిశీలించింది. 31 అక్టోబర్ 1941 న, ఇది రాయల్ వైమానిక దళంతో సేవలో ఆకట్టుకుంది మరియు సైనిక సీరియల్ నంబర్ HM503 ను ఇచ్చింది. ఈ విమానం 8 నవంబర్ 1941 న స్కాట్లాండ్‌లోని RAF టర్న్‌హౌస్‌కు పంపిణీ చేయబడింది. [5] మే 1943 లో ఫెయిరీ-రీడ్ ప్రొపెల్లర్ యొక్క సంస్థాపన తరువాత, ఇది నిర్వహణ కమాండ్ కమ్యూనికేషన్స్ స్క్వాడ్రన్ ఉపయోగం కోసం RAF ఆండోవర్‌కు పంపిణీ చేయబడింది. [5] మెనాస్కో బక్కనీర్ ఇంజిన్‌తో ఇబ్బందులు ఉన్నందున M.12 తక్కువగా ఉపయోగించబడింది, మరియు స్క్వాడ్రన్ బాబ్‌డౌన్ ఫామ్‌కు మారినప్పుడు, వారు మోహాక్‌ను ఆండోవర్ వద్ద వదిలిపెట్టారు. [5] ఫిబ్రవరి 1944 లో, ఈ విమానం నిల్వ కోసం RAF కెంబ్లే వద్ద 5 వ నిర్వహణ విభాగానికి పంపిణీ చేయబడింది మరియు మళ్ళీ RAF చేత ఎగురవేయలేదు. [5] మే 1946 లో, మోహాక్‌ను సదరన్ ఎయిర్‌క్రాఫ్ట్ (గాట్విక్) లిమిటెడ్ కొనుగోలు చేసింది మరియు తరువాత పునర్నిర్మాణం జూలై 1947 లో అమ్మకానికి ప్రచారం చేయబడింది. [5] ఆగష్టు 1947 లో, మోహాక్ 138.5 mph వేగంతో ఫోక్ స్టోన్ ట్రోఫీ ఎయిర్ రేసులో రెండవ స్థానంలో నిలిచారు. [5] అక్టోబర్ 1949 నాటికి, ఈ విమానం బ్రూనో పినికి చెందినది, అతను నెవిల్లే బ్రౌనింగ్‌తో పాటు ఓరన్ ఇంటర్నేషనల్ ర్యాలీలో పాల్గొనడానికి ఉత్తర ఆఫ్రికాకు వెళ్లారు. [5] 1 జనవరి 1950 న, ఇంటికి వెళ్ళేటప్పుడు, వారు స్పెయిన్లో విమానాలను ల్యాండ్ చేయవలసి వచ్చింది. విమానం తక్కువ నష్టం కలిగి ఉన్నప్పటికీ, ఈ జంట ఇంగ్లాండ్‌కు తిరిగి రావడంతో అది వదిలివేయబడింది. మైల్స్ మోహాక్ మళ్ళీ ఎగరడం కాదు. [5] 1973 లో, మైల్స్ మోహాక్ సెవిల్లె సమీపంలోని ఒక జంక్యార్డ్‌లో కనుగొనబడింది మరియు స్మిత్సోనియన్ నేషనల్ ఎయిర్ &amp; స్పేస్ మ్యూజియంలో క్యూరేటర్ లూ కాసే చేత రక్షించబడింది మరియు పునరుద్ధరణ కోసం అమెరికాకు తీసుకువెళ్లారు. [5] అనేక కదలికలు మరియు నెమ్మదిగా పునరుద్ధరణ ప్రయత్నం తరువాత, కాసే మోహాక్‌ను రాయల్ ఎయిర్ ఫోర్స్ మ్యూజియానికి విరాళంగా ఇవ్వాలని నిర్ణయించుకున్నాడు. [5] అక్టోబర్ 2002 లో, ఈ విమానం యునైటెడ్ కింగ్‌డమ్‌కు రవాణా చేయబడింది మరియు మ్యూజియం స్టాటిక్ ప్రదర్శన కోసం విమానాన్ని పునరుద్ధరించడం ప్రారంభించింది. [5] ఆగష్టు 2008 లో, పునరుద్ధరించబడిన విమానాన్ని RAF మ్యూజియం హెండన్ వద్ద "మైలురాళ్ళు ఆఫ్ ఫ్లైట్" ప్రదర్శనలో ప్రదర్శించారు. [5] [6] సాధారణ లక్షణాల నుండి డేటా పనితీరు సంబంధిత అభివృద్ధి విమానం పోల్చదగిన పాత్ర, కాన్ఫిగరేషన్ మరియు ERA సంబంధిత జాబితాల యొక్క విమానం</v>
      </c>
      <c r="E26" s="1" t="s">
        <v>574</v>
      </c>
      <c r="F26" s="1" t="s">
        <v>575</v>
      </c>
      <c r="G26" s="1" t="str">
        <f>IFERROR(__xludf.DUMMYFUNCTION("GOOGLETRANSLATE(F:F, ""en"", ""te"")"),"సివిల్ టూరింగ్ విమానం, శిక్షకుడు")</f>
        <v>సివిల్ టూరింగ్ విమానం, శిక్షకుడు</v>
      </c>
      <c r="I26" s="1" t="s">
        <v>576</v>
      </c>
      <c r="J26" s="1" t="str">
        <f>IFERROR(__xludf.DUMMYFUNCTION("GOOGLETRANSLATE(I:I, ""en"", ""te"")"),"ఫిలిప్స్ &amp; పోవిస్ విమానం")</f>
        <v>ఫిలిప్స్ &amp; పోవిస్ విమానం</v>
      </c>
      <c r="K26" s="1" t="s">
        <v>577</v>
      </c>
      <c r="L26" s="1" t="s">
        <v>578</v>
      </c>
      <c r="M26" s="2" t="str">
        <f>IFERROR(__xludf.DUMMYFUNCTION("GOOGLETRANSLATE(L:L, ""en"", ""te"")"),"జి.హెచ్. మైళ్ళు")</f>
        <v>జి.హెచ్. మైళ్ళు</v>
      </c>
      <c r="O26" s="1">
        <v>1.0</v>
      </c>
      <c r="R26" s="1">
        <v>2.0</v>
      </c>
      <c r="T26" s="1" t="s">
        <v>579</v>
      </c>
      <c r="U26" s="1" t="s">
        <v>580</v>
      </c>
      <c r="V26" s="1" t="s">
        <v>581</v>
      </c>
      <c r="W26" s="1" t="s">
        <v>582</v>
      </c>
      <c r="X26" s="1" t="s">
        <v>583</v>
      </c>
      <c r="Z26" s="1" t="s">
        <v>584</v>
      </c>
      <c r="AA26" s="1" t="s">
        <v>585</v>
      </c>
      <c r="AI26" s="1" t="s">
        <v>535</v>
      </c>
      <c r="AL26" s="1" t="s">
        <v>586</v>
      </c>
      <c r="AO26" s="5">
        <v>13384.0</v>
      </c>
      <c r="AS26" s="1" t="s">
        <v>587</v>
      </c>
      <c r="AX26" s="5">
        <v>13547.0</v>
      </c>
      <c r="BN26" s="1">
        <v>1950.0</v>
      </c>
      <c r="BO26" s="1" t="s">
        <v>588</v>
      </c>
      <c r="BP26" s="1" t="s">
        <v>589</v>
      </c>
    </row>
    <row r="27">
      <c r="A27" s="1" t="s">
        <v>590</v>
      </c>
      <c r="B27" s="1" t="str">
        <f>IFERROR(__xludf.DUMMYFUNCTION("GOOGLETRANSLATE(A:A, ""en"", ""te"")"),"మాగ్ని ఎం -16 టెన్డం ట్రైనర్")</f>
        <v>మాగ్ని ఎం -16 టెన్డం ట్రైనర్</v>
      </c>
      <c r="C27" s="1" t="s">
        <v>591</v>
      </c>
      <c r="D27" s="2" t="str">
        <f>IFERROR(__xludf.DUMMYFUNCTION("GOOGLETRANSLATE(C:C, ""en"", ""te"")"),"మాగ్ని M-16 టెన్డం ట్రైనర్ ఒక ఇటాలియన్ స్పోర్ట్ ఆటోజీరో, ఇది టెన్డంలో రెండు కూర్చుంది, ఇది బెస్నేట్ యొక్క మాగ్ని గైరో SRL చేత రూపొందించబడింది మరియు నిర్మించింది. ఇది మరియు M-22 వాయేజర్, సామాను స్థలం మరియు పెరిగిన ఓర్పుతో కూడిన టూరింగ్ వేరియంట్, 2010 లో 15"&amp;"0 కి పైగా అమ్ముడయ్యాయి. మాగ్ని గైరో ప్రస్తుతం (2010) ఐదు స్పోర్ట్ ఆటోజీరో మోడళ్లను ఉత్పత్తి చేస్తుంది, అన్నీ సారూప్య పాడ్ మరియు తక్కువ బూమ్, పషర్ ఇంజిన్ లేఅవుట్లు. వారు ప్రధానంగా వసతి గృహాలలో విభిన్నంగా ఉన్నారు: M-16 మరియు క్రొత్త, దగ్గరగా సమానమైన M-22 వా"&amp;"యేజర్ రెండింటిలో ఓపెన్ కాక్‌పిట్స్ మరియు టెన్డం సీట్లు ఉన్నాయి. [1] 85 kW (114 HP) రోటాక్స్ 914UL ఫ్లాట్ ఫోర్ ఇంజిన్ అధికంగా అమర్చబడి, పాడ్ వెనుక ఉడకబెట్టి, 3-బ్లేడెడ్ పషర్ ప్రొపెల్లర్‌ను నడుపుతుంది. దాని క్రింద సన్నని ఫ్లాట్-సైడెడ్ బూమ్ ఫైబర్‌గ్లాస్ ఎంపె"&amp;"నేజ్‌ను కలిగి ఉంటుంది, ఇది ఎండ్-ప్లేట్ రెక్కలతో కూడిన క్షితిజ సమాంతర స్టెబిలైజర్‌ను కలిగి ఉంటుంది మరియు పెద్ద, సెంట్రల్, ఫిన్ మరియు చుక్కాని కలిగి ఉంటుంది. పాడ్ పైన ఒక మాస్ట్ మీద అమర్చిన 2-బ్లేడెడ్ రోటర్ మిశ్రమ నిర్మాణానికి చెందినది. ఓపెన్ కాక్‌పిట్‌లు ద్"&amp;"వంద్వ నియంత్రణలతో అమర్చబడి ఉంటాయి. M-16 లో స్ప్రింగ్ కాంటిలివర్ కాళ్ళపై ఫెయిర్‌డ్ మెయిన్‌వీల్స్‌తో ట్రైసైకిల్ అండర్ క్యారేజ్ ఉంది. స్టీరేబుల్ నోస్‌వీల్ అన్యాయం. [1] కొత్త M-22 ఒక జత పొడవైన సైడ్ పాడ్‌లను దిగువ ఫ్యూజ్‌లేజ్‌లో చేర్చడంతో పర్యటించడానికి ఆప్టిమ"&amp;"ైజ్ చేయబడింది. ఇవి వాటి స్వంత యాక్సెస్ తలుపులు కలిగి ఉంటాయి మరియు కలిసి 150 L (5.3 Cu ft) సామాను స్థలాన్ని అందిస్తాయి. M-22 ముందు సీటు నుండి మాత్రమే ఎగురుతుంది. [1] 2010 మధ్య నాటికి యూరోపియన్ (రష్యా మినహాయించిన) పౌర విమానయాన రిజిస్టర్లపై 114 M-16 లు మరియు"&amp;" 44 M-22 లు ఉన్నాయి. [2] [3] దక్షిణాఫ్రికా మరియు యుఎస్ యొక్క రిజిస్టర్లలో కనీసం 6 మంది కనిపించారు. [4] చాలావరకు క్రీడలు మరియు వినోద విమానాలుగా ఉపయోగించబడ్డాయి, కాని కొన్ని వ్యవసాయ స్ప్రేయింగ్ మరియు సర్వే పనులలో ప్రకృతి నిల్వలు, ట్రాఫిక్ పరిశీలన, అగ్ని నివ"&amp;"ారణ మరియు ఫోటోగ్రాఫిక్ మ్యాపింగ్లలో ఉపయోగించబడ్డాయి. [5] 2015 లో, USA లో రికార్డ్ ప్రయత్నం కోసం M-16 ఉపయోగించబడింది. [6] [7] మే 2016 లో, అమెరికన్ పైలట్ పాల్ సాల్మన్ ఒక M-22 ను ఎం. మిస్సౌరీలోని కేప్ గిరార్డౌ నుండి లాంగ్‌వ్యూ, టెక్సాస్, అమెరికాకు నాన్‌స్టాప"&amp;"్ ఫ్లైట్ సమయంలో. [8] 2019 లో UK పైలట్ జేమ్స్ కెచెల్ 175 రోజులలో 122 దశలలో ప్రపంచవ్యాప్తంగా M-16C ను ఎగరారు. [9] జేన్ యొక్క అన్ని ప్రపంచ విమానాల నుండి డేటా 2010/11 [1] పేర్కొన్న చోట తప్ప. జేన్ యొక్క అన్ని ప్రపంచ విమానాల నుండి డేటా 2010/11 [1] సాధారణ లక్షణా"&amp;"ల పనితీరు")</f>
        <v>మాగ్ని M-16 టెన్డం ట్రైనర్ ఒక ఇటాలియన్ స్పోర్ట్ ఆటోజీరో, ఇది టెన్డంలో రెండు కూర్చుంది, ఇది బెస్నేట్ యొక్క మాగ్ని గైరో SRL చేత రూపొందించబడింది మరియు నిర్మించింది. ఇది మరియు M-22 వాయేజర్, సామాను స్థలం మరియు పెరిగిన ఓర్పుతో కూడిన టూరింగ్ వేరియంట్, 2010 లో 150 కి పైగా అమ్ముడయ్యాయి. మాగ్ని గైరో ప్రస్తుతం (2010) ఐదు స్పోర్ట్ ఆటోజీరో మోడళ్లను ఉత్పత్తి చేస్తుంది, అన్నీ సారూప్య పాడ్ మరియు తక్కువ బూమ్, పషర్ ఇంజిన్ లేఅవుట్లు. వారు ప్రధానంగా వసతి గృహాలలో విభిన్నంగా ఉన్నారు: M-16 మరియు క్రొత్త, దగ్గరగా సమానమైన M-22 వాయేజర్ రెండింటిలో ఓపెన్ కాక్‌పిట్స్ మరియు టెన్డం సీట్లు ఉన్నాయి. [1] 85 kW (114 HP) రోటాక్స్ 914UL ఫ్లాట్ ఫోర్ ఇంజిన్ అధికంగా అమర్చబడి, పాడ్ వెనుక ఉడకబెట్టి, 3-బ్లేడెడ్ పషర్ ప్రొపెల్లర్‌ను నడుపుతుంది. దాని క్రింద సన్నని ఫ్లాట్-సైడెడ్ బూమ్ ఫైబర్‌గ్లాస్ ఎంపెనేజ్‌ను కలిగి ఉంటుంది, ఇది ఎండ్-ప్లేట్ రెక్కలతో కూడిన క్షితిజ సమాంతర స్టెబిలైజర్‌ను కలిగి ఉంటుంది మరియు పెద్ద, సెంట్రల్, ఫిన్ మరియు చుక్కాని కలిగి ఉంటుంది. పాడ్ పైన ఒక మాస్ట్ మీద అమర్చిన 2-బ్లేడెడ్ రోటర్ మిశ్రమ నిర్మాణానికి చెందినది. ఓపెన్ కాక్‌పిట్‌లు ద్వంద్వ నియంత్రణలతో అమర్చబడి ఉంటాయి. M-16 లో స్ప్రింగ్ కాంటిలివర్ కాళ్ళపై ఫెయిర్‌డ్ మెయిన్‌వీల్స్‌తో ట్రైసైకిల్ అండర్ క్యారేజ్ ఉంది. స్టీరేబుల్ నోస్‌వీల్ అన్యాయం. [1] కొత్త M-22 ఒక జత పొడవైన సైడ్ పాడ్‌లను దిగువ ఫ్యూజ్‌లేజ్‌లో చేర్చడంతో పర్యటించడానికి ఆప్టిమైజ్ చేయబడింది. ఇవి వాటి స్వంత యాక్సెస్ తలుపులు కలిగి ఉంటాయి మరియు కలిసి 150 L (5.3 Cu ft) సామాను స్థలాన్ని అందిస్తాయి. M-22 ముందు సీటు నుండి మాత్రమే ఎగురుతుంది. [1] 2010 మధ్య నాటికి యూరోపియన్ (రష్యా మినహాయించిన) పౌర విమానయాన రిజిస్టర్లపై 114 M-16 లు మరియు 44 M-22 లు ఉన్నాయి. [2] [3] దక్షిణాఫ్రికా మరియు యుఎస్ యొక్క రిజిస్టర్లలో కనీసం 6 మంది కనిపించారు. [4] చాలావరకు క్రీడలు మరియు వినోద విమానాలుగా ఉపయోగించబడ్డాయి, కాని కొన్ని వ్యవసాయ స్ప్రేయింగ్ మరియు సర్వే పనులలో ప్రకృతి నిల్వలు, ట్రాఫిక్ పరిశీలన, అగ్ని నివారణ మరియు ఫోటోగ్రాఫిక్ మ్యాపింగ్లలో ఉపయోగించబడ్డాయి. [5] 2015 లో, USA లో రికార్డ్ ప్రయత్నం కోసం M-16 ఉపయోగించబడింది. [6] [7] మే 2016 లో, అమెరికన్ పైలట్ పాల్ సాల్మన్ ఒక M-22 ను ఎం. మిస్సౌరీలోని కేప్ గిరార్డౌ నుండి లాంగ్‌వ్యూ, టెక్సాస్, అమెరికాకు నాన్‌స్టాప్ ఫ్లైట్ సమయంలో. [8] 2019 లో UK పైలట్ జేమ్స్ కెచెల్ 175 రోజులలో 122 దశలలో ప్రపంచవ్యాప్తంగా M-16C ను ఎగరారు. [9] జేన్ యొక్క అన్ని ప్రపంచ విమానాల నుండి డేటా 2010/11 [1] పేర్కొన్న చోట తప్ప. జేన్ యొక్క అన్ని ప్రపంచ విమానాల నుండి డేటా 2010/11 [1] సాధారణ లక్షణాల పనితీరు</v>
      </c>
      <c r="E27" s="1" t="s">
        <v>592</v>
      </c>
      <c r="F27" s="1" t="s">
        <v>593</v>
      </c>
      <c r="G27" s="1" t="str">
        <f>IFERROR(__xludf.DUMMYFUNCTION("GOOGLETRANSLATE(F:F, ""en"", ""te"")"),"రెండు సీట్ల ఆటోజీరో")</f>
        <v>రెండు సీట్ల ఆటోజీరో</v>
      </c>
      <c r="I27" s="1" t="s">
        <v>594</v>
      </c>
      <c r="J27" s="1" t="str">
        <f>IFERROR(__xludf.DUMMYFUNCTION("GOOGLETRANSLATE(I:I, ""en"", ""te"")"),"Besపిరి తిత్తులు తీయునది")</f>
        <v>Besపిరి తిత్తులు తీయునది</v>
      </c>
      <c r="K27" s="1" t="s">
        <v>595</v>
      </c>
      <c r="M27" s="2"/>
      <c r="O27" s="1" t="s">
        <v>596</v>
      </c>
      <c r="S27" s="1">
        <v>2.0</v>
      </c>
      <c r="T27" s="1" t="s">
        <v>597</v>
      </c>
      <c r="W27" s="1" t="s">
        <v>598</v>
      </c>
      <c r="Y27" s="1" t="s">
        <v>599</v>
      </c>
      <c r="Z27" s="1" t="s">
        <v>600</v>
      </c>
      <c r="AA27" s="1" t="s">
        <v>316</v>
      </c>
      <c r="AC27" s="1" t="s">
        <v>601</v>
      </c>
      <c r="AD27" s="1" t="s">
        <v>602</v>
      </c>
      <c r="AF27" s="1" t="s">
        <v>603</v>
      </c>
      <c r="AH27" s="1" t="s">
        <v>604</v>
      </c>
      <c r="AI27" s="1" t="s">
        <v>605</v>
      </c>
      <c r="AK27" s="1" t="s">
        <v>606</v>
      </c>
      <c r="AL27" s="1" t="s">
        <v>607</v>
      </c>
      <c r="AN27" s="1" t="s">
        <v>608</v>
      </c>
      <c r="AR27" s="1" t="s">
        <v>609</v>
      </c>
      <c r="AV27" s="1" t="s">
        <v>291</v>
      </c>
      <c r="AX27" s="1">
        <v>2000.0</v>
      </c>
      <c r="BQ27" s="1" t="s">
        <v>610</v>
      </c>
      <c r="BR27" s="1" t="s">
        <v>611</v>
      </c>
    </row>
    <row r="28">
      <c r="A28" s="1" t="s">
        <v>612</v>
      </c>
      <c r="B28" s="1" t="str">
        <f>IFERROR(__xludf.DUMMYFUNCTION("GOOGLETRANSLATE(A:A, ""en"", ""te"")"),"MSW ఓటెక్ 221")</f>
        <v>MSW ఓటెక్ 221</v>
      </c>
      <c r="C28" s="1" t="s">
        <v>613</v>
      </c>
      <c r="D28" s="2" t="str">
        <f>IFERROR(__xludf.DUMMYFUNCTION("GOOGLETRANSLATE(C:C, ""en"", ""te"")"),"MSW ఓటెక్ 221 ఒకే ఇంజిన్, సింగిల్ సీట్ కిట్‌బిల్ట్ లైట్-స్పోర్ట్ విమానం, ఇది స్విట్జర్లాండ్‌లో రూపొందించబడింది మరియు నిర్మించబడింది. ఓటెక్ 221 ఒకే సీటు, తక్కువ వింగ్ మోనోప్లేన్, ఇది విద్యుత్ పరిధి 90-180 కిలోవాట్ (120-240 హెచ్‌పి) లో ఇంజిన్ల కోసం రూపొందిం"&amp;"చబడింది. 2009 లో పూర్తయిన మొదటి ప్రోటోటైప్, 157 కిలోవాట్ల (210 హెచ్‌పి) లైమింగ్ AEIO-390 ఫ్లాట్-ఫోర్ ఇంజిన్ మరియు రెండవది, తరువాతి సంవత్సరం, 134 kW (180 హెచ్‌పి) ఇంజిన్‌ను పూర్తి చేసింది. MSW యొక్క సంఖ్యా హోదా HP/10 లో శక్తిని సూచించే రెండు అంకెలను కలిగి "&amp;"ఉంది, తరువాత సీట్ల సంఖ్య, వాంఛనీయ 220 HP పవర్ యూనిట్‌ను సూచిస్తుంది. [1] బాహ్యంగా, ఓటెక్ 221 స్కేల్ డౌన్ (స్పాన్, 80%) MSW ఓటెక్ 351 ను పోలి ఉంటుంది. ఇది తక్కువ కారక నిష్పత్తి స్ట్రెయిట్ టాపర్డ్ రెక్కలను మొద్దుబారిన, దాదాపు చదరపు చిట్కాలతో కలిగి ఉంది. ఐలె"&amp;"రాన్లకు బాహ్య స్పేడ్స్ సహాయం చేస్తాయి. ఎంపెనేజ్ కూడా నేరుగా దెబ్బతింటుంది, ఫార్వర్డ్ సెట్ టెయిల్‌ప్లేన్ ఫ్యూజ్‌లేజ్ పైన అమర్చబడి ఉంటుంది, లోతైన చుక్కాని కదలిక కోసం ఒక చిన్న కటౌట్ మాత్రమే అవసరం. రెండు ఎలివేటర్లకు ట్రిమ్ ట్యాబ్‌లు ఉన్నాయి మరియు చుక్కాని హార"&amp;"్న్ సమతుల్యత ఉంటుంది. రెక్కపై ఉంచిన కాక్‌పిట్ ఒకే ముక్కతో కప్పబడి ఉంటుంది, స్టార్‌బోర్డ్ హింగ్ పందిరి. ఓటెక్ 351 మాదిరిగా, 321 లో సాంప్రదాయిక అండర్ క్యారేజ్ ఉంది. మెయిన్‌వీల్స్ వక్రంగా, మొలకెత్తిన కాంటిలివర్ కాళ్ళపై అమర్చబడి పొడవైన ఫెయిరింగ్‌లచే కప్పబడి ఉ"&amp;"ంటాయి. ఇది పొడవైన కాంటిలివర్‌పై స్టీరబుల్ టెయిల్‌వీల్‌ను కలిగి ఉంది. [1] మొదటి నమూనా స్విస్-రిజిస్టర్డ్ మరియు రెండవ జర్మన్, రెండోది ఏరో 2011 లో కనిపిస్తుంది, ఆ ఏప్రిల్‌లో ఫ్రెడరిచ్‌షాఫెన్ వద్ద జరిగింది. [1] మొదటి విమాన తేదీలు 2011 చివరి నాటికి విడుదల కాలే"&amp;"దు కాని మొదటి నమూనా ఖచ్చితంగా మే 2012 చివరి నాటికి ఎగురుతోంది. [2] పూర్తి స్థాయి నాన్-ఎగిరే మాక్ అప్ కూడా ప్రదర్శించబడింది. [1] జేన్ యొక్క అన్ని ప్రపంచ విమానాల నుండి డేటా 2012-13 [1] సాధారణ లక్షణాల పనితీరు")</f>
        <v>MSW ఓటెక్ 221 ఒకే ఇంజిన్, సింగిల్ సీట్ కిట్‌బిల్ట్ లైట్-స్పోర్ట్ విమానం, ఇది స్విట్జర్లాండ్‌లో రూపొందించబడింది మరియు నిర్మించబడింది. ఓటెక్ 221 ఒకే సీటు, తక్కువ వింగ్ మోనోప్లేన్, ఇది విద్యుత్ పరిధి 90-180 కిలోవాట్ (120-240 హెచ్‌పి) లో ఇంజిన్ల కోసం రూపొందించబడింది. 2009 లో పూర్తయిన మొదటి ప్రోటోటైప్, 157 కిలోవాట్ల (210 హెచ్‌పి) లైమింగ్ AEIO-390 ఫ్లాట్-ఫోర్ ఇంజిన్ మరియు రెండవది, తరువాతి సంవత్సరం, 134 kW (180 హెచ్‌పి) ఇంజిన్‌ను పూర్తి చేసింది. MSW యొక్క సంఖ్యా హోదా HP/10 లో శక్తిని సూచించే రెండు అంకెలను కలిగి ఉంది, తరువాత సీట్ల సంఖ్య, వాంఛనీయ 220 HP పవర్ యూనిట్‌ను సూచిస్తుంది. [1] బాహ్యంగా, ఓటెక్ 221 స్కేల్ డౌన్ (స్పాన్, 80%) MSW ఓటెక్ 351 ను పోలి ఉంటుంది. ఇది తక్కువ కారక నిష్పత్తి స్ట్రెయిట్ టాపర్డ్ రెక్కలను మొద్దుబారిన, దాదాపు చదరపు చిట్కాలతో కలిగి ఉంది. ఐలెరాన్లకు బాహ్య స్పేడ్స్ సహాయం చేస్తాయి. ఎంపెనేజ్ కూడా నేరుగా దెబ్బతింటుంది, ఫార్వర్డ్ సెట్ టెయిల్‌ప్లేన్ ఫ్యూజ్‌లేజ్ పైన అమర్చబడి ఉంటుంది, లోతైన చుక్కాని కదలిక కోసం ఒక చిన్న కటౌట్ మాత్రమే అవసరం. రెండు ఎలివేటర్లకు ట్రిమ్ ట్యాబ్‌లు ఉన్నాయి మరియు చుక్కాని హార్న్ సమతుల్యత ఉంటుంది. రెక్కపై ఉంచిన కాక్‌పిట్ ఒకే ముక్కతో కప్పబడి ఉంటుంది, స్టార్‌బోర్డ్ హింగ్ పందిరి. ఓటెక్ 351 మాదిరిగా, 321 లో సాంప్రదాయిక అండర్ క్యారేజ్ ఉంది. మెయిన్‌వీల్స్ వక్రంగా, మొలకెత్తిన కాంటిలివర్ కాళ్ళపై అమర్చబడి పొడవైన ఫెయిరింగ్‌లచే కప్పబడి ఉంటాయి. ఇది పొడవైన కాంటిలివర్‌పై స్టీరబుల్ టెయిల్‌వీల్‌ను కలిగి ఉంది. [1] మొదటి నమూనా స్విస్-రిజిస్టర్డ్ మరియు రెండవ జర్మన్, రెండోది ఏరో 2011 లో కనిపిస్తుంది, ఆ ఏప్రిల్‌లో ఫ్రెడరిచ్‌షాఫెన్ వద్ద జరిగింది. [1] మొదటి విమాన తేదీలు 2011 చివరి నాటికి విడుదల కాలేదు కాని మొదటి నమూనా ఖచ్చితంగా మే 2012 చివరి నాటికి ఎగురుతోంది. [2] పూర్తి స్థాయి నాన్-ఎగిరే మాక్ అప్ కూడా ప్రదర్శించబడింది. [1] జేన్ యొక్క అన్ని ప్రపంచ విమానాల నుండి డేటా 2012-13 [1] సాధారణ లక్షణాల పనితీరు</v>
      </c>
      <c r="E28" s="1" t="s">
        <v>614</v>
      </c>
      <c r="F28" s="1" t="s">
        <v>615</v>
      </c>
      <c r="G28" s="1" t="str">
        <f>IFERROR(__xludf.DUMMYFUNCTION("GOOGLETRANSLATE(F:F, ""en"", ""te"")"),"సింగిల్ సీట్ హోమ్‌బిల్ట్ లైట్-స్పోర్ట్ విమానం")</f>
        <v>సింగిల్ సీట్ హోమ్‌బిల్ట్ లైట్-స్పోర్ట్ విమానం</v>
      </c>
      <c r="H28" s="1" t="s">
        <v>616</v>
      </c>
      <c r="I28" s="1" t="s">
        <v>617</v>
      </c>
      <c r="J28" s="1" t="str">
        <f>IFERROR(__xludf.DUMMYFUNCTION("GOOGLETRANSLATE(I:I, ""en"", ""te"")"),"MSW ఏవియేషన్")</f>
        <v>MSW ఏవియేషన్</v>
      </c>
      <c r="K28" s="1" t="s">
        <v>618</v>
      </c>
      <c r="M28" s="2"/>
      <c r="S28" s="1" t="s">
        <v>550</v>
      </c>
      <c r="T28" s="1" t="s">
        <v>619</v>
      </c>
      <c r="U28" s="1" t="s">
        <v>620</v>
      </c>
      <c r="V28" s="1" t="s">
        <v>621</v>
      </c>
      <c r="W28" s="1" t="s">
        <v>622</v>
      </c>
      <c r="Y28" s="1" t="s">
        <v>254</v>
      </c>
      <c r="Z28" s="1" t="s">
        <v>623</v>
      </c>
      <c r="AC28" s="1" t="s">
        <v>624</v>
      </c>
      <c r="AF28" s="1" t="s">
        <v>625</v>
      </c>
      <c r="AG28" s="4" t="s">
        <v>626</v>
      </c>
      <c r="AH28" s="1" t="s">
        <v>261</v>
      </c>
      <c r="AR28" s="1" t="s">
        <v>627</v>
      </c>
      <c r="AT28" s="1" t="s">
        <v>628</v>
      </c>
      <c r="AU28" s="1" t="s">
        <v>629</v>
      </c>
    </row>
    <row r="29">
      <c r="A29" s="1" t="s">
        <v>630</v>
      </c>
      <c r="B29" s="1" t="str">
        <f>IFERROR(__xludf.DUMMYFUNCTION("GOOGLETRANSLATE(A:A, ""en"", ""te"")"),"మార్టిన్ N2M")</f>
        <v>మార్టిన్ N2M</v>
      </c>
      <c r="C29" s="1" t="s">
        <v>631</v>
      </c>
      <c r="D29" s="2" t="str">
        <f>IFERROR(__xludf.DUMMYFUNCTION("GOOGLETRANSLATE(C:C, ""en"", ""te"")"),"మార్టిన్ ఎన్ 2 ఎమ్ ఒక ప్రోటోటైప్ అమెరికన్ ప్రైమరీ ట్రైనింగ్ బిప్‌లేన్, దీనిని అమెరికా నేవీ కోసం గ్లెన్ ఎల్. మార్టిన్ కంపెనీ నిర్మించింది. ఇది నేవీ ఎప్పుడూ అంగీకరించలేదు మరియు నమూనా మాత్రమే నిర్మించబడింది. [1] ప్రోటోటైప్‌ను అమెరికా నేవీ N2M-1 గా నియమించింద"&amp;"ి మరియు ఇది మొదట 1924 లో ప్రయాణించింది. [2] N2M-1 మార్టిన్ 66 నైట్ మెయిల్ ఆధారంగా రూపొందించబడింది మరియు ఇది 200 హెచ్‌పి (149 కిలోవాట్ల) రైట్-హిస్సో ఇ -4 ఇంజిన్‌తో నడిచే బిప్‌లేన్. ఇది ఇద్దరు సిబ్బందికి రెండు ఓపెన్ కాక్‌పిట్‌లను కలిగి ఉంది. [2] [2] నుండి డ"&amp;"ేటా సాధారణ లక్షణాల పనితీరు సంబంధిత జాబితాలు")</f>
        <v>మార్టిన్ ఎన్ 2 ఎమ్ ఒక ప్రోటోటైప్ అమెరికన్ ప్రైమరీ ట్రైనింగ్ బిప్‌లేన్, దీనిని అమెరికా నేవీ కోసం గ్లెన్ ఎల్. మార్టిన్ కంపెనీ నిర్మించింది. ఇది నేవీ ఎప్పుడూ అంగీకరించలేదు మరియు నమూనా మాత్రమే నిర్మించబడింది. [1] ప్రోటోటైప్‌ను అమెరికా నేవీ N2M-1 గా నియమించింది మరియు ఇది మొదట 1924 లో ప్రయాణించింది. [2] N2M-1 మార్టిన్ 66 నైట్ మెయిల్ ఆధారంగా రూపొందించబడింది మరియు ఇది 200 హెచ్‌పి (149 కిలోవాట్ల) రైట్-హిస్సో ఇ -4 ఇంజిన్‌తో నడిచే బిప్‌లేన్. ఇది ఇద్దరు సిబ్బందికి రెండు ఓపెన్ కాక్‌పిట్‌లను కలిగి ఉంది. [2] [2] నుండి డేటా సాధారణ లక్షణాల పనితీరు సంబంధిత జాబితాలు</v>
      </c>
      <c r="E29" s="1" t="s">
        <v>632</v>
      </c>
      <c r="F29" s="1" t="s">
        <v>633</v>
      </c>
      <c r="G29" s="1" t="str">
        <f>IFERROR(__xludf.DUMMYFUNCTION("GOOGLETRANSLATE(F:F, ""en"", ""te"")"),"సైనిక శిక్షణ బిప్‌లేన్")</f>
        <v>సైనిక శిక్షణ బిప్‌లేన్</v>
      </c>
      <c r="H29" s="1" t="s">
        <v>634</v>
      </c>
      <c r="I29" s="1" t="s">
        <v>635</v>
      </c>
      <c r="J29" s="1" t="str">
        <f>IFERROR(__xludf.DUMMYFUNCTION("GOOGLETRANSLATE(I:I, ""en"", ""te"")"),"మార్టిన్")</f>
        <v>మార్టిన్</v>
      </c>
      <c r="K29" s="4" t="s">
        <v>636</v>
      </c>
      <c r="M29" s="2"/>
      <c r="O29" s="1">
        <v>1.0</v>
      </c>
      <c r="R29" s="1" t="s">
        <v>637</v>
      </c>
      <c r="T29" s="1" t="s">
        <v>638</v>
      </c>
      <c r="U29" s="1" t="s">
        <v>639</v>
      </c>
      <c r="Z29" s="1" t="s">
        <v>640</v>
      </c>
      <c r="AF29" s="1" t="s">
        <v>206</v>
      </c>
      <c r="AL29" s="1" t="s">
        <v>641</v>
      </c>
      <c r="AN29" s="1" t="s">
        <v>642</v>
      </c>
      <c r="AO29" s="1">
        <v>1924.0</v>
      </c>
      <c r="AR29" s="1" t="s">
        <v>372</v>
      </c>
    </row>
    <row r="30">
      <c r="A30" s="1" t="s">
        <v>643</v>
      </c>
      <c r="B30" s="1" t="str">
        <f>IFERROR(__xludf.DUMMYFUNCTION("GOOGLETRANSLATE(A:A, ""en"", ""te"")"),"మార్టిన్సిడ్ ఎఫ్ .1")</f>
        <v>మార్టిన్సిడ్ ఎఫ్ .1</v>
      </c>
      <c r="C30" s="1" t="s">
        <v>644</v>
      </c>
      <c r="D30" s="2" t="str">
        <f>IFERROR(__xludf.DUMMYFUNCTION("GOOGLETRANSLATE(C:C, ""en"", ""te"")"),"మార్టిన్సిడ్ ఎఫ్ .1 అనేది బ్రిటిష్ రెండు-సీట్ల బిప్‌లేన్ ఫైటర్, మార్టిన్‌సైడ్ లిమిటెడ్ రూపొందించిన మరియు నిర్మించినది, రెండు ప్రోటోటైప్‌లు మాత్రమే నిర్మించబడ్డాయి. [1] F.1 ను రాయల్ ఫ్లయింగ్ కార్ప్స్ కోసం ఫైటర్‌గా రూపొందించారు మరియు ఇది 250 HP (186 kW) రోల"&amp;"్స్ రాయిస్ MK III పిస్టన్ ఇంజిన్‌తో నడిచే పెద్ద ట్రాక్టర్ బైప్‌లేన్. [1] ఇది అసాధారణంగా పరిశీలకుడు ముందుకు మరియు పైలట్‌తో రెండు టెన్డం ఓపెన్ కాక్‌పిట్‌లను కలిగి ఉంది. [1] ఒక దీర్ఘచతురస్రాకార ఎపర్చరు పరిశీలకుడి కాక్‌పిట్ పైన ఉన్న ఎగువ వింగ్ నుండి కటౌట్ చేయ"&amp;"బడింది, ఇది పరిశీలకుడు తుపాకీని ఉపయోగించడానికి వీలు కల్పిస్తుంది. [2] ఇది జూలై 1917 లో మార్టెల్షామ్ హీత్ వద్ద పరీక్షించబడింది, అక్కడ ఇది మంచి నిర్వహణను ప్రదర్శించింది, కాని ఇబ్బందికరమైన సిబ్బంది అమరిక కోసం విమర్శించబడింది. [2] ఇది ఉత్పత్తిలోకి ఆదేశించబడలే"&amp;"దు మరియు ఒక నమూనా (రెండు ఆదేశాలలో) మాత్రమే నిర్మించబడింది. ఇది యుద్ధం ముగిసిన తర్వాత ఫార్న్‌బరో వద్ద వాడుకలో కొనసాగింది. [1] [3] [4] మొదటి ప్రపంచ యుద్ధం యొక్క యుద్ధ విమానాల నుండి డేటా: వాల్యూమ్ 1 ఫైటర్స్ [3] సాధారణ లక్షణాలు పనితీరు ఆయుధాలు")</f>
        <v>మార్టిన్సిడ్ ఎఫ్ .1 అనేది బ్రిటిష్ రెండు-సీట్ల బిప్‌లేన్ ఫైటర్, మార్టిన్‌సైడ్ లిమిటెడ్ రూపొందించిన మరియు నిర్మించినది, రెండు ప్రోటోటైప్‌లు మాత్రమే నిర్మించబడ్డాయి. [1] F.1 ను రాయల్ ఫ్లయింగ్ కార్ప్స్ కోసం ఫైటర్‌గా రూపొందించారు మరియు ఇది 250 HP (186 kW) రోల్స్ రాయిస్ MK III పిస్టన్ ఇంజిన్‌తో నడిచే పెద్ద ట్రాక్టర్ బైప్‌లేన్. [1] ఇది అసాధారణంగా పరిశీలకుడు ముందుకు మరియు పైలట్‌తో రెండు టెన్డం ఓపెన్ కాక్‌పిట్‌లను కలిగి ఉంది. [1] ఒక దీర్ఘచతురస్రాకార ఎపర్చరు పరిశీలకుడి కాక్‌పిట్ పైన ఉన్న ఎగువ వింగ్ నుండి కటౌట్ చేయబడింది, ఇది పరిశీలకుడు తుపాకీని ఉపయోగించడానికి వీలు కల్పిస్తుంది. [2] ఇది జూలై 1917 లో మార్టెల్షామ్ హీత్ వద్ద పరీక్షించబడింది, అక్కడ ఇది మంచి నిర్వహణను ప్రదర్శించింది, కాని ఇబ్బందికరమైన సిబ్బంది అమరిక కోసం విమర్శించబడింది. [2] ఇది ఉత్పత్తిలోకి ఆదేశించబడలేదు మరియు ఒక నమూనా (రెండు ఆదేశాలలో) మాత్రమే నిర్మించబడింది. ఇది యుద్ధం ముగిసిన తర్వాత ఫార్న్‌బరో వద్ద వాడుకలో కొనసాగింది. [1] [3] [4] మొదటి ప్రపంచ యుద్ధం యొక్క యుద్ధ విమానాల నుండి డేటా: వాల్యూమ్ 1 ఫైటర్స్ [3] సాధారణ లక్షణాలు పనితీరు ఆయుధాలు</v>
      </c>
      <c r="E30" s="1" t="s">
        <v>645</v>
      </c>
      <c r="F30" s="1" t="s">
        <v>646</v>
      </c>
      <c r="G30" s="1" t="str">
        <f>IFERROR(__xludf.DUMMYFUNCTION("GOOGLETRANSLATE(F:F, ""en"", ""te"")"),"బిప్‌లేన్ ఫైటర్ విమానం")</f>
        <v>బిప్‌లేన్ ఫైటర్ విమానం</v>
      </c>
      <c r="H30" s="1" t="s">
        <v>647</v>
      </c>
      <c r="I30" s="1" t="s">
        <v>365</v>
      </c>
      <c r="J30" s="1" t="str">
        <f>IFERROR(__xludf.DUMMYFUNCTION("GOOGLETRANSLATE(I:I, ""en"", ""te"")"),"మార్టిన్సిడ్")</f>
        <v>మార్టిన్సిడ్</v>
      </c>
      <c r="K30" s="4" t="s">
        <v>366</v>
      </c>
      <c r="M30" s="2"/>
      <c r="O30" s="1">
        <v>2.0</v>
      </c>
      <c r="R30" s="1">
        <v>2.0</v>
      </c>
      <c r="T30" s="1" t="s">
        <v>648</v>
      </c>
      <c r="V30" s="1" t="s">
        <v>649</v>
      </c>
      <c r="W30" s="1" t="s">
        <v>650</v>
      </c>
      <c r="X30" s="1" t="s">
        <v>651</v>
      </c>
      <c r="Z30" s="1" t="s">
        <v>652</v>
      </c>
      <c r="AF30" s="1" t="s">
        <v>314</v>
      </c>
      <c r="AI30" s="1" t="s">
        <v>436</v>
      </c>
      <c r="AL30" s="1" t="s">
        <v>653</v>
      </c>
      <c r="AN30" s="1" t="s">
        <v>654</v>
      </c>
      <c r="AO30" s="1">
        <v>1917.0</v>
      </c>
      <c r="AP30" s="1" t="s">
        <v>655</v>
      </c>
      <c r="AQ30" s="1" t="s">
        <v>656</v>
      </c>
      <c r="AV30" s="1" t="s">
        <v>657</v>
      </c>
      <c r="BA30" s="1" t="s">
        <v>658</v>
      </c>
      <c r="BB30" s="1" t="s">
        <v>659</v>
      </c>
      <c r="BC30" s="1" t="s">
        <v>660</v>
      </c>
      <c r="BS30" s="1" t="s">
        <v>661</v>
      </c>
    </row>
    <row r="31">
      <c r="A31" s="1" t="s">
        <v>662</v>
      </c>
      <c r="B31" s="1" t="str">
        <f>IFERROR(__xludf.DUMMYFUNCTION("GOOGLETRANSLATE(A:A, ""en"", ""te"")"),"మైల్స్ జెమిని")</f>
        <v>మైల్స్ జెమిని</v>
      </c>
      <c r="C31" s="1" t="s">
        <v>663</v>
      </c>
      <c r="D31" s="2" t="str">
        <f>IFERROR(__xludf.DUMMYFUNCTION("GOOGLETRANSLATE(C:C, ""en"", ""te"")"),"మైల్స్ M.65 జెమిని ఒక బ్రిటిష్ ట్విన్-ఇంజిన్ నాలుగు-సీట్ల టూరింగ్ విమానం, వుడ్లీ ఏరోడ్రోమ్ వద్ద మైల్స్ విమానాలచే రూపొందించబడింది మరియు నిర్మించబడింది. ఇది పరిమాణంలో ఉత్పత్తి చేయబడిన చివరి మైళ్ళ విమానం. [2] రెండవ ప్రపంచ యుద్ధం ముగిసిన తరువాత జెమిని అభివృద్"&amp;"ధి వేగంగా జరిగింది, సంస్థ తన కొత్త డిజైన్లను యుద్ధానంతర పౌర విమానయాన రంగానికి తీసుకురావడానికి ఆసక్తిగా ఉంది. సింగిల్-ఇంజిన్ మైల్స్ మెసెంజర్‌పై డిజైన్‌ను ఆధారపరచడం ద్వారా అభివృద్ధి వేగం బాగా బలపడింది. 26 అక్టోబర్ 1945 న మొట్టమొదటిసారిగా ఎగురుతూ, విమానంలో క"&amp;"ంపెనీ విశ్వాసం ఏమిటంటే, ప్రోటోటైప్‌ను ఉపయోగించి అమ్మకాల ప్రదర్శనలు కొద్ది రోజుల తరువాత ప్రారంభమయ్యాయి, పెద్ద ఎత్తున ఉత్పత్తి ప్రారంభించే ప్రయత్నాలు వెంటనే ప్రారంభించబడ్డాయి. లభ్యత యొక్క మొదటి సంవత్సరంలోనే, 130 జెమినిలు అమ్ముడయ్యాయి, దాని ప్రజాదరణను రుజువు"&amp;" చేసింది. ఇది పనితీరు విజయవంతమైన రేసింగ్ విమానంగా మారింది, ఒక ఉదాహరణ మాత్రమే అనేక పోటీలను గెలుచుకుంది. జెమిని వారసుడిని ఉత్పత్తి చేయడానికి ప్రారంభ పనితో పాటు, ఈ రకంపై అనేక మెరుగుదలలను ప్రవేశపెట్టడానికి కంపెనీ ప్రయత్నించింది. ఏదేమైనా, ఈ ఆశయాలు 1947 లో దివా"&amp;"లా తీసిన తరువాత కంపెనీ పతనం ద్వారా తగ్గించబడ్డాయి. మెరుగైన మైల్స్ M.75 మేషం యొక్క అభివృద్ధితో సహా ఉత్పత్తిని పునరుద్ధరించే ప్రయత్నాలు జరిగాయి, ఈ రకం మరచిపోలేకపోయింది. రెండవ ప్రపంచ యుద్ధం తరువాత, వైమానిక మంత్రిత్వ శాఖ బ్రిటిష్ విమాన ఉత్పాదక రంగంపై యుద్ధకాల"&amp;" నియంత్రణను చాలావరకు వదులుకుంది; అటువంటి తయారీదారు, మైల్స్ విమానం, పౌర విమానయాన మార్కెట్ వైపు ఎక్కువగా ఆధారపడిన దాని స్వంత ప్రయత్నాలను వేగంగా కొనసాగించడానికి ప్రత్యేకించి ఆసక్తిగా ఉంది. [3] ఆధునిక జంట ఇంజిన్ విమానాల కోసం ఈ మార్కెట్లో ఖాళీగా ఉన్న సముచితం ఉ"&amp;"ందని జార్జ్ మైల్స్ గుర్తించారు, మరియు సంస్థ ప్రస్తుతమున్న సింగిల్-ఇంజిన్ మైస్ మెసెంజర్ యొక్క ఉత్పన్నాన్ని తక్షణమే అభివృద్ధి చేయగలదని గమనించింది, ఇది vision హించిన పాత్రకు ఆదర్శంగా సరిపోతుంది. కొనసాగాలని నిర్ణయించుకుంటే, అభివృద్ధి సాపేక్షంగా సూటిగా ఉందని న"&amp;"ిరూపించబడింది మరియు పురోగతి వేగంగా జరిగింది. [3] 26 అక్టోబర్ 1945 న, ప్రోటోటైప్ జెమిని తన తొలి విమానంలో ప్రదర్శించింది; ఇది మొదట్లో తాత్కాలిక స్థిర అండర్ క్యారేజీతో ఎగురవేయబడింది, భవిష్యత్ విమానాల మాదిరిగా కాకుండా, బదులుగా ముడుచుకునే అమరికను కలిగి ఉంది. ["&amp;"3] ఈ రకం ప్రారంభం నుండి ఎగరడానికి ఆహ్లాదకరంగా ఉందని పైలట్లు నివేదించారు. ప్రోటోటైప్‌తో చాలా తక్కువ సమస్యలు ఉన్నాయి; మూడు పాయింట్ల ల్యాండింగ్‌లను ప్రతికూలంగా ప్రభావితం చేసిందని వాయు ప్రవాహ సమస్య కనుగొనబడినప్పటికీ, ఫ్యూజ్‌లేజ్ మరియు ఇంజిన్ నాసెల్లల మధ్య ప్ర"&amp;"ముఖ అంచు స్లాట్‌లను చేర్చడం ద్వారా ఇది వేగంగా పరిష్కరించబడింది. [4] ప్రోటోటైప్ మొదట దాని మొదటి ఫ్లైట్ తరువాత కొద్ది రోజులు మాత్రమే సంభావ్య వినియోగదారులకు ఎగిరే ప్రదర్శనలను చేయడానికి మొదట ఉపయోగించబడిందనే సంస్థ యొక్క విశ్వాసం అలాంటిది. [5] జెమిని నేరుగా పెద"&amp;"్ద ఎత్తున ఉత్పత్తిలో ఉంచబడింది; ఈ రకం యొక్క ఉన్నతమైన పనితీరు మైల్స్ మెర్క్యురీ కోసం తొలగించబడిందని కూడా గుర్తించబడింది, అందువల్ల రెండోది ఉత్పత్తి ప్రణాళికలు జెమినిపై కంపెనీ వనరులను కేంద్రీకరించడానికి అనుకూలంగా వదిలివేయబడ్డాయి. [2] లభ్యత యొక్క మొదటి సంవత్స"&amp;"రంలో 130 జెమినిలు విక్రయించబడిన రకానికి మార్కెట్ యొక్క సానుకూల స్పందన అలాంటిది. వాస్తవానికి ఇది పెద్ద ఎత్తున ఉత్పత్తిని సాధించిన చివరి మైళ్ళు రూపొందించిన విమానం. [2] జెమిని వారసుడిని అభివృద్ధి చేసే పనిని కంపెనీ ప్రారంభించినప్పటికీ, విస్తృత సంఘటనలు అటువంటి"&amp;" ఆశయాలను దెబ్బతీస్తాయి. [1] మైల్స్, జెమిని యొక్క విలువను దాని లైనప్‌లో గుర్తించి, రకాన్ని మరింత అభివృద్ధి చేయడానికి మరియు మెరుగుపరచడానికి ప్రయత్నించింది. ఏదేమైనా, సంస్థ కొత్త ఇంజిన్లను స్వీకరించడంతో సహా అనేక మెరుగుదలలపై పనిని ఖరారు చేస్తున్నప్పటికీ, సంస్థ"&amp;" దాని యొక్క ఆర్ధిక స్థితి యొక్క పేలవమైన స్థితి కారణంగా దివాలా తీయవలసి వచ్చింది. [6] 1947 లో కంపెనీ పతనం మరియు తరువాత పఠన విమాన కర్మాగారం మరియు ఇతర ఆస్తులను ప్రత్యర్థి విమాన తయారీదారు హ్యాండ్లీ పేజీ కొనుగోలు చేసిన తరువాత, పూర్తి చేయని ఎనిమిది విమానాలు సమావ"&amp;"ేశమయ్యాయి; రెండు 1950 లో వుడ్లీ వద్ద హ్యాండ్లీ పేజ్, ఐదు, 1951 లో పెండెఫోర్డ్ ఏరోడ్రోమ్ వద్ద వోల్వర్‌హాంప్టన్ ఏవియేషన్, మరియు ఒకటి రెడ్‌హిల్ ఏరోడ్రోమ్‌లో ఎఫ్. జి. మైల్స్ లిమిటెడ్. [7] జెమిని పౌర రవాణా విధుల కోసం అభివృద్ధి చేసిన నాలుగు-సీట్ల తక్కువ-వింగ్ క"&amp;"ాంటిలివర్ మోనోప్లేన్. ఇది ప్రధానంగా ప్లాస్టిక్-బంధిత ప్లైవుడ్ నిర్మాణం నుండి నిర్మించబడింది. [3] ఇది ఒక-ముక్క రెక్కతో అమర్చబడింది, ఇది రిట్రాక్టబుల్ కాని సహాయక ఏరోఫాయిల్ ఫ్లాప్‌లతో అమర్చబడింది. జెమిని యొక్క వివిధ అంశాలు మెసెంజర్‌తో పంచుకోబడ్డాయి; ఇదే విధమ"&amp;"ైన తోక యూనిట్ అటువంటి షేర్డ్ ఫీచర్ అయితే, జెమిని మెసెంజర్ యొక్క మరింత క్లిష్టమైన ట్రిపుల్ అమరికకు బదులుగా జంట నిలువు తోక యూనిట్లను మాత్రమే కలిగి ఉంది, ఎందుకంటే అధిక వింగ్ లోడింగ్ మరియు తరువాతి పెరిగిన ఎలివేటెడ్ ల్యాండింగ్ వేగం జంట అమరికను ఆచరణాత్మకంగా చేస"&amp;"ింది. [3 ] జెమిని యొక్క విమాన నియంత్రణలు బాగా హార్మోనైజ్ చేయబడ్డాయి మరియు స్టాల్ మార్జిన్ వరకు ప్రభావవంతంగా ఉన్నాయి; ఒక సాధారణ స్టాల్ యొక్క లక్షణాలు సాపేక్షంగా నిరపాయమైనవి మరియు రికవరీ వేగంగా ఉన్నప్పుడు స్పిన్ చేసే ధోరణి లేకుండా ఉంటాయి. [3] తుది విధానాన్న"&amp;"ి టచ్ డౌన్ స్పీడ్ కంటే మాత్రమే నిర్వహించగలిగేంతవరకు నియంత్రణలు ప్రభావవంతంగా ఉన్నాయి. కొన్ని ప్రతికూల నిర్వహణ లక్షణాలలో ఒకటి, టేకాఫ్‌లో తిరుగుతూ విమానం స్వింగ్ చేయడానికి గుర్తించదగిన ధోరణి, ఇది పూర్తి చుక్కాని మరియు అవకలన థొరెటల్ సెట్టింగులను ఉపయోగించి పైల"&amp;"ట్ సులభంగా పరిష్కరించాడు. [8] సాధారణంగా అమర్చబడనప్పటికీ, కొన్ని జెమినిలు ద్వంద్వ నియంత్రణలతో తయారు చేయబడ్డాయి. [9] వాస్తవానికి 90 హెచ్‌పి (67,5 కిలోవాట్) బ్లాక్బర్న్ సిర్రస్ మైనర్ ఇంజన్లు శక్తితో, తరువాత నిర్మించిన జెమిని వైవిధ్యాలు అనేక విభిన్న ఇంజిన్లచే"&amp;" శక్తిని పొందాయి. [6] విమానానికి దాని సాపేక్షంగా సుదీర్ఘ శ్రేణిని ఇవ్వడానికి, ఈ విమానం 15 గాలన్ అవుట్‌బోర్డ్ ట్యాంకులను కలిగి ఉంది, ఇది రెండు 18 గాలన్ ట్యాంకులను భర్తీ చేసింది, ఇది డిజైన్ మెసెంజర్‌తో పంచుకుంది. [2] జెమిని తరచుగా దాని తయారీదారు ""ప్రపంచంలో"&amp;" సురక్షితమైన తేలికపాటి విమానం"" గా ప్రోత్సహించారు. [10] ఐరోపా అంతటా పర్యటించడానికి జెమిని త్వరగా ప్రైవేట్ యజమానులతో ప్రాచుర్యం పొందింది. అదనంగా, ఆస్ట్రేలియా, న్యూజిలాండ్, దక్షిణాఫ్రికా మరియు అనేక ఇతర కామన్వెల్త్ దేశాలకు పెద్ద సంఖ్యలో ఎగుమతి చేశారు. ఇంకా, "&amp;"మొదట బ్రిటిష్ వినియోగదారులకు విక్రయించిన అన్ని జెమినిలలో మూడింట రెండు వంతుల మంది తరువాత మీదికి తిరిగి అమ్ముతారు, ఈ రకం ద్వితీయ అమ్మకాల మార్కెట్లో చాలా కావాల్సినది. [5] 1940 ల చివరలో మరియు 1950 ల ప్రారంభంలో, వ్యక్తిగత జెమినిస్ తరచుగా వాయు రేసుల్లో ప్రవేశిం"&amp;"చారు; ఒక ఉదాహరణలో, G-AKDC, J.N. 'నాట్' సోమెర్స్ AFC, 164.25 mph వద్ద 1949 కింగ్స్ కప్ ఎయిర్ రేస్ (వికలాంగ కార్యక్రమం) విజేతగా అవతరించింది; ఈ విమానం డి హవిలాండ్ జిప్సీ ప్రధాన ఇంజిన్లతో అమర్చబడింది, ఇవి ఒక్కొక్కటి 145 హెచ్‌పికి రేట్ చేయబడ్డాయి. [11] [12] మర"&amp;"ింత శక్తివంతమైన ఇంజిన్లతో రీఫిట్ చేయబడినందున, ఇదే జెమిని 1953 లో సిడ్లీ ట్రోఫీ, 1954 లో కెమ్స్లీ ట్రోఫీ మరియు 1955 లో ది గుడ్‌ఇయర్ ట్రోఫీతో సహా అనేక రేసులను గెలుచుకుంది. సియామ్ యొక్క రేసింగ్ మోటరిస్ట్ ప్రిన్స్ బిరా కూడా ఒకే విమానం సేకరించాలని ఎంచుకున్నారు"&amp;" తన సొంత ప్రయోజనాల కోసం. [6] షెల్-మెక్స్ &amp; బిపి, ఫెయిరీ ఏవియేషన్ మరియు బి.కె.ఎస్ ఇంజనీరింగ్‌తో సహా వాణిజ్య సంస్థలు అనేక విమానాలను తేలికపాటి వ్యాపార రవాణాగా ఉపయోగించాయి. ఇతర ఉదాహరణలు UK ఇండిపెండెంట్ ఎయిర్లైన్స్ చేత బ్రిటిష్ ఐల్స్ మరియు ఐరోపాలో లైట్ చార్టర్"&amp;" పనులపై ఎగిరిపోయాయి; బ్రిటిష్ ఓవర్సీస్ ఎయిర్‌వేస్ కార్పొరేషన్ (BOAC) అటువంటి ఆపరేటర్. లైసెన్స్ పరీక్ష మరియు రేడియో క్రమాంకనం పని కోసం సివిల్ ఏవియేషన్ మంత్రిత్వ శాఖ కూడా ఈ సంఖ్యను కొనుగోలు చేసింది. [5] 1951 లో, ఎఫ్. జి. మైల్స్ చేత ఒక జత విమానాలు పూర్తయ్యాయ"&amp;"ి, ఇవి 155 హెచ్‌పి (116 కిలోవాట్ సవరించిన డిజైన్‌ను ప్రతిబింబించేలా, ఇది విమానానికి ఇతర పనితీరు మార్పులలో పెరిగిన పేలోడ్‌ను ఇచ్చింది, అవి మైల్స్ M.75 మేషం తిరిగి నియమించబడ్డాయి. ఈ మోడల్ యొక్క పరిమాణ ఉత్పత్తి నిర్వహించబడనప్పటికీ, ఇప్పటికే ఉన్న కొన్ని జెమిన"&amp;"ిలు ఈ మార్పులలో కొన్నింటిని తిరిగి పొందారు. [14] ఆరు విమానాలు ప్రస్తుతం 2017 నాటికి బ్రిటిష్ సివిల్ ఎయిర్క్రాఫ్ట్ రిజిస్టర్‌లో నమోదు చేయబడ్డాయి. [17] ఒక జెమిని 1 ఎ స్వీడిష్ ఎయిర్క్రాఫ్ట్ రిజిస్టర్‌లో కూడా చురుకుగా ఉంది. ఒక విమానం, రిజిస్టర్డ్ ZK-ANT, మ్యూ"&amp;"జియం ఆఫ్ ట్రాన్స్పోర్ట్ &amp; టెక్నాలజీలో న్యూజిలాండ్‌లో స్టాటిక్ డిస్ప్లేలో ఉంది. కెజెవిక్లోని క్రిస్టియన్‌సాండ్ విమానాశ్రయంలో టెర్మినల్‌లో స్టాటిక్ డిస్ప్లే కోసం ఎల్ఎన్-తహ్, జెమిని 1 ఎ పునరుద్ధరించబడుతోంది. ఇది మాజీ. జి-అక్కా. బ్రిటిష్ సివిల్ ఎయిర్క్రాఫ్ట్ "&amp;"నుండి డేటా 1919-1972: వాల్యూమ్ III, [18] జేన్ యొక్క ఆల్ ది వరల్డ్ విమానాలు 1947 [19] సాధారణ లక్షణాలు పనితీరు సంబంధిత అభివృద్ధి విమానం పోల్చదగిన పాత్ర, కాన్ఫిగరేషన్ మరియు యుగం")</f>
        <v>మైల్స్ M.65 జెమిని ఒక బ్రిటిష్ ట్విన్-ఇంజిన్ నాలుగు-సీట్ల టూరింగ్ విమానం, వుడ్లీ ఏరోడ్రోమ్ వద్ద మైల్స్ విమానాలచే రూపొందించబడింది మరియు నిర్మించబడింది. ఇది పరిమాణంలో ఉత్పత్తి చేయబడిన చివరి మైళ్ళ విమానం. [2] రెండవ ప్రపంచ యుద్ధం ముగిసిన తరువాత జెమిని అభివృద్ధి వేగంగా జరిగింది, సంస్థ తన కొత్త డిజైన్లను యుద్ధానంతర పౌర విమానయాన రంగానికి తీసుకురావడానికి ఆసక్తిగా ఉంది. సింగిల్-ఇంజిన్ మైల్స్ మెసెంజర్‌పై డిజైన్‌ను ఆధారపరచడం ద్వారా అభివృద్ధి వేగం బాగా బలపడింది. 26 అక్టోబర్ 1945 న మొట్టమొదటిసారిగా ఎగురుతూ, విమానంలో కంపెనీ విశ్వాసం ఏమిటంటే, ప్రోటోటైప్‌ను ఉపయోగించి అమ్మకాల ప్రదర్శనలు కొద్ది రోజుల తరువాత ప్రారంభమయ్యాయి, పెద్ద ఎత్తున ఉత్పత్తి ప్రారంభించే ప్రయత్నాలు వెంటనే ప్రారంభించబడ్డాయి. లభ్యత యొక్క మొదటి సంవత్సరంలోనే, 130 జెమినిలు అమ్ముడయ్యాయి, దాని ప్రజాదరణను రుజువు చేసింది. ఇది పనితీరు విజయవంతమైన రేసింగ్ విమానంగా మారింది, ఒక ఉదాహరణ మాత్రమే అనేక పోటీలను గెలుచుకుంది. జెమిని వారసుడిని ఉత్పత్తి చేయడానికి ప్రారంభ పనితో పాటు, ఈ రకంపై అనేక మెరుగుదలలను ప్రవేశపెట్టడానికి కంపెనీ ప్రయత్నించింది. ఏదేమైనా, ఈ ఆశయాలు 1947 లో దివాలా తీసిన తరువాత కంపెనీ పతనం ద్వారా తగ్గించబడ్డాయి. మెరుగైన మైల్స్ M.75 మేషం యొక్క అభివృద్ధితో సహా ఉత్పత్తిని పునరుద్ధరించే ప్రయత్నాలు జరిగాయి, ఈ రకం మరచిపోలేకపోయింది. రెండవ ప్రపంచ యుద్ధం తరువాత, వైమానిక మంత్రిత్వ శాఖ బ్రిటిష్ విమాన ఉత్పాదక రంగంపై యుద్ధకాల నియంత్రణను చాలావరకు వదులుకుంది; అటువంటి తయారీదారు, మైల్స్ విమానం, పౌర విమానయాన మార్కెట్ వైపు ఎక్కువగా ఆధారపడిన దాని స్వంత ప్రయత్నాలను వేగంగా కొనసాగించడానికి ప్రత్యేకించి ఆసక్తిగా ఉంది. [3] ఆధునిక జంట ఇంజిన్ విమానాల కోసం ఈ మార్కెట్లో ఖాళీగా ఉన్న సముచితం ఉందని జార్జ్ మైల్స్ గుర్తించారు, మరియు సంస్థ ప్రస్తుతమున్న సింగిల్-ఇంజిన్ మైస్ మెసెంజర్ యొక్క ఉత్పన్నాన్ని తక్షణమే అభివృద్ధి చేయగలదని గమనించింది, ఇది vision హించిన పాత్రకు ఆదర్శంగా సరిపోతుంది. కొనసాగాలని నిర్ణయించుకుంటే, అభివృద్ధి సాపేక్షంగా సూటిగా ఉందని నిరూపించబడింది మరియు పురోగతి వేగంగా జరిగింది. [3] 26 అక్టోబర్ 1945 న, ప్రోటోటైప్ జెమిని తన తొలి విమానంలో ప్రదర్శించింది; ఇది మొదట్లో తాత్కాలిక స్థిర అండర్ క్యారేజీతో ఎగురవేయబడింది, భవిష్యత్ విమానాల మాదిరిగా కాకుండా, బదులుగా ముడుచుకునే అమరికను కలిగి ఉంది. [3] ఈ రకం ప్రారంభం నుండి ఎగరడానికి ఆహ్లాదకరంగా ఉందని పైలట్లు నివేదించారు. ప్రోటోటైప్‌తో చాలా తక్కువ సమస్యలు ఉన్నాయి; మూడు పాయింట్ల ల్యాండింగ్‌లను ప్రతికూలంగా ప్రభావితం చేసిందని వాయు ప్రవాహ సమస్య కనుగొనబడినప్పటికీ, ఫ్యూజ్‌లేజ్ మరియు ఇంజిన్ నాసెల్లల మధ్య ప్రముఖ అంచు స్లాట్‌లను చేర్చడం ద్వారా ఇది వేగంగా పరిష్కరించబడింది. [4] ప్రోటోటైప్ మొదట దాని మొదటి ఫ్లైట్ తరువాత కొద్ది రోజులు మాత్రమే సంభావ్య వినియోగదారులకు ఎగిరే ప్రదర్శనలను చేయడానికి మొదట ఉపయోగించబడిందనే సంస్థ యొక్క విశ్వాసం అలాంటిది. [5] జెమిని నేరుగా పెద్ద ఎత్తున ఉత్పత్తిలో ఉంచబడింది; ఈ రకం యొక్క ఉన్నతమైన పనితీరు మైల్స్ మెర్క్యురీ కోసం తొలగించబడిందని కూడా గుర్తించబడింది, అందువల్ల రెండోది ఉత్పత్తి ప్రణాళికలు జెమినిపై కంపెనీ వనరులను కేంద్రీకరించడానికి అనుకూలంగా వదిలివేయబడ్డాయి. [2] లభ్యత యొక్క మొదటి సంవత్సరంలో 130 జెమినిలు విక్రయించబడిన రకానికి మార్కెట్ యొక్క సానుకూల స్పందన అలాంటిది. వాస్తవానికి ఇది పెద్ద ఎత్తున ఉత్పత్తిని సాధించిన చివరి మైళ్ళు రూపొందించిన విమానం. [2] జెమిని వారసుడిని అభివృద్ధి చేసే పనిని కంపెనీ ప్రారంభించినప్పటికీ, విస్తృత సంఘటనలు అటువంటి ఆశయాలను దెబ్బతీస్తాయి. [1] మైల్స్, జెమిని యొక్క విలువను దాని లైనప్‌లో గుర్తించి, రకాన్ని మరింత అభివృద్ధి చేయడానికి మరియు మెరుగుపరచడానికి ప్రయత్నించింది. ఏదేమైనా, సంస్థ కొత్త ఇంజిన్లను స్వీకరించడంతో సహా అనేక మెరుగుదలలపై పనిని ఖరారు చేస్తున్నప్పటికీ, సంస్థ దాని యొక్క ఆర్ధిక స్థితి యొక్క పేలవమైన స్థితి కారణంగా దివాలా తీయవలసి వచ్చింది. [6] 1947 లో కంపెనీ పతనం మరియు తరువాత పఠన విమాన కర్మాగారం మరియు ఇతర ఆస్తులను ప్రత్యర్థి విమాన తయారీదారు హ్యాండ్లీ పేజీ కొనుగోలు చేసిన తరువాత, పూర్తి చేయని ఎనిమిది విమానాలు సమావేశమయ్యాయి; రెండు 1950 లో వుడ్లీ వద్ద హ్యాండ్లీ పేజ్, ఐదు, 1951 లో పెండెఫోర్డ్ ఏరోడ్రోమ్ వద్ద వోల్వర్‌హాంప్టన్ ఏవియేషన్, మరియు ఒకటి రెడ్‌హిల్ ఏరోడ్రోమ్‌లో ఎఫ్. జి. మైల్స్ లిమిటెడ్. [7] జెమిని పౌర రవాణా విధుల కోసం అభివృద్ధి చేసిన నాలుగు-సీట్ల తక్కువ-వింగ్ కాంటిలివర్ మోనోప్లేన్. ఇది ప్రధానంగా ప్లాస్టిక్-బంధిత ప్లైవుడ్ నిర్మాణం నుండి నిర్మించబడింది. [3] ఇది ఒక-ముక్క రెక్కతో అమర్చబడింది, ఇది రిట్రాక్టబుల్ కాని సహాయక ఏరోఫాయిల్ ఫ్లాప్‌లతో అమర్చబడింది. జెమిని యొక్క వివిధ అంశాలు మెసెంజర్‌తో పంచుకోబడ్డాయి; ఇదే విధమైన తోక యూనిట్ అటువంటి షేర్డ్ ఫీచర్ అయితే, జెమిని మెసెంజర్ యొక్క మరింత క్లిష్టమైన ట్రిపుల్ అమరికకు బదులుగా జంట నిలువు తోక యూనిట్లను మాత్రమే కలిగి ఉంది, ఎందుకంటే అధిక వింగ్ లోడింగ్ మరియు తరువాతి పెరిగిన ఎలివేటెడ్ ల్యాండింగ్ వేగం జంట అమరికను ఆచరణాత్మకంగా చేసింది. [3 ] జెమిని యొక్క విమాన నియంత్రణలు బాగా హార్మోనైజ్ చేయబడ్డాయి మరియు స్టాల్ మార్జిన్ వరకు ప్రభావవంతంగా ఉన్నాయి; ఒక సాధారణ స్టాల్ యొక్క లక్షణాలు సాపేక్షంగా నిరపాయమైనవి మరియు రికవరీ వేగంగా ఉన్నప్పుడు స్పిన్ చేసే ధోరణి లేకుండా ఉంటాయి. [3] తుది విధానాన్ని టచ్ డౌన్ స్పీడ్ కంటే మాత్రమే నిర్వహించగలిగేంతవరకు నియంత్రణలు ప్రభావవంతంగా ఉన్నాయి. కొన్ని ప్రతికూల నిర్వహణ లక్షణాలలో ఒకటి, టేకాఫ్‌లో తిరుగుతూ విమానం స్వింగ్ చేయడానికి గుర్తించదగిన ధోరణి, ఇది పూర్తి చుక్కాని మరియు అవకలన థొరెటల్ సెట్టింగులను ఉపయోగించి పైలట్ సులభంగా పరిష్కరించాడు. [8] సాధారణంగా అమర్చబడనప్పటికీ, కొన్ని జెమినిలు ద్వంద్వ నియంత్రణలతో తయారు చేయబడ్డాయి. [9] వాస్తవానికి 90 హెచ్‌పి (67,5 కిలోవాట్) బ్లాక్బర్న్ సిర్రస్ మైనర్ ఇంజన్లు శక్తితో, తరువాత నిర్మించిన జెమిని వైవిధ్యాలు అనేక విభిన్న ఇంజిన్లచే శక్తిని పొందాయి. [6] విమానానికి దాని సాపేక్షంగా సుదీర్ఘ శ్రేణిని ఇవ్వడానికి, ఈ విమానం 15 గాలన్ అవుట్‌బోర్డ్ ట్యాంకులను కలిగి ఉంది, ఇది రెండు 18 గాలన్ ట్యాంకులను భర్తీ చేసింది, ఇది డిజైన్ మెసెంజర్‌తో పంచుకుంది. [2] జెమిని తరచుగా దాని తయారీదారు "ప్రపంచంలో సురక్షితమైన తేలికపాటి విమానం" గా ప్రోత్సహించారు. [10] ఐరోపా అంతటా పర్యటించడానికి జెమిని త్వరగా ప్రైవేట్ యజమానులతో ప్రాచుర్యం పొందింది. అదనంగా, ఆస్ట్రేలియా, న్యూజిలాండ్, దక్షిణాఫ్రికా మరియు అనేక ఇతర కామన్వెల్త్ దేశాలకు పెద్ద సంఖ్యలో ఎగుమతి చేశారు. ఇంకా, మొదట బ్రిటిష్ వినియోగదారులకు విక్రయించిన అన్ని జెమినిలలో మూడింట రెండు వంతుల మంది తరువాత మీదికి తిరిగి అమ్ముతారు, ఈ రకం ద్వితీయ అమ్మకాల మార్కెట్లో చాలా కావాల్సినది. [5] 1940 ల చివరలో మరియు 1950 ల ప్రారంభంలో, వ్యక్తిగత జెమినిస్ తరచుగా వాయు రేసుల్లో ప్రవేశించారు; ఒక ఉదాహరణలో, G-AKDC, J.N. 'నాట్' సోమెర్స్ AFC, 164.25 mph వద్ద 1949 కింగ్స్ కప్ ఎయిర్ రేస్ (వికలాంగ కార్యక్రమం) విజేతగా అవతరించింది; ఈ విమానం డి హవిలాండ్ జిప్సీ ప్రధాన ఇంజిన్లతో అమర్చబడింది, ఇవి ఒక్కొక్కటి 145 హెచ్‌పికి రేట్ చేయబడ్డాయి. [11] [12] మరింత శక్తివంతమైన ఇంజిన్లతో రీఫిట్ చేయబడినందున, ఇదే జెమిని 1953 లో సిడ్లీ ట్రోఫీ, 1954 లో కెమ్స్లీ ట్రోఫీ మరియు 1955 లో ది గుడ్‌ఇయర్ ట్రోఫీతో సహా అనేక రేసులను గెలుచుకుంది. సియామ్ యొక్క రేసింగ్ మోటరిస్ట్ ప్రిన్స్ బిరా కూడా ఒకే విమానం సేకరించాలని ఎంచుకున్నారు తన సొంత ప్రయోజనాల కోసం. [6] షెల్-మెక్స్ &amp; బిపి, ఫెయిరీ ఏవియేషన్ మరియు బి.కె.ఎస్ ఇంజనీరింగ్‌తో సహా వాణిజ్య సంస్థలు అనేక విమానాలను తేలికపాటి వ్యాపార రవాణాగా ఉపయోగించాయి. ఇతర ఉదాహరణలు UK ఇండిపెండెంట్ ఎయిర్లైన్స్ చేత బ్రిటిష్ ఐల్స్ మరియు ఐరోపాలో లైట్ చార్టర్ పనులపై ఎగిరిపోయాయి; బ్రిటిష్ ఓవర్సీస్ ఎయిర్‌వేస్ కార్పొరేషన్ (BOAC) అటువంటి ఆపరేటర్. లైసెన్స్ పరీక్ష మరియు రేడియో క్రమాంకనం పని కోసం సివిల్ ఏవియేషన్ మంత్రిత్వ శాఖ కూడా ఈ సంఖ్యను కొనుగోలు చేసింది. [5] 1951 లో, ఎఫ్. జి. మైల్స్ చేత ఒక జత విమానాలు పూర్తయ్యాయి, ఇవి 155 హెచ్‌పి (116 కిలోవాట్ సవరించిన డిజైన్‌ను ప్రతిబింబించేలా, ఇది విమానానికి ఇతర పనితీరు మార్పులలో పెరిగిన పేలోడ్‌ను ఇచ్చింది, అవి మైల్స్ M.75 మేషం తిరిగి నియమించబడ్డాయి. ఈ మోడల్ యొక్క పరిమాణ ఉత్పత్తి నిర్వహించబడనప్పటికీ, ఇప్పటికే ఉన్న కొన్ని జెమినిలు ఈ మార్పులలో కొన్నింటిని తిరిగి పొందారు. [14] ఆరు విమానాలు ప్రస్తుతం 2017 నాటికి బ్రిటిష్ సివిల్ ఎయిర్క్రాఫ్ట్ రిజిస్టర్‌లో నమోదు చేయబడ్డాయి. [17] ఒక జెమిని 1 ఎ స్వీడిష్ ఎయిర్క్రాఫ్ట్ రిజిస్టర్‌లో కూడా చురుకుగా ఉంది. ఒక విమానం, రిజిస్టర్డ్ ZK-ANT, మ్యూజియం ఆఫ్ ట్రాన్స్పోర్ట్ &amp; టెక్నాలజీలో న్యూజిలాండ్‌లో స్టాటిక్ డిస్ప్లేలో ఉంది. కెజెవిక్లోని క్రిస్టియన్‌సాండ్ విమానాశ్రయంలో టెర్మినల్‌లో స్టాటిక్ డిస్ప్లే కోసం ఎల్ఎన్-తహ్, జెమిని 1 ఎ పునరుద్ధరించబడుతోంది. ఇది మాజీ. జి-అక్కా. బ్రిటిష్ సివిల్ ఎయిర్క్రాఫ్ట్ నుండి డేటా 1919-1972: వాల్యూమ్ III, [18] జేన్ యొక్క ఆల్ ది వరల్డ్ విమానాలు 1947 [19] సాధారణ లక్షణాలు పనితీరు సంబంధిత అభివృద్ధి విమానం పోల్చదగిన పాత్ర, కాన్ఫిగరేషన్ మరియు యుగం</v>
      </c>
      <c r="E31" s="1" t="s">
        <v>664</v>
      </c>
      <c r="F31" s="1" t="s">
        <v>665</v>
      </c>
      <c r="G31" s="1" t="str">
        <f>IFERROR(__xludf.DUMMYFUNCTION("GOOGLETRANSLATE(F:F, ""en"", ""te"")"),"ట్విన్-ఇంజిన్ టూరింగ్ విమానాలు")</f>
        <v>ట్విన్-ఇంజిన్ టూరింగ్ విమానాలు</v>
      </c>
      <c r="I31" s="1" t="s">
        <v>666</v>
      </c>
      <c r="J31" s="1" t="str">
        <f>IFERROR(__xludf.DUMMYFUNCTION("GOOGLETRANSLATE(I:I, ""en"", ""te"")"),"మైల్స్ విమానం")</f>
        <v>మైల్స్ విమానం</v>
      </c>
      <c r="K31" s="1" t="s">
        <v>667</v>
      </c>
      <c r="M31" s="2"/>
      <c r="O31" s="1" t="s">
        <v>668</v>
      </c>
      <c r="P31" s="1" t="s">
        <v>669</v>
      </c>
      <c r="Q31" s="1" t="s">
        <v>670</v>
      </c>
      <c r="R31" s="1">
        <v>1.0</v>
      </c>
      <c r="S31" s="1" t="s">
        <v>671</v>
      </c>
      <c r="T31" s="1" t="s">
        <v>672</v>
      </c>
      <c r="U31" s="1" t="s">
        <v>673</v>
      </c>
      <c r="V31" s="1" t="s">
        <v>674</v>
      </c>
      <c r="W31" s="1" t="s">
        <v>430</v>
      </c>
      <c r="Y31" s="1" t="s">
        <v>675</v>
      </c>
      <c r="Z31" s="1" t="s">
        <v>676</v>
      </c>
      <c r="AA31" s="1" t="s">
        <v>677</v>
      </c>
      <c r="AB31" s="1" t="s">
        <v>678</v>
      </c>
      <c r="AC31" s="1" t="s">
        <v>679</v>
      </c>
      <c r="AD31" s="1" t="s">
        <v>680</v>
      </c>
      <c r="AE31" s="1" t="s">
        <v>681</v>
      </c>
      <c r="AH31" s="1" t="s">
        <v>261</v>
      </c>
      <c r="AI31" s="1" t="s">
        <v>682</v>
      </c>
      <c r="AK31" s="1" t="s">
        <v>683</v>
      </c>
      <c r="AL31" s="1" t="s">
        <v>684</v>
      </c>
      <c r="AN31" s="1" t="s">
        <v>685</v>
      </c>
      <c r="AO31" s="5">
        <v>16736.0</v>
      </c>
      <c r="AR31" s="1" t="s">
        <v>686</v>
      </c>
      <c r="AU31" s="1" t="s">
        <v>687</v>
      </c>
      <c r="AV31" s="1" t="s">
        <v>688</v>
      </c>
      <c r="AX31" s="1">
        <v>1946.0</v>
      </c>
      <c r="BE31" s="1">
        <v>6.86</v>
      </c>
      <c r="BI31" s="1" t="s">
        <v>689</v>
      </c>
      <c r="BJ31" s="1" t="s">
        <v>690</v>
      </c>
      <c r="BT31" s="4" t="s">
        <v>691</v>
      </c>
      <c r="BU31" s="1" t="s">
        <v>692</v>
      </c>
    </row>
    <row r="32">
      <c r="A32" s="1" t="s">
        <v>693</v>
      </c>
      <c r="B32" s="1" t="str">
        <f>IFERROR(__xludf.DUMMYFUNCTION("GOOGLETRANSLATE(A:A, ""en"", ""te"")"),"లూకాస్ ఎల్ -6 ఎ")</f>
        <v>లూకాస్ ఎల్ -6 ఎ</v>
      </c>
      <c r="C32" s="1" t="s">
        <v>694</v>
      </c>
      <c r="D32" s="2" t="str">
        <f>IFERROR(__xludf.DUMMYFUNCTION("GOOGLETRANSLATE(C:C, ""en"", ""te"")"),"L6A అని కూడా పిలువబడే లూకాస్ L-6A, ఒక ఫ్రెంచ్ లో-వింగ్, టెన్డం మోటార్ గ్లైడర్‌లో రెండు సీట్లు, దీనిని లాగ్నీ-లే-సెక్ యొక్క ఎమిలే లూకాస్ రూపొందించినది te త్సాహిక నిర్మాణం కోసం ప్రణాళికల రూపంలో రూపొందించబడింది. [1] [ 2] [[[] [] L-6A ను లూకాస్ L6 లైట్ ఎయిర్‌"&amp;"క్రాఫ్ట్ యొక్క మోటారు గ్లైడర్ వెర్షన్‌గా అభివృద్ధి చేశారు. [1] [2] [3] [4] L-6A ఆల్-మెటల్ నిర్మాణంలో ఉంది. భూమి రవాణా లేదా నిల్వ కోసం 14 మీ (46 అడుగులు) స్పాన్ వింగ్ మడవవచ్చు మరియు రెక్క చిట్కాలు తొలగించబడతాయి. ల్యాండింగ్ గేర్ ముడుచుకునే సాంప్రదాయ ల్యాండి"&amp;"ంగ్ గేర్ కాన్ఫిగరేషన్. సిఫార్సు చేయబడిన ఇంజన్లు 75 నుండి 100 kW (101 నుండి 134 HP) యొక్క లైమింగ్ O-235 లేదా 60 kW (80 hp) యొక్క లింబాచ్ L2000. [1] [2] [3] [4] L-6A ప్రణాళికలుగా మాత్రమే అందుబాటులో ఉంది మరియు కిట్లు లేదా పూర్తి చేసిన విమానం ఫ్యాక్టరీ తయారు "&amp;"చేయబడలేదు. ఈ ప్రణాళికలకు 2002 లో US $ 400 ఖర్చు అవుతుంది మరియు ఆ సమయంలో రెండు ఉదాహరణలు పూర్తి మరియు ఎగురుతున్నట్లు నివేదించబడ్డాయి. నిర్మాణ సమయం 4000 గంటలుగా అంచనా వేయబడింది. [1] [2] [3] [4] పర్డీ నుండి డేటా [1] సాధారణ లక్షణాల పనితీరు")</f>
        <v>L6A అని కూడా పిలువబడే లూకాస్ L-6A, ఒక ఫ్రెంచ్ లో-వింగ్, టెన్డం మోటార్ గ్లైడర్‌లో రెండు సీట్లు, దీనిని లాగ్నీ-లే-సెక్ యొక్క ఎమిలే లూకాస్ రూపొందించినది te త్సాహిక నిర్మాణం కోసం ప్రణాళికల రూపంలో రూపొందించబడింది. [1] [ 2] [[[] [] L-6A ను లూకాస్ L6 లైట్ ఎయిర్‌క్రాఫ్ట్ యొక్క మోటారు గ్లైడర్ వెర్షన్‌గా అభివృద్ధి చేశారు. [1] [2] [3] [4] L-6A ఆల్-మెటల్ నిర్మాణంలో ఉంది. భూమి రవాణా లేదా నిల్వ కోసం 14 మీ (46 అడుగులు) స్పాన్ వింగ్ మడవవచ్చు మరియు రెక్క చిట్కాలు తొలగించబడతాయి. ల్యాండింగ్ గేర్ ముడుచుకునే సాంప్రదాయ ల్యాండింగ్ గేర్ కాన్ఫిగరేషన్. సిఫార్సు చేయబడిన ఇంజన్లు 75 నుండి 100 kW (101 నుండి 134 HP) యొక్క లైమింగ్ O-235 లేదా 60 kW (80 hp) యొక్క లింబాచ్ L2000. [1] [2] [3] [4] L-6A ప్రణాళికలుగా మాత్రమే అందుబాటులో ఉంది మరియు కిట్లు లేదా పూర్తి చేసిన విమానం ఫ్యాక్టరీ తయారు చేయబడలేదు. ఈ ప్రణాళికలకు 2002 లో US $ 400 ఖర్చు అవుతుంది మరియు ఆ సమయంలో రెండు ఉదాహరణలు పూర్తి మరియు ఎగురుతున్నట్లు నివేదించబడ్డాయి. నిర్మాణ సమయం 4000 గంటలుగా అంచనా వేయబడింది. [1] [2] [3] [4] పర్డీ నుండి డేటా [1] సాధారణ లక్షణాల పనితీరు</v>
      </c>
      <c r="F32" s="1" t="s">
        <v>695</v>
      </c>
      <c r="G32" s="1" t="str">
        <f>IFERROR(__xludf.DUMMYFUNCTION("GOOGLETRANSLATE(F:F, ""en"", ""te"")"),"మోటార్ గ్లైడర్")</f>
        <v>మోటార్ గ్లైడర్</v>
      </c>
      <c r="H32" s="1" t="s">
        <v>696</v>
      </c>
      <c r="L32" s="1" t="s">
        <v>455</v>
      </c>
      <c r="M32" s="2" t="str">
        <f>IFERROR(__xludf.DUMMYFUNCTION("GOOGLETRANSLATE(L:L, ""en"", ""te"")"),"ఎమిలే లూకాస్")</f>
        <v>ఎమిలే లూకాస్</v>
      </c>
      <c r="N32" s="1" t="s">
        <v>456</v>
      </c>
      <c r="O32" s="1" t="s">
        <v>697</v>
      </c>
      <c r="P32" s="1" t="s">
        <v>698</v>
      </c>
      <c r="Q32" s="1" t="s">
        <v>699</v>
      </c>
      <c r="R32" s="1" t="s">
        <v>222</v>
      </c>
      <c r="S32" s="1" t="s">
        <v>250</v>
      </c>
      <c r="T32" s="1" t="s">
        <v>700</v>
      </c>
      <c r="U32" s="1" t="s">
        <v>701</v>
      </c>
      <c r="V32" s="1" t="s">
        <v>501</v>
      </c>
      <c r="W32" s="1" t="s">
        <v>702</v>
      </c>
      <c r="X32" s="1" t="s">
        <v>703</v>
      </c>
      <c r="Z32" s="1" t="s">
        <v>704</v>
      </c>
      <c r="AA32" s="1" t="s">
        <v>705</v>
      </c>
      <c r="AB32" s="1" t="s">
        <v>706</v>
      </c>
      <c r="AC32" s="1" t="s">
        <v>505</v>
      </c>
      <c r="AF32" s="1" t="s">
        <v>465</v>
      </c>
      <c r="AG32" s="4" t="s">
        <v>466</v>
      </c>
      <c r="AH32" s="1" t="s">
        <v>707</v>
      </c>
      <c r="AK32" s="1" t="s">
        <v>708</v>
      </c>
      <c r="AL32" s="1" t="s">
        <v>709</v>
      </c>
      <c r="AN32" s="1" t="s">
        <v>710</v>
      </c>
      <c r="AR32" s="1" t="s">
        <v>711</v>
      </c>
      <c r="AU32" s="1" t="s">
        <v>712</v>
      </c>
      <c r="AW32" s="1">
        <v>20.0</v>
      </c>
      <c r="BD32" s="1" t="s">
        <v>713</v>
      </c>
    </row>
    <row r="33">
      <c r="A33" s="1" t="s">
        <v>714</v>
      </c>
      <c r="B33" s="1" t="str">
        <f>IFERROR(__xludf.DUMMYFUNCTION("GOOGLETRANSLATE(A:A, ""en"", ""te"")"),"లూకాస్ ఎల్ 8")</f>
        <v>లూకాస్ ఎల్ 8</v>
      </c>
      <c r="C33" s="1" t="s">
        <v>715</v>
      </c>
      <c r="D33" s="2" t="str">
        <f>IFERROR(__xludf.DUMMYFUNCTION("GOOGLETRANSLATE(C:C, ""en"", ""te"")"),"L 8 మరియు L-8 అని కూడా పిలువబడే లూకాస్ L8, ఫ్రెంచ్ te త్సాహిక-నిర్మిత విమానం, దీనిని లాగ్నీ-లే-సెకనుకు చెందిన ఎమిలే లూకాస్ రూపొందించారు. ఈ విమానం te త్సాహిక నిర్మాణం కోసం ప్రణాళికల రూపంలో సరఫరా చేయబడుతుంది. [1] [2] L8 అత్యంత ప్రాచుర్యం పొందిన లూకాస్ డిజైన"&amp;"్. ఇది కాంటిలివర్ లో-వింగ్, బబుల్ పందిరి కింద రెండు-సైడ్-సైడ్-సైడ్ కాన్ఫిగరేషన్ పరివేష్టిత కాక్‌పిట్, స్థిర లేదా ఐచ్ఛికంగా ముడుచుకునే ట్రైసైకిల్ ల్యాండింగ్ గేర్ మరియు ట్రాక్టర్ కాన్ఫిగరేషన్‌లో ఒకే ఇంజిన్ కలిగి ఉంది. [1] [2] ఈ విమానం షీట్ అల్యూమినియం నుండి"&amp;" తయారు చేయబడింది. దాని 8 మీ (26.2 అడుగులు) స్పాన్ వింగ్ 10 మీ 2 (110 చదరపు అడుగులు) మరియు ఫ్లాప్‌లను కలిగి ఉంది. ఉపయోగించిన ప్రామాణిక ఇంజిన్ 180 హెచ్‌పి (134 కిలోవాట్ బేయర్ల్ మరియు టాక్ నుండి డేటా [1] [2] సాధారణ లక్షణాల పనితీరు")</f>
        <v>L 8 మరియు L-8 అని కూడా పిలువబడే లూకాస్ L8, ఫ్రెంచ్ te త్సాహిక-నిర్మిత విమానం, దీనిని లాగ్నీ-లే-సెకనుకు చెందిన ఎమిలే లూకాస్ రూపొందించారు. ఈ విమానం te త్సాహిక నిర్మాణం కోసం ప్రణాళికల రూపంలో సరఫరా చేయబడుతుంది. [1] [2] L8 అత్యంత ప్రాచుర్యం పొందిన లూకాస్ డిజైన్. ఇది కాంటిలివర్ లో-వింగ్, బబుల్ పందిరి కింద రెండు-సైడ్-సైడ్-సైడ్ కాన్ఫిగరేషన్ పరివేష్టిత కాక్‌పిట్, స్థిర లేదా ఐచ్ఛికంగా ముడుచుకునే ట్రైసైకిల్ ల్యాండింగ్ గేర్ మరియు ట్రాక్టర్ కాన్ఫిగరేషన్‌లో ఒకే ఇంజిన్ కలిగి ఉంది. [1] [2] ఈ విమానం షీట్ అల్యూమినియం నుండి తయారు చేయబడింది. దాని 8 మీ (26.2 అడుగులు) స్పాన్ వింగ్ 10 మీ 2 (110 చదరపు అడుగులు) మరియు ఫ్లాప్‌లను కలిగి ఉంది. ఉపయోగించిన ప్రామాణిక ఇంజిన్ 180 హెచ్‌పి (134 కిలోవాట్ బేయర్ల్ మరియు టాక్ నుండి డేటా [1] [2] సాధారణ లక్షణాల పనితీరు</v>
      </c>
      <c r="F33" s="1" t="s">
        <v>453</v>
      </c>
      <c r="G33" s="1" t="str">
        <f>IFERROR(__xludf.DUMMYFUNCTION("GOOGLETRANSLATE(F:F, ""en"", ""te"")"),"Te త్సాహిక నిర్మించిన విమానం")</f>
        <v>Te త్సాహిక నిర్మించిన విమానం</v>
      </c>
      <c r="H33" s="1" t="s">
        <v>454</v>
      </c>
      <c r="L33" s="1" t="s">
        <v>455</v>
      </c>
      <c r="M33" s="2" t="str">
        <f>IFERROR(__xludf.DUMMYFUNCTION("GOOGLETRANSLATE(L:L, ""en"", ""te"")"),"ఎమిలే లూకాస్")</f>
        <v>ఎమిలే లూకాస్</v>
      </c>
      <c r="N33" s="1" t="s">
        <v>456</v>
      </c>
      <c r="R33" s="1" t="s">
        <v>222</v>
      </c>
      <c r="S33" s="1" t="s">
        <v>250</v>
      </c>
      <c r="U33" s="1" t="s">
        <v>716</v>
      </c>
      <c r="V33" s="1" t="s">
        <v>717</v>
      </c>
      <c r="W33" s="1" t="s">
        <v>718</v>
      </c>
      <c r="X33" s="1" t="s">
        <v>719</v>
      </c>
      <c r="Z33" s="1" t="s">
        <v>720</v>
      </c>
      <c r="AA33" s="1" t="s">
        <v>721</v>
      </c>
      <c r="AB33" s="1" t="s">
        <v>566</v>
      </c>
      <c r="AD33" s="1" t="s">
        <v>722</v>
      </c>
      <c r="AF33" s="1" t="s">
        <v>465</v>
      </c>
      <c r="AG33" s="4" t="s">
        <v>466</v>
      </c>
      <c r="AK33" s="1" t="s">
        <v>723</v>
      </c>
      <c r="AL33" s="1" t="s">
        <v>724</v>
      </c>
      <c r="AR33" s="1" t="s">
        <v>725</v>
      </c>
      <c r="AS33" s="1" t="s">
        <v>726</v>
      </c>
      <c r="AU33" s="1" t="s">
        <v>727</v>
      </c>
    </row>
    <row r="34">
      <c r="A34" s="1" t="s">
        <v>728</v>
      </c>
      <c r="B34" s="1" t="str">
        <f>IFERROR(__xludf.DUMMYFUNCTION("GOOGLETRANSLATE(A:A, ""en"", ""te"")"),"MSW ఓటెక్ 322")</f>
        <v>MSW ఓటెక్ 322</v>
      </c>
      <c r="C34" s="1" t="s">
        <v>729</v>
      </c>
      <c r="D34" s="2" t="str">
        <f>IFERROR(__xludf.DUMMYFUNCTION("GOOGLETRANSLATE(C:C, ""en"", ""te"")"),"MSW ఓటెక్ 322 అనేది రిహ్న్ DR-107 ఒక డిజైన్ ఆధారంగా స్విస్ రెండు-సీట్ల లో-వింగ్ మోనోప్లేన్ మరియు వోహ్లెన్ యొక్క MSW ఏవియేషన్ చేత te త్సాహిక నిర్మాణం కోసం రూపొందించబడింది. [1] MSW 322 ను మాక్స్ వోగెల్సాంగ్ రూపొందించారు మరియు రిహ్న్ DR-107 ఒక డిజైన్ నుండి ఉ"&amp;"ద్భవించింది, ఇది MSW ఏవియేషన్ కొనుగోలు చేసింది. మొట్టమొదటి నమూనా, రిజిస్టర్డ్ HB-YJY మొదట 6 ఏప్రిల్ 2001 న ప్రయాణించింది. ఓటెక్ 322 అనేది తక్కువ-వింగ్ కాంటిలివర్ మోనోప్లేన్, ఇది స్టీల్-ట్యూబ్ ఫ్యూజ్‌లేజ్, కార్బన్ ఫైబర్ ఫ్యూజ్‌లేజ్ చర్మంతో చెక్క రెక్కలు మర"&amp;"ియు స్టీరబుల్ టెయిల్‌వీల్ తో సాంప్రదాయిక ల్యాండింగ్ గేర్ . ఈ విమానం 330 హెచ్‌పి (246 కిలోవాట్ల) లైమింగ్ AEIO-540 ఫ్లాట్-సిక్స్ పిస్టన్ ఇంజిన్ మూడు-బ్లేడెడ్ ట్రాక్టర్ ప్రొపెల్లర్‌ను నడుపుతుంది. తరువాత శబ్దాన్ని తగ్గించడానికి నాలుగు-బ్లేడెడ్ ప్రొపెల్లర్ వ్య"&amp;"వస్థాపించబడింది. కాక్‌పిట్ ఒక-ముక్క సైడ్-హింగ్డ్ పందిరితో రెండు కోసం గదిని కలిగి ఉంది. [1] [2] [3] 2006 లో ఎనిమిదవ ఓటెక్ 322 మొదటి మరియు అక్టోబర్ 2011 నాటికి, ఓటెక్ 351, ఒకే సీటర్ మాత్రమే. ఇది 23 సెప్టెంబర్ 2006 న మొదటిసారిగా ఎగిరింది. ఇది ఓటెక్ 322 మాదిర"&amp;"ిగానే బాహ్య కొలతలు కలిగి ఉంది, అయితే ఖాళీగా ఉన్నప్పుడు 50 కిలోల (110 ఎల్బి) తేలికైనది మరియు మరింత శక్తివంతమైన 261 కిలోవాట్ . ఒక పరిణామం 0.3%ఎక్కడం రేటులో మెరుగుదల. [4] ఓటెక్ 452 టి, మరొక ఓటెక్ 322 వేరియంట్, మొదట 4 జూన్ 2010 న ప్రయాణించింది. ఇది స్పాన్ మరి"&amp;"యు బరువులో దాని పూర్వీకుడితో సమానంగా ఉంటుంది, కానీ 336 కిలోవాట్ల (451 హెచ్‌పి) రోల్స్ రాయిస్ M250-B17D టర్బోప్రాప్ ఇంజన్ ఉంది మరియు .MW-PARSER- అవుట్పుట్ .ఫ్రాక్ {వైట్-స్పేస్: nowrap} .mw-Parser-output .frac .num, .mw-Parser-output .frac .den {font-size: "&amp;"80%; లైన్-హైట్: 0; నిలువు-అమరిక: సూపర్ } .mw-Parser-output .frac .den {vertical-align: sub} .mw-Parser-output .sr- మాత్రమే {సరిహద్దు: 0; క్లిప్: రెక్ట్ (0,0,0,0); ఎత్తు: 1px; మార్జిన్: -1px; ఓవర్‌ఫ్లో: దాచిన; పాడింగ్: 0; స్థానం: సంపూర్ణ; వెడల్పు: 1px} 700"&amp;" మిమీ (27+1⁄2 అంగుళాలు) పొడవు. అక్టోబర్ 2011 లో ప్రోటోటైప్ ఏకైక ఉదాహరణగా ఉంది. [4] 2010 మధ్యలో ఆరు ఓటెక్ 322 విమానాలు యూరోపియన్ సివిల్ రిజిస్టర్లలో, లోన్ 351 మరియు 452 టిలతో కలిసి కనిపిస్తాయి. [5] జేన్ యొక్క అన్ని ప్రపంచ విమానాల నుండి డేటా 1989-90 [1] సాధ"&amp;"ారణ లక్షణాల పనితీరు")</f>
        <v>MSW ఓటెక్ 322 అనేది రిహ్న్ DR-107 ఒక డిజైన్ ఆధారంగా స్విస్ రెండు-సీట్ల లో-వింగ్ మోనోప్లేన్ మరియు వోహ్లెన్ యొక్క MSW ఏవియేషన్ చేత te త్సాహిక నిర్మాణం కోసం రూపొందించబడింది. [1] MSW 322 ను మాక్స్ వోగెల్సాంగ్ రూపొందించారు మరియు రిహ్న్ DR-107 ఒక డిజైన్ నుండి ఉద్భవించింది, ఇది MSW ఏవియేషన్ కొనుగోలు చేసింది. మొట్టమొదటి నమూనా, రిజిస్టర్డ్ HB-YJY మొదట 6 ఏప్రిల్ 2001 న ప్రయాణించింది. ఓటెక్ 322 అనేది తక్కువ-వింగ్ కాంటిలివర్ మోనోప్లేన్, ఇది స్టీల్-ట్యూబ్ ఫ్యూజ్‌లేజ్, కార్బన్ ఫైబర్ ఫ్యూజ్‌లేజ్ చర్మంతో చెక్క రెక్కలు మరియు స్టీరబుల్ టెయిల్‌వీల్ తో సాంప్రదాయిక ల్యాండింగ్ గేర్ . ఈ విమానం 330 హెచ్‌పి (246 కిలోవాట్ల) లైమింగ్ AEIO-540 ఫ్లాట్-సిక్స్ పిస్టన్ ఇంజిన్ మూడు-బ్లేడెడ్ ట్రాక్టర్ ప్రొపెల్లర్‌ను నడుపుతుంది. తరువాత శబ్దాన్ని తగ్గించడానికి నాలుగు-బ్లేడెడ్ ప్రొపెల్లర్ వ్యవస్థాపించబడింది. కాక్‌పిట్ ఒక-ముక్క సైడ్-హింగ్డ్ పందిరితో రెండు కోసం గదిని కలిగి ఉంది. [1] [2] [3] 2006 లో ఎనిమిదవ ఓటెక్ 322 మొదటి మరియు అక్టోబర్ 2011 నాటికి, ఓటెక్ 351, ఒకే సీటర్ మాత్రమే. ఇది 23 సెప్టెంబర్ 2006 న మొదటిసారిగా ఎగిరింది. ఇది ఓటెక్ 322 మాదిరిగానే బాహ్య కొలతలు కలిగి ఉంది, అయితే ఖాళీగా ఉన్నప్పుడు 50 కిలోల (110 ఎల్బి) తేలికైనది మరియు మరింత శక్తివంతమైన 261 కిలోవాట్ . ఒక పరిణామం 0.3%ఎక్కడం రేటులో మెరుగుదల. [4] ఓటెక్ 452 టి, మరొక ఓటెక్ 322 వేరియంట్, మొదట 4 జూన్ 2010 న ప్రయాణించింది. ఇది స్పాన్ మరియు బరువులో దాని పూర్వీకుడితో సమానంగా ఉంటుంది, కానీ 336 కిలోవాట్ల (451 హెచ్‌పి) రోల్స్ రాయిస్ M250-B17D టర్బోప్రాప్ ఇంజన్ ఉంది మరియు .MW-PARSER- అవుట్పుట్ .ఫ్రాక్ {వైట్-స్పేస్: nowrap} .mw-Parser-output .frac .num, .mw-Parser-output .frac .den {font-size: 80%; లైన్-హైట్: 0; నిలువు-అమరిక: సూపర్ } .mw-Parser-output .frac .den {vertical-align: sub} .mw-Parser-output .sr- మాత్రమే {సరిహద్దు: 0; క్లిప్: రెక్ట్ (0,0,0,0); ఎత్తు: 1px; మార్జిన్: -1px; ఓవర్‌ఫ్లో: దాచిన; పాడింగ్: 0; స్థానం: సంపూర్ణ; వెడల్పు: 1px} 700 మిమీ (27+1⁄2 అంగుళాలు) పొడవు. అక్టోబర్ 2011 లో ప్రోటోటైప్ ఏకైక ఉదాహరణగా ఉంది. [4] 2010 మధ్యలో ఆరు ఓటెక్ 322 విమానాలు యూరోపియన్ సివిల్ రిజిస్టర్లలో, లోన్ 351 మరియు 452 టిలతో కలిసి కనిపిస్తాయి. [5] జేన్ యొక్క అన్ని ప్రపంచ విమానాల నుండి డేటా 1989-90 [1] సాధారణ లక్షణాల పనితీరు</v>
      </c>
      <c r="E34" s="1" t="s">
        <v>730</v>
      </c>
      <c r="F34" s="1" t="s">
        <v>731</v>
      </c>
      <c r="G34" s="1" t="str">
        <f>IFERROR(__xludf.DUMMYFUNCTION("GOOGLETRANSLATE(F:F, ""en"", ""te"")"),"రెండు-సీట్ల హోమ్‌బిల్ట్ స్పోర్ట్‌ప్లేన్")</f>
        <v>రెండు-సీట్ల హోమ్‌బిల్ట్ స్పోర్ట్‌ప్లేన్</v>
      </c>
      <c r="H34" s="1" t="s">
        <v>732</v>
      </c>
      <c r="I34" s="1" t="s">
        <v>617</v>
      </c>
      <c r="J34" s="1" t="str">
        <f>IFERROR(__xludf.DUMMYFUNCTION("GOOGLETRANSLATE(I:I, ""en"", ""te"")"),"MSW ఏవియేషన్")</f>
        <v>MSW ఏవియేషన్</v>
      </c>
      <c r="L34" s="1" t="s">
        <v>733</v>
      </c>
      <c r="M34" s="2" t="str">
        <f>IFERROR(__xludf.DUMMYFUNCTION("GOOGLETRANSLATE(L:L, ""en"", ""te"")"),"మాక్స్ వోగెల్సాంగ్")</f>
        <v>మాక్స్ వోగెల్సాంగ్</v>
      </c>
      <c r="P34" s="1" t="s">
        <v>734</v>
      </c>
      <c r="Q34" s="1" t="s">
        <v>735</v>
      </c>
      <c r="R34" s="1">
        <v>1.0</v>
      </c>
      <c r="S34" s="1" t="s">
        <v>736</v>
      </c>
      <c r="T34" s="1" t="s">
        <v>737</v>
      </c>
      <c r="U34" s="1" t="s">
        <v>738</v>
      </c>
      <c r="W34" s="1" t="s">
        <v>739</v>
      </c>
      <c r="X34" s="1" t="s">
        <v>740</v>
      </c>
      <c r="Z34" s="1" t="s">
        <v>741</v>
      </c>
      <c r="AA34" s="1" t="s">
        <v>742</v>
      </c>
      <c r="AB34" s="1" t="s">
        <v>743</v>
      </c>
      <c r="AD34" s="1" t="s">
        <v>744</v>
      </c>
      <c r="AF34" s="1" t="s">
        <v>625</v>
      </c>
      <c r="AH34" s="1" t="s">
        <v>261</v>
      </c>
      <c r="AI34" s="1" t="s">
        <v>745</v>
      </c>
      <c r="AL34" s="1" t="s">
        <v>746</v>
      </c>
      <c r="AO34" s="5">
        <v>36987.0</v>
      </c>
      <c r="AT34" s="1" t="s">
        <v>747</v>
      </c>
      <c r="AV34" s="1" t="s">
        <v>748</v>
      </c>
      <c r="AY34" s="1" t="s">
        <v>749</v>
      </c>
      <c r="AZ34" s="1" t="s">
        <v>750</v>
      </c>
      <c r="BV34" s="1" t="s">
        <v>751</v>
      </c>
    </row>
    <row r="35">
      <c r="A35" s="1" t="s">
        <v>752</v>
      </c>
      <c r="B35" s="1" t="str">
        <f>IFERROR(__xludf.DUMMYFUNCTION("GOOGLETRANSLATE(A:A, ""en"", ""te"")"),"మెడ్వే ఎక్లిప్సర్")</f>
        <v>మెడ్వే ఎక్లిప్సర్</v>
      </c>
      <c r="C35" s="1" t="s">
        <v>753</v>
      </c>
      <c r="D35" s="2" t="str">
        <f>IFERROR(__xludf.DUMMYFUNCTION("GOOGLETRANSLATE(C:C, ""en"", ""te"")"),"మెడ్వే ఎక్లిప్సర్ అనేది బ్రిటిష్ అల్ట్రాలైట్ ట్రైక్, ఇది మెడ్వే మైక్రోలైట్స్ చేత రూపొందించబడింది మరియు ఉత్పత్తి చేస్తుంది. విమానం పూర్తిగా ఫ్యాక్టరీ నిర్మించబడింది. [1] [2] [3] [4] ఈ విమానం టూరింగ్ ట్రైక్‌గా రూపొందించబడింది, ఫెడెరేషన్ ఏరోనటిక్ ఇంటర్నేషనల్"&amp;" మైక్రోలైట్ వర్గానికి అనుగుణంగా, వర్గం యొక్క గరిష్ట స్థూల బరువు 450 కిలోల (992 పౌండ్లు) తో సహా. ఈ విమానం గరిష్టంగా స్థూల బరువు 415 కిలోలు (915 పౌండ్లు). ఎక్లిప్సర్ బ్రిటిష్ BCAR విభాగం ""S"" ప్రమాణానికి ధృవీకరించబడింది. ఇది కేబుల్-బ్రేస్డ్ హాంగ్ గ్లైడర్-స"&amp;"్టైల్ హై-వింగ్, వెయిట్-షిఫ్ట్ కంట్రోల్స్, రెండు-సీట్ల-టెన్డం ఓపెన్ కాక్‌పిట్, ట్రైసైకిల్ ల్యాండింగ్ గేర్ మరియు పషర్ కాన్ఫిగరేషన్‌లో ఒకే ఇంజిన్ కలిగి ఉంది. [2] [3] ఈ విమానం గొట్టాల నుండి తయారవుతుంది, దాని డబుల్-ఉపరితల రావెన్ వింగ్ డాక్రాన్ సెయిల్‌క్లాత్‌లో"&amp;" కప్పబడి ఉంటుంది. దీని 11.0 మీ (36.1 అడుగులు) స్పాన్ వింగ్‌కు ఒకే ట్యూబ్-రకం కింగ్‌పోస్ట్ మద్దతు ఇస్తుంది మరియు ""ఎ"" ఫ్రేమ్ కంట్రోల్ బార్‌ను ఉపయోగిస్తుంది. క్యారేజీలో విండ్‌షీల్డ్ మరియు వీల్ స్పాట్‌లతో కాక్‌పిట్ ఫెయిరింగ్ ఉంటుంది. హైడ్రాలిక్ బ్రేక్‌లు ప్"&amp;"రామాణిక పరికరాలు. ప్రామాణిక ఇంజిన్ నాలుగు సిలిండర్, నాలుగు-స్ట్రోక్ 60 కిలోవాట్ (80 హెచ్‌పి) రోటాక్స్ 912UL. [2] [3] [4] బెర్ట్రాండ్, బేయర్ల్ మరియు మెడ్వే నుండి డేటా [2] [3] [4] సాధారణ లక్షణాల పనితీరు")</f>
        <v>మెడ్వే ఎక్లిప్సర్ అనేది బ్రిటిష్ అల్ట్రాలైట్ ట్రైక్, ఇది మెడ్వే మైక్రోలైట్స్ చేత రూపొందించబడింది మరియు ఉత్పత్తి చేస్తుంది. విమానం పూర్తిగా ఫ్యాక్టరీ నిర్మించబడింది. [1] [2] [3] [4] ఈ విమానం టూరింగ్ ట్రైక్‌గా రూపొందించబడింది, ఫెడెరేషన్ ఏరోనటిక్ ఇంటర్నేషనల్ మైక్రోలైట్ వర్గానికి అనుగుణంగా, వర్గం యొక్క గరిష్ట స్థూల బరువు 450 కిలోల (992 పౌండ్లు) తో సహా. ఈ విమానం గరిష్టంగా స్థూల బరువు 415 కిలోలు (915 పౌండ్లు). ఎక్లిప్సర్ బ్రిటిష్ BCAR విభాగం "S" ప్రమాణానికి ధృవీకరించబడింది. ఇది కేబుల్-బ్రేస్డ్ హాంగ్ గ్లైడర్-స్టైల్ హై-వింగ్, వెయిట్-షిఫ్ట్ కంట్రోల్స్, రెండు-సీట్ల-టెన్డం ఓపెన్ కాక్‌పిట్, ట్రైసైకిల్ ల్యాండింగ్ గేర్ మరియు పషర్ కాన్ఫిగరేషన్‌లో ఒకే ఇంజిన్ కలిగి ఉంది. [2] [3] ఈ విమానం గొట్టాల నుండి తయారవుతుంది, దాని డబుల్-ఉపరితల రావెన్ వింగ్ డాక్రాన్ సెయిల్‌క్లాత్‌లో కప్పబడి ఉంటుంది. దీని 11.0 మీ (36.1 అడుగులు) స్పాన్ వింగ్‌కు ఒకే ట్యూబ్-రకం కింగ్‌పోస్ట్ మద్దతు ఇస్తుంది మరియు "ఎ" ఫ్రేమ్ కంట్రోల్ బార్‌ను ఉపయోగిస్తుంది. క్యారేజీలో విండ్‌షీల్డ్ మరియు వీల్ స్పాట్‌లతో కాక్‌పిట్ ఫెయిరింగ్ ఉంటుంది. హైడ్రాలిక్ బ్రేక్‌లు ప్రామాణిక పరికరాలు. ప్రామాణిక ఇంజిన్ నాలుగు సిలిండర్, నాలుగు-స్ట్రోక్ 60 కిలోవాట్ (80 హెచ్‌పి) రోటాక్స్ 912UL. [2] [3] [4] బెర్ట్రాండ్, బేయర్ల్ మరియు మెడ్వే నుండి డేటా [2] [3] [4] సాధారణ లక్షణాల పనితీరు</v>
      </c>
      <c r="F35" s="1" t="s">
        <v>300</v>
      </c>
      <c r="G35" s="1" t="str">
        <f>IFERROR(__xludf.DUMMYFUNCTION("GOOGLETRANSLATE(F:F, ""en"", ""te"")"),"అల్ట్రాలైట్ ట్రైక్")</f>
        <v>అల్ట్రాలైట్ ట్రైక్</v>
      </c>
      <c r="H35" s="1" t="s">
        <v>301</v>
      </c>
      <c r="I35" s="1" t="s">
        <v>560</v>
      </c>
      <c r="J35" s="1" t="str">
        <f>IFERROR(__xludf.DUMMYFUNCTION("GOOGLETRANSLATE(I:I, ""en"", ""te"")"),"మెడ్వే మైక్రోలైట్స్")</f>
        <v>మెడ్వే మైక్రోలైట్స్</v>
      </c>
      <c r="K35" s="1" t="s">
        <v>561</v>
      </c>
      <c r="M35" s="2"/>
      <c r="R35" s="1" t="s">
        <v>222</v>
      </c>
      <c r="S35" s="1" t="s">
        <v>250</v>
      </c>
      <c r="U35" s="1" t="s">
        <v>562</v>
      </c>
      <c r="V35" s="1" t="s">
        <v>563</v>
      </c>
      <c r="W35" s="1" t="s">
        <v>754</v>
      </c>
      <c r="X35" s="1" t="s">
        <v>564</v>
      </c>
      <c r="Z35" s="1" t="s">
        <v>565</v>
      </c>
      <c r="AA35" s="1" t="s">
        <v>566</v>
      </c>
      <c r="AB35" s="1" t="s">
        <v>311</v>
      </c>
      <c r="AD35" s="1" t="s">
        <v>567</v>
      </c>
      <c r="AF35" s="1" t="s">
        <v>314</v>
      </c>
      <c r="AK35" s="1" t="s">
        <v>755</v>
      </c>
      <c r="AL35" s="1" t="s">
        <v>569</v>
      </c>
      <c r="AS35" s="1" t="s">
        <v>570</v>
      </c>
      <c r="AU35" s="1" t="s">
        <v>571</v>
      </c>
      <c r="BE35" s="1">
        <v>8.0</v>
      </c>
    </row>
    <row r="36">
      <c r="A36" s="1" t="s">
        <v>756</v>
      </c>
      <c r="B36" s="1" t="str">
        <f>IFERROR(__xludf.DUMMYFUNCTION("GOOGLETRANSLATE(A:A, ""en"", ""te"")"),"మిగ్నెట్ HM.14")</f>
        <v>మిగ్నెట్ HM.14</v>
      </c>
      <c r="C36" s="1" t="s">
        <v>757</v>
      </c>
      <c r="D36" s="2" t="str">
        <f>IFERROR(__xludf.DUMMYFUNCTION("GOOGLETRANSLATE(C:C, ""en"", ""te"")"),"మిగ్నెట్ HM.14 ఫ్లయింగ్ ఫ్లీ (POU డు సీల్ అక్షరాలా ""ఫ్రెంచ్‌లోని స్కై యొక్క లౌస్"") 1933 లో మొదటిసారిగా ఉన్న సింగిల్-సీట్ల లైట్ విమానం, ఇది te త్సాహిక నిర్మాణం కోసం రూపొందించబడింది. ఇది సమిష్టిగా ఫ్లయింగ్ ఈగలు అని పిలువబడే విమాన కుటుంబంలో మొదటిది. HM.14 "&amp;"ను ఫ్రెంచ్ రేడియో ఇంజనీర్ హెన్రీ మిగ్నెట్ రూపొందించారు. సాధారణ చెక్క పని మరియు లోహపు పనుల నైపుణ్యాలు తెలిసిన ఏ te త్సాహిక అయినా త్వరగా మరియు చౌకగా నిర్మించగలిగే సురక్షితమైన విమానం రూపకల్పన చేయాలనే అతని ఆశయం యొక్క ఫలితం ఇది. ఇది డిజైన్ల యొక్క ప్రగతిశీల శ్ర"&amp;"ేణిని అనుసరించింది, వీటిలో HM.8 మోనోప్లేన్ ఇప్పటికే te త్సాహిక-నిర్మిత విమానంగా విజయవంతమైంది. 10 సెప్టెంబర్ 1933 న, సోయిసన్స్ సమీపంలోని బోయిస్ డి బౌలూక్స్ వద్ద, మిగ్నెట్ HM.14 యొక్క మొదటి విమానంలో పైలట్ చేసింది. తరువాతి నెలల్లో, అతను దాని నిర్వహణ మరియు పన"&amp;"ితీరును మెరుగుపరచడానికి ప్రగతిశీల మార్పులతో అనేక విమానాలను చేశాడు, మొత్తం 10 గంటల పరీక్ష-ఎగిరే సమయాన్ని కలిగి ఉన్నాడు. అతను HM.14 ను తన POU No.4 గా అభివర్ణించాడు, బహుశా HM.11 నుండి లెక్కిస్తూ, స్థిర ముందు మరియు వెనుక రెక్కల మధ్య పెద్ద ఇరుసు ఫ్లాప్ ఉంది. H"&amp;"M.14 అనే ప్రోటోటైప్లో 6 మీ (20 అడుగులు) రెక్కలు ఉన్నాయి. ఇది ఆబియర్ ఎట్ డున్నే 540 సిసి త్రీ-సిలిండర్ టూ-స్ట్రోక్ మోటారుసైకిల్ ఇంజిన్ చేత శక్తిని పొందింది, ఇది 4,000 ఆర్‌పిఎమ్ వద్ద 17 హెచ్‌పి (13 కిలోవాట్) ను ఉత్పత్తి చేస్తుంది. 2.5: 1 తగ్గింపు నిష్పత్తిత"&amp;"ో చైన్ డ్రైవ్ ద్వారా ఇంజిన్ ప్రొపెల్లర్ షాఫ్ట్కు అనుసంధానించబడింది. తరువాతి ఉదాహరణలు అనేక ఐచ్ఛిక ఇంజిన్ మరియు వింగ్స్పాన్ వైవిధ్యాలతో నిర్మించబడ్డాయి. [1] సెప్టెంబర్ 1934 లో, ఫ్రెంచ్ ఏరోనాటికల్ మ్యాగజైన్ లెస్ ఐల్స్ మిగ్నెట్ యొక్క వ్యాసం లే పౌ డు సీల్‌ను ప"&amp;"్రచురించాడు, దీనిలో అతను HM.14 ను వివరించాడు. నవంబర్ 1934 లో, అతను తన పుస్తకాన్ని లే స్పోర్ట్ డి ఎల్ ఎయిర్ ప్రచురించాడు, ఇది మెటీరియల్స్, ప్లస్ వివరణలు మరియు పద్ధతుల యొక్క అన్ని డైమెన్షన్ వివరాలను ఇచ్చింది, పాఠకులను మరింత స్పెషలిస్ట్ సహాయం లేకుండా వారి స్"&amp;"వంత HM.14 లను నిర్మించడానికి మరియు ఎగరడానికి వీలు కల్పించింది. సెప్టెంబర్ 1935 లో, ఎయిర్ లీగ్ లే స్పోర్ట్ డి ఎల్ ఎయిర్ యొక్క ఆంగ్ల అనువాదాన్ని ప్రచురించింది, మరియు ఇది అక్టోబర్, నవంబర్ మరియు డిసెంబర్ 1935 లో సీరియలైజ్ చేయబడింది, ఇది పత్రిక న్యూన్స్ యొక్క "&amp;"ప్రాక్టికల్ మెకానిక్స్ యొక్క సమస్యలు. [1] HM.14 ను సాధారణంగా టెన్డం వింగ్ విమానం అని వర్ణించారు, అయినప్పటికీ ప్రధాన విభాగం వెనుక రెక్కను ప్రాథమిక రూపకల్పనలో అతివ్యాప్తి చేస్తుంది, కాబట్టి ఇది క్షితిజ సమాంతర తోక లేకుండా అత్యంత అస్థిరమైన బైప్‌లేన్‌గా అర్హత "&amp;"సాధిస్తుంది. ఎయిర్ఫ్రేమ్ నిర్మాణం ఎక్కువగా బిర్చ్ ప్లైవుడ్ షీట్, స్ప్రూస్ లాత్స్, స్టీల్ ట్యూబింగ్, స్టీల్ కేబుల్స్, యాజమాన్య మెటల్ ఫిట్టింగులు మరియు ఫిక్సింగ్స్, సంసంజనాలు మరియు నార ఫాబ్రిక్లను ఉపయోగిస్తుంది. [1] సాంప్రదాయిక విమానాల మాదిరిగా కాకుండా, HM."&amp;"14 లో ఐలెరన్లు లేదా ఎలివేటర్లు లేవు మరియు ఫుట్-ఆపరేటెడ్ ఫ్లైట్ కంట్రోల్స్ లేవు. విమాన నియంత్రణ వ్యవస్థ సాంప్రదాయిక నియంత్రణ కర్రను కలిగి ఉంటుంది. కర్ర యొక్క ముందు-మరియు-వైపు కదలిక కేబుల్స్ ద్వారా ప్రధాన రెక్క యొక్క వెనుక దిగువ భాగంలో ప్రసారం చేయబడుతుంది, "&amp;"ఇది ముందు దిగువ భాగంలో ఒకే పైవట్ చేత మద్దతు ఇస్తుంది, ఫ్యూజ్‌లేజ్‌పై పైలాన్‌పై అమర్చబడుతుంది. కర్ర యొక్క వెనుక కదలిక తంతులు లాగుతుంది మరియు పిచ్‌ను పెంచుతుంది మరియు అందువల్ల ప్రధాన రెక్క యొక్క లిఫ్ట్. గురుత్వాకర్షణ కేంద్రం ముందుకు సాగడం కేంద్రం కారణంగా వి"&amp;"మానం అప్పుడు పిచ్ అవుతుంది. ఫార్వర్డ్ స్టిక్ కదలిక రివర్స్ ప్రభావాన్ని కలిగి ఉంటుంది. స్టిక్ కదలికకు ప్రతిఘటన సాధారణంగా ప్రధాన రెక్క నుండి ఏరోడైనమిక్ శక్తి, కానీ రబ్బరు వసంత (బంగీ) కూడా రెక్క యొక్క ప్రముఖ అంచున క్రిందికి లాగడం మరియు పైలట్ యొక్క తల వెనుక ఉ"&amp;"న్న టెలిస్కోపిక్ స్ట్రట్ మొత్తం వింగ్ కదలికను పరిమితం చేస్తుంది. కర్ర యొక్క సైడ్-టు-సైడ్ కదలిక కేబుల్స్ ద్వారా ఆల్-కదిలే చుక్కలను నియంత్రిస్తుంది. విమానంలో, ఇది బ్యాంకింగ్ మలుపులో అవసరమయ్యే విధంగా స్థిరమైన రోలింగ్ మోషన్‌ను ఉత్పత్తి చేస్తుంది, ఎందుకంటే రెక"&amp;"్కలు రెండూ డైహెడ్రల్ కలిగి ఉంటాయి. టేకాఫ్ లేదా ల్యాండింగ్ సమయంలో ఆ రోలింగ్ లక్షణం సురక్షితంగా అందుబాటులో లేదు, కాబట్టి క్రాస్‌విండ్‌లు సులభంగా తట్టుకోలేవు. [1] [2] మిగ్నెట్ ప్రత్యామ్నాయ 6 మీ మరియు 5 మీ స్పాన్ రెక్కల కోసం డ్రాయింగ్లను అందించింది. ఎంపిక సాధ"&amp;"ారణంగా ఉద్దేశించిన ఇంజిన్ యొక్క శక్తి మరియు బరువుపై ఆధారపడి ఉంటుంది. అతను ప్రత్యేకమైన ఇంజిన్‌ను పేర్కొన్నాడు మరియు ఎంపిక తరచుగా స్థానిక లభ్యత మరియు ఖర్చుపై ఆధారపడి ఉంటుంది. ఫ్రాన్స్‌లో, 1930 లలో హెచ్‌ఎం .14 ల ఇంజిన్‌లలో 17 హెచ్‌పి ఆబియర్ ఎట్ డన్నే 540 సిస"&amp;"ి త్రీ-సిలిండర్ టూ-స్ట్రోక్, 25 హెచ్‌పి మెంగిన్ బి (పాయిన్సార్డ్) ఫోర్-స్ట్రోక్ టూ-సిలిండర్ బాక్సర్, 16 హెచ్‌పి మంత్రి, 40 హెచ్‌పి సాల్మ్సన్ రాడియల్ ఉన్నాయి. UK లో, ప్రసిద్ధ ఎయిర్-కూల్డ్ ఇంజన్లు 16 హెచ్‌పి స్కాట్ ఫ్లయింగ్ స్క్విరెల్ ఎ 2 ఎస్ 650 సిసి, 25 హ"&amp;"ెచ్‌పి అంజాని 1100 సిసి వి-ట్విన్, 17–23 హెచ్‌పి డగ్లస్ స్ప్రైట్ 500–750 సిసి, 34 హెచ్‌పి బ్రిస్టల్ చెరబ్ 1100 సిసి. వాటర్-కూల్డ్ ఇంజిన్ల మార్పిడులలో 28 హెచ్‌పి కార్డెన్-ఫోర్డ్ 1200 సిసి మరియు 13 హెచ్‌పి ఆస్టిన్ 7 750 సిసి నాలుగు సిలిండర్ రకాలు ఉన్నాయి. ఇ"&amp;"ంజిన్ మరియు ప్రొపెల్లర్ కలయిక యొక్క ఎంపిక ప్రొపెల్లర్‌ను నేరుగా క్రాంక్ షాఫ్ట్ నుండి లేదా తగ్గింపు గొలుసు డ్రైవ్ లేదా గేరింగ్ ద్వారా నడిపించే ఎంపికను నిర్ణయించింది. [1] [5] 14 జూలై 1935 న, హెస్టన్ ఏరోడ్రోమ్‌లో, స్టీఫెన్ ఆపిల్‌బై తన HM.14 (G-ADMH) యొక్క మొ"&amp;"దటి ఫ్లైట్‌ను పైలట్ చేశాడు, ఇది UK లో ప్రయాణించే మొదటిది. 24 జూలై 1935 న, ఎయిర్ మినిస్ట్రీ పత్రాన్ని ఫ్లై చేయడానికి మొట్టమొదటి అధికారం ఇచ్చింది, అదనపు పరిస్థితులు మరియు పరిమితులతో UK సర్టిఫికేట్ ఆఫ్ ఎయిర్ విలువైనది. బలవంతపు ల్యాండింగ్ తరువాత, ఇది L.E. రూప"&amp;"ొందించిన మార్పులతో మరమ్మతులు చేయబడింది. బేన్స్, అబోట్-బేన్స్ సెయిల్‌ప్లేన్స్ ఫ్యాక్టరీలో. ఈ మార్పులలో కొత్త 6 మీటర్లు (20 అడుగులు) స్పాన్ ఫ్రంట్ వింగ్ ఉన్నాయి, ఇది పున osition స్థాపించబడిన వింగ్ పివట్, పాక్షిక ఇంజిన్ కౌలింగ్ మరియు ప్రస్తుతం ఉన్న వాటర్-కూల"&amp;"్డ్ కార్డెన్-ఫోర్డ్ ఇంజిన్ కోసం తక్కువ-మౌంటెడ్ రేడియేటర్. ఈ విమానం తరువాత వింగ్ కంట్రోల్ కేబుల్స్ స్థానంలో జంట ""పుష్-రాడ్స్"" తో మార్చబడింది. విమానం మరియు ఆ వ్యక్తిత్వాల ప్రచారం తరువాత, నిర్మాణంలో ఉన్న చాలా మంది బ్రిటిష్ HM.14 లు ఇలాంటి లక్షణాలను పొందాయి"&amp;". ఏప్రిల్ 1936 లో, బేన్స్ ఆపిల్‌బై యొక్క HM.14 లో ఉన్న మాదిరిగానే ఫ్లయింగ్ ఫ్లీ డిజైన్‌కు మెరుగుదలలు చేసాడు, అంతేకాకుండా మరింత పెద్ద మార్పులు. వాటిలో 6.7 మీటర్లు (22 అడుగులు) కొత్తగా రూపొందించిన ఫ్రంట్ వింగ్ రెండు అవుట్‌బోర్డ్ వింగ్ పివట్‌లతో ఉన్నాయి, ఇవి"&amp;" వింగ్-బ్రేసింగ్ వైర్లను తొలగించాయి, అందువల్ల బేన్స్ కాంటిలివర్ పౌ అనే పేరు. ఆ (G-AEGD) యొక్క నమూనా, ప్లస్ తరువాతి ఉదాహరణ (G-EAJD), విస్తృతంగా పరీక్షించబడ్డాయి మరియు ఆపిల్‌బై చేత ప్రదర్శించబడ్డాయి. [2] [3] [5] UK లో, HM.14 యొక్క వైవిధ్యాలు సుమారు 200 మంది"&amp;" తీవ్రమైన te త్సాహికులు చేశారు. కొన్ని కంపెనీలు కూడా కిట్లను ఉత్పత్తి చేయాలని భావించాయి మరియు అబోట్-బేన్స్ ఎయిర్క్రాఫ్ట్, డార్ట్ ఎయిర్క్రాఫ్ట్, ఎఫ్. హిల్స్ &amp; సన్, లుటన్ ఎయిర్క్రాఫ్ట్, ఉదా. పెర్మాన్ అండ్ కంపెనీ, మరియు పుట్నం ఎయిర్క్రాఫ్ట్ కంపెనీ. రెండవ ప్ర"&amp;"పంచ యుద్ధం ప్రారంభం వరకు, సెప్టెంబర్ 1939 లో, ఫ్లై చేయడానికి UK అధికారాలు 76 HM.14 లకు జారీ చేయబడ్డాయి, అయితే మరో 45 అంచనా ఉదాహరణల కోసం రిజిస్ట్రేషన్లు జారీ చేయబడ్డాయి. [1] మార్చి 1936 నాటికి, అల్జీరియన్ మరియు స్విస్ అధికారులు HM.14 లను ఎగురుతూ నిషేధించార"&amp;"ు, మరియు ఫ్రెంచ్ వైమానిక మంత్రిత్వ శాఖ తన చర్యలను హెచ్చరిక నోటీసుల నుండి ఆర్మీ డి ఎల్ ఎయిర్ చేత విమాన పరీక్ష వరకు పెంచింది, దీని ఫలితంగా అసంపూర్తిగా ప్రచురించబడిన నివేదిక వచ్చింది. జూన్ 1936 లో, ఫ్రాన్స్‌లోని అన్ని ఫ్లీ విమానాలను ఫ్రెంచ్ మంత్రి ఆపివేశారు,"&amp;" చలైస్-మెయుడాన్ వద్ద పూర్తి-పరిమాణ విండ్ టన్నెల్ పరీక్షలు పెండింగ్‌లో ఉన్నాయి. జూలై 1936 లో, ప్రచురించిన నివేదిక నిస్సార ముక్కు-డౌన్ వైఖరిలో పిచ్-అప్ నియంత్రణను ఎలా కోల్పోతుందో వివరించింది, ఎందుకంటే పివోటింగ్ ఫ్రంట్ వింగ్ వెనుక వింగ్ (""స్లాట్ ఎఫెక్ట్"") "&amp;"నుండి విభజనను తగ్గించింది, తద్వారా విమానం చేయలేకపోయింది డైవ్ నుండి భూమిలోకి తిరిగి పొందండి. గురుత్వాకర్షణ కేంద్రాన్ని సరిగ్గా లెక్కించకపోతే మరియు సర్దుబాటు చేయకపోతే ప్రభావం మరింత దిగజారింది. పివోటింగ్ రియర్ వింగ్, రెండు రెక్కలపై వేర్వేరు ఏరోఫాయిల్ ఆకృతులు"&amp;", రెక్కల మధ్య అతివ్యాప్తిని తొలగించడం మరియు ఫ్యూజ్‌లేజ్‌కు సంబంధించి సర్దుబాటు చేయగల ఫోర్-అండ్-వింగ్ పైవట్ స్థానం వంటి అనేక డిజైన్ మార్పులతో మిగ్నెట్ స్పందించింది. 1936 చివరలో, ఆ లక్షణాలు, దృ wing మైన వింగ్ కంట్రోల్ స్ట్రట్స్ (""పుష్-రాడ్స్"") తో కలిసి, అ"&amp;"తని పుస్తకం లే స్పోర్ట్ డి ఎల్ ఎయిర్ యొక్క నవీకరించబడిన ఎడిషన్‌లో మూర్తీభవించబడ్డాయి. ఆగష్టు 1936 లో, ఫర్న్‌బరోలోని రాయల్ ఎయిర్క్రాఫ్ట్ ఎస్టాబ్లిష్మెంట్ (RAE) HM.14 G-AEFV ఉపయోగించి పూర్తి-పరిమాణ విండ్ టన్నెల్ పరీక్షలను ప్రారంభించింది. అక్టోబర్ 1936 లో, ఫ"&amp;"్రెంచ్ పరీక్ష ఫలితాలను ధృవీకరిస్తూ నివేదిక ప్రచురించబడింది. ఆమోదించబడిన మార్పులు రాని అన్ని HM.14- సంబంధిత విమానాల పత్రాలను ఎగరడానికి అధికారాన్ని పునరుద్ధరించడం వైమానిక మంత్రిత్వ శాఖ ఆపివేసింది. రెండవ ప్రపంచ యుద్ధం తరువాత, HM.14 లకు ఎగరడానికి UK అధికారాలు"&amp;" మంజూరు చేయబడలేదు, అయినప్పటికీ ఇంకా చాలా ఉదాహరణలు నిర్మించబడ్డాయి. [1] బ్రిటిష్ లైట్ విమానాల నుండి డేటా: వాటి పరిణామం, అభివృద్ధి మరియు పరిపూర్ణత, 1920-1940 [5] సాధారణ లక్షణాల పనితీరు")</f>
        <v>మిగ్నెట్ HM.14 ఫ్లయింగ్ ఫ్లీ (POU డు సీల్ అక్షరాలా "ఫ్రెంచ్‌లోని స్కై యొక్క లౌస్") 1933 లో మొదటిసారిగా ఉన్న సింగిల్-సీట్ల లైట్ విమానం, ఇది te త్సాహిక నిర్మాణం కోసం రూపొందించబడింది. ఇది సమిష్టిగా ఫ్లయింగ్ ఈగలు అని పిలువబడే విమాన కుటుంబంలో మొదటిది. HM.14 ను ఫ్రెంచ్ రేడియో ఇంజనీర్ హెన్రీ మిగ్నెట్ రూపొందించారు. సాధారణ చెక్క పని మరియు లోహపు పనుల నైపుణ్యాలు తెలిసిన ఏ te త్సాహిక అయినా త్వరగా మరియు చౌకగా నిర్మించగలిగే సురక్షితమైన విమానం రూపకల్పన చేయాలనే అతని ఆశయం యొక్క ఫలితం ఇది. ఇది డిజైన్ల యొక్క ప్రగతిశీల శ్రేణిని అనుసరించింది, వీటిలో HM.8 మోనోప్లేన్ ఇప్పటికే te త్సాహిక-నిర్మిత విమానంగా విజయవంతమైంది. 10 సెప్టెంబర్ 1933 న, సోయిసన్స్ సమీపంలోని బోయిస్ డి బౌలూక్స్ వద్ద, మిగ్నెట్ HM.14 యొక్క మొదటి విమానంలో పైలట్ చేసింది. తరువాతి నెలల్లో, అతను దాని నిర్వహణ మరియు పనితీరును మెరుగుపరచడానికి ప్రగతిశీల మార్పులతో అనేక విమానాలను చేశాడు, మొత్తం 10 గంటల పరీక్ష-ఎగిరే సమయాన్ని కలిగి ఉన్నాడు. అతను HM.14 ను తన POU No.4 గా అభివర్ణించాడు, బహుశా HM.11 నుండి లెక్కిస్తూ, స్థిర ముందు మరియు వెనుక రెక్కల మధ్య పెద్ద ఇరుసు ఫ్లాప్ ఉంది. HM.14 అనే ప్రోటోటైప్లో 6 మీ (20 అడుగులు) రెక్కలు ఉన్నాయి. ఇది ఆబియర్ ఎట్ డున్నే 540 సిసి త్రీ-సిలిండర్ టూ-స్ట్రోక్ మోటారుసైకిల్ ఇంజిన్ చేత శక్తిని పొందింది, ఇది 4,000 ఆర్‌పిఎమ్ వద్ద 17 హెచ్‌పి (13 కిలోవాట్) ను ఉత్పత్తి చేస్తుంది. 2.5: 1 తగ్గింపు నిష్పత్తితో చైన్ డ్రైవ్ ద్వారా ఇంజిన్ ప్రొపెల్లర్ షాఫ్ట్కు అనుసంధానించబడింది. తరువాతి ఉదాహరణలు అనేక ఐచ్ఛిక ఇంజిన్ మరియు వింగ్స్పాన్ వైవిధ్యాలతో నిర్మించబడ్డాయి. [1] సెప్టెంబర్ 1934 లో, ఫ్రెంచ్ ఏరోనాటికల్ మ్యాగజైన్ లెస్ ఐల్స్ మిగ్నెట్ యొక్క వ్యాసం లే పౌ డు సీల్‌ను ప్రచురించాడు, దీనిలో అతను HM.14 ను వివరించాడు. నవంబర్ 1934 లో, అతను తన పుస్తకాన్ని లే స్పోర్ట్ డి ఎల్ ఎయిర్ ప్రచురించాడు, ఇది మెటీరియల్స్, ప్లస్ వివరణలు మరియు పద్ధతుల యొక్క అన్ని డైమెన్షన్ వివరాలను ఇచ్చింది, పాఠకులను మరింత స్పెషలిస్ట్ సహాయం లేకుండా వారి స్వంత HM.14 లను నిర్మించడానికి మరియు ఎగరడానికి వీలు కల్పించింది. సెప్టెంబర్ 1935 లో, ఎయిర్ లీగ్ లే స్పోర్ట్ డి ఎల్ ఎయిర్ యొక్క ఆంగ్ల అనువాదాన్ని ప్రచురించింది, మరియు ఇది అక్టోబర్, నవంబర్ మరియు డిసెంబర్ 1935 లో సీరియలైజ్ చేయబడింది, ఇది పత్రిక న్యూన్స్ యొక్క ప్రాక్టికల్ మెకానిక్స్ యొక్క సమస్యలు. [1] HM.14 ను సాధారణంగా టెన్డం వింగ్ విమానం అని వర్ణించారు, అయినప్పటికీ ప్రధాన విభాగం వెనుక రెక్కను ప్రాథమిక రూపకల్పనలో అతివ్యాప్తి చేస్తుంది, కాబట్టి ఇది క్షితిజ సమాంతర తోక లేకుండా అత్యంత అస్థిరమైన బైప్‌లేన్‌గా అర్హత సాధిస్తుంది. ఎయిర్ఫ్రేమ్ నిర్మాణం ఎక్కువగా బిర్చ్ ప్లైవుడ్ షీట్, స్ప్రూస్ లాత్స్, స్టీల్ ట్యూబింగ్, స్టీల్ కేబుల్స్, యాజమాన్య మెటల్ ఫిట్టింగులు మరియు ఫిక్సింగ్స్, సంసంజనాలు మరియు నార ఫాబ్రిక్లను ఉపయోగిస్తుంది. [1] సాంప్రదాయిక విమానాల మాదిరిగా కాకుండా, HM.14 లో ఐలెరన్లు లేదా ఎలివేటర్లు లేవు మరియు ఫుట్-ఆపరేటెడ్ ఫ్లైట్ కంట్రోల్స్ లేవు. విమాన నియంత్రణ వ్యవస్థ సాంప్రదాయిక నియంత్రణ కర్రను కలిగి ఉంటుంది. కర్ర యొక్క ముందు-మరియు-వైపు కదలిక కేబుల్స్ ద్వారా ప్రధాన రెక్క యొక్క వెనుక దిగువ భాగంలో ప్రసారం చేయబడుతుంది, ఇది ముందు దిగువ భాగంలో ఒకే పైవట్ చేత మద్దతు ఇస్తుంది, ఫ్యూజ్‌లేజ్‌పై పైలాన్‌పై అమర్చబడుతుంది. కర్ర యొక్క వెనుక కదలిక తంతులు లాగుతుంది మరియు పిచ్‌ను పెంచుతుంది మరియు అందువల్ల ప్రధాన రెక్క యొక్క లిఫ్ట్. గురుత్వాకర్షణ కేంద్రం ముందుకు సాగడం కేంద్రం కారణంగా విమానం అప్పుడు పిచ్ అవుతుంది. ఫార్వర్డ్ స్టిక్ కదలిక రివర్స్ ప్రభావాన్ని కలిగి ఉంటుంది. స్టిక్ కదలికకు ప్రతిఘటన సాధారణంగా ప్రధాన రెక్క నుండి ఏరోడైనమిక్ శక్తి, కానీ రబ్బరు వసంత (బంగీ) కూడా రెక్క యొక్క ప్రముఖ అంచున క్రిందికి లాగడం మరియు పైలట్ యొక్క తల వెనుక ఉన్న టెలిస్కోపిక్ స్ట్రట్ మొత్తం వింగ్ కదలికను పరిమితం చేస్తుంది. కర్ర యొక్క సైడ్-టు-సైడ్ కదలిక కేబుల్స్ ద్వారా ఆల్-కదిలే చుక్కలను నియంత్రిస్తుంది. విమానంలో, ఇది బ్యాంకింగ్ మలుపులో అవసరమయ్యే విధంగా స్థిరమైన రోలింగ్ మోషన్‌ను ఉత్పత్తి చేస్తుంది, ఎందుకంటే రెక్కలు రెండూ డైహెడ్రల్ కలిగి ఉంటాయి. టేకాఫ్ లేదా ల్యాండింగ్ సమయంలో ఆ రోలింగ్ లక్షణం సురక్షితంగా అందుబాటులో లేదు, కాబట్టి క్రాస్‌విండ్‌లు సులభంగా తట్టుకోలేవు. [1] [2] మిగ్నెట్ ప్రత్యామ్నాయ 6 మీ మరియు 5 మీ స్పాన్ రెక్కల కోసం డ్రాయింగ్లను అందించింది. ఎంపిక సాధారణంగా ఉద్దేశించిన ఇంజిన్ యొక్క శక్తి మరియు బరువుపై ఆధారపడి ఉంటుంది. అతను ప్రత్యేకమైన ఇంజిన్‌ను పేర్కొన్నాడు మరియు ఎంపిక తరచుగా స్థానిక లభ్యత మరియు ఖర్చుపై ఆధారపడి ఉంటుంది. ఫ్రాన్స్‌లో, 1930 లలో హెచ్‌ఎం .14 ల ఇంజిన్‌లలో 17 హెచ్‌పి ఆబియర్ ఎట్ డన్నే 540 సిసి త్రీ-సిలిండర్ టూ-స్ట్రోక్, 25 హెచ్‌పి మెంగిన్ బి (పాయిన్సార్డ్) ఫోర్-స్ట్రోక్ టూ-సిలిండర్ బాక్సర్, 16 హెచ్‌పి మంత్రి, 40 హెచ్‌పి సాల్మ్సన్ రాడియల్ ఉన్నాయి. UK లో, ప్రసిద్ధ ఎయిర్-కూల్డ్ ఇంజన్లు 16 హెచ్‌పి స్కాట్ ఫ్లయింగ్ స్క్విరెల్ ఎ 2 ఎస్ 650 సిసి, 25 హెచ్‌పి అంజాని 1100 సిసి వి-ట్విన్, 17–23 హెచ్‌పి డగ్లస్ స్ప్రైట్ 500–750 సిసి, 34 హెచ్‌పి బ్రిస్టల్ చెరబ్ 1100 సిసి. వాటర్-కూల్డ్ ఇంజిన్ల మార్పిడులలో 28 హెచ్‌పి కార్డెన్-ఫోర్డ్ 1200 సిసి మరియు 13 హెచ్‌పి ఆస్టిన్ 7 750 సిసి నాలుగు సిలిండర్ రకాలు ఉన్నాయి. ఇంజిన్ మరియు ప్రొపెల్లర్ కలయిక యొక్క ఎంపిక ప్రొపెల్లర్‌ను నేరుగా క్రాంక్ షాఫ్ట్ నుండి లేదా తగ్గింపు గొలుసు డ్రైవ్ లేదా గేరింగ్ ద్వారా నడిపించే ఎంపికను నిర్ణయించింది. [1] [5] 14 జూలై 1935 న, హెస్టన్ ఏరోడ్రోమ్‌లో, స్టీఫెన్ ఆపిల్‌బై తన HM.14 (G-ADMH) యొక్క మొదటి ఫ్లైట్‌ను పైలట్ చేశాడు, ఇది UK లో ప్రయాణించే మొదటిది. 24 జూలై 1935 న, ఎయిర్ మినిస్ట్రీ పత్రాన్ని ఫ్లై చేయడానికి మొట్టమొదటి అధికారం ఇచ్చింది, అదనపు పరిస్థితులు మరియు పరిమితులతో UK సర్టిఫికేట్ ఆఫ్ ఎయిర్ విలువైనది. బలవంతపు ల్యాండింగ్ తరువాత, ఇది L.E. రూపొందించిన మార్పులతో మరమ్మతులు చేయబడింది. బేన్స్, అబోట్-బేన్స్ సెయిల్‌ప్లేన్స్ ఫ్యాక్టరీలో. ఈ మార్పులలో కొత్త 6 మీటర్లు (20 అడుగులు) స్పాన్ ఫ్రంట్ వింగ్ ఉన్నాయి, ఇది పున osition స్థాపించబడిన వింగ్ పివట్, పాక్షిక ఇంజిన్ కౌలింగ్ మరియు ప్రస్తుతం ఉన్న వాటర్-కూల్డ్ కార్డెన్-ఫోర్డ్ ఇంజిన్ కోసం తక్కువ-మౌంటెడ్ రేడియేటర్. ఈ విమానం తరువాత వింగ్ కంట్రోల్ కేబుల్స్ స్థానంలో జంట "పుష్-రాడ్స్" తో మార్చబడింది. విమానం మరియు ఆ వ్యక్తిత్వాల ప్రచారం తరువాత, నిర్మాణంలో ఉన్న చాలా మంది బ్రిటిష్ HM.14 లు ఇలాంటి లక్షణాలను పొందాయి. ఏప్రిల్ 1936 లో, బేన్స్ ఆపిల్‌బై యొక్క HM.14 లో ఉన్న మాదిరిగానే ఫ్లయింగ్ ఫ్లీ డిజైన్‌కు మెరుగుదలలు చేసాడు, అంతేకాకుండా మరింత పెద్ద మార్పులు. వాటిలో 6.7 మీటర్లు (22 అడుగులు) కొత్తగా రూపొందించిన ఫ్రంట్ వింగ్ రెండు అవుట్‌బోర్డ్ వింగ్ పివట్‌లతో ఉన్నాయి, ఇవి వింగ్-బ్రేసింగ్ వైర్లను తొలగించాయి, అందువల్ల బేన్స్ కాంటిలివర్ పౌ అనే పేరు. ఆ (G-AEGD) యొక్క నమూనా, ప్లస్ తరువాతి ఉదాహరణ (G-EAJD), విస్తృతంగా పరీక్షించబడ్డాయి మరియు ఆపిల్‌బై చేత ప్రదర్శించబడ్డాయి. [2] [3] [5] UK లో, HM.14 యొక్క వైవిధ్యాలు సుమారు 200 మంది తీవ్రమైన te త్సాహికులు చేశారు. కొన్ని కంపెనీలు కూడా కిట్లను ఉత్పత్తి చేయాలని భావించాయి మరియు అబోట్-బేన్స్ ఎయిర్క్రాఫ్ట్, డార్ట్ ఎయిర్క్రాఫ్ట్, ఎఫ్. హిల్స్ &amp; సన్, లుటన్ ఎయిర్క్రాఫ్ట్, ఉదా. పెర్మాన్ అండ్ కంపెనీ, మరియు పుట్నం ఎయిర్క్రాఫ్ట్ కంపెనీ. రెండవ ప్రపంచ యుద్ధం ప్రారంభం వరకు, సెప్టెంబర్ 1939 లో, ఫ్లై చేయడానికి UK అధికారాలు 76 HM.14 లకు జారీ చేయబడ్డాయి, అయితే మరో 45 అంచనా ఉదాహరణల కోసం రిజిస్ట్రేషన్లు జారీ చేయబడ్డాయి. [1] మార్చి 1936 నాటికి, అల్జీరియన్ మరియు స్విస్ అధికారులు HM.14 లను ఎగురుతూ నిషేధించారు, మరియు ఫ్రెంచ్ వైమానిక మంత్రిత్వ శాఖ తన చర్యలను హెచ్చరిక నోటీసుల నుండి ఆర్మీ డి ఎల్ ఎయిర్ చేత విమాన పరీక్ష వరకు పెంచింది, దీని ఫలితంగా అసంపూర్తిగా ప్రచురించబడిన నివేదిక వచ్చింది. జూన్ 1936 లో, ఫ్రాన్స్‌లోని అన్ని ఫ్లీ విమానాలను ఫ్రెంచ్ మంత్రి ఆపివేశారు, చలైస్-మెయుడాన్ వద్ద పూర్తి-పరిమాణ విండ్ టన్నెల్ పరీక్షలు పెండింగ్‌లో ఉన్నాయి. జూలై 1936 లో, ప్రచురించిన నివేదిక నిస్సార ముక్కు-డౌన్ వైఖరిలో పిచ్-అప్ నియంత్రణను ఎలా కోల్పోతుందో వివరించింది, ఎందుకంటే పివోటింగ్ ఫ్రంట్ వింగ్ వెనుక వింగ్ ("స్లాట్ ఎఫెక్ట్") నుండి విభజనను తగ్గించింది, తద్వారా విమానం చేయలేకపోయింది డైవ్ నుండి భూమిలోకి తిరిగి పొందండి. గురుత్వాకర్షణ కేంద్రాన్ని సరిగ్గా లెక్కించకపోతే మరియు సర్దుబాటు చేయకపోతే ప్రభావం మరింత దిగజారింది. పివోటింగ్ రియర్ వింగ్, రెండు రెక్కలపై వేర్వేరు ఏరోఫాయిల్ ఆకృతులు, రెక్కల మధ్య అతివ్యాప్తిని తొలగించడం మరియు ఫ్యూజ్‌లేజ్‌కు సంబంధించి సర్దుబాటు చేయగల ఫోర్-అండ్-వింగ్ పైవట్ స్థానం వంటి అనేక డిజైన్ మార్పులతో మిగ్నెట్ స్పందించింది. 1936 చివరలో, ఆ లక్షణాలు, దృ wing మైన వింగ్ కంట్రోల్ స్ట్రట్స్ ("పుష్-రాడ్స్") తో కలిసి, అతని పుస్తకం లే స్పోర్ట్ డి ఎల్ ఎయిర్ యొక్క నవీకరించబడిన ఎడిషన్‌లో మూర్తీభవించబడ్డాయి. ఆగష్టు 1936 లో, ఫర్న్‌బరోలోని రాయల్ ఎయిర్క్రాఫ్ట్ ఎస్టాబ్లిష్మెంట్ (RAE) HM.14 G-AEFV ఉపయోగించి పూర్తి-పరిమాణ విండ్ టన్నెల్ పరీక్షలను ప్రారంభించింది. అక్టోబర్ 1936 లో, ఫ్రెంచ్ పరీక్ష ఫలితాలను ధృవీకరిస్తూ నివేదిక ప్రచురించబడింది. ఆమోదించబడిన మార్పులు రాని అన్ని HM.14- సంబంధిత విమానాల పత్రాలను ఎగరడానికి అధికారాన్ని పునరుద్ధరించడం వైమానిక మంత్రిత్వ శాఖ ఆపివేసింది. రెండవ ప్రపంచ యుద్ధం తరువాత, HM.14 లకు ఎగరడానికి UK అధికారాలు మంజూరు చేయబడలేదు, అయినప్పటికీ ఇంకా చాలా ఉదాహరణలు నిర్మించబడ్డాయి. [1] బ్రిటిష్ లైట్ విమానాల నుండి డేటా: వాటి పరిణామం, అభివృద్ధి మరియు పరిపూర్ణత, 1920-1940 [5] సాధారణ లక్షణాల పనితీరు</v>
      </c>
      <c r="E36" s="1" t="s">
        <v>758</v>
      </c>
      <c r="F36" s="1" t="s">
        <v>759</v>
      </c>
      <c r="G36" s="1" t="str">
        <f>IFERROR(__xludf.DUMMYFUNCTION("GOOGLETRANSLATE(F:F, ""en"", ""te"")"),"సింగిల్-సీట్ లైట్ విమానం")</f>
        <v>సింగిల్-సీట్ లైట్ విమానం</v>
      </c>
      <c r="I36" s="1" t="s">
        <v>760</v>
      </c>
      <c r="J36" s="1" t="str">
        <f>IFERROR(__xludf.DUMMYFUNCTION("GOOGLETRANSLATE(I:I, ""en"", ""te"")"),"హోమ్‌బిల్ట్ విమానం")</f>
        <v>హోమ్‌బిల్ట్ విమానం</v>
      </c>
      <c r="K36" s="1" t="s">
        <v>761</v>
      </c>
      <c r="L36" s="1" t="s">
        <v>762</v>
      </c>
      <c r="M36" s="2" t="str">
        <f>IFERROR(__xludf.DUMMYFUNCTION("GOOGLETRANSLATE(L:L, ""en"", ""te"")"),"హెన్రీ మిగ్నెట్")</f>
        <v>హెన్రీ మిగ్నెట్</v>
      </c>
      <c r="N36" s="1" t="s">
        <v>763</v>
      </c>
      <c r="R36" s="1">
        <v>1.0</v>
      </c>
      <c r="T36" s="1" t="s">
        <v>764</v>
      </c>
      <c r="U36" s="1" t="s">
        <v>765</v>
      </c>
      <c r="V36" s="1" t="s">
        <v>766</v>
      </c>
      <c r="W36" s="1" t="s">
        <v>767</v>
      </c>
      <c r="Y36" s="1" t="s">
        <v>768</v>
      </c>
      <c r="Z36" s="1" t="s">
        <v>769</v>
      </c>
      <c r="AA36" s="1" t="s">
        <v>310</v>
      </c>
      <c r="AB36" s="1" t="s">
        <v>770</v>
      </c>
      <c r="AC36" s="1" t="s">
        <v>771</v>
      </c>
      <c r="AD36" s="1" t="s">
        <v>772</v>
      </c>
      <c r="AE36" s="1" t="s">
        <v>773</v>
      </c>
      <c r="AH36" s="1" t="s">
        <v>261</v>
      </c>
      <c r="AI36" s="1" t="s">
        <v>774</v>
      </c>
      <c r="AL36" s="1" t="s">
        <v>775</v>
      </c>
      <c r="AO36" s="5">
        <v>12307.0</v>
      </c>
      <c r="AR36" s="1" t="s">
        <v>193</v>
      </c>
      <c r="AU36" s="1" t="s">
        <v>776</v>
      </c>
      <c r="AX36" s="1">
        <v>1933.0</v>
      </c>
      <c r="BJ36" s="1" t="s">
        <v>777</v>
      </c>
    </row>
    <row r="37">
      <c r="A37" s="1" t="s">
        <v>778</v>
      </c>
      <c r="B37" s="1" t="str">
        <f>IFERROR(__xludf.DUMMYFUNCTION("GOOGLETRANSLATE(A:A, ""en"", ""te"")"),"సైనిక విమానం HM-1")</f>
        <v>సైనిక విమానం HM-1</v>
      </c>
      <c r="C37" s="1" t="s">
        <v>779</v>
      </c>
      <c r="D37" s="2" t="str">
        <f>IFERROR(__xludf.DUMMYFUNCTION("GOOGLETRANSLATE(C:C, ""en"", ""te"")"),"మునుపటి హాక్స్ మిల్లెర్ హెచ్ఎమ్ -1 రేసింగ్ విమానం నుండి ఉద్భవించిన మిలటరీ విమానం HM-1, ""టైమ్ ఫ్లైస్"" ఒక అమెరికన్ ప్రోటోటైప్ దాడి/పరిశీలన విమానం. పరీక్ష సమయంలో ఏకైక ఉదాహరణ నాశనం అయిన తరువాత HM-1 ఉత్పత్తిని సాధించలేదు. 1936 లో, ఫ్రాంక్ హాక్స్ హోవెల్ డబ్ల్"&amp;"యూ. కలప నిర్మాణంపై ఇప్పటికీ ఎక్కువగా ఆధారపడిన ఒక అధునాతన విమాన రూపకల్పనతో, HM-1 వినూత్న రూపకల్పన అంశాలను కలిగి ఉంది, వీటిలో ""బరీయింగ్"" కాక్‌పిట్ యొక్క అసాధారణ లక్షణంతో సహా, ఫ్యూజ్‌లేజ్ టాప్ కు సరిపోయేలా వంగిన విండ్‌షీల్డ్ ఆకృతితో, చాలా క్రమబద్ధీకరించిన "&amp;"ఆకారాన్ని సృష్టిస్తుంది. టేకాఫ్ మరియు ల్యాండింగ్ కోసం కాక్‌పిట్ విస్తరించబడింది, కాని విమానంలో ఉపసంహరించుకుంది, పైలట్ సీటు తగ్గించబడింది మరియు విండ్‌షీల్డ్ ఫ్యూజ్‌లేజ్‌తో ఫ్లష్‌గా మారింది. అక్టోబర్ 18, 1936 న మొదటి ఫ్లైట్ తరువాత, హాక్స్ కనెక్టికట్, హార్ట్"&amp;"‌ఫోర్డ్ నుండి ఫ్లోరిడాలోని హార్ట్‌ఫోర్డ్ నుండి ఏప్రిల్ 13, 1937 న 4 గంటలు 55 నిమిషాల్లో ""టైమ్ ఫ్లైస్"" ను ఎగరవేసింది. [1] తరువాత అతను న్యూజెర్సీలోని నెవార్క్ విమానాశ్రయానికి 4 గంటలు 21 నిమిషాల్లో వెళ్లాడు, కాని నెవార్క్ వద్ద ల్యాండింగ్ కోసం బౌన్స్ అయ్యాడ"&amp;"ు మరియు ఇతర స్పార్లతో కుడి వింగ్లో ఒక చెక్క స్పార్ ను విరిగింది. [2] నిధుల కొరత, హాక్స్ విమానాన్ని పునర్నిర్మించకూడదని నిర్ణయించుకున్నాడు మరియు ట్రై-అమెరికన్ ఏవియేషన్‌కు ఇంజనీరింగ్ డేటాతో సహా డిజైన్‌కు హక్కులను విక్రయించాయి, డిజైన్‌ను వేగంగా రెండు సీట్ల ద"&amp;"ాడి/పరిశీలన విమానంగా మార్చాలని కోరుకున్నారు. [3] ఈ విమానం రెక్కలలో రెండు మెషిన్ గన్స్ మరియు మరొక మెషిన్ గన్ కొత్త వెనుక కాక్‌పిట్‌లో సౌకర్యవంతమైన మౌంట్‌లో అమర్చబడి ఉంటుంది. [N 1] ట్రై-అమెరికన్ ఏవియేషన్, లీ వాడే మరియు ఎడ్వర్డ్ కానెర్టన్ యొక్క ప్రధానోపాధ్యా"&amp;"యులు, మిల్లర్ నిమగ్నమయ్యారు. 1938 లో విమానం మరింత సాంప్రదాయిక గ్రీన్హౌస్ పందిరితో రెండు సీటర్లుగా జోడించబడింది, మిల్లెర్ యొక్క మునుపటి గీ బీ q.e.d. రూపకల్పన. ఈ విమానం మొట్టమొదట మిల్లెర్ హెచ్‌ఎం -2 గా పేరు మార్చబడింది, కాని కంపెనీని మిల్లెర్ ఎయిర్‌క్రాఫ్ట్"&amp;" కోగా పునర్వ్యవస్థీకరించబడినప్పుడు, దీనిని మాక్ -1 మరియు సైనిక విమానం హెచ్‌ఎం -1 అని పిలుస్తారు, అయినప్పటికీ పత్రికలలో తరచుగా ""హాక్స్ మిలిటరీ రేసర్"" గా వర్ణించారు. , హాక్స్ ఇకపై చురుకుగా పాల్గొనలేదు. [1] విమానం యొక్క సామర్థ్యాన్ని ప్రదర్శించాలనే ఉద్దేశ్"&amp;"యంతో, పైలట్ లీ వాడే 1938 థాంప్సన్ ట్రోఫీ రేసులో MAC-1/HM-1 లోకి ప్రవేశించాడు. [5] డమ్మీ మెషిన్ గన్‌లతో అమర్చిన సైనిక ఆకృతీకరణలో, వాడే విమానాన్ని నాల్గవ స్థానంలో నిలిచాడు. ఎయిర్ రేసర్ మరియు టెస్ట్ పైలట్ ఎర్ల్ ఓర్ట్‌మన్‌ను కనెక్టికట్‌లోని ఈస్ట్ హార్ట్‌ఫోర్డ"&amp;"్‌లో హెచ్‌ఎం -1 ను ఎగరడానికి నియమించారు, ఇక్కడ విదేశీ సైనిక ప్రయోజనాల కోసం విమాన సామర్థ్యాలను ప్రదర్శించడానికి మరియు సైనిక ఒప్పందాలను వెతకడానికి 25 మైళ్ల (40 కిమీ) కోర్సును ఏర్పాటు చేశారు. [3 3 ] ఆగష్టు 23, 1938 న, ఓర్ట్మాన్ వారి ఉద్యోగులు మరియు హామిల్టన్"&amp;" ప్రామాణిక సాంకేతిక నిపుణులు అందుబాటులో ఉన్న ప్రాట్ &amp; విట్నీ ఎయిర్క్రాఫ్ట్ ఫ్యాక్టరీకి ఆనుకొని ఉన్న రెంట్స్‌చ్లర్ ఫీల్డ్ పైన ప్రయాణించాడు. అతను HM-1 లో కోర్సులో నాలుగు పాస్లు చేశాడు, సగటున 369 mph (594 కిమీ/గం) వేగాన్ని సాధించాడు. పరీక్ష యొక్క తదుపరి దశ ఆ"&amp;"రోహణ రేట్లు నిర్ణయించాలని పిలుపునిచ్చింది. 1,000 అడుగుల (304.93 మీ) నుండి, ఓర్ట్మాన్ 10,000 అడుగుల (3,048 మీ) కు ఎక్కి, తరువాత 1,000 అడుగుల (304.93 మీ) కు డైవ్ చేసి, మరొక ఆరోహణను ప్రారంభించండి. [4] అతని చివరి డైవ్‌లో, నివేదించబడిన 425 mph (684 కిమీ/గం) వద"&amp;"్ద, రెక్కలపై ఉంచిన ఒత్తిళ్లు చాలా గొప్పగా ఉన్నప్పుడు మరియు రెక్కలు కత్తిరించినప్పుడు ట్యాంకుల్లో ఇంధనం బదిలీ చేయబడుతోంది. [4] ఓర్ట్మాన్ సురక్షితంగా బెయిల్ ఇవ్వగలిగాడు, కాని విమానం కూల్చివేయబడింది మరియు ప్రాజెక్ట్ వదిలివేయబడింది. [7] [N 4] సాధారణ లక్షణాల ప"&amp;"నితీరు")</f>
        <v>మునుపటి హాక్స్ మిల్లెర్ హెచ్ఎమ్ -1 రేసింగ్ విమానం నుండి ఉద్భవించిన మిలటరీ విమానం HM-1, "టైమ్ ఫ్లైస్" ఒక అమెరికన్ ప్రోటోటైప్ దాడి/పరిశీలన విమానం. పరీక్ష సమయంలో ఏకైక ఉదాహరణ నాశనం అయిన తరువాత HM-1 ఉత్పత్తిని సాధించలేదు. 1936 లో, ఫ్రాంక్ హాక్స్ హోవెల్ డబ్ల్యూ. కలప నిర్మాణంపై ఇప్పటికీ ఎక్కువగా ఆధారపడిన ఒక అధునాతన విమాన రూపకల్పనతో, HM-1 వినూత్న రూపకల్పన అంశాలను కలిగి ఉంది, వీటిలో "బరీయింగ్" కాక్‌పిట్ యొక్క అసాధారణ లక్షణంతో సహా, ఫ్యూజ్‌లేజ్ టాప్ కు సరిపోయేలా వంగిన విండ్‌షీల్డ్ ఆకృతితో, చాలా క్రమబద్ధీకరించిన ఆకారాన్ని సృష్టిస్తుంది. టేకాఫ్ మరియు ల్యాండింగ్ కోసం కాక్‌పిట్ విస్తరించబడింది, కాని విమానంలో ఉపసంహరించుకుంది, పైలట్ సీటు తగ్గించబడింది మరియు విండ్‌షీల్డ్ ఫ్యూజ్‌లేజ్‌తో ఫ్లష్‌గా మారింది. అక్టోబర్ 18, 1936 న మొదటి ఫ్లైట్ తరువాత, హాక్స్ కనెక్టికట్, హార్ట్‌ఫోర్డ్ నుండి ఫ్లోరిడాలోని హార్ట్‌ఫోర్డ్ నుండి ఏప్రిల్ 13, 1937 న 4 గంటలు 55 నిమిషాల్లో "టైమ్ ఫ్లైస్" ను ఎగరవేసింది. [1] తరువాత అతను న్యూజెర్సీలోని నెవార్క్ విమానాశ్రయానికి 4 గంటలు 21 నిమిషాల్లో వెళ్లాడు, కాని నెవార్క్ వద్ద ల్యాండింగ్ కోసం బౌన్స్ అయ్యాడు మరియు ఇతర స్పార్లతో కుడి వింగ్లో ఒక చెక్క స్పార్ ను విరిగింది. [2] నిధుల కొరత, హాక్స్ విమానాన్ని పునర్నిర్మించకూడదని నిర్ణయించుకున్నాడు మరియు ట్రై-అమెరికన్ ఏవియేషన్‌కు ఇంజనీరింగ్ డేటాతో సహా డిజైన్‌కు హక్కులను విక్రయించాయి, డిజైన్‌ను వేగంగా రెండు సీట్ల దాడి/పరిశీలన విమానంగా మార్చాలని కోరుకున్నారు. [3] ఈ విమానం రెక్కలలో రెండు మెషిన్ గన్స్ మరియు మరొక మెషిన్ గన్ కొత్త వెనుక కాక్‌పిట్‌లో సౌకర్యవంతమైన మౌంట్‌లో అమర్చబడి ఉంటుంది. [N 1] ట్రై-అమెరికన్ ఏవియేషన్, లీ వాడే మరియు ఎడ్వర్డ్ కానెర్టన్ యొక్క ప్రధానోపాధ్యాయులు, మిల్లర్ నిమగ్నమయ్యారు. 1938 లో విమానం మరింత సాంప్రదాయిక గ్రీన్హౌస్ పందిరితో రెండు సీటర్లుగా జోడించబడింది, మిల్లెర్ యొక్క మునుపటి గీ బీ q.e.d. రూపకల్పన. ఈ విమానం మొట్టమొదట మిల్లెర్ హెచ్‌ఎం -2 గా పేరు మార్చబడింది, కాని కంపెనీని మిల్లెర్ ఎయిర్‌క్రాఫ్ట్ కోగా పునర్వ్యవస్థీకరించబడినప్పుడు, దీనిని మాక్ -1 మరియు సైనిక విమానం హెచ్‌ఎం -1 అని పిలుస్తారు, అయినప్పటికీ పత్రికలలో తరచుగా "హాక్స్ మిలిటరీ రేసర్" గా వర్ణించారు. , హాక్స్ ఇకపై చురుకుగా పాల్గొనలేదు. [1] విమానం యొక్క సామర్థ్యాన్ని ప్రదర్శించాలనే ఉద్దేశ్యంతో, పైలట్ లీ వాడే 1938 థాంప్సన్ ట్రోఫీ రేసులో MAC-1/HM-1 లోకి ప్రవేశించాడు. [5] డమ్మీ మెషిన్ గన్‌లతో అమర్చిన సైనిక ఆకృతీకరణలో, వాడే విమానాన్ని నాల్గవ స్థానంలో నిలిచాడు. ఎయిర్ రేసర్ మరియు టెస్ట్ పైలట్ ఎర్ల్ ఓర్ట్‌మన్‌ను కనెక్టికట్‌లోని ఈస్ట్ హార్ట్‌ఫోర్డ్‌లో హెచ్‌ఎం -1 ను ఎగరడానికి నియమించారు, ఇక్కడ విదేశీ సైనిక ప్రయోజనాల కోసం విమాన సామర్థ్యాలను ప్రదర్శించడానికి మరియు సైనిక ఒప్పందాలను వెతకడానికి 25 మైళ్ల (40 కిమీ) కోర్సును ఏర్పాటు చేశారు. [3 3 ] ఆగష్టు 23, 1938 న, ఓర్ట్మాన్ వారి ఉద్యోగులు మరియు హామిల్టన్ ప్రామాణిక సాంకేతిక నిపుణులు అందుబాటులో ఉన్న ప్రాట్ &amp; విట్నీ ఎయిర్క్రాఫ్ట్ ఫ్యాక్టరీకి ఆనుకొని ఉన్న రెంట్స్‌చ్లర్ ఫీల్డ్ పైన ప్రయాణించాడు. అతను HM-1 లో కోర్సులో నాలుగు పాస్లు చేశాడు, సగటున 369 mph (594 కిమీ/గం) వేగాన్ని సాధించాడు. పరీక్ష యొక్క తదుపరి దశ ఆరోహణ రేట్లు నిర్ణయించాలని పిలుపునిచ్చింది. 1,000 అడుగుల (304.93 మీ) నుండి, ఓర్ట్మాన్ 10,000 అడుగుల (3,048 మీ) కు ఎక్కి, తరువాత 1,000 అడుగుల (304.93 మీ) కు డైవ్ చేసి, మరొక ఆరోహణను ప్రారంభించండి. [4] అతని చివరి డైవ్‌లో, నివేదించబడిన 425 mph (684 కిమీ/గం) వద్ద, రెక్కలపై ఉంచిన ఒత్తిళ్లు చాలా గొప్పగా ఉన్నప్పుడు మరియు రెక్కలు కత్తిరించినప్పుడు ట్యాంకుల్లో ఇంధనం బదిలీ చేయబడుతోంది. [4] ఓర్ట్మాన్ సురక్షితంగా బెయిల్ ఇవ్వగలిగాడు, కాని విమానం కూల్చివేయబడింది మరియు ప్రాజెక్ట్ వదిలివేయబడింది. [7] [N 4] సాధారణ లక్షణాల పనితీరు</v>
      </c>
      <c r="E37" s="1" t="s">
        <v>780</v>
      </c>
      <c r="F37" s="1" t="s">
        <v>363</v>
      </c>
      <c r="G37" s="1" t="str">
        <f>IFERROR(__xludf.DUMMYFUNCTION("GOOGLETRANSLATE(F:F, ""en"", ""te"")"),"రేసింగ్ విమానం")</f>
        <v>రేసింగ్ విమానం</v>
      </c>
      <c r="H37" s="1" t="s">
        <v>364</v>
      </c>
      <c r="I37" s="1" t="s">
        <v>781</v>
      </c>
      <c r="J37" s="1" t="str">
        <f>IFERROR(__xludf.DUMMYFUNCTION("GOOGLETRANSLATE(I:I, ""en"", ""te"")"),"మిల్లెర్ ఏవియేషన్ కార్పొరేషన్")</f>
        <v>మిల్లెర్ ఏవియేషన్ కార్పొరేషన్</v>
      </c>
      <c r="K37" s="1" t="s">
        <v>782</v>
      </c>
      <c r="L37" s="1" t="s">
        <v>783</v>
      </c>
      <c r="M37" s="2" t="str">
        <f>IFERROR(__xludf.DUMMYFUNCTION("GOOGLETRANSLATE(L:L, ""en"", ""te"")"),"హోవెల్ డబ్ల్యూ. ""పీట్"" మిల్లెర్")</f>
        <v>హోవెల్ డబ్ల్యూ. "పీట్" మిల్లెర్</v>
      </c>
      <c r="O37" s="1">
        <v>1.0</v>
      </c>
      <c r="P37" s="1" t="s">
        <v>784</v>
      </c>
      <c r="Q37" s="1" t="s">
        <v>785</v>
      </c>
      <c r="R37" s="1">
        <v>2.0</v>
      </c>
      <c r="T37" s="1" t="s">
        <v>786</v>
      </c>
      <c r="U37" s="1" t="s">
        <v>427</v>
      </c>
      <c r="V37" s="1" t="s">
        <v>787</v>
      </c>
      <c r="W37" s="1" t="s">
        <v>788</v>
      </c>
      <c r="Z37" s="1" t="s">
        <v>789</v>
      </c>
      <c r="AL37" s="1" t="s">
        <v>790</v>
      </c>
      <c r="AO37" s="1" t="s">
        <v>791</v>
      </c>
      <c r="BI37" s="1" t="s">
        <v>792</v>
      </c>
    </row>
    <row r="38">
      <c r="A38" s="1" t="s">
        <v>793</v>
      </c>
      <c r="B38" s="1" t="str">
        <f>IFERROR(__xludf.DUMMYFUNCTION("GOOGLETRANSLATE(A:A, ""en"", ""te"")"),"లుబ్లిన్ ఆర్-ఎక్స్")</f>
        <v>లుబ్లిన్ ఆర్-ఎక్స్</v>
      </c>
      <c r="C38" s="1" t="s">
        <v>794</v>
      </c>
      <c r="D38" s="2" t="str">
        <f>IFERROR(__xludf.DUMMYFUNCTION("GOOGLETRANSLATE(C:C, ""en"", ""te"")"),"లుబ్లిన్ ఆర్-ఎక్స్ ఒక పోలిష్ సింగిల్-ఇంజిన్, రెండు సీట్ల అనుసంధాన విమానం, ఇది 1929 లో లుబ్లిన్ లోని ప్లేజ్ ఐ లాకివిచ్ ఫ్యాక్టరీలో నిర్మించబడింది. ఏడు పూర్తయ్యాయి, వాటిలో రెండు ప్రోటోటైప్స్. నలుగురు పోలిష్ ఎయిర్ రెజిమెంట్లతో పనిచేశారు మరియు మరొకరు అనేక ముఖ"&amp;"్యమైన విమానాలు మరియు పర్యటనలు చేశారు. 1927 లో, పోలిష్ యుద్ధ మంత్రిత్వ శాఖ సాధారణం వైమానిక క్షేత్రాల నుండి పనిచేసే ఆర్మీ ల్యాండ్ యూనిట్ల ఉపయోగం కోసం సైనిక అనుసంధానం మరియు పరిశీలన విమానం కోసం ఒక పోటీని ప్రారంభించింది. లుబ్లిన్లోని ప్రైవేట్ ఫ్యాక్టరీ ప్లేజ్ "&amp;"I లాకివిచ్జ్ లుబ్లిన్ R-X ను ప్రతిపాదించారు, దీనిని 1928 లో జెర్జీ రుడ్లికి రూపొందించారు. స్కిస్‌తో అమర్చబడి, ప్రోటోటైప్ మొదట 8 ఫిబ్రవరి 1929 న మంచు నుండి ఎగురవేయబడింది, తరువాత వసంతకాలంలో రెండవ నమూనా ఉంది. వాటిని విస్తృతంగా పరీక్షించారు మరియు బాగా నిర్వహి"&amp;"ంచారు. ఈ పరీక్షల సమయంలో, రెండు ప్రోటోటైప్‌లు వారి సాధారణంగా అన్‌కౌల్డ్ రేడియల్ ఇంజిన్ల చుట్టూ టౌనెండ్ రింగులతో అమర్చిన మొట్టమొదటి పోలిష్ విమానంగా మారాయి. ఐదు ప్రీ-సిరీస్ విమానం 1929 తరువాత, మొదటి నాలుగు, వెనుక కాక్‌పిట్‌లో 7.7 మిమీ (0.30 అంగుళాలు) లూయిస్ "&amp;"తుపాకీకి వేరు చేయగలిగిన రింగ్ మౌంటు చేయడంలో ప్రోటోటైప్‌లకు భిన్నంగా ఉంటుంది. ఐదవది, R-XA ను నియమించింది, సవరించిన ఎగ్జాస్ట్ సిస్టమ్‌తో బలోపేతం చేయబడిన, నిరాయుధమైన, సుదూర టూరర్‌గా మరియు 1,000 L (220 IMP GAL; 260 US GAL) యొక్క ఇంధన సామర్థ్యం 18 గంటల ఓర్పు ఇ"&amp;"చ్చింది . [[ R-X అనేది మిశ్రమ నిర్మాణం (ఉక్కు మరియు కలప) యొక్క బ్రేస్డ్ పారాసోల్ వింగ్ డిజైన్ మరియు లేఅవుట్లో సాంప్రదాయిక. దీని రెక్క రెండు చెక్క స్పార్‌ల ఆధారంగా రెండు భాగాలుగా నిర్మించబడింది, ప్లైవుడ్ ప్రముఖ అంచు చుట్టూ మరియు ఫాబ్రిక్ మరెక్కడా కప్పబడి ఉ"&amp;"ంది. ప్రణాళికలో రెక్కలు సెమీ-ఎలిప్టికల్ చిట్కాలతో కేంద్రంగా దీర్ఘచతురస్రాకారంగా ఉన్నాయి. ఇది ఒక జత సమాంతర ఉక్కు స్ట్రట్‌ల ద్వారా దిగువ ఫ్యూజ్‌లేజ్‌కు కట్టుబడి ఉంది మరియు విలోమ-V క్యాబనే చేత ఫ్యూజ్‌లేజ్‌పై ఉంచబడింది. [1] నిర్మాణాత్మకంగా దాని ఫ్యూజ్‌లేజ్ వె"&amp;"ల్డెడ్ స్టీల్ గొట్టాలతో ఏర్పడిన దీర్ఘచతురస్రాకార విభాగం ఫ్రేమ్. ఫార్వర్డ్ భాగం డ్యూరాలిమిన్ షీట్ మరియు మిగిలినవి ఫాబ్రిక్‌తో కప్పబడి ఉన్నాయి. ఇది 220 హెచ్‌పి (160 కిలోవాట్ల) రైట్ వర్ల్‌విండ్ జె -5 ఎబి, ఎయిర్-కూల్డ్, తొమ్మిది సిలిండర్ రేడియల్ ఇంజిన్ లైసెన్"&amp;"స్ పోలాండ్‌లో స్కోడా నిర్మించింది. టౌనెండ్ రింగులు ఎప్పటికప్పుడు కొన్ని ఉదాహరణలకు అమర్చబడి ఉన్నప్పటికీ ఇది సాధారణంగా అవాంఛనీయమైనది. 3.0 మీ (9 అడుగుల 10 అంగుళాలు) వ్యాసం కలిగిన కలప మరియు లోహ ప్రొపెల్లర్లు రెండూ ఉపయోగించబడ్డాయి. ఫార్వర్డ్ ఫ్యూజ్‌లేజ్‌లో డ్ర"&amp;"ాప్ చేయగల ఇంధన ట్యాంక్ ఉంది. R-X లో రెండు ఓపెన్ కాక్‌పిట్‌లు ఉన్నాయి, ఇది ద్వంద్వ నియంత్రణలతో అమర్చబడి ఉంటుంది; వెనుక కాక్‌పిట్‌లో తుపాకీ-మౌంటు రింగ్ ఉంది. [1] [2] దీని ఎంపెనేజ్ సాంప్రదాయిక మరియు నిర్మాణాత్మకంగా ఫ్యూజ్‌లేజ్‌తో సమానంగా ఉంటుంది, స్టీల్ ట్యూ"&amp;"బ్ ఫ్రేమ్‌లు మరియు ఫాబ్రిక్ కవరింగ్. టెయిల్‌ప్లేన్ ఫ్యూజ్‌లేజ్ పైన అమర్చబడి, క్రింద నుండి ప్రతి వైపు ఒక జత సమాంతర స్ట్రట్‌లతో కలుపుతారు. [1] ప్రణాళికలో టెయిల్‌ప్లేన్ మరియు ఎలివేటర్ సెమీ ఎలిప్టికల్ చిట్కాలకు స్థిరమైన తీగను కలిగి ఉన్నాయి. ఫిన్ మరియు చుక్కాన"&amp;"ి మరింత గుండ్రంగా ఉన్నారు, రెండోది కీల్‌కు విస్తరించి, ఎలివేటర్ కటౌట్‌లో పనిచేస్తుంది. [2] R-X లో 3.0 M (9 ft 10 in) ట్రాక్‌తో విభజించబడిన అండర్ క్యారేజీ ఉంది. ప్రతి మెయిన్‌వీల్ సగం-యాక్సిల్ మరియు వ్యాసార్థం రాడ్‌లో ఉంది, ప్రతి ఒక్కటి దిగువ ఫ్యూజ్‌లేజ్ లా"&amp;"ంగన్‌పై అతుక్కొని, షాక్-శోషక ఒలియో స్ట్రట్ ఫార్వర్డ్ వింగ్ స్ట్రట్‌కు జతచేయబడి, వెనుక వింగ్ స్ట్రట్ బేస్ వరకు స్ట్రట్ ద్వారా బలోపేతం చేయబడింది మరియు మరొకటి ఎగువ కోసం. [1] రవాణా సౌలభ్యం కోసం, R-X యొక్క రెక్కలను ఫ్యూజ్‌లేజ్‌తో పాటు తిరిగి ఫ్లాట్‌గా ముడుచుకో"&amp;"వచ్చు, అంచులను క్రిందికి నడిపిస్తుంది, ఒకసారి టెయిల్‌ప్లేన్‌లు పైకి ముడుచుకున్నాయి. [1] ప్రీ-సిరీస్ R-XS ను 1929 నుండి పోలిష్ వైమానిక దళం అనుసంధాన విమానం మరియు సిబ్బంది రవాణాగా ఉపయోగించారు. [1] R-XA, SP-ABW గా నమోదు చేయబడింది మరియు ""SREBRNY PTAK"" (సిల్వ"&amp;"ర్ బర్డ్) అని పేరు పెట్టబడింది, అనేక సుదూర విమానాలకు ఉపయోగించబడింది. వేసవిలో 1929 వేసవిలో పోజ్నాస్ మరియు బార్సిలోనా రెండింటిలో అంతర్జాతీయ ప్రదర్శనలు ఉన్నాయి, ఇందులో విమానయాన పరిశ్రమ ఉంది. ఆగష్టు 25, 1929 న, R-XA నగరాల మధ్య నాన్-స్టాప్ ఎగిరింది, వాక్లా మాక"&amp;"ోవ్స్కియా పైలట్ చేయబడింది. అతను మరియు అతని ప్రయాణీకుడు 12 గం 15 నిమిషాల్లో 1,700 కిమీ (1,100 మైళ్ళు; 920 ఎన్ఎమ్ఐ) కవర్ చేశారు. అక్టోబర్‌లో ఇది నైరుతి పోలాండ్ 1 వ పర్యటనలో పాల్గొంది. [1] 1931 లో, స్టానిస్సా కార్పియస్కి మధ్యప్రాచ్యానికి సుదీర్ఘ విమాన ప్రయాణ"&amp;"ానికి ప్రణాళిక వేస్తున్నాడు. R-XA యొక్క అనుకూలతను పరీక్షించడానికి అతను పోలాండ్ యొక్క మూడు పర్యటనలు చేసాడు మరియు తరువాత వార్సా నుండి బుకారెస్ట్, ఇస్తాంబుల్, రోమ్, టురిన్ మరియు లండన్ ద్వారా ఐదు రోజుల రౌండ్ ట్రిప్ చేసాడు, 6,450 కిమీ (4,010 మైళ్ళు; 3,480 ఎన్ఎ"&amp;"మ్ఐ) దూరం. ఈ అనుభవం తన విమానానికి మార్పులకు దారితీసింది, ఇంధన పంపిణీ, అండర్ క్యారేజీని బలోపేతం చేయడం, టౌనెండ్ రింగ్ మరియు స్పాటెడ్ చక్రాలతో సహా ఏరోడైనమిక్ శుద్ధీకరణలతో సహా. మార్పుల తరువాత ఈ రకాన్ని కొన్నిసార్లు R-XA BIS గా సూచిస్తారు. [1] ఇస్టార్టింగ్ 2 అ"&amp;"క్టోబర్ 1932 న అతను తన ప్రణాళికాబద్ధమైన ప్రయాణాన్ని వార్సా నుండి కాబూల్ వరకు ఇస్తాంబుల్, బాగ్దాద్, టెహెరాన్ మరియు హెరాట్ ద్వారా ప్రారంభించాడు. అతను బాగ్దాద్ వరకు తిరిగి వచ్చాడు, తరువాత కైరో, జెరూసలేం, అలెప్పో మరియు ఇస్తాంబుల్ లకు వెళ్ళాడు, అక్టోబర్ 24 న ల"&amp;"ుబ్లిన్ ద్వారా వార్సాకు చేరుకున్నాడు. ఇది 14,390 కిమీ (8,940 మైళ్ళు; 7,770 ఎన్ఎమ్ఐ) ప్రయాణం, 108 గం 50 మీ. [1] విమాన సమయం. R-X ఎప్పుడూ సిరీస్ ఉత్పత్తికి చేరుకోనప్పటికీ, ఒక వారసుడు, లుబ్లిన్ R-XIII, పెద్ద సంఖ్యలో నిర్మించబడింది. [3] జేన్ యొక్క ఆల్ ది వరల్డ"&amp;"్ విమానాల నుండి డేటా 1931, [4] పోలిష్ విమానం 1893-1939 [1] సాధారణ లక్షణాలు పనితీరు ఆయుధాలు పోల్చదగిన పాత్ర, కాన్ఫిగరేషన్ మరియు యుగం యొక్క విమానం")</f>
        <v>లుబ్లిన్ ఆర్-ఎక్స్ ఒక పోలిష్ సింగిల్-ఇంజిన్, రెండు సీట్ల అనుసంధాన విమానం, ఇది 1929 లో లుబ్లిన్ లోని ప్లేజ్ ఐ లాకివిచ్ ఫ్యాక్టరీలో నిర్మించబడింది. ఏడు పూర్తయ్యాయి, వాటిలో రెండు ప్రోటోటైప్స్. నలుగురు పోలిష్ ఎయిర్ రెజిమెంట్లతో పనిచేశారు మరియు మరొకరు అనేక ముఖ్యమైన విమానాలు మరియు పర్యటనలు చేశారు. 1927 లో, పోలిష్ యుద్ధ మంత్రిత్వ శాఖ సాధారణం వైమానిక క్షేత్రాల నుండి పనిచేసే ఆర్మీ ల్యాండ్ యూనిట్ల ఉపయోగం కోసం సైనిక అనుసంధానం మరియు పరిశీలన విమానం కోసం ఒక పోటీని ప్రారంభించింది. లుబ్లిన్లోని ప్రైవేట్ ఫ్యాక్టరీ ప్లేజ్ I లాకివిచ్జ్ లుబ్లిన్ R-X ను ప్రతిపాదించారు, దీనిని 1928 లో జెర్జీ రుడ్లికి రూపొందించారు. స్కిస్‌తో అమర్చబడి, ప్రోటోటైప్ మొదట 8 ఫిబ్రవరి 1929 న మంచు నుండి ఎగురవేయబడింది, తరువాత వసంతకాలంలో రెండవ నమూనా ఉంది. వాటిని విస్తృతంగా పరీక్షించారు మరియు బాగా నిర్వహించారు. ఈ పరీక్షల సమయంలో, రెండు ప్రోటోటైప్‌లు వారి సాధారణంగా అన్‌కౌల్డ్ రేడియల్ ఇంజిన్ల చుట్టూ టౌనెండ్ రింగులతో అమర్చిన మొట్టమొదటి పోలిష్ విమానంగా మారాయి. ఐదు ప్రీ-సిరీస్ విమానం 1929 తరువాత, మొదటి నాలుగు, వెనుక కాక్‌పిట్‌లో 7.7 మిమీ (0.30 అంగుళాలు) లూయిస్ తుపాకీకి వేరు చేయగలిగిన రింగ్ మౌంటు చేయడంలో ప్రోటోటైప్‌లకు భిన్నంగా ఉంటుంది. ఐదవది, R-XA ను నియమించింది, సవరించిన ఎగ్జాస్ట్ సిస్టమ్‌తో బలోపేతం చేయబడిన, నిరాయుధమైన, సుదూర టూరర్‌గా మరియు 1,000 L (220 IMP GAL; 260 US GAL) యొక్క ఇంధన సామర్థ్యం 18 గంటల ఓర్పు ఇచ్చింది . [[ R-X అనేది మిశ్రమ నిర్మాణం (ఉక్కు మరియు కలప) యొక్క బ్రేస్డ్ పారాసోల్ వింగ్ డిజైన్ మరియు లేఅవుట్లో సాంప్రదాయిక. దీని రెక్క రెండు చెక్క స్పార్‌ల ఆధారంగా రెండు భాగాలుగా నిర్మించబడింది, ప్లైవుడ్ ప్రముఖ అంచు చుట్టూ మరియు ఫాబ్రిక్ మరెక్కడా కప్పబడి ఉంది. ప్రణాళికలో రెక్కలు సెమీ-ఎలిప్టికల్ చిట్కాలతో కేంద్రంగా దీర్ఘచతురస్రాకారంగా ఉన్నాయి. ఇది ఒక జత సమాంతర ఉక్కు స్ట్రట్‌ల ద్వారా దిగువ ఫ్యూజ్‌లేజ్‌కు కట్టుబడి ఉంది మరియు విలోమ-V క్యాబనే చేత ఫ్యూజ్‌లేజ్‌పై ఉంచబడింది. [1] నిర్మాణాత్మకంగా దాని ఫ్యూజ్‌లేజ్ వెల్డెడ్ స్టీల్ గొట్టాలతో ఏర్పడిన దీర్ఘచతురస్రాకార విభాగం ఫ్రేమ్. ఫార్వర్డ్ భాగం డ్యూరాలిమిన్ షీట్ మరియు మిగిలినవి ఫాబ్రిక్‌తో కప్పబడి ఉన్నాయి. ఇది 220 హెచ్‌పి (160 కిలోవాట్ల) రైట్ వర్ల్‌విండ్ జె -5 ఎబి, ఎయిర్-కూల్డ్, తొమ్మిది సిలిండర్ రేడియల్ ఇంజిన్ లైసెన్స్ పోలాండ్‌లో స్కోడా నిర్మించింది. టౌనెండ్ రింగులు ఎప్పటికప్పుడు కొన్ని ఉదాహరణలకు అమర్చబడి ఉన్నప్పటికీ ఇది సాధారణంగా అవాంఛనీయమైనది. 3.0 మీ (9 అడుగుల 10 అంగుళాలు) వ్యాసం కలిగిన కలప మరియు లోహ ప్రొపెల్లర్లు రెండూ ఉపయోగించబడ్డాయి. ఫార్వర్డ్ ఫ్యూజ్‌లేజ్‌లో డ్రాప్ చేయగల ఇంధన ట్యాంక్ ఉంది. R-X లో రెండు ఓపెన్ కాక్‌పిట్‌లు ఉన్నాయి, ఇది ద్వంద్వ నియంత్రణలతో అమర్చబడి ఉంటుంది; వెనుక కాక్‌పిట్‌లో తుపాకీ-మౌంటు రింగ్ ఉంది. [1] [2] దీని ఎంపెనేజ్ సాంప్రదాయిక మరియు నిర్మాణాత్మకంగా ఫ్యూజ్‌లేజ్‌తో సమానంగా ఉంటుంది, స్టీల్ ట్యూబ్ ఫ్రేమ్‌లు మరియు ఫాబ్రిక్ కవరింగ్. టెయిల్‌ప్లేన్ ఫ్యూజ్‌లేజ్ పైన అమర్చబడి, క్రింద నుండి ప్రతి వైపు ఒక జత సమాంతర స్ట్రట్‌లతో కలుపుతారు. [1] ప్రణాళికలో టెయిల్‌ప్లేన్ మరియు ఎలివేటర్ సెమీ ఎలిప్టికల్ చిట్కాలకు స్థిరమైన తీగను కలిగి ఉన్నాయి. ఫిన్ మరియు చుక్కాని మరింత గుండ్రంగా ఉన్నారు, రెండోది కీల్‌కు విస్తరించి, ఎలివేటర్ కటౌట్‌లో పనిచేస్తుంది. [2] R-X లో 3.0 M (9 ft 10 in) ట్రాక్‌తో విభజించబడిన అండర్ క్యారేజీ ఉంది. ప్రతి మెయిన్‌వీల్ సగం-యాక్సిల్ మరియు వ్యాసార్థం రాడ్‌లో ఉంది, ప్రతి ఒక్కటి దిగువ ఫ్యూజ్‌లేజ్ లాంగన్‌పై అతుక్కొని, షాక్-శోషక ఒలియో స్ట్రట్ ఫార్వర్డ్ వింగ్ స్ట్రట్‌కు జతచేయబడి, వెనుక వింగ్ స్ట్రట్ బేస్ వరకు స్ట్రట్ ద్వారా బలోపేతం చేయబడింది మరియు మరొకటి ఎగువ కోసం. [1] రవాణా సౌలభ్యం కోసం, R-X యొక్క రెక్కలను ఫ్యూజ్‌లేజ్‌తో పాటు తిరిగి ఫ్లాట్‌గా ముడుచుకోవచ్చు, అంచులను క్రిందికి నడిపిస్తుంది, ఒకసారి టెయిల్‌ప్లేన్‌లు పైకి ముడుచుకున్నాయి. [1] ప్రీ-సిరీస్ R-XS ను 1929 నుండి పోలిష్ వైమానిక దళం అనుసంధాన విమానం మరియు సిబ్బంది రవాణాగా ఉపయోగించారు. [1] R-XA, SP-ABW గా నమోదు చేయబడింది మరియు "SREBRNY PTAK" (సిల్వర్ బర్డ్) అని పేరు పెట్టబడింది, అనేక సుదూర విమానాలకు ఉపయోగించబడింది. వేసవిలో 1929 వేసవిలో పోజ్నాస్ మరియు బార్సిలోనా రెండింటిలో అంతర్జాతీయ ప్రదర్శనలు ఉన్నాయి, ఇందులో విమానయాన పరిశ్రమ ఉంది. ఆగష్టు 25, 1929 న, R-XA నగరాల మధ్య నాన్-స్టాప్ ఎగిరింది, వాక్లా మాకోవ్స్కియా పైలట్ చేయబడింది. అతను మరియు అతని ప్రయాణీకుడు 12 గం 15 నిమిషాల్లో 1,700 కిమీ (1,100 మైళ్ళు; 920 ఎన్ఎమ్ఐ) కవర్ చేశారు. అక్టోబర్‌లో ఇది నైరుతి పోలాండ్ 1 వ పర్యటనలో పాల్గొంది. [1] 1931 లో, స్టానిస్సా కార్పియస్కి మధ్యప్రాచ్యానికి సుదీర్ఘ విమాన ప్రయాణానికి ప్రణాళిక వేస్తున్నాడు. R-XA యొక్క అనుకూలతను పరీక్షించడానికి అతను పోలాండ్ యొక్క మూడు పర్యటనలు చేసాడు మరియు తరువాత వార్సా నుండి బుకారెస్ట్, ఇస్తాంబుల్, రోమ్, టురిన్ మరియు లండన్ ద్వారా ఐదు రోజుల రౌండ్ ట్రిప్ చేసాడు, 6,450 కిమీ (4,010 మైళ్ళు; 3,480 ఎన్ఎమ్ఐ) దూరం. ఈ అనుభవం తన విమానానికి మార్పులకు దారితీసింది, ఇంధన పంపిణీ, అండర్ క్యారేజీని బలోపేతం చేయడం, టౌనెండ్ రింగ్ మరియు స్పాటెడ్ చక్రాలతో సహా ఏరోడైనమిక్ శుద్ధీకరణలతో సహా. మార్పుల తరువాత ఈ రకాన్ని కొన్నిసార్లు R-XA BIS గా సూచిస్తారు. [1] ఇస్టార్టింగ్ 2 అక్టోబర్ 1932 న అతను తన ప్రణాళికాబద్ధమైన ప్రయాణాన్ని వార్సా నుండి కాబూల్ వరకు ఇస్తాంబుల్, బాగ్దాద్, టెహెరాన్ మరియు హెరాట్ ద్వారా ప్రారంభించాడు. అతను బాగ్దాద్ వరకు తిరిగి వచ్చాడు, తరువాత కైరో, జెరూసలేం, అలెప్పో మరియు ఇస్తాంబుల్ లకు వెళ్ళాడు, అక్టోబర్ 24 న లుబ్లిన్ ద్వారా వార్సాకు చేరుకున్నాడు. ఇది 14,390 కిమీ (8,940 మైళ్ళు; 7,770 ఎన్ఎమ్ఐ) ప్రయాణం, 108 గం 50 మీ. [1] విమాన సమయం. R-X ఎప్పుడూ సిరీస్ ఉత్పత్తికి చేరుకోనప్పటికీ, ఒక వారసుడు, లుబ్లిన్ R-XIII, పెద్ద సంఖ్యలో నిర్మించబడింది. [3] జేన్ యొక్క ఆల్ ది వరల్డ్ విమానాల నుండి డేటా 1931, [4] పోలిష్ విమానం 1893-1939 [1] సాధారణ లక్షణాలు పనితీరు ఆయుధాలు పోల్చదగిన పాత్ర, కాన్ఫిగరేషన్ మరియు యుగం యొక్క విమానం</v>
      </c>
      <c r="E38" s="1" t="s">
        <v>795</v>
      </c>
      <c r="F38" s="1" t="s">
        <v>796</v>
      </c>
      <c r="G38" s="1" t="str">
        <f>IFERROR(__xludf.DUMMYFUNCTION("GOOGLETRANSLATE(F:F, ""en"", ""te"")"),"అనుసంధాన విమానం")</f>
        <v>అనుసంధాన విమానం</v>
      </c>
      <c r="H38" s="1" t="s">
        <v>797</v>
      </c>
      <c r="I38" s="1" t="s">
        <v>798</v>
      </c>
      <c r="J38" s="1" t="str">
        <f>IFERROR(__xludf.DUMMYFUNCTION("GOOGLETRANSLATE(I:I, ""en"", ""te"")"),"ప్లేజ్ I laśkyiwicz")</f>
        <v>ప్లేజ్ I laśkyiwicz</v>
      </c>
      <c r="K38" s="1" t="s">
        <v>799</v>
      </c>
      <c r="L38" s="1" t="s">
        <v>800</v>
      </c>
      <c r="M38" s="2" t="str">
        <f>IFERROR(__xludf.DUMMYFUNCTION("GOOGLETRANSLATE(L:L, ""en"", ""te"")"),"జెర్జీ రుడ్లికి")</f>
        <v>జెర్జీ రుడ్లికి</v>
      </c>
      <c r="N38" s="1" t="s">
        <v>801</v>
      </c>
      <c r="O38" s="1">
        <v>7.0</v>
      </c>
      <c r="R38" s="1">
        <v>2.0</v>
      </c>
      <c r="T38" s="1" t="s">
        <v>802</v>
      </c>
      <c r="U38" s="1" t="s">
        <v>803</v>
      </c>
      <c r="V38" s="1" t="s">
        <v>804</v>
      </c>
      <c r="W38" s="1" t="s">
        <v>805</v>
      </c>
      <c r="X38" s="1" t="s">
        <v>806</v>
      </c>
      <c r="Z38" s="1" t="s">
        <v>807</v>
      </c>
      <c r="AB38" s="1" t="s">
        <v>808</v>
      </c>
      <c r="AC38" s="1" t="s">
        <v>809</v>
      </c>
      <c r="AE38" s="1" t="s">
        <v>810</v>
      </c>
      <c r="AI38" s="1" t="s">
        <v>811</v>
      </c>
      <c r="AJ38" s="1" t="s">
        <v>812</v>
      </c>
      <c r="AK38" s="1" t="s">
        <v>813</v>
      </c>
      <c r="AL38" s="1" t="s">
        <v>814</v>
      </c>
      <c r="AN38" s="1" t="s">
        <v>815</v>
      </c>
      <c r="AO38" s="5">
        <v>10632.0</v>
      </c>
      <c r="AP38" s="1" t="s">
        <v>816</v>
      </c>
      <c r="AQ38" s="1" t="s">
        <v>817</v>
      </c>
      <c r="AR38" s="1" t="s">
        <v>818</v>
      </c>
      <c r="AU38" s="1" t="s">
        <v>819</v>
      </c>
      <c r="AV38" s="1" t="s">
        <v>820</v>
      </c>
      <c r="AX38" s="1">
        <v>1929.0</v>
      </c>
      <c r="AY38" s="1" t="s">
        <v>821</v>
      </c>
      <c r="AZ38" s="1" t="s">
        <v>822</v>
      </c>
      <c r="BJ38" s="1">
        <v>1929.0</v>
      </c>
      <c r="BN38" s="1">
        <v>1939.0</v>
      </c>
      <c r="BS38" s="1" t="s">
        <v>823</v>
      </c>
    </row>
    <row r="39">
      <c r="A39" s="1" t="s">
        <v>824</v>
      </c>
      <c r="B39" s="1" t="str">
        <f>IFERROR(__xludf.DUMMYFUNCTION("GOOGLETRANSLATE(A:A, ""en"", ""te"")"),"M- స్క్వేర్డ్ బ్రీస్")</f>
        <v>M- స్క్వేర్డ్ బ్రీస్</v>
      </c>
      <c r="C39" s="1" t="s">
        <v>825</v>
      </c>
      <c r="D39" s="2" t="str">
        <f>IFERROR(__xludf.DUMMYFUNCTION("GOOGLETRANSLATE(C:C, ""en"", ""te"")"),"M- స్క్వేర్డ్ బ్రీస్ అనేది హై-వింగ్, స్ట్రట్-బ్రేస్డ్, పషర్ కాన్ఫిగరేషన్, ట్రైసైకిల్ గేర్, అలబామాలోని సెయింట్ ఎల్మో యొక్క M- స్క్వేర్డ్ విమానాల ద్వారా ఉత్పత్తి చేయబడిన అల్ట్రాలైట్ విమానం, కిట్ రూపంలో, te ​​త్సాహిక నిర్మాణం కోసం. [1] [1] [1] [1] 2] [3] [4]"&amp;" [5] [5] [6] [7] [8] 1996 లో M- స్క్వేర్డ్ విమానాల శ్రేణి ప్రారంభమైంది, మాజీ క్విక్సిల్వర్ తయారీ ఉద్యోగి పాల్ మాథర్, క్విక్‌సిల్వర్ II ను కేబుల్-బ్రేస్డ్ రెక్కల నుండి జ్యూరీ స్ట్రట్‌లతో స్ట్రట్-బ్రెడ్ కాన్ఫిగరేషన్‌కు మార్చడానికి రెట్రోఫిట్ కిట్‌లను అందించ"&amp;"ాలని నిర్ణయించుకున్నాడు. కిట్లు ప్రజాదరణ పొందాయి మరియు మాథర్ ప్రాథమిక క్విక్సిల్వర్ లేఅవుట్ ఆధారంగా మార్కెట్ పూర్తి విమానాలకు విస్తరించింది. ఈ ధారావాహికలో మొదటి రెండు విమానాలు రెండు-సీట్ల డబుల్ ఉపరితల వింగ్ స్పోర్ట్ 1000 మరియు రెండు-సీట్ల సింగిల్ ఉపరితల వ"&amp;"ింగ్ స్ప్రింట్ 1000. [1] [2] సిరీస్ అన్నీ ఇలాంటి నిర్మాణాన్ని పంచుకుంటాయి. అన్ని నమూనాలు ఓపెన్-కాక్‌పిట్, కానీ కొన్ని ఐచ్ఛిక క్రమబద్ధమైన పాడ్‌లు అందుబాటులో ఉన్నాయి. అన్ని నమూనాలు ట్రైసైకిల్ ల్యాండింగ్ గేర్ మరియు స్టీరబుల్ నోస్‌వీల్స్ ఉపయోగిస్తాయి. [1] బ్ర"&amp;"ీస్ 2 డిఎస్ మరియు ఎస్ఎస్ ను యుఎస్ ఫెడరల్ ఏవియేషన్ అడ్మినిస్ట్రేషన్ ఆమోదించిన ప్రత్యేక లైట్-స్పోర్ట్ విమానాలుగా అంగీకరించాయి. [9] [10] క్లిచ్ [1] మరియు M- స్క్వేర్డ్ [16] సాధారణ లక్షణాల పనితీరు ఏవియానిక్స్ నుండి డేటా")</f>
        <v>M- స్క్వేర్డ్ బ్రీస్ అనేది హై-వింగ్, స్ట్రట్-బ్రేస్డ్, పషర్ కాన్ఫిగరేషన్, ట్రైసైకిల్ గేర్, అలబామాలోని సెయింట్ ఎల్మో యొక్క M- స్క్వేర్డ్ విమానాల ద్వారా ఉత్పత్తి చేయబడిన అల్ట్రాలైట్ విమానం, కిట్ రూపంలో, te ​​త్సాహిక నిర్మాణం కోసం. [1] [1] [1] [1] 2] [3] [4] [5] [5] [6] [7] [8] 1996 లో M- స్క్వేర్డ్ విమానాల శ్రేణి ప్రారంభమైంది, మాజీ క్విక్సిల్వర్ తయారీ ఉద్యోగి పాల్ మాథర్, క్విక్‌సిల్వర్ II ను కేబుల్-బ్రేస్డ్ రెక్కల నుండి జ్యూరీ స్ట్రట్‌లతో స్ట్రట్-బ్రెడ్ కాన్ఫిగరేషన్‌కు మార్చడానికి రెట్రోఫిట్ కిట్‌లను అందించాలని నిర్ణయించుకున్నాడు. కిట్లు ప్రజాదరణ పొందాయి మరియు మాథర్ ప్రాథమిక క్విక్సిల్వర్ లేఅవుట్ ఆధారంగా మార్కెట్ పూర్తి విమానాలకు విస్తరించింది. ఈ ధారావాహికలో మొదటి రెండు విమానాలు రెండు-సీట్ల డబుల్ ఉపరితల వింగ్ స్పోర్ట్ 1000 మరియు రెండు-సీట్ల సింగిల్ ఉపరితల వింగ్ స్ప్రింట్ 1000. [1] [2] సిరీస్ అన్నీ ఇలాంటి నిర్మాణాన్ని పంచుకుంటాయి. అన్ని నమూనాలు ఓపెన్-కాక్‌పిట్, కానీ కొన్ని ఐచ్ఛిక క్రమబద్ధమైన పాడ్‌లు అందుబాటులో ఉన్నాయి. అన్ని నమూనాలు ట్రైసైకిల్ ల్యాండింగ్ గేర్ మరియు స్టీరబుల్ నోస్‌వీల్స్ ఉపయోగిస్తాయి. [1] బ్రీస్ 2 డిఎస్ మరియు ఎస్ఎస్ ను యుఎస్ ఫెడరల్ ఏవియేషన్ అడ్మినిస్ట్రేషన్ ఆమోదించిన ప్రత్యేక లైట్-స్పోర్ట్ విమానాలుగా అంగీకరించాయి. [9] [10] క్లిచ్ [1] మరియు M- స్క్వేర్డ్ [16] సాధారణ లక్షణాల పనితీరు ఏవియానిక్స్ నుండి డేటా</v>
      </c>
      <c r="E39" s="1" t="s">
        <v>826</v>
      </c>
      <c r="F39" s="1" t="s">
        <v>215</v>
      </c>
      <c r="G39" s="1" t="str">
        <f>IFERROR(__xludf.DUMMYFUNCTION("GOOGLETRANSLATE(F:F, ""en"", ""te"")"),"కిట్ విమానం")</f>
        <v>కిట్ విమానం</v>
      </c>
      <c r="H39" s="1" t="s">
        <v>216</v>
      </c>
      <c r="I39" s="1" t="s">
        <v>827</v>
      </c>
      <c r="J39" s="1" t="str">
        <f>IFERROR(__xludf.DUMMYFUNCTION("GOOGLETRANSLATE(I:I, ""en"", ""te"")"),"M- స్క్వేర్డ్ విమానం")</f>
        <v>M- స్క్వేర్డ్ విమానం</v>
      </c>
      <c r="K39" s="1" t="s">
        <v>828</v>
      </c>
      <c r="L39" s="1" t="s">
        <v>829</v>
      </c>
      <c r="M39" s="2" t="str">
        <f>IFERROR(__xludf.DUMMYFUNCTION("GOOGLETRANSLATE(L:L, ""en"", ""te"")"),"పాల్ మాథర్")</f>
        <v>పాల్ మాథర్</v>
      </c>
      <c r="P39" s="1" t="s">
        <v>830</v>
      </c>
      <c r="Q39" s="1" t="s">
        <v>831</v>
      </c>
      <c r="R39" s="1" t="s">
        <v>222</v>
      </c>
      <c r="S39" s="1" t="s">
        <v>250</v>
      </c>
      <c r="T39" s="1" t="s">
        <v>832</v>
      </c>
      <c r="U39" s="1" t="s">
        <v>833</v>
      </c>
      <c r="V39" s="1" t="s">
        <v>834</v>
      </c>
      <c r="W39" s="1" t="s">
        <v>835</v>
      </c>
      <c r="X39" s="1" t="s">
        <v>836</v>
      </c>
      <c r="Z39" s="1" t="s">
        <v>837</v>
      </c>
      <c r="AA39" s="1" t="s">
        <v>838</v>
      </c>
      <c r="AB39" s="1" t="s">
        <v>839</v>
      </c>
      <c r="AC39" s="1" t="s">
        <v>840</v>
      </c>
      <c r="AF39" s="1" t="s">
        <v>206</v>
      </c>
      <c r="AG39" s="4" t="s">
        <v>207</v>
      </c>
      <c r="AH39" s="1" t="s">
        <v>841</v>
      </c>
      <c r="AI39" s="1" t="s">
        <v>842</v>
      </c>
      <c r="AK39" s="1" t="s">
        <v>843</v>
      </c>
      <c r="AL39" s="1" t="s">
        <v>844</v>
      </c>
      <c r="AM39" s="1" t="s">
        <v>845</v>
      </c>
      <c r="AO39" s="1">
        <v>1996.0</v>
      </c>
      <c r="AR39" s="1" t="s">
        <v>846</v>
      </c>
      <c r="AS39" s="1" t="s">
        <v>240</v>
      </c>
      <c r="AT39" s="1" t="s">
        <v>267</v>
      </c>
      <c r="AU39" s="1" t="s">
        <v>847</v>
      </c>
      <c r="AW39" s="1">
        <v>5.75</v>
      </c>
      <c r="AX39" s="1">
        <v>1996.0</v>
      </c>
    </row>
    <row r="40">
      <c r="A40" s="1" t="s">
        <v>848</v>
      </c>
      <c r="B40" s="1" t="str">
        <f>IFERROR(__xludf.DUMMYFUNCTION("GOOGLETRANSLATE(A:A, ""en"", ""te"")"),"మాగ్ని M-24 ఓరియన్")</f>
        <v>మాగ్ని M-24 ఓరియన్</v>
      </c>
      <c r="C40" s="1" t="s">
        <v>849</v>
      </c>
      <c r="D40" s="2" t="str">
        <f>IFERROR(__xludf.DUMMYFUNCTION("GOOGLETRANSLATE(C:C, ""en"", ""te"")"),"మాగ్ని M-24 ఓరియన్ ఒక ఇటాలియన్ స్పోర్ట్ ఆటోజీరో, పరివేష్టిత క్యాబిన్‌లో రెండు పక్కపక్కనే కూర్చుంటుంది. దీనిని బెస్నేట్ యొక్క మాగ్ని గైరో SRL రూపొందించారు మరియు నిర్మించారు. మాగ్ని గైరో ప్రస్తుతం ఐదు స్పోర్ట్ ఆటోజీరో మోడళ్లను ఉత్పత్తి చేస్తుంది, అన్నీ సారూ"&amp;"ప్య పాడ్ మరియు తక్కువ బూమ్, పషర్ ఇంజిన్ లేఅవుట్లు మరియు M-24 ఓరియన్ సైడ్ బై సైడ్ సీటింగ్ మరియు పరివేష్టిత క్యాబిన్ కలిగి ఉంటాయి. ఇది కార్బన్ ఫైబర్ క్యాబిన్ మరియు ఇంజిన్-ఎన్‌క్లోజింగ్ పాడ్‌తో స్టీల్ ఎయిర్‌ఫ్రేమ్‌ను కలిగి ఉంది. పారదర్శక, ఇరువైపులా టాప్ హింగ"&amp;"్డ్ తలుపులు రెండు సీట్లకు ప్రాప్యతను ఇస్తాయి, ఇవి క్యాబిన్ వెడల్పును ఎక్కువగా ఉపయోగించుకోవడానికి కొద్దిగా అస్థిరంగా ఉంటాయి. 2-బ్లేడెడ్ రోటర్, పాడ్ పైన ఉన్న మాస్ట్ మీద అమర్చబడి, మిశ్రమ నిర్మాణం. [1] 85 kW (114 HP) రోటాక్స్ 914ల్స్ ఫ్లాట్ నాలుగు ఇంజిన్ క్యా"&amp;"బిన్-టాప్ ఎత్తులో అమర్చబడి 3-బ్లేడెడ్ పషర్ ప్రొపెల్లర్‌ను నడుపుతుంది. దాని క్రింద, సన్నని ఫ్లాట్-సైడెడ్ బూమ్ ఫైబర్‌గ్లాస్ ఎంపెనేజ్‌ను కలిగి ఉంటుంది, ఇది ఎండ్-ప్లేట్ రెక్కలతో కూడిన క్షితిజ సమాంతర స్టెబిలైజర్‌ను కలిగి ఉంటుంది మరియు పెద్ద, సెంట్రల్, ఫిన్ మరి"&amp;"యు చుక్కాని చేస్తుంది. ఓరియన్ స్ప్రింగ్ కాంటిలివర్ కాళ్ళపై బ్రేక్‌లతో అమర్చిన ఫెయిర్‌డ్ మెయిన్‌వీల్స్‌తో ట్రైసైకిల్ అండర్ క్యారేజీని కలిగి ఉంది. ముక్కు వీల్ అన్యాయం. [1] ఓరియన్ యొక్క తక్షణ పూర్వగామి XM-23 ఓరియన్, ఇది మొదట 1 ఫిబ్రవరి 2007 న ప్రయాణించింది, "&amp;"కాని రెండూ టెన్డం, ఓపెన్ కాక్‌పిట్ M-16 మరియు M-22 లతో చాలా భాగాలను పంచుకుంటాయి. [1] ఓరియన్ మొదట ఆగస్టు 2008 లో బహిరంగంగా కనిపించింది మరియు 10 విమానాల ప్రీ-ప్రొడక్షన్ రన్ ఆ శరదృతువులో ప్రారంభించబడింది, పూర్తి స్థాయి ఉత్పత్తి 2009 నుండి ప్రారంభమైంది. [1] 2"&amp;"010 మధ్య నాటికి యూరోపియన్ (రష్యన్ మినహాయించిన) రిజిస్టర్లలో 11 ఓరియన్స్ ఉన్నాయి, ఫ్రాన్స్‌లో మెజారిటీ. [2] UK రకం ఆమోదం 2010 లో చేరుకుంది, [3] 4 విమానాలు ప్రస్తుతం (నవంబర్ 2010) UK రిజిస్టర్‌లో ఉన్నాయి, [4] మరియు కెనడియన్ రిజిస్టర్‌లో కనీసం ఒకటి. [5] జేన్"&amp;" యొక్క అన్ని ప్రపంచ విమానాల నుండి డేటా 2010/11 [1] సాధారణ లక్షణాల పనితీరు")</f>
        <v>మాగ్ని M-24 ఓరియన్ ఒక ఇటాలియన్ స్పోర్ట్ ఆటోజీరో, పరివేష్టిత క్యాబిన్‌లో రెండు పక్కపక్కనే కూర్చుంటుంది. దీనిని బెస్నేట్ యొక్క మాగ్ని గైరో SRL రూపొందించారు మరియు నిర్మించారు. మాగ్ని గైరో ప్రస్తుతం ఐదు స్పోర్ట్ ఆటోజీరో మోడళ్లను ఉత్పత్తి చేస్తుంది, అన్నీ సారూప్య పాడ్ మరియు తక్కువ బూమ్, పషర్ ఇంజిన్ లేఅవుట్లు మరియు M-24 ఓరియన్ సైడ్ బై సైడ్ సీటింగ్ మరియు పరివేష్టిత క్యాబిన్ కలిగి ఉంటాయి. ఇది కార్బన్ ఫైబర్ క్యాబిన్ మరియు ఇంజిన్-ఎన్‌క్లోజింగ్ పాడ్‌తో స్టీల్ ఎయిర్‌ఫ్రేమ్‌ను కలిగి ఉంది. పారదర్శక, ఇరువైపులా టాప్ హింగ్డ్ తలుపులు రెండు సీట్లకు ప్రాప్యతను ఇస్తాయి, ఇవి క్యాబిన్ వెడల్పును ఎక్కువగా ఉపయోగించుకోవడానికి కొద్దిగా అస్థిరంగా ఉంటాయి. 2-బ్లేడెడ్ రోటర్, పాడ్ పైన ఉన్న మాస్ట్ మీద అమర్చబడి, మిశ్రమ నిర్మాణం. [1] 85 kW (114 HP) రోటాక్స్ 914ల్స్ ఫ్లాట్ నాలుగు ఇంజిన్ క్యాబిన్-టాప్ ఎత్తులో అమర్చబడి 3-బ్లేడెడ్ పషర్ ప్రొపెల్లర్‌ను నడుపుతుంది. దాని క్రింద, సన్నని ఫ్లాట్-సైడెడ్ బూమ్ ఫైబర్‌గ్లాస్ ఎంపెనేజ్‌ను కలిగి ఉంటుంది, ఇది ఎండ్-ప్లేట్ రెక్కలతో కూడిన క్షితిజ సమాంతర స్టెబిలైజర్‌ను కలిగి ఉంటుంది మరియు పెద్ద, సెంట్రల్, ఫిన్ మరియు చుక్కాని చేస్తుంది. ఓరియన్ స్ప్రింగ్ కాంటిలివర్ కాళ్ళపై బ్రేక్‌లతో అమర్చిన ఫెయిర్‌డ్ మెయిన్‌వీల్స్‌తో ట్రైసైకిల్ అండర్ క్యారేజీని కలిగి ఉంది. ముక్కు వీల్ అన్యాయం. [1] ఓరియన్ యొక్క తక్షణ పూర్వగామి XM-23 ఓరియన్, ఇది మొదట 1 ఫిబ్రవరి 2007 న ప్రయాణించింది, కాని రెండూ టెన్డం, ఓపెన్ కాక్‌పిట్ M-16 మరియు M-22 లతో చాలా భాగాలను పంచుకుంటాయి. [1] ఓరియన్ మొదట ఆగస్టు 2008 లో బహిరంగంగా కనిపించింది మరియు 10 విమానాల ప్రీ-ప్రొడక్షన్ రన్ ఆ శరదృతువులో ప్రారంభించబడింది, పూర్తి స్థాయి ఉత్పత్తి 2009 నుండి ప్రారంభమైంది. [1] 2010 మధ్య నాటికి యూరోపియన్ (రష్యన్ మినహాయించిన) రిజిస్టర్లలో 11 ఓరియన్స్ ఉన్నాయి, ఫ్రాన్స్‌లో మెజారిటీ. [2] UK రకం ఆమోదం 2010 లో చేరుకుంది, [3] 4 విమానాలు ప్రస్తుతం (నవంబర్ 2010) UK రిజిస్టర్‌లో ఉన్నాయి, [4] మరియు కెనడియన్ రిజిస్టర్‌లో కనీసం ఒకటి. [5] జేన్ యొక్క అన్ని ప్రపంచ విమానాల నుండి డేటా 2010/11 [1] సాధారణ లక్షణాల పనితీరు</v>
      </c>
      <c r="E40" s="1" t="s">
        <v>850</v>
      </c>
      <c r="F40" s="1" t="s">
        <v>593</v>
      </c>
      <c r="G40" s="1" t="str">
        <f>IFERROR(__xludf.DUMMYFUNCTION("GOOGLETRANSLATE(F:F, ""en"", ""te"")"),"రెండు సీట్ల ఆటోజీరో")</f>
        <v>రెండు సీట్ల ఆటోజీరో</v>
      </c>
      <c r="H40" s="1" t="s">
        <v>851</v>
      </c>
      <c r="I40" s="1" t="s">
        <v>594</v>
      </c>
      <c r="J40" s="1" t="str">
        <f>IFERROR(__xludf.DUMMYFUNCTION("GOOGLETRANSLATE(I:I, ""en"", ""te"")"),"Besపిరి తిత్తులు తీయునది")</f>
        <v>Besపిరి తిత్తులు తీయునది</v>
      </c>
      <c r="K40" s="1" t="s">
        <v>595</v>
      </c>
      <c r="M40" s="2"/>
      <c r="O40" s="1" t="s">
        <v>852</v>
      </c>
      <c r="P40" s="1" t="s">
        <v>853</v>
      </c>
      <c r="S40" s="1">
        <v>2.0</v>
      </c>
      <c r="T40" s="1" t="s">
        <v>854</v>
      </c>
      <c r="W40" s="1" t="s">
        <v>855</v>
      </c>
      <c r="Y40" s="1" t="s">
        <v>599</v>
      </c>
      <c r="Z40" s="1" t="s">
        <v>856</v>
      </c>
      <c r="AA40" s="1" t="s">
        <v>316</v>
      </c>
      <c r="AD40" s="1" t="s">
        <v>602</v>
      </c>
      <c r="AF40" s="1" t="s">
        <v>603</v>
      </c>
      <c r="AG40" s="4" t="s">
        <v>857</v>
      </c>
      <c r="AH40" s="1" t="s">
        <v>261</v>
      </c>
      <c r="AI40" s="1" t="s">
        <v>858</v>
      </c>
      <c r="AK40" s="1" t="s">
        <v>859</v>
      </c>
      <c r="AL40" s="1" t="s">
        <v>860</v>
      </c>
      <c r="AN40" s="1" t="s">
        <v>861</v>
      </c>
      <c r="AO40" s="1">
        <v>2008.0</v>
      </c>
      <c r="AR40" s="1" t="s">
        <v>609</v>
      </c>
      <c r="AS40" s="1" t="s">
        <v>862</v>
      </c>
      <c r="BQ40" s="1" t="s">
        <v>610</v>
      </c>
      <c r="BR40" s="1" t="s">
        <v>863</v>
      </c>
    </row>
    <row r="41">
      <c r="A41" s="1" t="s">
        <v>864</v>
      </c>
      <c r="B41" s="1" t="str">
        <f>IFERROR(__xludf.DUMMYFUNCTION("GOOGLETRANSLATE(A:A, ""en"", ""te"")"),"ఆస్ట్రేలియన్ సేవలో మెక్‌డోనెల్ డగ్లస్ ఎఫ్ -4 ఫాంటమ్ II")</f>
        <v>ఆస్ట్రేలియన్ సేవలో మెక్‌డోనెల్ డగ్లస్ ఎఫ్ -4 ఫాంటమ్ II</v>
      </c>
      <c r="C41" s="1" t="s">
        <v>865</v>
      </c>
      <c r="D41" s="2" t="str">
        <f>IFERROR(__xludf.DUMMYFUNCTION("GOOGLETRANSLATE(C:C, ""en"", ""te"")"),"రాయల్ ఆస్ట్రేలియన్ వైమానిక దళం (RAAF) 1970 మరియు 1973 మధ్య గ్రౌండ్ అటాక్ పాత్రలో 24 మెక్‌డోనెల్ డగ్లస్ ఎఫ్ -4 ఇ ఫాంటమ్ II ఫైటర్-బాంబర్ విమానాలను నిర్వహించింది. ఫాంటమ్‌లు అమెరికా వైమానిక దళం (యుఎస్‌ఎఫ్) నుండి ఆలస్యం కారణంగా మధ్యంతర కొలతగా లీజుకు ఇవ్వబడ్డాయ"&amp;"ి. RAAF యొక్క 24 జనరల్ డైనమిక్స్ F-111C బాంబర్స్ డెలివరీలో. ఈ పాత్రలో F-4ES విజయవంతమైంది, కాని 1973 లో F-111 లు సేవలోకి ప్రవేశించిన తరువాత విమానం నిలుపుకోవటానికి RAAF నుండి వచ్చిన ప్రతిపాదనను ప్రభుత్వం అంగీకరించలేదు. ఫాంటమ్ II యొక్క F-4C వేరియంట్ విమానంలో"&amp;" ఉంది తన ఇంగ్లీష్ ఎలక్ట్రిక్ కాన్బెర్రా బాంబర్లను భర్తీ చేసే ప్రాజెక్టులో భాగంగా 1963 లో RAAF చేత అంచనా వేయబడింది. ఎఫ్ -111 ఎంపిక చేయబడింది, కాని విమానంతో దీర్ఘకాల సాంకేతిక లోపాల కారణంగా 1960 ల చివరలో ఆ ప్రాజెక్ట్ ఆలస్యం అయినప్పుడు, ఎఫ్ -4 ఇ ఫాంటమ్ II ఉత్"&amp;"తమ ప్రత్యామ్నాయంగా ఉంటుందని RAAF నిర్ణయించింది. ఎఫ్ -111 లతో నిరంతర సమస్యల ఫలితంగా, ఆస్ట్రేలియన్ మరియు అమెరికా ప్రభుత్వాలు 1970 లో ఒక ఒప్పందంపై చర్చలు జరిపాయి, దీని ద్వారా RAAF USAF నుండి 24 F-4ES మరియు వారి సహాయక పరికరాలను లీజుకు తీసుకుంది. RAAF యొక్క F-"&amp;"4ES సెప్టెంబర్ 1970 లో సేవలోకి ప్రవేశించింది మరియు ఇది చాలా ప్రభావవంతంగా ఉందని నిరూపించబడింది. ఎయిర్-టు-గ్రౌండ్ పాత్రలో ఉపయోగించబడిన వారు, అధునాతన F-111 లను నిర్వహించడానికి ఎయిర్‌క్రూను సిద్ధం చేశారు, మరియు విమానం ఉపయోగించి చేపట్టిన ఇంటెన్సివ్ శిక్షణా కార"&amp;"్యక్రమం RAAF యొక్క వృత్తిపరమైన ప్రమాణాలను మెరుగుపరిచింది. జూన్ 1971 లో జరిగిన ఎగిరే ప్రమాదంలో ఫాంటమ్స్‌లో ఒకటి నాశనం చేయబడింది, మరియు మరొకటి క్రాష్ ల్యాండింగ్ సమయంలో భారీ నష్టాన్ని ఎదుర్కొన్న తరువాత RAAF చేత మరమ్మతులు చేయబడింది. అక్టోబర్ 1972 మరియు జూన్ 1"&amp;"973 లలో 23 మంది విమానాలను USAF కి రెండు బ్యాచ్‌లలో తిరిగి ఇచ్చారు. మెక్‌డోనెల్ డగ్లస్ ఎఫ్ -4 సి ఫాంటమ్ II దాని వృద్ధాప్య ఇంగ్లీష్ ఎలక్ట్రిక్ కాన్బెర్రా బాంబర్‌లకు ప్రత్యామ్నాయంగా RAAF చేత అంచనా వేయబడిన విమాన రకాల్లో ఒకటి 1960 ల ప్రారంభంలో. 1963 మధ్యలో, ఎయ"&amp;"ిర్ స్టాఫ్ చీఫ్, ఎయిర్ మార్షల్ వాల్స్టన్ హాంకాక్ నేతృత్వంలోని సీనియర్ RAAF అధికారుల బృందం, జనరల్ డైనమిక్స్ F-1111 (అప్పుడు ""TFX"" అని పిలుస్తారు), నార్త్ అమెరికన్ A- 5 విజిలోంటే మరియు ఎఫ్ -4 సి ఫాంటమ్ II స్ట్రైక్ ఎయిర్క్రాఫ్ట్. అమెరికాలో ఉన్నప్పుడు, బృంద"&amp;"ం బోయింగ్ కెసి -135 స్ట్రాటోటాంకర్‌ను కూడా పరిశీలించింది, ఇది ఈ విమానాలకు మద్దతు ఇవ్వడానికి అవసరమైనదిగా భావించబడింది. అదనంగా, RAAF అధికారులు వరుసగా BAC TSR-2 మరియు డసాల్ట్ మిరాజ్ IV లను అంచనా వేయడానికి యునైటెడ్ కింగ్‌డమ్ మరియు ఫ్రాన్స్‌లకు వెళ్లారు. [3] త"&amp;"న తుది నివేదికలో, విమానం యొక్క పరిధి, తక్కువ ఎత్తులో పనితీరు మరియు RAAF అవసరమయ్యే నిఘా సామర్ధ్యం లేదని జట్టు F-4C ను తిరస్కరించింది. F-1111 పరిగణించబడిన వారిలో అత్యంత అనువైన విమానం అని పరిగణించబడింది, కాని బృందం RAAF 36 అప్రమత్తమైనవారిని సంపాదించాలని ప్రత"&amp;"ిపాదించింది, ఎందుకంటే వారు ఫోర్స్ యొక్క అవసరాలను కూడా తీర్చారు మరియు తక్కువ కాలపరిమితిలో పంపిణీ చేయబడతారు. [4] ఆస్ట్రేలియా ప్రభుత్వం ఈ సలహాను తిరస్కరించింది మరియు 24 ఎఫ్ -111 లను కొనుగోలు చేయాలని నిర్ణయించుకుంది. 1963 చివరలో ఆర్డర్ ఇచ్చిన సమయంలో ఈ విమానాల"&amp;"ు 1967 లో పంపిణీ చేయబడాలి; [5] ప్రత్యేకమైన ఎఫ్ -111 సి వేరియంట్‌ను ఆస్ట్రేలియా ఆర్డర్ చేయాలని ఆస్ట్రేలియా నిర్ణయించిన తరువాత డెలివరీ తేదీని 1968 కు వెనక్కి నెట్టారు. [6] 1963 చివరలో, అమెరికా ప్రభుత్వం ఆస్ట్రేలియా 24 బోయింగ్ B-47 స్ట్రాటోజెట్ బాంబర్లను అప్"&amp;"పుగా ఇచ్చింది. ఆస్ట్రేలియన్ ఎయిర్ బోర్డ్ [గమనిక 1] ఈ విమానాలను అవి వాడుకలో లేవని మరియు పనిచేయడానికి ఖరీదైనవి అనే కారణంతో సంపాదించడాన్ని వ్యతిరేకించాయి. బదులుగా, ఎఫ్ -4 సి స్ట్రైక్ ఎయిర్క్రాఫ్ట్ యొక్క ప్యాకేజీ, ఈ డిజైన్ యొక్క RF-4C నిఘా వేరియంట్ మరియు ఒక మ"&amp;"ధ్యంతర శక్తి అవసరమని భావిస్తే KC-135 ట్యాంకర్లు అమెరికా నుండి లీజుకు ఇవ్వాలని క్యాబినెట్‌కు సిఫార్సు చేసింది. క్యాబినెట్ 1964 లో రెండు ఎంపికలను పరిగణించింది మరియు వారిద్దరినీ తిరస్కరించింది. [8] 1965 మరియు 1970 మధ్య, ఆరుగురు ఆస్ట్రేలియన్ పైలట్లు అమెరికా ఎ"&amp;"యిర్ ఫోర్స్ (యుఎస్ఎఎఫ్) కు ఎక్స్ఛేంజ్ పోస్టింగ్స్ లో పనిచేస్తున్నారు వియత్నాం యుద్ధం సమయంలో ఫాంటమ్స్ పోరాటంలో ప్రయాణించారు. [9] [10] 1960 ల చివరలో F-111 కార్యక్రమం గణనీయమైన సమస్యలను ఎదుర్కొంది. ఎఫ్ -111 యొక్క ఆర్‌ఎఫ్ -111 నిఘా వేరియంట్ అభివృద్ధికి ఆలస్యం "&amp;"ఫలితంగా, వీటిలో ఆస్ట్రేలియా నాలుగు ఆదేశించింది, RAAF 1968 ప్రారంభంలో ఎనిమిది RF-4C లేదా RF-4E నిఘా విమానం మరియు రెండు ట్యాంకర్లను కొనుగోలు చేయాలని భావించింది. వైమానిక దళం మరియు ప్రభుత్వం చివరికి ఈ విషయంపై నిర్ణయం తీసుకోవడం చాలా తొందరగా ఉందని తేల్చింది, మర"&amp;"ియు ఎటువంటి చర్యలు తీసుకోలేదు. [11] 4 సెప్టెంబర్ 1968 న టెక్సాస్‌లోని ఫోర్ట్ వర్త్‌లో జరిగిన ఒక కార్యక్రమంలో RAAF మొత్తం 24 F-111C లను అంగీకరించింది. [12] ఈ సమయంలో విమానం యొక్క వింగ్ అసెంబ్లీ రూపకల్పనతో సాంకేతిక సమస్యల కారణంగా ఎఫ్ -111 కార్యక్రమం సంక్షోభం"&amp;"లో ఉంది, మరియు సెప్టెంబర్ 23 న ఒక అమెరికన్ ఎఫ్ -111 క్రాష్ అయిన తరువాత అన్ని ఎఫ్ -111 లు గ్రౌన్దేడ్ చేయబడ్డాయి. తరువాతి పరీక్షలో ఎఫ్ -111 భాగాలు వారి ఉద్దేశించిన జీవితకాలం కలవకపోవడంతో మరిన్ని సమస్యలను వెల్లడించాయి మరియు ఈ లోపాలను సరిదిద్దే వరకు ఆస్ట్రేలియ"&amp;"న్ విమానాలను ఫోర్ట్ వర్త్ వద్ద నిల్వలో ఉంచారు. [6] [13] RAAF తరువాత F-4E ఫాంటమ్ II, బ్లాక్బర్న్ బుక్కనీర్, LTV A-7 కోర్సెయిర్ II మరియు గ్రుమ్మన్ A-6 చొరబాటుదారులను F-111 కోసం సాధ్యమైనంత భర్తీ చేసింది. F-4E మాత్రమే RAAF యొక్క అవసరాలను తీర్చడానికి దగ్గరగా ఉ"&amp;"న్నట్లు పరిగణించబడింది, అయినప్పటికీ దాని సాపేక్షంగా స్వల్ప శ్రేణి మరియు భూభాగం-అనుసరించే రాడార్ మరియు ఎలక్ట్రానిక్ కౌంటర్-మీజర్ల లేకపోవడం సమస్యాత్మకంగా పరిగణించబడింది. [14] 1970 నాటికి F-111C లు ఇప్పటికీ వాయుమార్గం కాదు, మరియు ఆస్ట్రేలియా ప్రభుత్వం ఆర్డర్"&amp;"‌ను రద్దు చేయడానికి లేదా మధ్యంతర రూపకల్పనను పొందటానికి ఒత్తిడిలో ఉంది. ఆ సంవత్సరం ఏప్రిల్‌లో రక్షణ శాఖ మంత్రి మాల్కం ఫ్రేజర్ తన అమెరికన్ కౌంటర్ మెల్విన్ ఆర్. ఈ ఒప్పందానికి దారితీసే చర్చలలో భాగంగా, లైర్డ్ ఆస్ట్రేలియాను 24 ఎఫ్ -4 ఇ ఫాంటమ్స్‌ను తగ్గించటానికి"&amp;" ముందుకొచ్చాడు. ఈ ఆఫర్ తీసుకోవాలని ఫ్రేజర్ సిఫారసు చేయడానికి క్యాబినెట్ అంగీకరించింది, ఈ చర్య ఎయిర్ బోర్డు మద్దతు ఇస్తుంది. [15] [16] అయితే, RAAF F-111C కి కట్టుబడి ఉంది, మరియు ఈ విమానం ""RAAF కార్యాచరణ అవసరాన్ని F-4E కంటే నిర్ణయాత్మక మార్జిన్ ద్వారా మరిం"&amp;"త సమర్థవంతంగా తీర్చగలదని వాదించే మే ​​సందర్భంగా ఎయిర్ బోర్డ్ ఒక ప్రకటన విడుదల చేసింది. [14] లీజు ఏర్పాట్లపై చర్చలు జరపడానికి మే 1970 లో ఎయిర్ వైస్ మార్షల్ చార్లెస్ డిప్యూటీ చీఫ్ ఎయిర్ వైస్ మార్షల్ చార్లెస్ చదివిన RAAF బృందం అమెరికాకు పంపబడింది. ప్రతిపాదిత"&amp;" ఒప్పందాన్ని పరిగణనలోకి తీసుకున్న తరువాత, రీడ్ అది ముందుకు సాగాలని సిఫారసు చేసింది; RAAF చరిత్రకారుడు అలాన్ స్టీఫెన్స్ ప్రకారం, ఈ నిర్ణయం ""RAAF సీనియర్ అధికారులు మరియు ఎయిర్‌క్రూలను ఆనందించారు"". [17] క్యాబినెట్ తరువాత మొత్తం. US 41.554 మిలియన్ల (శిక్షణ,"&amp;" విడి భాగాలు మరియు సాంకేతిక సలహాలతో సహా) మొత్తం ఖర్చుతో రెండేళ్లపాటు 24 ఫాంటమ్‌లను లీజుకు ఆమోదించింది మరియు అలా చేయటానికి అధికారిక ఒప్పందం 29 జూన్ 1970 న సంతకం చేయబడింది. USAF ఈ ప్రాజెక్ట్ను నియమించింది శాంతి రీఫ్. [16] లీజు ఒప్పందం యొక్క నిబంధనలు ఆస్ట్రే"&amp;"లియా ప్రభుత్వం F-1111C ప్రోగ్రామ్ రద్దు చేయబడితే ఫాంటమ్‌లను పూర్తిగా కొనుగోలు చేయడానికి అనుమతించింది, [18] కానీ USAF ఒక జాతీయ సందర్భంలో విమానం మరియు వారి సహాయక పరికరాలను వెంటనే తిరిగి ఇవ్వమని డిమాండ్ చేయడానికి అనుమతించింది అత్యవసర పరిస్థితి. లైర్డ్ ఫ్రేజర"&amp;"్‌కు ఈ ఎంపిక ఉపయోగించబడదని వ్రాతపూర్వక నిబద్ధతను అందించాడు మరియు ఇది ఎప్పుడూ ప్రచారం చేయబడలేదు. [17] అమెరికన్ జాతీయ అవసరాలకు మరియు ఇరు దేశాల మధ్య సంబంధిత ఒప్పందాల నిబంధనలకు లోబడి, సంక్షోభాల సమయంలో ఆస్ట్రేలియన్ ఫాంటమ్‌లకు మద్దతు ఇవ్వడానికి యుఎస్‌ఎఎఫ్ ట్యాం"&amp;"కర్లు అందుబాటులో ఉంటాయని లైర్డ్ హామీ ఇచ్చారు. [17] లీజు ఒప్పందం పూర్తయిన వెంటనే RAAF యొక్క ఫాంటమ్స్ పంపిణీ చేయబడ్డాయి. విమానం, నంబర్ 1 మరియు 6 వ స్క్వాడ్రన్లను నిర్వహించబోయే రెండు యూనిట్ల నుండి ఆస్ట్రేలియా పైలట్లు మరియు నావిగేటర్లు జూలై 1970 లో మార్పిడి శ"&amp;"ిక్షణ కోసం అమెరికాకు రావడం ప్రారంభించారు. ఈ శిక్షణలో ఎక్కువ భాగం 4530 వ వ్యూహాత్మక శిక్షణా స్క్వాడ్రన్ అందించింది, 1 వ టాక్టికల్ ఫైటర్ వింగ్, ఫ్లోరిడాలోని మాక్‌డిల్ ఎయిర్ ఫోర్స్ బేస్ వద్ద, మరియు 32 గంటల ఎగురుతూ పాల్గొంది. [18] [19] ఆస్ట్రేలియన్ గ్రౌండ్ సి"&amp;"బ్బందికి శిక్షణ ఇవ్వడానికి, యుఎస్ఎఎఫ్ సిబ్బందిని క్వీన్స్లాండ్‌లోని రాఫ్ బేస్ అంబర్లీకి కూడా పోస్ట్ చేశారు. ఆస్ట్రేలియన్ ఫాంటమ్స్ USAF ఆదేశాల నుండి మళ్లించబడ్డాయి మరియు సరికొత్తవి. RAAF మొత్తం 24 విమానాలను సెప్టెంబర్ 1970 లో అంగీకరించింది, తరువాత వాటిని ఆ"&amp;"రు విమానాల నాలుగు సమూహాలలో అంబర్లీకి పంపించారు; మొదటి మూడు గ్రూపులు సెప్టెంబర్ 14, 19 మరియు 26 తేదీలలో వచ్చాయి, మరియు తుది సమూహం అక్టోబర్ 3 న వచ్చింది. ఫాంటమ్‌కు RAAF సీరియల్ నంబర్ ఉపసర్గ ""A69"" ను కేటాయించారు, కానీ ఇది విమానానికి ఎప్పుడూ వర్తించలేదు మరి"&amp;"యు వారు వారి USAF సీరియల్‌లను నిలుపుకున్నారు. [18] ఫాంటమ్ RAAF యొక్క గ్రౌండ్ అటాక్ సామర్థ్యాలకు గణనీయమైన మెరుగుదలను సూచిస్తుంది. కాన్బెర్రా కంటే F-4E లు సాంకేతికంగా అభివృద్ధి చెందాయి, ఎందుకంటే అవి సూపర్సోనిక్ వేగంతో ప్రయాణించగలవు, గాలి నుండి గాలికి రాడార్"&amp;" మరియు క్షిపణులను కలిగి ఉన్నాయి మరియు జడత్వ నావిగేషన్ సిస్టమ్, గ్రౌండ్-అటాక్ కంప్యూటర్ మరియు ఫిరంగిని కలిగి ఉన్నాయి. [19] ఫాంటమ్స్ అనేక పాత్రలలో పనిచేయగల సామర్థ్యాన్ని కలిగి ఉన్నాయి; RAAF ప్రధానంగా వాటిని సమ్మె విమానంగా ఉపయోగించింది. F-111 లను ఆపరేట్ చేయడ"&amp;"ానికి ఎయిర్‌క్రూను సిద్ధం చేయడానికి ఈ పాత్ర ఎంపిక చేయబడింది, మరియు చాలా శిక్షణా వ్యాయామాలు F-111 లు కూడా చేయగలిగే పనులపై దృష్టి సారించాయి. [20] F-4ES ను ఉపయోగించి ఎయిర్‌క్రూ శిక్షణ ప్రారంభమైంది, విమానం మొదట అంబర్లీకి వచ్చిన మూడు రోజుల తరువాత ప్రారంభమైంది."&amp;" ఈ విమానం మొదట్లో నంబర్ 82 వింగ్ (నంబర్ 1 మరియు 6 వ స్క్వాడ్రన్లకు పేరెంట్ హెడ్ క్వార్టర్స్) చేత నియంత్రించబడే కొలనుగా నిర్వహించబడుతోంది మరియు అన్ని ఫాంటమ్స్, ఎయిర్ క్రూ మరియు గ్రౌండ్ సిబ్బంది ఆస్ట్రేలియాకు వచ్చిన తరువాత మాత్రమే రెండు స్క్వాడ్రన్ల మధ్య కే"&amp;"టాయించారు. ఈ శిక్షణా కార్యక్రమం క్రమంగా సంక్లిష్టతతో పెరిగింది, అక్టోబర్‌లో రాత్రి ఎగురుతూ, నవంబర్ చివరలో ప్రాక్టీస్-బాంబింగ్ సోర్టీలు ప్రారంభమవుతాయి మరియు జనవరి 1971 నుండి గాలి నుండి గాలి నుండి ఎయిర్ సోర్టీలు ఎగురవేయబడ్డాయి. ఫిబ్రవరి 1971 నుండి గ్రౌండ్ అ"&amp;"టాక్ మిషన్లు ఆచరించబడ్డాయి మరియు ఆ సంవత్సరం జూన్లో వ్యాయామాల సమయంలో ఫాంటమ్స్ ప్రత్యక్ష బాంబులను పడటం ప్రారంభించారు. అనేక విమానాలను సేవలోకి ప్రవేశపెట్టడం విడిభాగాల ప్రారంభ కొరతతో ఆలస్యం అయింది, కాని అన్నీ 1970 చివరి నాటికి పనిచేశాయి. [21] RAAF తో వారి సేవ "&amp;"సమయంలో, ఫాంటమ్స్ RAAF యొక్క డసాల్ట్ మిరాజ్ III ఫైటర్స్ మరియు రాయల్ ఆస్ట్రేలియన్ నేవీ యొక్క డగ్లస్ A-4 స్కైహాక్ గ్రౌండ్ అటాక్ విమానంతో కలిసి పనిచేశారు. సాధారణ శిక్షణా విమానాలతో పాటు, ఫాంటమ్స్ ప్రధాన వాయు రక్షణ వ్యాయామాలలో పాల్గొన్నారు మరియు యుద్ధనౌకలకు వ్య"&amp;"తిరేకంగా ప్రాక్టీస్ సోర్టీలను కూడా ప్రయాణించారు. [20] మార్చి మరియు ఏప్రిల్ 1971 లలో RAAF యొక్క 50 వ వార్షికోత్సవం సందర్భంగా ఆస్ట్రేలియాలోని వివిధ ప్రాంతాలలో నిర్వహించిన ఫ్లయింగ్ డిస్ప్లేలలో భాగమైన నాలుగు ఉన్నాయి. ఫాంటమ్స్ నిర్వహణను నంబర్ 482 స్క్వాడ్రన్ మ"&amp;"రియు నంబర్ 3 ఎయిర్క్రాఫ్ట్ డిపో చేత చేపట్టారు, ఈ రెండూ అంబర్లీ వద్ద ఉన్నాయి. సాధారణ సర్వీసింగ్‌తో పాటు, ఈ యూనిట్లు 1971 ప్రారంభంలో ఫాంటమ్స్ యొక్క AN/APQ-120 రాడార్లను సవరించాయి. నిర్వహణ సమయంలో కనుగొనబడిన సమస్యలకు ప్రతిస్పందనగా, RAAF సాంకేతిక సిబ్బంది సెప్"&amp;"టెంబర్ 1971 లో వారి అత్యవసర ఫ్లాప్ వ్యవస్థకు లోపాల కోసం అన్ని విమానాలను తనిఖీ చేసి X. 1972 ప్రారంభంలో వారి స్టెబిలిటర్లలో ఏదైనా పగుళ్లను గుర్తించడానికి రే పరీక్ష. [23] RAAF యొక్క ఫాంటమ్స్ అనేక ప్రమాదాలకు గురయ్యారు. మొదటిది 19 అక్టోబర్ 1970 న సంభవించింది, "&amp;"బ్రేక్ స్కిడ్ మరియు నోస్‌వీల్ స్టీరింగ్‌కు శక్తివంతం కావాల్సిన వ్యవస్థలు ఫాంటమ్ A69-7234 బోర్డులో విమానంలో విఫలమయ్యాయి. విమానం దిగేటప్పుడు అంబర్లీ అరెస్టు చేసే పరికరాలను ఉపయోగించాలని నిర్ణయించారు, కాని A69-7234 యొక్క టెయిల్ హుక్ వైర్లను నిమగ్నం చేసిన తరువ"&amp;"ాత ఈ వ్యవస్థ విఫలమైంది, దీనివల్ల ఫాంటమ్ రన్వే నుండి జారిపోయింది. పైలట్ స్వల్ప గాయాలతో బాధపడ్డాడు మరియు నావిగేటర్ గాయపడలేదు, కానీ A69-7234 తీవ్రంగా దెబ్బతింది. [24] ఈ విమానం తరువాత 3 వ ఎయిర్క్రాఫ్ట్ డిపో చేత పునర్నిర్మించబడింది మరియు 30 సెప్టెంబర్ 1971 న స"&amp;"ేవకు తిరిగి వచ్చింది; ఆ సమయంలో ఇది విమానాన్ని నిర్వహిస్తున్న ఏ దేశాలలోనైనా సైనిక సిబ్బంది చేపట్టిన అత్యంత క్లిష్టమైన ఫాంటమ్ మరమ్మత్తు పని. [25] న్యూ సౌత్ వేల్స్లోని ఎవాన్స్ హెడ్ సమీపంలో జరిగిన ఒక వ్యాయామం సమయంలో A69-7203 16 జూన్ 1971 రాత్రి A69-7203 సముద్"&amp;"రంలో కూలిపోయినప్పుడు తదుపరి తీవ్రమైన ప్రమాదం జరిగింది, దీని ఫలితంగా విమానం యొక్క పైలట్ మరియు నావిగేటర్ మరణం సంభవించింది. [26] ఈ విమానం యొక్క ఖర్చు ఆస్ట్రేలియన్ లాక్హీడ్ పి -3 బి ఓరియన్ యొక్క దానికి వ్యతిరేకంగా వ్రాయబడింది, ఇది 1968 లో అమెరికాలో RAAF కు పం"&amp;"పిణీ చేయడానికి ముందు క్రాష్ అయ్యింది. [27] ఫాంటమ్‌తో సంబంధం ఉన్న ఇతర ప్రమాదాలు, ఫిబ్రవరి 1971 లో A67-7220 విమానంలో అధిక ఒత్తిడితో కూడుకున్నవి (ఇది దాని ఇంజిన్‌లను మరమ్మతులకు తిరిగి అమెరికాకు పంపించటానికి దారితీసింది) మరియు A69-7206 యొక్క నోస్‌వీల్ జనవరి 1"&amp;"972 లో టేకాఫ్ సమయంలో కూలిపోవడం. [28] F-4ES యొక్క పనితీరుతో RAAF చాలా సంతృప్తి చెందింది మరియు F-1111 ను ఆపరేట్ చేయడానికి 82 వ వింగ్ ను సిద్ధం చేయడంలో వారు ముఖ్యమైన పాత్ర పోషించారు. వైమానిక దళంలో చాలా మంది సిబ్బంది వింగ్ కాన్బెర్రా నుండి నేరుగా మరింత క్లిష్"&amp;"టమైన F-111 కు మారడం చాలా కష్టమని నమ్ముతారు. [27] ప్రత్యేకించి, ఫాంటమ్స్ RAAF సిబ్బందికి అధునాతన ఏవియానిక్‌లతో అమర్చిన మరియు విస్తృత శ్రేణి ఆయుధాలను ఉపయోగించగల సామర్థ్యం కలిగిన విమానాలను ఇచ్చింది, మరియు ఈ కాలంలో 82 వ రెక్కలు చేపట్టిన ఇంటెన్సివ్ శిక్షణా కార"&amp;"్యక్రమం దాని వృత్తి నైపుణ్యాన్ని గణనీయంగా మెరుగుపరిచింది. తన పుస్తక గోవింగ్ సోలో: ది రాయల్ ఆస్ట్రేలియన్ వైమానిక దళం 1946-1971లో, అలాన్ స్టీఫెన్స్ కూడా వైమానిక దళం యొక్క ఎయిర్ క్రూ మరియు ఫాంటమ్స్‌కు అనుగుణంగా ఉన్న సాంకేతిక సిబ్బంది ""RAAF యొక్క అసాధారణమైన "&amp;"సాంకేతిక సామర్థ్యాన్ని వివరించారు"" అని వాదించారు. [29] RAAF యొక్క F-111C లకు మరమ్మతులు 1971 చివరి నుండి చేపట్టబడ్డాయి, మరియు మొత్తం 24 మంది 15 మార్చి 1973 న అంగీకరించబడ్డాయి. [30] RAAF F-111 లు సేవలోకి ప్రవేశించిన తరువాత ఫాంటమ్స్‌ను నిలుపుకోవడాన్ని పరిగణ"&amp;"ించింది, మరియు మిగిలిన 23 విమానాలను ఆస్ట్రేలియాకు 54 మిలియన్ డాలర్లకు విక్రయించడానికి యుఎస్ ప్రభుత్వం ఇచ్చింది. [31] F-4ES ని ఉంచడానికి ముందస్తు ఖర్చు million 77 మిలియన్లు అని అధ్యయనాలు కనుగొన్నాయి, మరియు మిరాజ్ III స్క్వాడ్రన్లలో ఒకటి ఫాంటమ్-అమర్చిన యూని"&amp;"ట్లను మనిషికి రద్దు చేయవలసి ఉంటుంది. ఏదేమైనా, విమానం నిలుపుకోవాలని ఎయిర్ బోర్డ్ సిఫారసు చేసింది, కాని అలా చేయాలనే ప్రతిపాదనను 1972 లో ట్రెజరీ సలహా మేరకు క్యాబినెట్ తిరస్కరించింది. [32] ఫాంటమ్స్ సేవలో ఉండి ఉంటే అవి సైన్యానికి దగ్గరి వాయు సహాయాన్ని అందించడా"&amp;"నికి ఉపయోగించబడతాయి. [33] ఫాంటమ్స్ 1972 లో USAF కి తిరిగి రావడం ప్రారంభించారు. నంబర్ 6 స్క్వాడ్రన్ 4 అక్టోబర్ 1972 న ఈ విమానాన్ని నిర్వహించడం మానేసింది. ఆరు ఎఫ్ -4 లు ఆ ఏడాది అక్టోబర్ 25 న అమెరికాకు బయలుదేరాడు, తరువాత నవంబర్ ఆరంభంలో మరో ఐదుగురు ఉన్నాయి. మ"&amp;"ొదటి ఆరు ఎఫ్ -111 లు 1 జూన్ 1973 న అంబర్లీకి వచ్చాయి, మరియు ఐదు రోజుల తరువాత ఆరు ఫాంటమ్స్ అమెరికాకు బయలుదేరాడు. చివరి RAAF ఫాంటమ్ ఫ్లైట్ జూన్ 20 న జరిగింది, మరియు నాలుగు విమానాలు మరుసటి రోజు బయలుదేరాయి. చివరి రెండు ఫాంటమ్స్ జూన్ 21 న అంబర్లీని విడిచిపెట్ట"&amp;"ారు. [33] మాజీ RAAF ఫాంటమ్‌లలో రెండు మినహా మిగతావన్నీ తరువాత స్పెషలిస్ట్ వైల్డ్ వీసెల్ విమానంగా మార్చబడ్డాయి. [33] మాజీ USAF F-4E మెల్బోర్న్లోని RAAF మ్యూజియంలో ప్రదర్శనలో ఉంది. RAAF తో సేవ చేయని ఈ విమానం 1990 లో నేషనల్ మ్యూజియం ఆఫ్ ది అమెరికా వైమానిక దళం"&amp;" RAAF కి సమర్పించింది మరియు ఇది నెంబర్ 82 వింగ్ చేత నిర్వహించబడుతున్న ఫాంటమ్‌లలో ఒకటిగా పెయింట్ చేయబడింది. [34] వికీమీడియా కామన్స్ వద్ద ఆస్ట్రేలియాతో సేవలో ఎఫ్ -4 ఫాంటమ్ II కి సంబంధించిన మీడియా")</f>
        <v>రాయల్ ఆస్ట్రేలియన్ వైమానిక దళం (RAAF) 1970 మరియు 1973 మధ్య గ్రౌండ్ అటాక్ పాత్రలో 24 మెక్‌డోనెల్ డగ్లస్ ఎఫ్ -4 ఇ ఫాంటమ్ II ఫైటర్-బాంబర్ విమానాలను నిర్వహించింది. ఫాంటమ్‌లు అమెరికా వైమానిక దళం (యుఎస్‌ఎఫ్) నుండి ఆలస్యం కారణంగా మధ్యంతర కొలతగా లీజుకు ఇవ్వబడ్డాయి. RAAF యొక్క 24 జనరల్ డైనమిక్స్ F-111C బాంబర్స్ డెలివరీలో. ఈ పాత్రలో F-4ES విజయవంతమైంది, కాని 1973 లో F-111 లు సేవలోకి ప్రవేశించిన తరువాత విమానం నిలుపుకోవటానికి RAAF నుండి వచ్చిన ప్రతిపాదనను ప్రభుత్వం అంగీకరించలేదు. ఫాంటమ్ II యొక్క F-4C వేరియంట్ విమానంలో ఉంది తన ఇంగ్లీష్ ఎలక్ట్రిక్ కాన్బెర్రా బాంబర్లను భర్తీ చేసే ప్రాజెక్టులో భాగంగా 1963 లో RAAF చేత అంచనా వేయబడింది. ఎఫ్ -111 ఎంపిక చేయబడింది, కాని విమానంతో దీర్ఘకాల సాంకేతిక లోపాల కారణంగా 1960 ల చివరలో ఆ ప్రాజెక్ట్ ఆలస్యం అయినప్పుడు, ఎఫ్ -4 ఇ ఫాంటమ్ II ఉత్తమ ప్రత్యామ్నాయంగా ఉంటుందని RAAF నిర్ణయించింది. ఎఫ్ -111 లతో నిరంతర సమస్యల ఫలితంగా, ఆస్ట్రేలియన్ మరియు అమెరికా ప్రభుత్వాలు 1970 లో ఒక ఒప్పందంపై చర్చలు జరిపాయి, దీని ద్వారా RAAF USAF నుండి 24 F-4ES మరియు వారి సహాయక పరికరాలను లీజుకు తీసుకుంది. RAAF యొక్క F-4ES సెప్టెంబర్ 1970 లో సేవలోకి ప్రవేశించింది మరియు ఇది చాలా ప్రభావవంతంగా ఉందని నిరూపించబడింది. ఎయిర్-టు-గ్రౌండ్ పాత్రలో ఉపయోగించబడిన వారు, అధునాతన F-111 లను నిర్వహించడానికి ఎయిర్‌క్రూను సిద్ధం చేశారు, మరియు విమానం ఉపయోగించి చేపట్టిన ఇంటెన్సివ్ శిక్షణా కార్యక్రమం RAAF యొక్క వృత్తిపరమైన ప్రమాణాలను మెరుగుపరిచింది. జూన్ 1971 లో జరిగిన ఎగిరే ప్రమాదంలో ఫాంటమ్స్‌లో ఒకటి నాశనం చేయబడింది, మరియు మరొకటి క్రాష్ ల్యాండింగ్ సమయంలో భారీ నష్టాన్ని ఎదుర్కొన్న తరువాత RAAF చేత మరమ్మతులు చేయబడింది. అక్టోబర్ 1972 మరియు జూన్ 1973 లలో 23 మంది విమానాలను USAF కి రెండు బ్యాచ్‌లలో తిరిగి ఇచ్చారు. మెక్‌డోనెల్ డగ్లస్ ఎఫ్ -4 సి ఫాంటమ్ II దాని వృద్ధాప్య ఇంగ్లీష్ ఎలక్ట్రిక్ కాన్బెర్రా బాంబర్‌లకు ప్రత్యామ్నాయంగా RAAF చేత అంచనా వేయబడిన విమాన రకాల్లో ఒకటి 1960 ల ప్రారంభంలో. 1963 మధ్యలో, ఎయిర్ స్టాఫ్ చీఫ్, ఎయిర్ మార్షల్ వాల్స్టన్ హాంకాక్ నేతృత్వంలోని సీనియర్ RAAF అధికారుల బృందం, జనరల్ డైనమిక్స్ F-1111 (అప్పుడు "TFX" అని పిలుస్తారు), నార్త్ అమెరికన్ A- 5 విజిలోంటే మరియు ఎఫ్ -4 సి ఫాంటమ్ II స్ట్రైక్ ఎయిర్క్రాఫ్ట్. అమెరికాలో ఉన్నప్పుడు, బృందం బోయింగ్ కెసి -135 స్ట్రాటోటాంకర్‌ను కూడా పరిశీలించింది, ఇది ఈ విమానాలకు మద్దతు ఇవ్వడానికి అవసరమైనదిగా భావించబడింది. అదనంగా, RAAF అధికారులు వరుసగా BAC TSR-2 మరియు డసాల్ట్ మిరాజ్ IV లను అంచనా వేయడానికి యునైటెడ్ కింగ్‌డమ్ మరియు ఫ్రాన్స్‌లకు వెళ్లారు. [3] తన తుది నివేదికలో, విమానం యొక్క పరిధి, తక్కువ ఎత్తులో పనితీరు మరియు RAAF అవసరమయ్యే నిఘా సామర్ధ్యం లేదని జట్టు F-4C ను తిరస్కరించింది. F-1111 పరిగణించబడిన వారిలో అత్యంత అనువైన విమానం అని పరిగణించబడింది, కాని బృందం RAAF 36 అప్రమత్తమైనవారిని సంపాదించాలని ప్రతిపాదించింది, ఎందుకంటే వారు ఫోర్స్ యొక్క అవసరాలను కూడా తీర్చారు మరియు తక్కువ కాలపరిమితిలో పంపిణీ చేయబడతారు. [4] ఆస్ట్రేలియా ప్రభుత్వం ఈ సలహాను తిరస్కరించింది మరియు 24 ఎఫ్ -111 లను కొనుగోలు చేయాలని నిర్ణయించుకుంది. 1963 చివరలో ఆర్డర్ ఇచ్చిన సమయంలో ఈ విమానాలు 1967 లో పంపిణీ చేయబడాలి; [5] ప్రత్యేకమైన ఎఫ్ -111 సి వేరియంట్‌ను ఆస్ట్రేలియా ఆర్డర్ చేయాలని ఆస్ట్రేలియా నిర్ణయించిన తరువాత డెలివరీ తేదీని 1968 కు వెనక్కి నెట్టారు. [6] 1963 చివరలో, అమెరికా ప్రభుత్వం ఆస్ట్రేలియా 24 బోయింగ్ B-47 స్ట్రాటోజెట్ బాంబర్లను అప్పుగా ఇచ్చింది. ఆస్ట్రేలియన్ ఎయిర్ బోర్డ్ [గమనిక 1] ఈ విమానాలను అవి వాడుకలో లేవని మరియు పనిచేయడానికి ఖరీదైనవి అనే కారణంతో సంపాదించడాన్ని వ్యతిరేకించాయి. బదులుగా, ఎఫ్ -4 సి స్ట్రైక్ ఎయిర్క్రాఫ్ట్ యొక్క ప్యాకేజీ, ఈ డిజైన్ యొక్క RF-4C నిఘా వేరియంట్ మరియు ఒక మధ్యంతర శక్తి అవసరమని భావిస్తే KC-135 ట్యాంకర్లు అమెరికా నుండి లీజుకు ఇవ్వాలని క్యాబినెట్‌కు సిఫార్సు చేసింది. క్యాబినెట్ 1964 లో రెండు ఎంపికలను పరిగణించింది మరియు వారిద్దరినీ తిరస్కరించింది. [8] 1965 మరియు 1970 మధ్య, ఆరుగురు ఆస్ట్రేలియన్ పైలట్లు అమెరికా ఎయిర్ ఫోర్స్ (యుఎస్ఎఎఫ్) కు ఎక్స్ఛేంజ్ పోస్టింగ్స్ లో పనిచేస్తున్నారు వియత్నాం యుద్ధం సమయంలో ఫాంటమ్స్ పోరాటంలో ప్రయాణించారు. [9] [10] 1960 ల చివరలో F-111 కార్యక్రమం గణనీయమైన సమస్యలను ఎదుర్కొంది. ఎఫ్ -111 యొక్క ఆర్‌ఎఫ్ -111 నిఘా వేరియంట్ అభివృద్ధికి ఆలస్యం ఫలితంగా, వీటిలో ఆస్ట్రేలియా నాలుగు ఆదేశించింది, RAAF 1968 ప్రారంభంలో ఎనిమిది RF-4C లేదా RF-4E నిఘా విమానం మరియు రెండు ట్యాంకర్లను కొనుగోలు చేయాలని భావించింది. వైమానిక దళం మరియు ప్రభుత్వం చివరికి ఈ విషయంపై నిర్ణయం తీసుకోవడం చాలా తొందరగా ఉందని తేల్చింది, మరియు ఎటువంటి చర్యలు తీసుకోలేదు. [11] 4 సెప్టెంబర్ 1968 న టెక్సాస్‌లోని ఫోర్ట్ వర్త్‌లో జరిగిన ఒక కార్యక్రమంలో RAAF మొత్తం 24 F-111C లను అంగీకరించింది. [12] ఈ సమయంలో విమానం యొక్క వింగ్ అసెంబ్లీ రూపకల్పనతో సాంకేతిక సమస్యల కారణంగా ఎఫ్ -111 కార్యక్రమం సంక్షోభంలో ఉంది, మరియు సెప్టెంబర్ 23 న ఒక అమెరికన్ ఎఫ్ -111 క్రాష్ అయిన తరువాత అన్ని ఎఫ్ -111 లు గ్రౌన్దేడ్ చేయబడ్డాయి. తరువాతి పరీక్షలో ఎఫ్ -111 భాగాలు వారి ఉద్దేశించిన జీవితకాలం కలవకపోవడంతో మరిన్ని సమస్యలను వెల్లడించాయి మరియు ఈ లోపాలను సరిదిద్దే వరకు ఆస్ట్రేలియన్ విమానాలను ఫోర్ట్ వర్త్ వద్ద నిల్వలో ఉంచారు. [6] [13] RAAF తరువాత F-4E ఫాంటమ్ II, బ్లాక్బర్న్ బుక్కనీర్, LTV A-7 కోర్సెయిర్ II మరియు గ్రుమ్మన్ A-6 చొరబాటుదారులను F-111 కోసం సాధ్యమైనంత భర్తీ చేసింది. F-4E మాత్రమే RAAF యొక్క అవసరాలను తీర్చడానికి దగ్గరగా ఉన్నట్లు పరిగణించబడింది, అయినప్పటికీ దాని సాపేక్షంగా స్వల్ప శ్రేణి మరియు భూభాగం-అనుసరించే రాడార్ మరియు ఎలక్ట్రానిక్ కౌంటర్-మీజర్ల లేకపోవడం సమస్యాత్మకంగా పరిగణించబడింది. [14] 1970 నాటికి F-111C లు ఇప్పటికీ వాయుమార్గం కాదు, మరియు ఆస్ట్రేలియా ప్రభుత్వం ఆర్డర్‌ను రద్దు చేయడానికి లేదా మధ్యంతర రూపకల్పనను పొందటానికి ఒత్తిడిలో ఉంది. ఆ సంవత్సరం ఏప్రిల్‌లో రక్షణ శాఖ మంత్రి మాల్కం ఫ్రేజర్ తన అమెరికన్ కౌంటర్ మెల్విన్ ఆర్. ఈ ఒప్పందానికి దారితీసే చర్చలలో భాగంగా, లైర్డ్ ఆస్ట్రేలియాను 24 ఎఫ్ -4 ఇ ఫాంటమ్స్‌ను తగ్గించటానికి ముందుకొచ్చాడు. ఈ ఆఫర్ తీసుకోవాలని ఫ్రేజర్ సిఫారసు చేయడానికి క్యాబినెట్ అంగీకరించింది, ఈ చర్య ఎయిర్ బోర్డు మద్దతు ఇస్తుంది. [15] [16] అయితే, RAAF F-111C కి కట్టుబడి ఉంది, మరియు ఈ విమానం "RAAF కార్యాచరణ అవసరాన్ని F-4E కంటే నిర్ణయాత్మక మార్జిన్ ద్వారా మరింత సమర్థవంతంగా తీర్చగలదని వాదించే మే ​​సందర్భంగా ఎయిర్ బోర్డ్ ఒక ప్రకటన విడుదల చేసింది. [14] లీజు ఏర్పాట్లపై చర్చలు జరపడానికి మే 1970 లో ఎయిర్ వైస్ మార్షల్ చార్లెస్ డిప్యూటీ చీఫ్ ఎయిర్ వైస్ మార్షల్ చార్లెస్ చదివిన RAAF బృందం అమెరికాకు పంపబడింది. ప్రతిపాదిత ఒప్పందాన్ని పరిగణనలోకి తీసుకున్న తరువాత, రీడ్ అది ముందుకు సాగాలని సిఫారసు చేసింది; RAAF చరిత్రకారుడు అలాన్ స్టీఫెన్స్ ప్రకారం, ఈ నిర్ణయం "RAAF సీనియర్ అధికారులు మరియు ఎయిర్‌క్రూలను ఆనందించారు". [17] క్యాబినెట్ తరువాత మొత్తం. US 41.554 మిలియన్ల (శిక్షణ, విడి భాగాలు మరియు సాంకేతిక సలహాలతో సహా) మొత్తం ఖర్చుతో రెండేళ్లపాటు 24 ఫాంటమ్‌లను లీజుకు ఆమోదించింది మరియు అలా చేయటానికి అధికారిక ఒప్పందం 29 జూన్ 1970 న సంతకం చేయబడింది. USAF ఈ ప్రాజెక్ట్ను నియమించింది శాంతి రీఫ్. [16] లీజు ఒప్పందం యొక్క నిబంధనలు ఆస్ట్రేలియా ప్రభుత్వం F-1111C ప్రోగ్రామ్ రద్దు చేయబడితే ఫాంటమ్‌లను పూర్తిగా కొనుగోలు చేయడానికి అనుమతించింది, [18] కానీ USAF ఒక జాతీయ సందర్భంలో విమానం మరియు వారి సహాయక పరికరాలను వెంటనే తిరిగి ఇవ్వమని డిమాండ్ చేయడానికి అనుమతించింది అత్యవసర పరిస్థితి. లైర్డ్ ఫ్రేజర్‌కు ఈ ఎంపిక ఉపయోగించబడదని వ్రాతపూర్వక నిబద్ధతను అందించాడు మరియు ఇది ఎప్పుడూ ప్రచారం చేయబడలేదు. [17] అమెరికన్ జాతీయ అవసరాలకు మరియు ఇరు దేశాల మధ్య సంబంధిత ఒప్పందాల నిబంధనలకు లోబడి, సంక్షోభాల సమయంలో ఆస్ట్రేలియన్ ఫాంటమ్‌లకు మద్దతు ఇవ్వడానికి యుఎస్‌ఎఎఫ్ ట్యాంకర్లు అందుబాటులో ఉంటాయని లైర్డ్ హామీ ఇచ్చారు. [17] లీజు ఒప్పందం పూర్తయిన వెంటనే RAAF యొక్క ఫాంటమ్స్ పంపిణీ చేయబడ్డాయి. విమానం, నంబర్ 1 మరియు 6 వ స్క్వాడ్రన్లను నిర్వహించబోయే రెండు యూనిట్ల నుండి ఆస్ట్రేలియా పైలట్లు మరియు నావిగేటర్లు జూలై 1970 లో మార్పిడి శిక్షణ కోసం అమెరికాకు రావడం ప్రారంభించారు. ఈ శిక్షణలో ఎక్కువ భాగం 4530 వ వ్యూహాత్మక శిక్షణా స్క్వాడ్రన్ అందించింది, 1 వ టాక్టికల్ ఫైటర్ వింగ్, ఫ్లోరిడాలోని మాక్‌డిల్ ఎయిర్ ఫోర్స్ బేస్ వద్ద, మరియు 32 గంటల ఎగురుతూ పాల్గొంది. [18] [19] ఆస్ట్రేలియన్ గ్రౌండ్ సిబ్బందికి శిక్షణ ఇవ్వడానికి, యుఎస్ఎఎఫ్ సిబ్బందిని క్వీన్స్లాండ్‌లోని రాఫ్ బేస్ అంబర్లీకి కూడా పోస్ట్ చేశారు. ఆస్ట్రేలియన్ ఫాంటమ్స్ USAF ఆదేశాల నుండి మళ్లించబడ్డాయి మరియు సరికొత్తవి. RAAF మొత్తం 24 విమానాలను సెప్టెంబర్ 1970 లో అంగీకరించింది, తరువాత వాటిని ఆరు విమానాల నాలుగు సమూహాలలో అంబర్లీకి పంపించారు; మొదటి మూడు గ్రూపులు సెప్టెంబర్ 14, 19 మరియు 26 తేదీలలో వచ్చాయి, మరియు తుది సమూహం అక్టోబర్ 3 న వచ్చింది. ఫాంటమ్‌కు RAAF సీరియల్ నంబర్ ఉపసర్గ "A69" ను కేటాయించారు, కానీ ఇది విమానానికి ఎప్పుడూ వర్తించలేదు మరియు వారు వారి USAF సీరియల్‌లను నిలుపుకున్నారు. [18] ఫాంటమ్ RAAF యొక్క గ్రౌండ్ అటాక్ సామర్థ్యాలకు గణనీయమైన మెరుగుదలను సూచిస్తుంది. కాన్బెర్రా కంటే F-4E లు సాంకేతికంగా అభివృద్ధి చెందాయి, ఎందుకంటే అవి సూపర్సోనిక్ వేగంతో ప్రయాణించగలవు, గాలి నుండి గాలికి రాడార్ మరియు క్షిపణులను కలిగి ఉన్నాయి మరియు జడత్వ నావిగేషన్ సిస్టమ్, గ్రౌండ్-అటాక్ కంప్యూటర్ మరియు ఫిరంగిని కలిగి ఉన్నాయి. [19] ఫాంటమ్స్ అనేక పాత్రలలో పనిచేయగల సామర్థ్యాన్ని కలిగి ఉన్నాయి; RAAF ప్రధానంగా వాటిని సమ్మె విమానంగా ఉపయోగించింది. F-111 లను ఆపరేట్ చేయడానికి ఎయిర్‌క్రూను సిద్ధం చేయడానికి ఈ పాత్ర ఎంపిక చేయబడింది, మరియు చాలా శిక్షణా వ్యాయామాలు F-111 లు కూడా చేయగలిగే పనులపై దృష్టి సారించాయి. [20] F-4ES ను ఉపయోగించి ఎయిర్‌క్రూ శిక్షణ ప్రారంభమైంది, విమానం మొదట అంబర్లీకి వచ్చిన మూడు రోజుల తరువాత ప్రారంభమైంది. ఈ విమానం మొదట్లో నంబర్ 82 వింగ్ (నంబర్ 1 మరియు 6 వ స్క్వాడ్రన్లకు పేరెంట్ హెడ్ క్వార్టర్స్) చేత నియంత్రించబడే కొలనుగా నిర్వహించబడుతోంది మరియు అన్ని ఫాంటమ్స్, ఎయిర్ క్రూ మరియు గ్రౌండ్ సిబ్బంది ఆస్ట్రేలియాకు వచ్చిన తరువాత మాత్రమే రెండు స్క్వాడ్రన్ల మధ్య కేటాయించారు. ఈ శిక్షణా కార్యక్రమం క్రమంగా సంక్లిష్టతతో పెరిగింది, అక్టోబర్‌లో రాత్రి ఎగురుతూ, నవంబర్ చివరలో ప్రాక్టీస్-బాంబింగ్ సోర్టీలు ప్రారంభమవుతాయి మరియు జనవరి 1971 నుండి గాలి నుండి గాలి నుండి ఎయిర్ సోర్టీలు ఎగురవేయబడ్డాయి. ఫిబ్రవరి 1971 నుండి గ్రౌండ్ అటాక్ మిషన్లు ఆచరించబడ్డాయి మరియు ఆ సంవత్సరం జూన్లో వ్యాయామాల సమయంలో ఫాంటమ్స్ ప్రత్యక్ష బాంబులను పడటం ప్రారంభించారు. అనేక విమానాలను సేవలోకి ప్రవేశపెట్టడం విడిభాగాల ప్రారంభ కొరతతో ఆలస్యం అయింది, కాని అన్నీ 1970 చివరి నాటికి పనిచేశాయి. [21] RAAF తో వారి సేవ సమయంలో, ఫాంటమ్స్ RAAF యొక్క డసాల్ట్ మిరాజ్ III ఫైటర్స్ మరియు రాయల్ ఆస్ట్రేలియన్ నేవీ యొక్క డగ్లస్ A-4 స్కైహాక్ గ్రౌండ్ అటాక్ విమానంతో కలిసి పనిచేశారు. సాధారణ శిక్షణా విమానాలతో పాటు, ఫాంటమ్స్ ప్రధాన వాయు రక్షణ వ్యాయామాలలో పాల్గొన్నారు మరియు యుద్ధనౌకలకు వ్యతిరేకంగా ప్రాక్టీస్ సోర్టీలను కూడా ప్రయాణించారు. [20] మార్చి మరియు ఏప్రిల్ 1971 లలో RAAF యొక్క 50 వ వార్షికోత్సవం సందర్భంగా ఆస్ట్రేలియాలోని వివిధ ప్రాంతాలలో నిర్వహించిన ఫ్లయింగ్ డిస్ప్లేలలో భాగమైన నాలుగు ఉన్నాయి. ఫాంటమ్స్ నిర్వహణను నంబర్ 482 స్క్వాడ్రన్ మరియు నంబర్ 3 ఎయిర్క్రాఫ్ట్ డిపో చేత చేపట్టారు, ఈ రెండూ అంబర్లీ వద్ద ఉన్నాయి. సాధారణ సర్వీసింగ్‌తో పాటు, ఈ యూనిట్లు 1971 ప్రారంభంలో ఫాంటమ్స్ యొక్క AN/APQ-120 రాడార్లను సవరించాయి. నిర్వహణ సమయంలో కనుగొనబడిన సమస్యలకు ప్రతిస్పందనగా, RAAF సాంకేతిక సిబ్బంది సెప్టెంబర్ 1971 లో వారి అత్యవసర ఫ్లాప్ వ్యవస్థకు లోపాల కోసం అన్ని విమానాలను తనిఖీ చేసి X. 1972 ప్రారంభంలో వారి స్టెబిలిటర్లలో ఏదైనా పగుళ్లను గుర్తించడానికి రే పరీక్ష. [23] RAAF యొక్క ఫాంటమ్స్ అనేక ప్రమాదాలకు గురయ్యారు. మొదటిది 19 అక్టోబర్ 1970 న సంభవించింది, బ్రేక్ స్కిడ్ మరియు నోస్‌వీల్ స్టీరింగ్‌కు శక్తివంతం కావాల్సిన వ్యవస్థలు ఫాంటమ్ A69-7234 బోర్డులో విమానంలో విఫలమయ్యాయి. విమానం దిగేటప్పుడు అంబర్లీ అరెస్టు చేసే పరికరాలను ఉపయోగించాలని నిర్ణయించారు, కాని A69-7234 యొక్క టెయిల్ హుక్ వైర్లను నిమగ్నం చేసిన తరువాత ఈ వ్యవస్థ విఫలమైంది, దీనివల్ల ఫాంటమ్ రన్వే నుండి జారిపోయింది. పైలట్ స్వల్ప గాయాలతో బాధపడ్డాడు మరియు నావిగేటర్ గాయపడలేదు, కానీ A69-7234 తీవ్రంగా దెబ్బతింది. [24] ఈ విమానం తరువాత 3 వ ఎయిర్క్రాఫ్ట్ డిపో చేత పునర్నిర్మించబడింది మరియు 30 సెప్టెంబర్ 1971 న సేవకు తిరిగి వచ్చింది; ఆ సమయంలో ఇది విమానాన్ని నిర్వహిస్తున్న ఏ దేశాలలోనైనా సైనిక సిబ్బంది చేపట్టిన అత్యంత క్లిష్టమైన ఫాంటమ్ మరమ్మత్తు పని. [25] న్యూ సౌత్ వేల్స్లోని ఎవాన్స్ హెడ్ సమీపంలో జరిగిన ఒక వ్యాయామం సమయంలో A69-7203 16 జూన్ 1971 రాత్రి A69-7203 సముద్రంలో కూలిపోయినప్పుడు తదుపరి తీవ్రమైన ప్రమాదం జరిగింది, దీని ఫలితంగా విమానం యొక్క పైలట్ మరియు నావిగేటర్ మరణం సంభవించింది. [26] ఈ విమానం యొక్క ఖర్చు ఆస్ట్రేలియన్ లాక్హీడ్ పి -3 బి ఓరియన్ యొక్క దానికి వ్యతిరేకంగా వ్రాయబడింది, ఇది 1968 లో అమెరికాలో RAAF కు పంపిణీ చేయడానికి ముందు క్రాష్ అయ్యింది. [27] ఫాంటమ్‌తో సంబంధం ఉన్న ఇతర ప్రమాదాలు, ఫిబ్రవరి 1971 లో A67-7220 విమానంలో అధిక ఒత్తిడితో కూడుకున్నవి (ఇది దాని ఇంజిన్‌లను మరమ్మతులకు తిరిగి అమెరికాకు పంపించటానికి దారితీసింది) మరియు A69-7206 యొక్క నోస్‌వీల్ జనవరి 1972 లో టేకాఫ్ సమయంలో కూలిపోవడం. [28] F-4ES యొక్క పనితీరుతో RAAF చాలా సంతృప్తి చెందింది మరియు F-1111 ను ఆపరేట్ చేయడానికి 82 వ వింగ్ ను సిద్ధం చేయడంలో వారు ముఖ్యమైన పాత్ర పోషించారు. వైమానిక దళంలో చాలా మంది సిబ్బంది వింగ్ కాన్బెర్రా నుండి నేరుగా మరింత క్లిష్టమైన F-111 కు మారడం చాలా కష్టమని నమ్ముతారు. [27] ప్రత్యేకించి, ఫాంటమ్స్ RAAF సిబ్బందికి అధునాతన ఏవియానిక్‌లతో అమర్చిన మరియు విస్తృత శ్రేణి ఆయుధాలను ఉపయోగించగల సామర్థ్యం కలిగిన విమానాలను ఇచ్చింది, మరియు ఈ కాలంలో 82 వ రెక్కలు చేపట్టిన ఇంటెన్సివ్ శిక్షణా కార్యక్రమం దాని వృత్తి నైపుణ్యాన్ని గణనీయంగా మెరుగుపరిచింది. తన పుస్తక గోవింగ్ సోలో: ది రాయల్ ఆస్ట్రేలియన్ వైమానిక దళం 1946-1971లో, అలాన్ స్టీఫెన్స్ కూడా వైమానిక దళం యొక్క ఎయిర్ క్రూ మరియు ఫాంటమ్స్‌కు అనుగుణంగా ఉన్న సాంకేతిక సిబ్బంది "RAAF యొక్క అసాధారణమైన సాంకేతిక సామర్థ్యాన్ని వివరించారు" అని వాదించారు. [29] RAAF యొక్క F-111C లకు మరమ్మతులు 1971 చివరి నుండి చేపట్టబడ్డాయి, మరియు మొత్తం 24 మంది 15 మార్చి 1973 న అంగీకరించబడ్డాయి. [30] RAAF F-111 లు సేవలోకి ప్రవేశించిన తరువాత ఫాంటమ్స్‌ను నిలుపుకోవడాన్ని పరిగణించింది, మరియు మిగిలిన 23 విమానాలను ఆస్ట్రేలియాకు 54 మిలియన్ డాలర్లకు విక్రయించడానికి యుఎస్ ప్రభుత్వం ఇచ్చింది. [31] F-4ES ని ఉంచడానికి ముందస్తు ఖర్చు million 77 మిలియన్లు అని అధ్యయనాలు కనుగొన్నాయి, మరియు మిరాజ్ III స్క్వాడ్రన్లలో ఒకటి ఫాంటమ్-అమర్చిన యూనిట్లను మనిషికి రద్దు చేయవలసి ఉంటుంది. ఏదేమైనా, విమానం నిలుపుకోవాలని ఎయిర్ బోర్డ్ సిఫారసు చేసింది, కాని అలా చేయాలనే ప్రతిపాదనను 1972 లో ట్రెజరీ సలహా మేరకు క్యాబినెట్ తిరస్కరించింది. [32] ఫాంటమ్స్ సేవలో ఉండి ఉంటే అవి సైన్యానికి దగ్గరి వాయు సహాయాన్ని అందించడానికి ఉపయోగించబడతాయి. [33] ఫాంటమ్స్ 1972 లో USAF కి తిరిగి రావడం ప్రారంభించారు. నంబర్ 6 స్క్వాడ్రన్ 4 అక్టోబర్ 1972 న ఈ విమానాన్ని నిర్వహించడం మానేసింది. ఆరు ఎఫ్ -4 లు ఆ ఏడాది అక్టోబర్ 25 న అమెరికాకు బయలుదేరాడు, తరువాత నవంబర్ ఆరంభంలో మరో ఐదుగురు ఉన్నాయి. మొదటి ఆరు ఎఫ్ -111 లు 1 జూన్ 1973 న అంబర్లీకి వచ్చాయి, మరియు ఐదు రోజుల తరువాత ఆరు ఫాంటమ్స్ అమెరికాకు బయలుదేరాడు. చివరి RAAF ఫాంటమ్ ఫ్లైట్ జూన్ 20 న జరిగింది, మరియు నాలుగు విమానాలు మరుసటి రోజు బయలుదేరాయి. చివరి రెండు ఫాంటమ్స్ జూన్ 21 న అంబర్లీని విడిచిపెట్టారు. [33] మాజీ RAAF ఫాంటమ్‌లలో రెండు మినహా మిగతావన్నీ తరువాత స్పెషలిస్ట్ వైల్డ్ వీసెల్ విమానంగా మార్చబడ్డాయి. [33] మాజీ USAF F-4E మెల్బోర్న్లోని RAAF మ్యూజియంలో ప్రదర్శనలో ఉంది. RAAF తో సేవ చేయని ఈ విమానం 1990 లో నేషనల్ మ్యూజియం ఆఫ్ ది అమెరికా వైమానిక దళం RAAF కి సమర్పించింది మరియు ఇది నెంబర్ 82 వింగ్ చేత నిర్వహించబడుతున్న ఫాంటమ్‌లలో ఒకటిగా పెయింట్ చేయబడింది. [34] వికీమీడియా కామన్స్ వద్ద ఆస్ట్రేలియాతో సేవలో ఎఫ్ -4 ఫాంటమ్ II కి సంబంధించిన మీడియా</v>
      </c>
      <c r="E41" s="1" t="s">
        <v>866</v>
      </c>
      <c r="F41" s="1" t="s">
        <v>867</v>
      </c>
      <c r="G41" s="1" t="str">
        <f>IFERROR(__xludf.DUMMYFUNCTION("GOOGLETRANSLATE(F:F, ""en"", ""te"")"),"ఫైటర్-బాంబర్, ప్రధానంగా RAAF సేవలో సమ్మె విమానంగా ఉపయోగించబడుతుంది [1]")</f>
        <v>ఫైటర్-బాంబర్, ప్రధానంగా RAAF సేవలో సమ్మె విమానంగా ఉపయోగించబడుతుంది [1]</v>
      </c>
      <c r="H41" s="1" t="s">
        <v>868</v>
      </c>
      <c r="I41" s="1" t="s">
        <v>869</v>
      </c>
      <c r="J41" s="1" t="str">
        <f>IFERROR(__xludf.DUMMYFUNCTION("GOOGLETRANSLATE(I:I, ""en"", ""te"")"),"మెక్‌డోనెల్ డగ్లస్")</f>
        <v>మెక్‌డోనెల్ డగ్లస్</v>
      </c>
      <c r="K41" s="1" t="s">
        <v>870</v>
      </c>
      <c r="M41" s="2"/>
      <c r="BW41" s="1" t="s">
        <v>871</v>
      </c>
      <c r="BX41" s="1" t="s">
        <v>872</v>
      </c>
    </row>
    <row r="42">
      <c r="A42" s="1" t="s">
        <v>873</v>
      </c>
      <c r="B42" s="1" t="str">
        <f>IFERROR(__xludf.DUMMYFUNCTION("GOOGLETRANSLATE(A:A, ""en"", ""te"")"),"మిడ్‌వెస్ట్ హార్నెట్")</f>
        <v>మిడ్‌వెస్ట్ హార్నెట్</v>
      </c>
      <c r="C42" s="1" t="s">
        <v>874</v>
      </c>
      <c r="D42" s="2" t="str">
        <f>IFERROR(__xludf.DUMMYFUNCTION("GOOGLETRANSLATE(C:C, ""en"", ""te"")"),"మిడ్‌వెస్ట్ హార్నెట్ అనేది ఒక అమెరికన్ ఆటోజీరో, దీనిని డాన్ షూబ్రిడ్జ్ రూపొందించారు మరియు మిడ్‌వెస్ట్ ఇంజనీరింగ్ &amp; డిజైన్ ద్వారా te త్సాహిక నిర్మాణం కోసం ఉచిత ప్రణాళికల రూపంలో అందుబాటులో ఉంచబడింది. [1] హార్నెట్ టాగ్‌గార్ట్ గైరోబీ యొక్క అభివృద్ధి మరియు ఇది"&amp;" 1997 లో ప్రవేశపెట్టబడింది. హార్నెట్ యుఎస్ ఫార్ 103 అల్ట్రాలైట్ వెహికల్స్ నిబంధనలను పాటించేలా రూపొందించబడింది, ఇందులో వర్గం యొక్క గరిష్ట ఖాళీ బరువు 254 ఎల్బి (115 కిలోలు). ఈ విమానం ప్రామాణిక ఖాళీ బరువు 254 పౌండ్లు (115 కిలోలు). ఇది సింగిల్ మెయిన్ రోటర్, స"&amp;"ింగిల్-సీట్, విండ్‌షీల్డ్ లేకుండా ఓపెన్ కాక్‌పిట్, ట్రైసైకిల్ ల్యాండింగ్ గేర్ మరియు ట్విన్ సిలిండర్, ఎయిర్-కూల్డ్, టూ-స్ట్రోక్, సింగిల్-ఇగ్నిషన్ 40 హెచ్‌పి (30 కిలోవాట్) రోటాక్స్ 447 ఇంజిన్‌ను పషర్ కాన్ఫిగరేషన్‌లో కలిగి ఉంది. 50 హెచ్‌పి (37 కిలోవాట్) రోటా"&amp;"క్స్ 503 ఇంజిన్‌ను కూడా అమర్చవచ్చు. [1] విమానం ఫ్యూజ్‌లేజ్ బోల్ట్-కలిసి అల్యూమినియం గొట్టాల నుండి తయారవుతుంది, అయితే ల్యాండింగ్ గేర్ మరియు విమాన నియంత్రణలు 4130 ఉక్కు నుండి కల్పించబడతాయి. రోటర్ 24 అడుగుల (7.3 మీ) వ్యాసం కలిగి ఉంది, అయితే ప్రొపెల్లర్ సిఫార"&amp;"్సు చేయబడినది పవర్‌ఫిన్ మిశ్రమ మోడల్, ఇది 60 నుండి 66 అంగుళాల (152 నుండి 168 సెం.మీ) వ్యాసం. 254 lb (115 kg) ఖాళీ బరువు మరియు 534 lb (242 kg) స్థూల బరువుతో డిజైన్ 280 lb (127 kg) యొక్క ఉపయోగకరమైన లోడ్‌ను అందిస్తుంది. ప్రీ-డేటర్ లేకుండా హార్నెట్‌కు 600 నుం"&amp;"డి 800 అడుగుల (183 నుండి 244 మీ) అవసరం. [1] [2] బేయర్ల్ మరియు మిడ్‌వెస్ట్ నుండి డేటా [1] [2] సాధారణ లక్షణాల పనితీరు")</f>
        <v>మిడ్‌వెస్ట్ హార్నెట్ అనేది ఒక అమెరికన్ ఆటోజీరో, దీనిని డాన్ షూబ్రిడ్జ్ రూపొందించారు మరియు మిడ్‌వెస్ట్ ఇంజనీరింగ్ &amp; డిజైన్ ద్వారా te త్సాహిక నిర్మాణం కోసం ఉచిత ప్రణాళికల రూపంలో అందుబాటులో ఉంచబడింది. [1] హార్నెట్ టాగ్‌గార్ట్ గైరోబీ యొక్క అభివృద్ధి మరియు ఇది 1997 లో ప్రవేశపెట్టబడింది. హార్నెట్ యుఎస్ ఫార్ 103 అల్ట్రాలైట్ వెహికల్స్ నిబంధనలను పాటించేలా రూపొందించబడింది, ఇందులో వర్గం యొక్క గరిష్ట ఖాళీ బరువు 254 ఎల్బి (115 కిలోలు). ఈ విమానం ప్రామాణిక ఖాళీ బరువు 254 పౌండ్లు (115 కిలోలు). ఇది సింగిల్ మెయిన్ రోటర్, సింగిల్-సీట్, విండ్‌షీల్డ్ లేకుండా ఓపెన్ కాక్‌పిట్, ట్రైసైకిల్ ల్యాండింగ్ గేర్ మరియు ట్విన్ సిలిండర్, ఎయిర్-కూల్డ్, టూ-స్ట్రోక్, సింగిల్-ఇగ్నిషన్ 40 హెచ్‌పి (30 కిలోవాట్) రోటాక్స్ 447 ఇంజిన్‌ను పషర్ కాన్ఫిగరేషన్‌లో కలిగి ఉంది. 50 హెచ్‌పి (37 కిలోవాట్) రోటాక్స్ 503 ఇంజిన్‌ను కూడా అమర్చవచ్చు. [1] విమానం ఫ్యూజ్‌లేజ్ బోల్ట్-కలిసి అల్యూమినియం గొట్టాల నుండి తయారవుతుంది, అయితే ల్యాండింగ్ గేర్ మరియు విమాన నియంత్రణలు 4130 ఉక్కు నుండి కల్పించబడతాయి. రోటర్ 24 అడుగుల (7.3 మీ) వ్యాసం కలిగి ఉంది, అయితే ప్రొపెల్లర్ సిఫార్సు చేయబడినది పవర్‌ఫిన్ మిశ్రమ మోడల్, ఇది 60 నుండి 66 అంగుళాల (152 నుండి 168 సెం.మీ) వ్యాసం. 254 lb (115 kg) ఖాళీ బరువు మరియు 534 lb (242 kg) స్థూల బరువుతో డిజైన్ 280 lb (127 kg) యొక్క ఉపయోగకరమైన లోడ్‌ను అందిస్తుంది. ప్రీ-డేటర్ లేకుండా హార్నెట్‌కు 600 నుండి 800 అడుగుల (183 నుండి 244 మీ) అవసరం. [1] [2] బేయర్ల్ మరియు మిడ్‌వెస్ట్ నుండి డేటా [1] [2] సాధారణ లక్షణాల పనితీరు</v>
      </c>
      <c r="F42" s="1" t="s">
        <v>875</v>
      </c>
      <c r="G42" s="1" t="str">
        <f>IFERROR(__xludf.DUMMYFUNCTION("GOOGLETRANSLATE(F:F, ""en"", ""te"")"),"ఆటోజీరో")</f>
        <v>ఆటోజీరో</v>
      </c>
      <c r="H42" s="4" t="s">
        <v>876</v>
      </c>
      <c r="I42" s="1" t="s">
        <v>877</v>
      </c>
      <c r="J42" s="1" t="str">
        <f>IFERROR(__xludf.DUMMYFUNCTION("GOOGLETRANSLATE(I:I, ""en"", ""te"")"),"మిడ్‌వెస్ట్ ఇంజనీరింగ్ &amp; డిజైన్")</f>
        <v>మిడ్‌వెస్ట్ ఇంజనీరింగ్ &amp; డిజైన్</v>
      </c>
      <c r="K42" s="1" t="s">
        <v>878</v>
      </c>
      <c r="L42" s="1" t="s">
        <v>879</v>
      </c>
      <c r="M42" s="2" t="str">
        <f>IFERROR(__xludf.DUMMYFUNCTION("GOOGLETRANSLATE(L:L, ""en"", ""te"")"),"డాన్ షూబ్రిడ్జ్")</f>
        <v>డాన్ షూబ్రిడ్జ్</v>
      </c>
      <c r="P42" s="1" t="s">
        <v>880</v>
      </c>
      <c r="Q42" s="1" t="s">
        <v>881</v>
      </c>
      <c r="R42" s="1" t="s">
        <v>222</v>
      </c>
      <c r="T42" s="1" t="s">
        <v>882</v>
      </c>
      <c r="W42" s="1" t="s">
        <v>883</v>
      </c>
      <c r="X42" s="1" t="s">
        <v>884</v>
      </c>
      <c r="Z42" s="1" t="s">
        <v>885</v>
      </c>
      <c r="AA42" s="1" t="s">
        <v>886</v>
      </c>
      <c r="AC42" s="1" t="s">
        <v>887</v>
      </c>
      <c r="AD42" s="1" t="s">
        <v>888</v>
      </c>
      <c r="AF42" s="1" t="s">
        <v>206</v>
      </c>
      <c r="AG42" s="4" t="s">
        <v>207</v>
      </c>
      <c r="AI42" s="1" t="s">
        <v>682</v>
      </c>
      <c r="AK42" s="1" t="s">
        <v>889</v>
      </c>
      <c r="AL42" s="1" t="s">
        <v>838</v>
      </c>
      <c r="AR42" s="1" t="s">
        <v>890</v>
      </c>
      <c r="AS42" s="1" t="s">
        <v>891</v>
      </c>
      <c r="AX42" s="1">
        <v>1997.0</v>
      </c>
      <c r="BQ42" s="1" t="s">
        <v>892</v>
      </c>
      <c r="BY42" s="1" t="s">
        <v>893</v>
      </c>
    </row>
    <row r="43">
      <c r="A43" s="1" t="s">
        <v>894</v>
      </c>
      <c r="B43" s="1" t="str">
        <f>IFERROR(__xludf.DUMMYFUNCTION("GOOGLETRANSLATE(A:A, ""en"", ""te"")"),"లాక్‌హీడ్ మార్టిన్ SR-72")</f>
        <v>లాక్‌హీడ్ మార్టిన్ SR-72</v>
      </c>
      <c r="C43" s="1" t="s">
        <v>895</v>
      </c>
      <c r="D43" s="2" t="str">
        <f>IFERROR(__xludf.DUMMYFUNCTION("GOOGLETRANSLATE(C:C, ""en"", ""te"")"),"లాక్హీడ్ మార్టిన్ SR-72, ""బ్లాక్బర్డ్ కుమారుడు"" అని పిలుస్తారు, [1] అనేది ఒక అమెరికన్ హైపర్సోనిక్ UAV భావన, ఇది ఇంటెలిజెన్స్, నిఘా మరియు నిఘా కోసం ఉద్దేశించినది, ఇది 2013 లో లాక్హీడ్ మార్టిన్ రిటైర్డ్ లాక్హీడ్ SR-71 వారసుడిగా ప్రైవేటుగా ప్రతిపాదించింది."&amp;" బ్లాక్బర్డ్. SR-72 పరీక్ష వాహనం 2025 నాటికి ఎగురుతుందని కంపెనీ భావించింది. SR-71 బ్లాక్బర్డ్ 1998 లో USAF చేత రిటైర్ అయ్యింది, [2] నిఘా ఉపగ్రహాలు, మనుషుల విమానం మరియు మానవరహిత వైమానిక వాహనాల మధ్య కవరేజ్ అంతరాన్ని పరిగణనలోకి తీసుకుంది ఇంటెలిజెన్స్, నిఘా మ"&amp;"రియు నిఘా (ISR) మరియు సమ్మె మిషన్లు. యాంటీ-సాటెలైట్ ఆయుధాలు, యాంటీ-యాక్సెస్/ఏరియా తిరస్కరణ వ్యూహాలు మరియు కౌంటర్-స్టీల్త్ టెక్నాలజీల పెరుగుదలతో, హై-స్పీడ్ విమానం రక్షిత గగనతలంలోకి చొచ్చుకుపోతుందని మరియు శత్రువులు దానిని గుర్తించటానికి లేదా అడ్డగించడానికి "&amp;"ముందు లక్ష్యాన్ని గమనించవచ్చు లేదా కొట్టగలదని భావించారు. ఐదవ తరం జెట్ ఫైటర్ ప్రోగ్రామ్‌లు మరియు అంచనా వేసిన డ్రోన్ పరిణామాలలో స్టీల్త్‌కు ప్రాధాన్యత ఇవ్వడం నుండి డిఫెండెడ్ గగనతలంలోకి చొచ్చుకుపోవడానికి చాలా ఎక్కువ వేగంపై ప్రతిపాదిత ఆధారపడటం ఒక ముఖ్యమైన సంభ"&amp;"ావిత నిష్క్రమణగా పరిగణించబడుతుంది. [3] SR-72 గురించి ధృవీకరించని నివేదికలు 2007 నాటివి, లాక్‌హీడ్ మార్టిన్ అమెరికా కోసం ఆరు రెట్లు ధ్వని లేదా మాక్ 6 (4,000 mph; 6,400 కిమీ/గం; 3,500 kN) యొక్క ఆరు రెట్లు ఎగరగలిగే విమానాన్ని అభివృద్ధి చేస్తున్నట్లు వివిధ వన"&amp;"రులు వెల్లడించాయి. వైమానిక దళం. [4] [5] లాక్హీడ్ మార్టిన్ స్కంక్ వర్క్స్ డెవలప్మెంట్ వర్క్ ఆన్ ది ఎస్ఆర్ -72 ను మొదట 1 నవంబర్ 2013 న ఏవియేషన్ వీక్ &amp; స్పేస్ టెక్నాలజీ ప్రచురించింది. [6] [2] ఈ వార్తలపై ప్రజల దృష్టి ఏవియేషన్ వీక్ సర్వర్‌లను ముంచెత్తేంత పెద్ద"&amp;"ది. [7] దాని డిజైన్ వేగాన్ని సాధించడానికి, లాక్‌హీడ్ మార్టిన్ 2006 నుండి ఏరోజెట్ రాకెట్డియెన్‌తో తగిన ఇంజిన్‌లో సహకరిస్తున్నారు. 2008 లో రద్దు చేయబడిన స్క్రామ్‌జెట్-శక్తితో పనిచేసే HTV-3X నుండి కంపెనీ వ్యవస్థను అభివృద్ధి చేస్తోంది. SR-72 ను గాలి-శ్వాస హైప"&amp;"ర్సోనిక్ ప్రొపల్షన్ సిస్టమ్‌తో is హించారు, అదే ఇంజిన్‌ను ఉపయోగించి నిలిపివేత నుండి MACH 6 వరకు వేగవంతం చేసే సామర్థ్యాన్ని కలిగి ఉంది. , SR-71 కంటే రెండు రెట్లు వేగంగా చేస్తుంది. [6] సబ్సోనిక్, సూపర్సోనిక్ మరియు హైపర్సోనిక్ వేగంతో విమాన పాలనలను కలిగి ఉండటా"&amp;"నికి ఇంజిన్‌ను రూపొందించడం సవాలు. టర్బైన్ కుదింపును ఉపయోగించి, టర్బోజెట్ ఇంజన్లు సున్నా వేగంతో పనిచేస్తాయి మరియు సాధారణంగా మాక్ 2.2 వరకు ఉత్తమంగా చేస్తాయి. [8] రామ్‌జెట్స్, సబ్సోనిక్ దహనంతో ఏరోడైనమిక్ కంప్రెషన్‌ను ఉపయోగించడం, మాక్ 0.5 కింద పేలవంగా పనిచేస్"&amp;"తాయి మరియు మాక్ 3 చుట్టూ చాలా సమర్థవంతంగా పనిచేస్తాయి, మాక్ 6 చుట్టూ వెళ్ళగలవు. SR-71 యొక్క ప్రత్యేకంగా రూపొందించిన ఇంజన్లు తక్కువ-వేగవంతమైన రామ్‌జెట్‌లుగా మార్చబడతాయి మాక్ 2.5 కన్నా ఎక్కువ వేగం కోసం కోర్ మరియు ఆఫ్టర్‌బర్నర్‌లోకి. చివరగా, సూపర్సోనిక్ దహనం"&amp;"తో స్క్రామ్‌జెట్‌లు హై సూపర్సోనిక్ యొక్క పరిధిని హైపర్సోనిక్ వేగంతో కవర్ చేస్తాయి. SR-72 టర్బైన్-ఆధారిత కంబైన్డ్ సైకిల్ (TBCC) వ్యవస్థను తక్కువ వేగంతో టర్బైన్ ఇంజిన్‌ను మరియు అధిక వేగంతో స్క్రామ్‌జెట్ ఇంజిన్‌ను ఉపయోగించడం. [2] టర్బైన్ మరియు రామ్‌జెట్ ఇంజన"&amp;"్లు సాధారణ ఇన్లెట్ మరియు నాజిల్‌ను పంచుకుంటాయి, కానీ ప్రత్యేక వాయు ప్రవాహ మార్గాలతో. [9] [10] మాక్ 5 మరియు అంతకంటే ఎక్కువ వేగంతో, ఏరోడైనమిక్ తాపన సాంప్రదాయిక లోహ ఎయిర్‌ఫ్రేమ్‌లను కరిగించడానికి తగినంత వేడిగా ఉన్న ఉష్ణోగ్రతలను సృష్టిస్తుంది, కాబట్టి క్లిష్ట"&amp;"మైన భాగాల కల్పన కోసం ఇంజనీర్లు అధిక-పనితీరు గల కార్బన్, సిరామిక్ మరియు మెటల్ మిశ్రమాలు వంటి మిశ్రమాలను పరిశీలిస్తున్నారు. ఇటువంటి మిశ్రమాలు ఇంటర్ కాంటినెంటల్ బాలిస్టిక్ క్షిపణులు మరియు రిటైర్డ్ స్పేస్ షటిల్‌లో ఉపయోగించబడ్డాయి. మే 2015 నాటికి [అప్‌డేట్], S"&amp;"R-72 ను ISR మరియు స్ట్రైక్ ప్లాట్‌ఫామ్‌గా vision హించారు, కాని పేలోడ్‌లు పేర్కొనబడలేదు, ఎందుకంటే ప్రస్తుత పేలోడ్‌లు మాక్ 6 వద్ద 80,000 అడుగుల (24,400 మీ) ఎత్తు వరకు ఎగురుతున్న విమానంలో సరిపోవు తిరగడానికి వందల మైళ్ళు అవసరం. అటువంటి వేగంతో పనిచేయడానికి కొత్"&amp;"త సెన్సార్లు మరియు ఆయుధాలు ప్రత్యేకంగా సృష్టించాల్సి ఉంటుంది. [11] నవంబర్ 2013 లో, ఐచ్ఛికంగా-పైలట్ స్కేల్డ్ ప్రదర్శనకారుడి నిర్మాణం 2018 లో ప్రారంభం కావాలని అనుకున్నారు. ప్రదర్శనకారుడు లాక్‌హీడ్ మార్టిన్ ఎఫ్ -22 రాప్టర్ పరిమాణం గురించి సుమారు 60 అడుగుల (1"&amp;"8 మీ) పొడవు ఉండాలి మరియు ఒక పూర్తిస్థాయిలో శక్తినిచ్చారు -కాల్ ఇంజిన్ మాక్ 6 వద్ద చాలా నిమిషాలు ఎగురుతుంది. [6] [2] SR-72 ఫ్లైట్ టెస్టింగ్ హైపర్సోనిక్ హై స్పీడ్ స్ట్రైక్ వెపన్ కోసం టైమ్‌లైన్‌ను అనుసరించాలని అనుకుంది. SR-72 SR-71 కు 100 అడుగుల (30 మీ) పొడవ"&amp;"ుతో సమానంగా ఉంటుంది మరియు 2030 నాటికి సేవలోకి ప్రవేశించడం ద్వారా అదే పరిధిని కలిగి ఉంటుంది. SR-72 US వైమానిక దళం యొక్క హైపర్సోనిక్ రోడ్ మ్యాప్‌ను అనుసరిస్తుంది 2020 నాటికి హైపర్సోనిక్ స్ట్రైక్ ఆయుధాన్ని అభివృద్ధి చేయడం మరియు 2030 నాటికి చొచ్చుకుపోయే ISR వ"&amp;"ిమానం. ] 13 నవంబర్ 2013 న, ఎయిర్ ఫోర్స్ చీఫ్ ఆఫ్ స్టాఫ్ జనరల్ మార్క్ వెల్ష్ ఈ సేవ SR-72 యొక్క హైపర్సోనిక్ సామర్థ్యాలపై ఆసక్తి కలిగి ఉందని వెల్లడించారు, కాని లాక్‌హీడ్ మార్టిన్‌తో విమానం గురించి మాట్లాడలేదు. విరోధి ఒక ఆపరేషన్‌కు ప్రతిస్పందించాల్సిన సమయాన్న"&amp;"ి తగ్గించడానికి దాని అధిక వేగం సేవకు విజ్ఞప్తి చేస్తుంది. వారు హైపర్సోనిక్ టెక్నాలజీని అనుసరిస్తున్నారు, కాని మానవరహిత SR-72 వంటి పూర్తి-పరిమాణ విమానాన్ని నిర్మించే భౌతిక సామర్థ్యం ఇంకా లేదు. SR-72 సీక్వెస్ట్రేషన్ బడ్జెట్ కోతల మధ్య ఆవిష్కరించబడింది, ఇది స"&amp;"ామర్ధ్యం, సామర్థ్యం మరియు మిషన్ సంసిద్ధతను సమతుల్యం చేయడానికి వైమానిక దళం అవసరం. 2020 ల మధ్య నాటికి, యు.ఎస్. కు వ్యతిరేకంగా యుద్ధ ప్రదేశాలలో ముగుస్తున్న అధునాతన వైమానిక సాంకేతిక పరిజ్ఞానాన్ని విదేశీ దేశాలు ఉత్పత్తి చేస్తాయని నమ్ముతారు, ఇది హైపర్సోనిక్‌తో "&amp;"సహా కొత్త వ్యవస్థలను మరింత అభివృద్ధి చేయడానికి వైమానిక దళాన్ని నడిపిస్తుంది. ] 2013 లో, SR-72 వైమానిక దళం అంగీకరించడానికి గణనీయమైన సవాళ్లను ఎదుర్కొంటుందని నివేదించబడింది, ఎందుకంటే వారు పోటీ చేసిన గగనతలంలో ISR మిషన్లు నిర్వహించే పనిని నిర్వహించడానికి నార్త"&amp;"్రోప్ గ్రుమ్మన్ RQ-180 స్టీల్త్ UAV ను అభివృద్ధి చేయాలని ఎంచుకున్నారు. SR-72 తో పోలిస్తే, RQ-180 రూపకల్పన మరియు తయారీకి తక్కువ సంక్లిష్టమైనది, సముపార్జనతో సమస్యలకు తక్కువ అవకాశం ఉంది మరియు 2015 నాటికి సేవలోకి ప్రవేశించగలదు. [13] డిసెంబర్ 2014 లో, నాసా లాక"&amp;"్‌హీడ్ మార్టిన్‌కు ఇప్పటికే ఉన్న టర్బైన్ ఇంజిన్ టెక్నాలజీలను ఉపయోగించి SR-72 యొక్క ప్రొపల్షన్ సిస్టమ్‌ను నిర్మించే సాధ్యాసాధ్యాలను అధ్యయనం చేయడానికి ఒక ఒప్పందాన్ని ఇచ్చింది, 2 892,292 కాంట్రాక్ట్ నిధులు సమకూర్చింది, అనేక ప్రస్తుతములను కలపడం ద్వారా TBCC ప్"&amp;"రొపల్షన్ సిస్టమ్ యొక్క సాధ్యతను నిర్ణయించడానికి డిజైన్ అధ్యయనానికి నిధులు సమకూరుస్తుంది. టర్బైన్ ఇంజన్లు, చాలా తక్కువ మాక్ జ్వలన ద్వంద్వ మోడ్ రామ్‌జెట్ (DMRJ) తో. నాసా గతంలో లాక్‌హీడ్ మార్టిన్ అధ్యయనానికి నిధులు సమకూర్చింది, ఇది మాక్ 7 వరకు వేగాన్ని టర్బై"&amp;"న్ మరియు రామ్‌జెట్ టెక్నాలజీలను కలిపే డ్యూయల్-మోడ్ ఇంజిన్‌తో సాధించవచ్చు. హైపర్సోనిక్ ప్రొపల్షన్తో సమస్య ఎల్లప్పుడూ టర్బోజెట్ యొక్క అత్యధిక వేగ సామర్థ్యాల మధ్య, మాక్ 2.2 నుండి మాక్ 4 వద్ద స్క్రామ్‌జెట్ యొక్క అతి తక్కువ వేగం వరకు అంతరం. వేగవంతం. నాసా-లాక్‌"&amp;"హీడ్ మార్టిన్ అధ్యయనం అధిక-స్పీడ్ టర్బైన్ ఇంజిన్ లేదా టర్బైన్ ఇంజిన్ యొక్క నెమ్మదిగా విమాన కవరులో పనిచేయగల స్క్రామ్‌జెట్ యొక్క అవకాశాన్ని చూస్తోంది; DARPA HTV-3X మాక్ 3 క్రింద పనిచేయగల తక్కువ-స్పీడ్ రామ్‌జెట్ (డ్యూయల్ మోడ్ రామ్ జెట్) ను ప్రదర్శించింది. జె"&amp;"ట్ ఫైటర్స్ మరియు ఇతర ప్రయోగాత్మక డిజైన్లను శక్తివంతం చేసే ఇప్పటికే ఉన్న టర్బోఫాన్ ఇంజన్లు సవరణ కోసం పరిగణించబడుతున్నాయి. అధ్యయనం విజయవంతమైతే, విమాన పరిశోధన వాహనంలో DMRJ ని పరీక్షించడానికి నాసా ప్రదర్శనకారుడికి నిధులు సమకూరుస్తుంది. [14] ఏరోజెట్ రాకెట్‌డైన"&amp;"్‌కు నాసా యొక్క గ్లెన్ రీసెర్చ్ సెంటర్ 15 డిసెంబర్ 2014 న మోడ్ పరివర్తన సమయంలో $ 1,099,916 కాంట్రాక్టును ఇచ్చింది. [10] SR-72 హైపర్సోనిక్ ప్రదర్శనకారుడి అభివృద్ధికి ముందు రెండు సంస్థలు టర్బైన్-ఆధారిత కంబైన్డ్ సైకిల్ (టిబిసిసి) ప్రొపల్షన్ సిస్టమ్‌లో సహకరిస"&amp;"్తున్నట్లు నివేదించబడింది, 2018 లో ప్రారంభమవుతుందని భావిస్తున్నారు, 2023 లో మొదటి ఫ్లైట్ expected హించింది. [15] మార్చి 2016 లో, లాక్‌హీడ్ మార్టిన్ సీఈఓ హ్యూసన్ ఈ సంస్థ సాంకేతిక పురోగతి యొక్క అంచున ఉందని, దాని సంభావిత SR-72 హైపర్సోనిక్ విమానం మాక్‌ని చేరు"&amp;"కోవడానికి అనుమతిస్తుంది. హైపర్సోనిక్ ప్రదర్శన విమానం F-22 స్టీల్త్ ఫైటర్ యొక్క పరిమాణం కావచ్చు Billion 1 బిలియన్ కన్నా తక్కువ నిర్మించబడింది. [16] [17] [18] [19] జూన్ 2017 లో, లాక్‌హీడ్ మార్టిన్ 2020 ల ప్రారంభంలో SR-72 అభివృద్ధిలో ఉంటుందని ప్రకటించారు, మా"&amp;"క్ 6 కంటే ఎక్కువ వేగం ఉంది. ఎగ్జిక్యూటివ్ వైస్ ప్రెసిడెంట్ రాబ్ వీస్ ఇలా వ్యాఖ్యానించారు ""మేము హైపర్‌జనిక్స్ [మేము రెండు సంవత్సరాల దూరంలో ఉంది గత 20 సంవత్సరాలుగా, కానీ నేను చెప్పగలిగేది సాంకేతిక పరిజ్ఞానం పరిణతి చెందినది మరియు మేము, DARPA మరియు సేవలతో పా"&amp;"టు, ఆ సామర్థ్యాన్ని వీలైనంత త్వరగా మా యుద్ధనౌకల చేతుల్లోకి తీసుకురావడానికి తీవ్రంగా కృషి చేస్తున్నాము. ""[20] జనవరిలో జనవరిలో. 2018, లాక్‌హీడ్ వైస్ ప్రెసిడెంట్ జాక్ ఓ'బానియన్ ఒక ప్రెజెంటేషన్ ఇచ్చారు, ఇది సంకలిత తయారీ మరియు కంప్యూటర్ మోడలింగ్‌లోని పురోగతిన"&amp;"ి జమ చేసింది, ఐదేళ్ల క్రితం విమానం చేయడం సాధ్యం కాదని మరియు 3 డి ప్రింటింగ్ శీతలీకరణ వ్యవస్థను పొందుపరచడానికి అనుమతించింది ఇంజిన్. [21] [22] ఫిబ్రవరి 2018 లో, లాక్‌హీడ్ మార్టిన్ వద్ద ఏరోనాటిక్స్ ఎగ్జిక్యూటివ్ వైస్ ప్రెసిడెంట్ ఓర్లాండో కార్వాల్హో, SR-72 యొ"&amp;"క్క అభివృద్ధి యొక్క నివేదికలను వెనక్కి నెట్టారు. హైపర్సోనిక్ పరిశోధన ఆయుధాల వ్యవస్థల అభివృద్ధికి ఆజ్యం పోస్తుందని, మరియు ""చివరికి ఆ సాంకేతికత పరిపక్వం చెందుతున్నప్పుడు, అది చివరికి పునర్వినియోగ వాహనం అభివృద్ధికి వీలు కల్పిస్తుందని ఆయన స్పష్టం చేశారు. దీన"&amp;"ికి ముందు మేము దీనిని"" ఒక SR-72 లాగా పేర్కొనవచ్చు "" "", కానీ ఇప్పుడు ఎంపిక యొక్క పరిభాష"" పునర్వినియోగ వాహనం "". 23]")</f>
        <v>లాక్హీడ్ మార్టిన్ SR-72, "బ్లాక్బర్డ్ కుమారుడు" అని పిలుస్తారు, [1] అనేది ఒక అమెరికన్ హైపర్సోనిక్ UAV భావన, ఇది ఇంటెలిజెన్స్, నిఘా మరియు నిఘా కోసం ఉద్దేశించినది, ఇది 2013 లో లాక్హీడ్ మార్టిన్ రిటైర్డ్ లాక్హీడ్ SR-71 వారసుడిగా ప్రైవేటుగా ప్రతిపాదించింది. బ్లాక్బర్డ్. SR-72 పరీక్ష వాహనం 2025 నాటికి ఎగురుతుందని కంపెనీ భావించింది. SR-71 బ్లాక్బర్డ్ 1998 లో USAF చేత రిటైర్ అయ్యింది, [2] నిఘా ఉపగ్రహాలు, మనుషుల విమానం మరియు మానవరహిత వైమానిక వాహనాల మధ్య కవరేజ్ అంతరాన్ని పరిగణనలోకి తీసుకుంది ఇంటెలిజెన్స్, నిఘా మరియు నిఘా (ISR) మరియు సమ్మె మిషన్లు. యాంటీ-సాటెలైట్ ఆయుధాలు, యాంటీ-యాక్సెస్/ఏరియా తిరస్కరణ వ్యూహాలు మరియు కౌంటర్-స్టీల్త్ టెక్నాలజీల పెరుగుదలతో, హై-స్పీడ్ విమానం రక్షిత గగనతలంలోకి చొచ్చుకుపోతుందని మరియు శత్రువులు దానిని గుర్తించటానికి లేదా అడ్డగించడానికి ముందు లక్ష్యాన్ని గమనించవచ్చు లేదా కొట్టగలదని భావించారు. ఐదవ తరం జెట్ ఫైటర్ ప్రోగ్రామ్‌లు మరియు అంచనా వేసిన డ్రోన్ పరిణామాలలో స్టీల్త్‌కు ప్రాధాన్యత ఇవ్వడం నుండి డిఫెండెడ్ గగనతలంలోకి చొచ్చుకుపోవడానికి చాలా ఎక్కువ వేగంపై ప్రతిపాదిత ఆధారపడటం ఒక ముఖ్యమైన సంభావిత నిష్క్రమణగా పరిగణించబడుతుంది. [3] SR-72 గురించి ధృవీకరించని నివేదికలు 2007 నాటివి, లాక్‌హీడ్ మార్టిన్ అమెరికా కోసం ఆరు రెట్లు ధ్వని లేదా మాక్ 6 (4,000 mph; 6,400 కిమీ/గం; 3,500 kN) యొక్క ఆరు రెట్లు ఎగరగలిగే విమానాన్ని అభివృద్ధి చేస్తున్నట్లు వివిధ వనరులు వెల్లడించాయి. వైమానిక దళం. [4] [5] లాక్హీడ్ మార్టిన్ స్కంక్ వర్క్స్ డెవలప్మెంట్ వర్క్ ఆన్ ది ఎస్ఆర్ -72 ను మొదట 1 నవంబర్ 2013 న ఏవియేషన్ వీక్ &amp; స్పేస్ టెక్నాలజీ ప్రచురించింది. [6] [2] ఈ వార్తలపై ప్రజల దృష్టి ఏవియేషన్ వీక్ సర్వర్‌లను ముంచెత్తేంత పెద్దది. [7] దాని డిజైన్ వేగాన్ని సాధించడానికి, లాక్‌హీడ్ మార్టిన్ 2006 నుండి ఏరోజెట్ రాకెట్డియెన్‌తో తగిన ఇంజిన్‌లో సహకరిస్తున్నారు. 2008 లో రద్దు చేయబడిన స్క్రామ్‌జెట్-శక్తితో పనిచేసే HTV-3X నుండి కంపెనీ వ్యవస్థను అభివృద్ధి చేస్తోంది. SR-72 ను గాలి-శ్వాస హైపర్సోనిక్ ప్రొపల్షన్ సిస్టమ్‌తో is హించారు, అదే ఇంజిన్‌ను ఉపయోగించి నిలిపివేత నుండి MACH 6 వరకు వేగవంతం చేసే సామర్థ్యాన్ని కలిగి ఉంది. , SR-71 కంటే రెండు రెట్లు వేగంగా చేస్తుంది. [6] సబ్సోనిక్, సూపర్సోనిక్ మరియు హైపర్సోనిక్ వేగంతో విమాన పాలనలను కలిగి ఉండటానికి ఇంజిన్‌ను రూపొందించడం సవాలు. టర్బైన్ కుదింపును ఉపయోగించి, టర్బోజెట్ ఇంజన్లు సున్నా వేగంతో పనిచేస్తాయి మరియు సాధారణంగా మాక్ 2.2 వరకు ఉత్తమంగా చేస్తాయి. [8] రామ్‌జెట్స్, సబ్సోనిక్ దహనంతో ఏరోడైనమిక్ కంప్రెషన్‌ను ఉపయోగించడం, మాక్ 0.5 కింద పేలవంగా పనిచేస్తాయి మరియు మాక్ 3 చుట్టూ చాలా సమర్థవంతంగా పనిచేస్తాయి, మాక్ 6 చుట్టూ వెళ్ళగలవు. SR-71 యొక్క ప్రత్యేకంగా రూపొందించిన ఇంజన్లు తక్కువ-వేగవంతమైన రామ్‌జెట్‌లుగా మార్చబడతాయి మాక్ 2.5 కన్నా ఎక్కువ వేగం కోసం కోర్ మరియు ఆఫ్టర్‌బర్నర్‌లోకి. చివరగా, సూపర్సోనిక్ దహనంతో స్క్రామ్‌జెట్‌లు హై సూపర్సోనిక్ యొక్క పరిధిని హైపర్సోనిక్ వేగంతో కవర్ చేస్తాయి. SR-72 టర్బైన్-ఆధారిత కంబైన్డ్ సైకిల్ (TBCC) వ్యవస్థను తక్కువ వేగంతో టర్బైన్ ఇంజిన్‌ను మరియు అధిక వేగంతో స్క్రామ్‌జెట్ ఇంజిన్‌ను ఉపయోగించడం. [2] టర్బైన్ మరియు రామ్‌జెట్ ఇంజన్లు సాధారణ ఇన్లెట్ మరియు నాజిల్‌ను పంచుకుంటాయి, కానీ ప్రత్యేక వాయు ప్రవాహ మార్గాలతో. [9] [10] మాక్ 5 మరియు అంతకంటే ఎక్కువ వేగంతో, ఏరోడైనమిక్ తాపన సాంప్రదాయిక లోహ ఎయిర్‌ఫ్రేమ్‌లను కరిగించడానికి తగినంత వేడిగా ఉన్న ఉష్ణోగ్రతలను సృష్టిస్తుంది, కాబట్టి క్లిష్టమైన భాగాల కల్పన కోసం ఇంజనీర్లు అధిక-పనితీరు గల కార్బన్, సిరామిక్ మరియు మెటల్ మిశ్రమాలు వంటి మిశ్రమాలను పరిశీలిస్తున్నారు. ఇటువంటి మిశ్రమాలు ఇంటర్ కాంటినెంటల్ బాలిస్టిక్ క్షిపణులు మరియు రిటైర్డ్ స్పేస్ షటిల్‌లో ఉపయోగించబడ్డాయి. మే 2015 నాటికి [అప్‌డేట్], SR-72 ను ISR మరియు స్ట్రైక్ ప్లాట్‌ఫామ్‌గా vision హించారు, కాని పేలోడ్‌లు పేర్కొనబడలేదు, ఎందుకంటే ప్రస్తుత పేలోడ్‌లు మాక్ 6 వద్ద 80,000 అడుగుల (24,400 మీ) ఎత్తు వరకు ఎగురుతున్న విమానంలో సరిపోవు తిరగడానికి వందల మైళ్ళు అవసరం. అటువంటి వేగంతో పనిచేయడానికి కొత్త సెన్సార్లు మరియు ఆయుధాలు ప్రత్యేకంగా సృష్టించాల్సి ఉంటుంది. [11] నవంబర్ 2013 లో, ఐచ్ఛికంగా-పైలట్ స్కేల్డ్ ప్రదర్శనకారుడి నిర్మాణం 2018 లో ప్రారంభం కావాలని అనుకున్నారు. ప్రదర్శనకారుడు లాక్‌హీడ్ మార్టిన్ ఎఫ్ -22 రాప్టర్ పరిమాణం గురించి సుమారు 60 అడుగుల (18 మీ) పొడవు ఉండాలి మరియు ఒక పూర్తిస్థాయిలో శక్తినిచ్చారు -కాల్ ఇంజిన్ మాక్ 6 వద్ద చాలా నిమిషాలు ఎగురుతుంది. [6] [2] SR-72 ఫ్లైట్ టెస్టింగ్ హైపర్సోనిక్ హై స్పీడ్ స్ట్రైక్ వెపన్ కోసం టైమ్‌లైన్‌ను అనుసరించాలని అనుకుంది. SR-72 SR-71 కు 100 అడుగుల (30 మీ) పొడవుతో సమానంగా ఉంటుంది మరియు 2030 నాటికి సేవలోకి ప్రవేశించడం ద్వారా అదే పరిధిని కలిగి ఉంటుంది. SR-72 US వైమానిక దళం యొక్క హైపర్సోనిక్ రోడ్ మ్యాప్‌ను అనుసరిస్తుంది 2020 నాటికి హైపర్సోనిక్ స్ట్రైక్ ఆయుధాన్ని అభివృద్ధి చేయడం మరియు 2030 నాటికి చొచ్చుకుపోయే ISR విమానం. ] 13 నవంబర్ 2013 న, ఎయిర్ ఫోర్స్ చీఫ్ ఆఫ్ స్టాఫ్ జనరల్ మార్క్ వెల్ష్ ఈ సేవ SR-72 యొక్క హైపర్సోనిక్ సామర్థ్యాలపై ఆసక్తి కలిగి ఉందని వెల్లడించారు, కాని లాక్‌హీడ్ మార్టిన్‌తో విమానం గురించి మాట్లాడలేదు. విరోధి ఒక ఆపరేషన్‌కు ప్రతిస్పందించాల్సిన సమయాన్ని తగ్గించడానికి దాని అధిక వేగం సేవకు విజ్ఞప్తి చేస్తుంది. వారు హైపర్సోనిక్ టెక్నాలజీని అనుసరిస్తున్నారు, కాని మానవరహిత SR-72 వంటి పూర్తి-పరిమాణ విమానాన్ని నిర్మించే భౌతిక సామర్థ్యం ఇంకా లేదు. SR-72 సీక్వెస్ట్రేషన్ బడ్జెట్ కోతల మధ్య ఆవిష్కరించబడింది, ఇది సామర్ధ్యం, సామర్థ్యం మరియు మిషన్ సంసిద్ధతను సమతుల్యం చేయడానికి వైమానిక దళం అవసరం. 2020 ల మధ్య నాటికి, యు.ఎస్. కు వ్యతిరేకంగా యుద్ధ ప్రదేశాలలో ముగుస్తున్న అధునాతన వైమానిక సాంకేతిక పరిజ్ఞానాన్ని విదేశీ దేశాలు ఉత్పత్తి చేస్తాయని నమ్ముతారు, ఇది హైపర్సోనిక్‌తో సహా కొత్త వ్యవస్థలను మరింత అభివృద్ధి చేయడానికి వైమానిక దళాన్ని నడిపిస్తుంది. ] 2013 లో, SR-72 వైమానిక దళం అంగీకరించడానికి గణనీయమైన సవాళ్లను ఎదుర్కొంటుందని నివేదించబడింది, ఎందుకంటే వారు పోటీ చేసిన గగనతలంలో ISR మిషన్లు నిర్వహించే పనిని నిర్వహించడానికి నార్త్రోప్ గ్రుమ్మన్ RQ-180 స్టీల్త్ UAV ను అభివృద్ధి చేయాలని ఎంచుకున్నారు. SR-72 తో పోలిస్తే, RQ-180 రూపకల్పన మరియు తయారీకి తక్కువ సంక్లిష్టమైనది, సముపార్జనతో సమస్యలకు తక్కువ అవకాశం ఉంది మరియు 2015 నాటికి సేవలోకి ప్రవేశించగలదు. [13] డిసెంబర్ 2014 లో, నాసా లాక్‌హీడ్ మార్టిన్‌కు ఇప్పటికే ఉన్న టర్బైన్ ఇంజిన్ టెక్నాలజీలను ఉపయోగించి SR-72 యొక్క ప్రొపల్షన్ సిస్టమ్‌ను నిర్మించే సాధ్యాసాధ్యాలను అధ్యయనం చేయడానికి ఒక ఒప్పందాన్ని ఇచ్చింది, 2 892,292 కాంట్రాక్ట్ నిధులు సమకూర్చింది, అనేక ప్రస్తుతములను కలపడం ద్వారా TBCC ప్రొపల్షన్ సిస్టమ్ యొక్క సాధ్యతను నిర్ణయించడానికి డిజైన్ అధ్యయనానికి నిధులు సమకూరుస్తుంది. టర్బైన్ ఇంజన్లు, చాలా తక్కువ మాక్ జ్వలన ద్వంద్వ మోడ్ రామ్‌జెట్ (DMRJ) తో. నాసా గతంలో లాక్‌హీడ్ మార్టిన్ అధ్యయనానికి నిధులు సమకూర్చింది, ఇది మాక్ 7 వరకు వేగాన్ని టర్బైన్ మరియు రామ్‌జెట్ టెక్నాలజీలను కలిపే డ్యూయల్-మోడ్ ఇంజిన్‌తో సాధించవచ్చు. హైపర్సోనిక్ ప్రొపల్షన్తో సమస్య ఎల్లప్పుడూ టర్బోజెట్ యొక్క అత్యధిక వేగ సామర్థ్యాల మధ్య, మాక్ 2.2 నుండి మాక్ 4 వద్ద స్క్రామ్‌జెట్ యొక్క అతి తక్కువ వేగం వరకు అంతరం. వేగవంతం. నాసా-లాక్‌హీడ్ మార్టిన్ అధ్యయనం అధిక-స్పీడ్ టర్బైన్ ఇంజిన్ లేదా టర్బైన్ ఇంజిన్ యొక్క నెమ్మదిగా విమాన కవరులో పనిచేయగల స్క్రామ్‌జెట్ యొక్క అవకాశాన్ని చూస్తోంది; DARPA HTV-3X మాక్ 3 క్రింద పనిచేయగల తక్కువ-స్పీడ్ రామ్‌జెట్ (డ్యూయల్ మోడ్ రామ్ జెట్) ను ప్రదర్శించింది. జెట్ ఫైటర్స్ మరియు ఇతర ప్రయోగాత్మక డిజైన్లను శక్తివంతం చేసే ఇప్పటికే ఉన్న టర్బోఫాన్ ఇంజన్లు సవరణ కోసం పరిగణించబడుతున్నాయి. అధ్యయనం విజయవంతమైతే, విమాన పరిశోధన వాహనంలో DMRJ ని పరీక్షించడానికి నాసా ప్రదర్శనకారుడికి నిధులు సమకూరుస్తుంది. [14] ఏరోజెట్ రాకెట్‌డైన్‌కు నాసా యొక్క గ్లెన్ రీసెర్చ్ సెంటర్ 15 డిసెంబర్ 2014 న మోడ్ పరివర్తన సమయంలో $ 1,099,916 కాంట్రాక్టును ఇచ్చింది. [10] SR-72 హైపర్సోనిక్ ప్రదర్శనకారుడి అభివృద్ధికి ముందు రెండు సంస్థలు టర్బైన్-ఆధారిత కంబైన్డ్ సైకిల్ (టిబిసిసి) ప్రొపల్షన్ సిస్టమ్‌లో సహకరిస్తున్నట్లు నివేదించబడింది, 2018 లో ప్రారంభమవుతుందని భావిస్తున్నారు, 2023 లో మొదటి ఫ్లైట్ expected హించింది. [15] మార్చి 2016 లో, లాక్‌హీడ్ మార్టిన్ సీఈఓ హ్యూసన్ ఈ సంస్థ సాంకేతిక పురోగతి యొక్క అంచున ఉందని, దాని సంభావిత SR-72 హైపర్సోనిక్ విమానం మాక్‌ని చేరుకోవడానికి అనుమతిస్తుంది. హైపర్సోనిక్ ప్రదర్శన విమానం F-22 స్టీల్త్ ఫైటర్ యొక్క పరిమాణం కావచ్చు Billion 1 బిలియన్ కన్నా తక్కువ నిర్మించబడింది. [16] [17] [18] [19] జూన్ 2017 లో, లాక్‌హీడ్ మార్టిన్ 2020 ల ప్రారంభంలో SR-72 అభివృద్ధిలో ఉంటుందని ప్రకటించారు, మాక్ 6 కంటే ఎక్కువ వేగం ఉంది. ఎగ్జిక్యూటివ్ వైస్ ప్రెసిడెంట్ రాబ్ వీస్ ఇలా వ్యాఖ్యానించారు "మేము హైపర్‌జనిక్స్ [మేము రెండు సంవత్సరాల దూరంలో ఉంది గత 20 సంవత్సరాలుగా, కానీ నేను చెప్పగలిగేది సాంకేతిక పరిజ్ఞానం పరిణతి చెందినది మరియు మేము, DARPA మరియు సేవలతో పాటు, ఆ సామర్థ్యాన్ని వీలైనంత త్వరగా మా యుద్ధనౌకల చేతుల్లోకి తీసుకురావడానికి తీవ్రంగా కృషి చేస్తున్నాము. "[20] జనవరిలో జనవరిలో. 2018, లాక్‌హీడ్ వైస్ ప్రెసిడెంట్ జాక్ ఓ'బానియన్ ఒక ప్రెజెంటేషన్ ఇచ్చారు, ఇది సంకలిత తయారీ మరియు కంప్యూటర్ మోడలింగ్‌లోని పురోగతిని జమ చేసింది, ఐదేళ్ల క్రితం విమానం చేయడం సాధ్యం కాదని మరియు 3 డి ప్రింటింగ్ శీతలీకరణ వ్యవస్థను పొందుపరచడానికి అనుమతించింది ఇంజిన్. [21] [22] ఫిబ్రవరి 2018 లో, లాక్‌హీడ్ మార్టిన్ వద్ద ఏరోనాటిక్స్ ఎగ్జిక్యూటివ్ వైస్ ప్రెసిడెంట్ ఓర్లాండో కార్వాల్హో, SR-72 యొక్క అభివృద్ధి యొక్క నివేదికలను వెనక్కి నెట్టారు. హైపర్సోనిక్ పరిశోధన ఆయుధాల వ్యవస్థల అభివృద్ధికి ఆజ్యం పోస్తుందని, మరియు "చివరికి ఆ సాంకేతికత పరిపక్వం చెందుతున్నప్పుడు, అది చివరికి పునర్వినియోగ వాహనం అభివృద్ధికి వీలు కల్పిస్తుందని ఆయన స్పష్టం చేశారు. దీనికి ముందు మేము దీనిని" ఒక SR-72 లాగా పేర్కొనవచ్చు " ", కానీ ఇప్పుడు ఎంపిక యొక్క పరిభాష" పునర్వినియోగ వాహనం ". 23]</v>
      </c>
      <c r="E43" s="1" t="s">
        <v>896</v>
      </c>
      <c r="F43" s="1" t="s">
        <v>897</v>
      </c>
      <c r="G43" s="1" t="str">
        <f>IFERROR(__xludf.DUMMYFUNCTION("GOOGLETRANSLATE(F:F, ""en"", ""te"")"),"అధికాంకనా")</f>
        <v>అధికాంకనా</v>
      </c>
      <c r="H43" s="1" t="s">
        <v>898</v>
      </c>
      <c r="I43" s="1" t="s">
        <v>899</v>
      </c>
      <c r="J43" s="1" t="str">
        <f>IFERROR(__xludf.DUMMYFUNCTION("GOOGLETRANSLATE(I:I, ""en"", ""te"")"),"లాక్హీడ్ మార్టిన్")</f>
        <v>లాక్హీడ్ మార్టిన్</v>
      </c>
      <c r="K43" s="1" t="s">
        <v>900</v>
      </c>
      <c r="M43" s="2"/>
      <c r="AS43" s="1" t="s">
        <v>901</v>
      </c>
    </row>
    <row r="44">
      <c r="A44" s="1" t="s">
        <v>902</v>
      </c>
      <c r="B44" s="1" t="str">
        <f>IFERROR(__xludf.DUMMYFUNCTION("GOOGLETRANSLATE(A:A, ""en"", ""te"")"),"స్టెమ్మే ASP S15")</f>
        <v>స్టెమ్మే ASP S15</v>
      </c>
      <c r="C44" s="1" t="s">
        <v>903</v>
      </c>
      <c r="D44" s="2" t="str">
        <f>IFERROR(__xludf.DUMMYFUNCTION("GOOGLETRANSLATE(C:C, ""en"", ""te"")"),"STEMME ASP S15 అనేది జర్మన్ రెండు-సీట్ల శక్తితో కూడిన సెయిల్ ప్లేన్, ఇది వాయుమార్గాన వ్యవస్థల వేదికగా ఉపయోగించడానికి STEMME చేత రూపొందించబడింది మరియు నిర్మించబడింది. ASP S15 అనేది రెండు-సీట్ల సింగిల్-ఇంజిన్, అన్ని మిశ్రమ నిర్మాణం, శక్తితో కూడిన సెయిల్ ప్ల"&amp;"ేన్, ఇది సెంటర్ ఫ్యూజ్‌లేజ్‌లో అమర్చిన ఇంజిన్‌తో. కాక్‌పిట్ సైడ్-బై-సైడ్ కాన్ఫిగరేషన్‌లో రెండింటికి గదిని కలిగి ఉంది. [1] దీనికి భుజం వింగ్, సాంప్రదాయ టి-టెయిల్ మరియు ముడుచుకునే ముక్కు చక్రాల ల్యాండింగ్ గేర్ ఉన్నాయి. [1] దీనిని 2-యాక్సిస్ ఆటోపైలట్ మరియు బ"&amp;"ాహ్య అండర్వింగ్ పేలోడ్ పాడ్‌లతో కూడా అమర్చవచ్చు. [1] ASP S15-1 ను అక్టోబర్ 2013 లో యూరోపియన్ ఏవియేషన్ సేఫ్టీ ఏజెన్సీ పరిమితం చేసిన టైప్ సర్టిఫికేట్ మంజూరు చేసింది. [1] [1] సాధారణ లక్షణాల పనితీరు నుండి డేటా")</f>
        <v>STEMME ASP S15 అనేది జర్మన్ రెండు-సీట్ల శక్తితో కూడిన సెయిల్ ప్లేన్, ఇది వాయుమార్గాన వ్యవస్థల వేదికగా ఉపయోగించడానికి STEMME చేత రూపొందించబడింది మరియు నిర్మించబడింది. ASP S15 అనేది రెండు-సీట్ల సింగిల్-ఇంజిన్, అన్ని మిశ్రమ నిర్మాణం, శక్తితో కూడిన సెయిల్ ప్లేన్, ఇది సెంటర్ ఫ్యూజ్‌లేజ్‌లో అమర్చిన ఇంజిన్‌తో. కాక్‌పిట్ సైడ్-బై-సైడ్ కాన్ఫిగరేషన్‌లో రెండింటికి గదిని కలిగి ఉంది. [1] దీనికి భుజం వింగ్, సాంప్రదాయ టి-టెయిల్ మరియు ముడుచుకునే ముక్కు చక్రాల ల్యాండింగ్ గేర్ ఉన్నాయి. [1] దీనిని 2-యాక్సిస్ ఆటోపైలట్ మరియు బాహ్య అండర్వింగ్ పేలోడ్ పాడ్‌లతో కూడా అమర్చవచ్చు. [1] ASP S15-1 ను అక్టోబర్ 2013 లో యూరోపియన్ ఏవియేషన్ సేఫ్టీ ఏజెన్సీ పరిమితం చేసిన టైప్ సర్టిఫికేట్ మంజూరు చేసింది. [1] [1] సాధారణ లక్షణాల పనితీరు నుండి డేటా</v>
      </c>
      <c r="E44" s="1" t="s">
        <v>904</v>
      </c>
      <c r="F44" s="1" t="s">
        <v>695</v>
      </c>
      <c r="G44" s="1" t="str">
        <f>IFERROR(__xludf.DUMMYFUNCTION("GOOGLETRANSLATE(F:F, ""en"", ""te"")"),"మోటార్ గ్లైడర్")</f>
        <v>మోటార్ గ్లైడర్</v>
      </c>
      <c r="H44" s="1" t="s">
        <v>696</v>
      </c>
      <c r="I44" s="1" t="s">
        <v>905</v>
      </c>
      <c r="J44" s="1" t="str">
        <f>IFERROR(__xludf.DUMMYFUNCTION("GOOGLETRANSLATE(I:I, ""en"", ""te"")"),"స్టెమ్")</f>
        <v>స్టెమ్</v>
      </c>
      <c r="K44" s="4" t="s">
        <v>906</v>
      </c>
      <c r="M44" s="2"/>
      <c r="R44" s="1">
        <v>2.0</v>
      </c>
      <c r="T44" s="1" t="s">
        <v>907</v>
      </c>
      <c r="U44" s="1" t="s">
        <v>908</v>
      </c>
      <c r="V44" s="1" t="s">
        <v>909</v>
      </c>
      <c r="Y44" s="1" t="s">
        <v>910</v>
      </c>
      <c r="Z44" s="1" t="s">
        <v>911</v>
      </c>
      <c r="AF44" s="1" t="s">
        <v>335</v>
      </c>
      <c r="AG44" s="4" t="s">
        <v>336</v>
      </c>
      <c r="AH44" s="1" t="s">
        <v>912</v>
      </c>
      <c r="AI44" s="1" t="s">
        <v>913</v>
      </c>
      <c r="AM44" s="1" t="s">
        <v>914</v>
      </c>
      <c r="AO44" s="1">
        <v>2009.0</v>
      </c>
      <c r="AR44" s="1" t="s">
        <v>915</v>
      </c>
      <c r="BD44" s="1" t="s">
        <v>916</v>
      </c>
    </row>
    <row r="45">
      <c r="A45" s="1" t="s">
        <v>917</v>
      </c>
      <c r="B45" s="1" t="str">
        <f>IFERROR(__xludf.DUMMYFUNCTION("GOOGLETRANSLATE(A:A, ""en"", ""te"")"),"తుఫాను 300")</f>
        <v>తుఫాను 300</v>
      </c>
      <c r="C45" s="1" t="s">
        <v>918</v>
      </c>
      <c r="D45" s="2" t="str">
        <f>IFERROR(__xludf.DUMMYFUNCTION("GOOGLETRANSLATE(C:C, ""en"", ""te"")"),"స్టార్మ్ 300 అనేది ఇటాలియన్ హోమ్‌బిల్ట్ విమానం, దీనిని సబాడియా యొక్క తుఫాను విమానాలు రూపొందించాయి మరియు ఉత్పత్తి చేశాయి. తుఫాను విమానాన్ని మొదట SG ఏవియేషన్ SRL అని పిలుస్తారు. ఇది అందుబాటులో ఉన్నప్పుడు విమానం te త్సాహిక నిర్మాణానికి కిట్‌గా సరఫరా చేయబడింద"&amp;"ి. [1] ఒరిజినల్ మోడల్ స్టార్మ్ 300 లో కాంటిలివర్ లో-వింగ్, బబుల్ పందిరి కింద రెండు-సీట్ల-సైడ్-సైడ్ కాన్ఫిగరేషన్ పరివేష్టిత కాక్‌పిట్, స్థిర సాంప్రదాయ ల్యాండింగ్ గేర్ లేదా ఐచ్ఛికంగా ట్రైసైకిల్ ల్యాండింగ్ గేర్, వీల్ ప్యాంటు మరియు ఒకే ఒక్కటి ఉన్నాయి ట్రాక్టర"&amp;"్ కాన్ఫిగరేషన్‌లో ఇంజిన్. [1] ఈ విమానం అల్యూమినియం షీట్ నుండి కొన్ని ఫైబర్గ్లాస్ భాగాలతో తయారు చేయబడింది. దీని 7.92 మీ (26.0 అడుగులు) స్పాన్ వింగ్ GA 3OU-6135 మోడ్ ఎయిర్‌ఫాయిల్‌ను ఉపయోగిస్తుంది, ఫ్లాప్‌లను మౌంట్ చేస్తుంది మరియు రెక్క ప్రాంతం 11.055 మీ 2 ("&amp;"119.00 చదరపు అడుగులు) కలిగి ఉంది. క్యాబిన్ వెడల్పు 112 సెం.మీ (44 అంగుళాలు). ఆమోదయోగ్యమైన శక్తి పరిధి 100 నుండి 125 హెచ్‌పి (75 నుండి 93 కిలోవాట్) మరియు ఉపయోగించిన ప్రామాణిక ఇంజన్లు 100 హెచ్‌పి (75 కిలోవాట్ తుఫాను 300 లో సాధారణ ఖాళీ బరువు 322 కిలోలు (710 "&amp;"పౌండ్లు) మరియు స్థూల బరువు 524 కిలోలు (1,155 పౌండ్లు), ఇది 202 కిలోల (445 పౌండ్లు) ఉపయోగకరమైన లోడ్ ఇస్తుంది. 144 లీటర్ల పూర్తి ఇంధనంతో (32 ఇంప్ గల్; 38 యుఎస్ గాల్) పైలట్, ప్యాసింజర్ మరియు సామాను 99 కిలోల (218 ఎల్బి) కోసం పేలోడ్. [1] ప్రామాణిక రోజు, సముద్ర"&amp;" మట్టం, గాలి, 115 హెచ్‌పి (86 కిలోవాట్) ఇంజిన్‌తో టేకాఫ్ 137 మీ (449 అడుగులు) మరియు ల్యాండింగ్ రోల్ 110 మీ (361 అడుగులు). [1] తయారీదారు సరఫరా చేసిన కిట్ నుండి నిర్మాణ సమయాన్ని 500 గంటలు లేదా శీఘ్ర-బిల్డ్ కిట్ నుండి 350 గంటలుగా అంచనా వేశారు. [1] తుఫాను 300"&amp;" తరువాత తుఫాను శతాబ్దంలో అభివృద్ధి చేయబడింది మరియు తరువాత ముడుచుకునే గేర్ తుఫాను rg. [3] 1998 నాటికి 20 కిట్లు అమ్ముడయ్యాయని మరియు 12 విమానాలు పూర్తయ్యాయని మరియు ఎగురుతున్నాయని కంపెనీ నివేదించింది. [1] ఫిబ్రవరి 2014 లో, ఒక ఉదాహరణ అమెరికాలో ఫెడరల్ ఏవియేషన్"&amp;" అడ్మినిస్ట్రేషన్ మరియు ట్రాన్స్పోర్ట్ కెనడాతో నమోదు చేయబడింది. [4] [5] ఏరోక్రాఫ్టర్ నుండి డేటా మరియు అసంపూర్ణ గైడ్ టు ఎయిర్‌ఫాయిల్ వాడకం [1] [2] సాధారణ లక్షణాల పనితీరు")</f>
        <v>స్టార్మ్ 300 అనేది ఇటాలియన్ హోమ్‌బిల్ట్ విమానం, దీనిని సబాడియా యొక్క తుఫాను విమానాలు రూపొందించాయి మరియు ఉత్పత్తి చేశాయి. తుఫాను విమానాన్ని మొదట SG ఏవియేషన్ SRL అని పిలుస్తారు. ఇది అందుబాటులో ఉన్నప్పుడు విమానం te త్సాహిక నిర్మాణానికి కిట్‌గా సరఫరా చేయబడింది. [1] ఒరిజినల్ మోడల్ స్టార్మ్ 300 లో కాంటిలివర్ లో-వింగ్, బబుల్ పందిరి కింద రెండు-సీట్ల-సైడ్-సైడ్ కాన్ఫిగరేషన్ పరివేష్టిత కాక్‌పిట్, స్థిర సాంప్రదాయ ల్యాండింగ్ గేర్ లేదా ఐచ్ఛికంగా ట్రైసైకిల్ ల్యాండింగ్ గేర్, వీల్ ప్యాంటు మరియు ఒకే ఒక్కటి ఉన్నాయి ట్రాక్టర్ కాన్ఫిగరేషన్‌లో ఇంజిన్. [1] ఈ విమానం అల్యూమినియం షీట్ నుండి కొన్ని ఫైబర్గ్లాస్ భాగాలతో తయారు చేయబడింది. దీని 7.92 మీ (26.0 అడుగులు) స్పాన్ వింగ్ GA 3OU-6135 మోడ్ ఎయిర్‌ఫాయిల్‌ను ఉపయోగిస్తుంది, ఫ్లాప్‌లను మౌంట్ చేస్తుంది మరియు రెక్క ప్రాంతం 11.055 మీ 2 (119.00 చదరపు అడుగులు) కలిగి ఉంది. క్యాబిన్ వెడల్పు 112 సెం.మీ (44 అంగుళాలు). ఆమోదయోగ్యమైన శక్తి పరిధి 100 నుండి 125 హెచ్‌పి (75 నుండి 93 కిలోవాట్) మరియు ఉపయోగించిన ప్రామాణిక ఇంజన్లు 100 హెచ్‌పి (75 కిలోవాట్ తుఫాను 300 లో సాధారణ ఖాళీ బరువు 322 కిలోలు (710 పౌండ్లు) మరియు స్థూల బరువు 524 కిలోలు (1,155 పౌండ్లు), ఇది 202 కిలోల (445 పౌండ్లు) ఉపయోగకరమైన లోడ్ ఇస్తుంది. 144 లీటర్ల పూర్తి ఇంధనంతో (32 ఇంప్ గల్; 38 యుఎస్ గాల్) పైలట్, ప్యాసింజర్ మరియు సామాను 99 కిలోల (218 ఎల్బి) కోసం పేలోడ్. [1] ప్రామాణిక రోజు, సముద్ర మట్టం, గాలి, 115 హెచ్‌పి (86 కిలోవాట్) ఇంజిన్‌తో టేకాఫ్ 137 మీ (449 అడుగులు) మరియు ల్యాండింగ్ రోల్ 110 మీ (361 అడుగులు). [1] తయారీదారు సరఫరా చేసిన కిట్ నుండి నిర్మాణ సమయాన్ని 500 గంటలు లేదా శీఘ్ర-బిల్డ్ కిట్ నుండి 350 గంటలుగా అంచనా వేశారు. [1] తుఫాను 300 తరువాత తుఫాను శతాబ్దంలో అభివృద్ధి చేయబడింది మరియు తరువాత ముడుచుకునే గేర్ తుఫాను rg. [3] 1998 నాటికి 20 కిట్లు అమ్ముడయ్యాయని మరియు 12 విమానాలు పూర్తయ్యాయని మరియు ఎగురుతున్నాయని కంపెనీ నివేదించింది. [1] ఫిబ్రవరి 2014 లో, ఒక ఉదాహరణ అమెరికాలో ఫెడరల్ ఏవియేషన్ అడ్మినిస్ట్రేషన్ మరియు ట్రాన్స్పోర్ట్ కెనడాతో నమోదు చేయబడింది. [4] [5] ఏరోక్రాఫ్టర్ నుండి డేటా మరియు అసంపూర్ణ గైడ్ టు ఎయిర్‌ఫాయిల్ వాడకం [1] [2] సాధారణ లక్షణాల పనితీరు</v>
      </c>
      <c r="E45" s="1" t="s">
        <v>919</v>
      </c>
      <c r="F45" s="1" t="s">
        <v>920</v>
      </c>
      <c r="G45" s="1" t="str">
        <f>IFERROR(__xludf.DUMMYFUNCTION("GOOGLETRANSLATE(F:F, ""en"", ""te"")"),"హోమ్‌బిల్ట్ విమానం")</f>
        <v>హోమ్‌బిల్ట్ విమానం</v>
      </c>
      <c r="H45" s="1" t="s">
        <v>921</v>
      </c>
      <c r="I45" s="1" t="s">
        <v>922</v>
      </c>
      <c r="J45" s="1" t="str">
        <f>IFERROR(__xludf.DUMMYFUNCTION("GOOGLETRANSLATE(I:I, ""en"", ""te"")"),"తుఫాను విమానం")</f>
        <v>తుఫాను విమానం</v>
      </c>
      <c r="K45" s="1" t="s">
        <v>923</v>
      </c>
      <c r="M45" s="2"/>
      <c r="O45" s="1" t="s">
        <v>924</v>
      </c>
      <c r="R45" s="1" t="s">
        <v>222</v>
      </c>
      <c r="S45" s="1" t="s">
        <v>250</v>
      </c>
      <c r="T45" s="1" t="s">
        <v>925</v>
      </c>
      <c r="U45" s="1" t="s">
        <v>926</v>
      </c>
      <c r="V45" s="1" t="s">
        <v>927</v>
      </c>
      <c r="W45" s="1" t="s">
        <v>928</v>
      </c>
      <c r="X45" s="1" t="s">
        <v>929</v>
      </c>
      <c r="Z45" s="1" t="s">
        <v>930</v>
      </c>
      <c r="AA45" s="1" t="s">
        <v>931</v>
      </c>
      <c r="AB45" s="1" t="s">
        <v>932</v>
      </c>
      <c r="AC45" s="1" t="s">
        <v>933</v>
      </c>
      <c r="AD45" s="1" t="s">
        <v>484</v>
      </c>
      <c r="AF45" s="1" t="s">
        <v>603</v>
      </c>
      <c r="AG45" s="4" t="s">
        <v>857</v>
      </c>
      <c r="AH45" s="1" t="s">
        <v>934</v>
      </c>
      <c r="AJ45" s="1" t="s">
        <v>935</v>
      </c>
      <c r="AK45" s="1" t="s">
        <v>936</v>
      </c>
      <c r="AL45" s="1" t="s">
        <v>937</v>
      </c>
      <c r="AN45" s="1" t="s">
        <v>938</v>
      </c>
      <c r="AR45" s="1" t="s">
        <v>939</v>
      </c>
      <c r="AS45" s="1" t="s">
        <v>318</v>
      </c>
      <c r="AU45" s="1" t="s">
        <v>940</v>
      </c>
      <c r="BD45" s="1" t="s">
        <v>941</v>
      </c>
    </row>
    <row r="46">
      <c r="A46" s="1" t="s">
        <v>942</v>
      </c>
      <c r="B46" s="1" t="str">
        <f>IFERROR(__xludf.DUMMYFUNCTION("GOOGLETRANSLATE(A:A, ""en"", ""te"")"),"నార్త్ అమెరికన్ ఎఫ్జె -2/-3 ఫ్యూరీ")</f>
        <v>నార్త్ అమెరికన్ ఎఫ్జె -2/-3 ఫ్యూరీ</v>
      </c>
      <c r="C46" s="1" t="s">
        <v>943</v>
      </c>
      <c r="D46" s="2" t="str">
        <f>IFERROR(__xludf.DUMMYFUNCTION("GOOGLETRANSLATE(C:C, ""en"", ""te"")"),"నార్త్ అమెరికన్ ఎఫ్జె -2 మరియు ఎఫ్జె -3 ఫ్యూరీ అమెరికా నేవీ మరియు మెరైన్ కార్ప్స్ కోసం స్వీప్-వింగ్ క్యారియర్-సామర్థ్యం గల యోధుల శ్రేణి. అమెరికా వైమానిక దళం నిర్వహిస్తున్న నార్త్ అమెరికన్ ఎఫ్ -86 సాబెర్ ను నావాలాస్ చేసే ప్రయత్నం ఫలితంగా ఎఫ్జె -2 ఏర్పడింది"&amp;". ఈ విమానాలు మడత రెక్కలు, మరియు లాంచ్ తర్వాత దాడి కోణాన్ని పెంచడానికి మరియు విమాన క్యారియర్ డెక్‌లో హార్డ్ ల్యాండింగ్‌ల షాక్‌ను గ్రహించడానికి పొడవైన ఒలియోను ఉంచడానికి రూపొందించిన పొడవైన ముక్కు ల్యాండింగ్ స్ట్రట్. యు.ఎస్. నేవీ హోదాను దాని సుదూర పూర్వీకుడిత"&amp;"ో పంచుకున్నప్పటికీ, స్ట్రెయిట్-వింగ్డ్ నార్త్ అమెరికన్ ఎఫ్జె -1 ఫ్యూరీ, FJ-2/-3 పూర్తిగా భిన్నమైన విమానాలు. (తరువాతి FJ-4 మళ్ళీ, FJ-3 యొక్క పూర్తి నిర్మాణ పున es రూపకల్పన). యుఎస్ నేవీ ఎయిర్క్రాఫ్ట్-క్యారియర్‌లో మొదటి ఆవిరి కాటాపుల్ట్‌ను అంచనా వేయడానికి ఉప"&amp;"యోగించే విమానం FJ-2 ఒకటి. [1] 1951 నాటికి, నేవీ యొక్క ప్రస్తుత స్ట్రెయిట్-వింగ్ యోధులు స్వీప్-వింగ్ సోవియట్ మికోయన్-గ్యూర్విచ్ మిగ్ -15 కు కొరియా యుద్ధంలో పనిచేస్తున్న పనితీరులో నాసిరకం; నేవీ యొక్క అభివృద్ధి పైప్‌లైన్‌లోని స్వీప్-వింగ్ యోధులు, వోట్ ఎఫ్ 7 "&amp;"యు కట్‌లాస్ మరియు గ్రుమ్మన్ ఎఫ్ 9 ఎఫ్ కౌగర్ వంటివి ఇంకా విస్తరణకు సిద్ధంగా లేరు. మధ్యంతర కొలతగా, నేవీ యొక్క బ్యూరో ఆఫ్ ఏరోనాటిక్స్ స్వీప్ట్-వింగ్ నార్త్ అమెరికన్ ఎఫ్ -86 ఇ సాబర్స్ యొక్క ప్రత్యక్ష అభివృద్ధిని ఎఫ్జె -2 గా ఆదేశించింది. F-86 క్యారియర్-సామర్థ్"&amp;"యం గలదిగా రూపొందించబడనందున, ఇది కొంత ప్రమాదాన్ని కలిగి ఉంది, కాని నేవీ పైలట్లు F-86A వాస్తవానికి గ్రుమ్మన్ F9F పాంథర్ కంటే తక్కువ ల్యాండింగ్ వేగాన్ని కలిగి ఉన్నారని గమనించారు. క్యారియర్ క్వాలిఫికేషన్ ట్రయల్స్ సమయంలో నేవీ గ్రుమ్మన్కు సమాచారం ఇచ్చింది, F9F-"&amp;"5 స్టాల్ వేగాన్ని 12 mph (19 km/h) తగ్గించకపోతే అది క్యారియర్ కార్యకలాపాల నుండి తొలగించబడుతుంది, అదే సమయంలో FJ-2 అప్పటికే అరంగేట్రం చేస్తోంది నేవీ స్క్వాడ్రన్స్. [2] ఆ సమయంలో నార్త్ అమెరికన్ యొక్క చీఫ్ ఇంజనీర్, స్వీప్-వింగ్ సాబెర్ ఉత్తమమైన రెక్కల విమానాలత"&amp;"ో పోల్చదగిన తక్కువ వేగంతో నిర్వహణ మరియు స్టాల్ లక్షణాలను కలిగి ఉందని పేర్కొన్నాడు. [3] ఈ కార్యక్రమం వెనుక ఉన్న ఆవశ్యకత 300 (తరువాత 200 కు తగ్గించబడింది) FJ-2 యోధులను ప్రోటోటైప్‌లు ఎగిరిపోయే ముందు ఆదేశించారు. ఎగురుతున్న మొట్టమొదటి నమూనా వాస్తవానికి మూడవ వి"&amp;"మానం ఆదేశించబడింది: నియమించబడిన XFJ-2B మరియు మొదట 27 డిసెంబర్ 1951 న ఎగిరింది, ఇది దాని ఆయుధంలో ప్రామాణిక F-86E-10 నుండి మాత్రమే భిన్నంగా ఉంది, నాలుగు 20 mM (0.8 అంగుళాలు) కోల్ట్ MK 12 కలిగి ఉంది సాబెర్ యొక్క ఆరు కోల్ట్-బ్రౌనింగ్ M3 .50 లో (12.7 మిమీ) మెష"&amp;"ిన్ గన్లకు బదులుగా ఫిరంగులు. ఫ్లై చేసిన రెండవ మరియు మూడవ విమానం XFJ-2 గా నియమించబడింది మరియు ఆయుధాలు లేవు, కానీ క్యారియర్-సామర్థ్యం గలవిగా సవరించబడ్డాయి. టేకాఫ్ మరియు ల్యాండింగ్ మరియు కాటాపుల్ట్ ఫిట్టింగుల వద్ద దాడి కోణాన్ని పెంచడానికి వారికి అరెస్టర్ హుక"&amp;"్స్ మరియు పొడవైన నోస్‌వీల్ కాళ్ళు ఉన్నాయి. ఆగష్టు 1952 లో, యుఎస్ఎస్ మిడ్‌వేపై క్యారియర్ ట్రయల్స్ ఎగిరిపోయాయి, తరువాత అక్టోబర్-డిసెంబర్ 1952 లో యుఎస్ఎస్ పగడపు సముద్రంలో క్యారియర్ క్వాలిఫికేషన్ ట్రయల్స్ ఉన్నాయి. ఫలితాలు సంతృప్తికరంగా ఉన్నాయి: తక్కువ-స్పీడ్ "&amp;"హ్యాండ్లింగ్ పేలవంగా ఉంది, అరెస్టర్ హుక్ మరియు ముక్కు గేర్ లెగ్ కాదు సరిపడేంత బలం. మొట్టమొదటి ఉత్పత్తి విమానం 22 నవంబర్ 1952 న ప్రయాణించింది. ఈ FJ-2 క్యారియర్ ఆపరేషన్ల కోసం మరిన్ని మార్పులను కలిగి ఉంది: ప్రధాన ల్యాండింగ్ గేర్ యొక్క ట్రాక్ ఎనిమిది అంగుళాలు"&amp;", బయటి వింగ్ ప్యానెల్లు పైకి ముడుచుకున్నాయి మరియు పైలట్ ఇవ్వడానికి విండ్‌స్క్రీన్ సవరించబడింది విధానం సమయంలో మంచి దృశ్యం. FJ-2 లో డైహెడ్రల్ లేకుండా అన్ని కదిలే ""ఫ్లయింగ్ టెయిల్"" కూడా ఉంది. [4] ఆవిరి కాటాపుల్ట్‌లతో లాంచ్‌ల సమయంలో ఎదుర్కొన్న సమస్యల కారణంగ"&amp;"ా, అనేక ఎఫ్‌జె -2 తరువాత బలమైన నోస్‌వీల్ స్ట్రట్‌ను అందుకుంది. బాహ్యంగా, నేవీ పెయింట్ మరియు 20 మిమీ (0.8 అంగుళాలు) ఫిరంగుల తుపాకీ మజిల్స్ కాకుండా, FJ-2 F-86 నుండి వేరు చేయడం కష్టం. ఇంజిన్ జనరల్ ఎలక్ట్రిక్ J47-GE-2, ఇది F-86F లో ఉపయోగించిన J47-GE-27 యొక్క "&amp;"నావలీకరించిన వెర్షన్. FJ-2 యొక్క నావికా మార్పులు F-86F కంటే బరువు 1,100 lb (500 kg) పెరిగాయి, కాని పూర్తిగా క్యారియర్-సామర్థ్యం గల ఫైటర్‌ను అందించడంలో విజయం సాధించలేదు. యుఎస్ మెరైన్ కార్ప్స్ యొక్క భూమి ఆధారిత స్క్వాడ్రన్లకు ఇవ్వడానికి ఇప్పటికే ఒక నిర్ణయం "&amp;"తీసుకోబడింది. కొరియాలో ఎఫ్ -86 డిమాండ్ కారణంగా నిర్మాణం మందగించింది; ఆ వివాదం ముగిసిన తర్వాత FJ-2 పెద్ద సంఖ్యలో ఉత్పత్తి చేయబడలేదు. 1953 చివరి నాటికి ఏడు విమానాలు మాత్రమే పంపిణీ చేయబడ్డాయి, మరియు ఇది మొదటి విమానం VMF-122, మెరైన్ స్క్వాడ్రన్ కు మొదటి విమాన"&amp;"ం పంపిణీ చేయడానికి ముందు జనవరి 1954. క్యారియర్ కార్యకలాపాల కోసం ఉన్నతమైన స్లో-స్పీడ్ పనితీరు కారణంగా నావికాదళం తేలికైన ఎఫ్ 9 ఎఫ్ కౌగర్‌కు ప్రాధాన్యత ఇచ్చింది మరియు నిర్మించిన 200 ఎఫ్‌జె -2 మోడల్స్ అమెరికా మెరైన్ కార్ప్స్‌కు పంపిణీ చేయబడ్డాయి. మెరైన్స్ క్య"&amp;"ారియర్‌లలో అనేక క్రూయిజ్‌లను తయారు చేసింది మరియు రకం యొక్క క్యారియర్ నిర్వహణ సమస్యలను పరిష్కరించడానికి ప్రయత్నించింది, కాని FJ-2 ఎప్పుడూ సంతృప్తికరంగా లేదు. 1956 లో, FJ-2 ఇప్పటికే ఫ్రంట్-లైన్ సేవ నుండి అదృశ్యమైంది, మరియు రిజర్వ్ యూనిట్లు 1957 లో రిటైర్ అయ"&amp;"్యాయి. [5] FJ-2 యొక్క అభివృద్ధి కొనసాగుతున్నప్పటికీ, బ్రిటిష్ ఆర్మ్‌స్ట్రాంగ్ సిడ్లీ నీలమణి టర్బోజెట్ యొక్క లైసెన్స్-నిర్మించిన వెర్షన్ అయిన రైట్ J65 చేత శక్తినిచ్చే సంస్కరణను అభివృద్ధి చేసింది. నీలమణి J47 కన్నా 28% ఎక్కువ థ్రస్ట్‌ను బట్వాడా చేస్తానని వాగ"&amp;"్దానం చేసింది. క్రొత్త సంస్కరణను FJ-3 గా నియమించారు, మరియు 389 విమానాల కోసం ఒక ఆర్డర్ మార్చి 1952 లో ఉంచబడింది. [ప్రస్తావన అవసరం] కొత్త ఇంజిన్‌ను పరీక్షించడానికి ఒకే FJ-2, BUNO 131931 సవరించబడింది, కానీ మొదటి నిజమైన ఉత్పత్తి FJ-3 3 జూలై 1953 న ప్రయాణించార"&amp;"ు. [6] కొత్త ఇంజిన్‌కు బాహ్యంగా కనిపించే ఏకైక మార్పు పెద్ద ద్రవ్యరాశి ప్రవాహానికి అనుగుణంగా లోతుగా తీసుకోవడం. ప్రారంభ FJ-3 లు FJ-2 వలె అదే విభాగాన్ని కలిగి ఉన్నాయి, కాని 1955 నుండి FJ-3 ను ""6-3"" వింగ్ అని పిలవబడేవి నిర్మించబడ్డాయి, ప్రముఖ అంచుతో (150 mm"&amp;") 6 లో విస్తరించబడింది చిట్కా వద్ద రూట్ మరియు 3 ఇన్ (76 మిమీ). ఈ మార్పు, మొదట F-86F లో ప్రవేశపెట్టింది, ప్రముఖ అంచు స్లాట్‌లను తొలగించడం వల్ల ల్యాండింగ్ వేగంతో చిన్న పెరుగుదల యొక్క వ్యయంతో మెరుగైన యుక్తి. FJ-3 లో ప్రవేశపెట్టిన సంస్కరణ F-86F కి సరిపోయేది న"&amp;"ుండి భిన్నంగా ఉంది, ఎందుకంటే తక్కువ-వేగం నిర్వహణను మెరుగుపరచడానికి ప్రముఖ అంచు యొక్క దిగువ భాగంలో కాంబర్ వర్తించబడుతుంది. FJ-3 లో, కొత్త వింగ్ ప్రముఖ అంచులు కూడా అదనపు ఇంధనాన్ని కలిగి ఉన్నాయి. 345 వ విమానాల నుండి, రెక్కలకు బాహ్య లోడ్ల కోసం నాలుగు స్టేషన్ల"&amp;"ు, ఇన్బోర్డ్ స్టేషన్లలో 1,000 ఎల్బి (450 కిలోలు) మరియు అవుట్బోర్డ్ స్టేషన్లలో 500 ఎల్బి (230 కిలోలు) అందించబడ్డాయి. , మరియు FJ-3 మే 1955 లో విమానంలో చేరింది. 1956 లో కొత్త సూపర్ క్యారియర్ యుఎస్ఎస్ ఫారెస్టాల్‌లోకి ప్రవేశించిన మొదటి ఫైటర్ ఎఫ్జె -3. J65 ఇంజి"&amp;"న్‌తో సమస్యలు ఎదురయ్యాయి, దాని సరళత వ్యవస్థ యొక్క వైఫల్యాలతో సహా ప్రారంభించండి లేదా విన్యాసాల సమయంలో, మరియు టర్బైన్ బ్లేడ్ల వైఫల్యాలు. ఏదేమైనా, నేవీ FJ-2 తో ఉన్నదానికంటే FJ-3 తో మరింత సంతృప్తి చెందింది మరియు మార్చి 1954 లో అదనంగా 149 విమానాలను ఆదేశించింది"&amp;". దాని శక్తివంతమైన ఇంజిన్ కారణంగా, F-86H మినహా FJ-3 F-86 యొక్క చాలా మోడళ్ల కంటే గొప్పది. మొత్తం 538 FJ-3 లు నిర్మించబడ్డాయి. వీటిలో 194 లో AIM-9 సైడ్‌విండర్ ఎయిర్-టు-ఎయిర్ క్షిపణులను తీసుకెళ్లగల సామర్థ్యంతో FJ-3MS కు సవరించారు. కొన్ని FJ-3 లు తరువాత రెగ్య"&amp;"ులస్ క్షిపణులను (KDU-1), మరియు గ్రుమ్మన్ F9F-6K కౌగర్ టార్గెట్ డ్రోన్‌లను నియంత్రించడానికి సవరించబడ్డాయి. 1956 లో, నేవీ తన అన్ని FJ-3 లను ప్రోబ్-అండ్-డ్రాగ్ ఎయిర్ రీఫ్యూయలింగ్ పరికరాలతో రెట్రోతో అమర్చారు, లెఫ్ట్ వింగ్ కింద ఒక సుదీర్ఘ దర్యాప్తు అమర్చబడి ఉం"&amp;"ది. [7] 1945 నుండి పోరాట విమానాల నుండి డేటా [17] సాధారణ లక్షణాలు పనితీరు ఆయుధాల సంబంధిత అభివృద్ధి విమానం పోల్చదగిన పాత్ర, కాన్ఫిగరేషన్ మరియు ERA సంబంధిత జాబితాలు")</f>
        <v>నార్త్ అమెరికన్ ఎఫ్జె -2 మరియు ఎఫ్జె -3 ఫ్యూరీ అమెరికా నేవీ మరియు మెరైన్ కార్ప్స్ కోసం స్వీప్-వింగ్ క్యారియర్-సామర్థ్యం గల యోధుల శ్రేణి. అమెరికా వైమానిక దళం నిర్వహిస్తున్న నార్త్ అమెరికన్ ఎఫ్ -86 సాబెర్ ను నావాలాస్ చేసే ప్రయత్నం ఫలితంగా ఎఫ్జె -2 ఏర్పడింది. ఈ విమానాలు మడత రెక్కలు, మరియు లాంచ్ తర్వాత దాడి కోణాన్ని పెంచడానికి మరియు విమాన క్యారియర్ డెక్‌లో హార్డ్ ల్యాండింగ్‌ల షాక్‌ను గ్రహించడానికి పొడవైన ఒలియోను ఉంచడానికి రూపొందించిన పొడవైన ముక్కు ల్యాండింగ్ స్ట్రట్. యు.ఎస్. నేవీ హోదాను దాని సుదూర పూర్వీకుడితో పంచుకున్నప్పటికీ, స్ట్రెయిట్-వింగ్డ్ నార్త్ అమెరికన్ ఎఫ్జె -1 ఫ్యూరీ, FJ-2/-3 పూర్తిగా భిన్నమైన విమానాలు. (తరువాతి FJ-4 మళ్ళీ, FJ-3 యొక్క పూర్తి నిర్మాణ పున es రూపకల్పన). యుఎస్ నేవీ ఎయిర్క్రాఫ్ట్-క్యారియర్‌లో మొదటి ఆవిరి కాటాపుల్ట్‌ను అంచనా వేయడానికి ఉపయోగించే విమానం FJ-2 ఒకటి. [1] 1951 నాటికి, నేవీ యొక్క ప్రస్తుత స్ట్రెయిట్-వింగ్ యోధులు స్వీప్-వింగ్ సోవియట్ మికోయన్-గ్యూర్విచ్ మిగ్ -15 కు కొరియా యుద్ధంలో పనిచేస్తున్న పనితీరులో నాసిరకం; నేవీ యొక్క అభివృద్ధి పైప్‌లైన్‌లోని స్వీప్-వింగ్ యోధులు, వోట్ ఎఫ్ 7 యు కట్‌లాస్ మరియు గ్రుమ్మన్ ఎఫ్ 9 ఎఫ్ కౌగర్ వంటివి ఇంకా విస్తరణకు సిద్ధంగా లేరు. మధ్యంతర కొలతగా, నేవీ యొక్క బ్యూరో ఆఫ్ ఏరోనాటిక్స్ స్వీప్ట్-వింగ్ నార్త్ అమెరికన్ ఎఫ్ -86 ఇ సాబర్స్ యొక్క ప్రత్యక్ష అభివృద్ధిని ఎఫ్జె -2 గా ఆదేశించింది. F-86 క్యారియర్-సామర్థ్యం గలదిగా రూపొందించబడనందున, ఇది కొంత ప్రమాదాన్ని కలిగి ఉంది, కాని నేవీ పైలట్లు F-86A వాస్తవానికి గ్రుమ్మన్ F9F పాంథర్ కంటే తక్కువ ల్యాండింగ్ వేగాన్ని కలిగి ఉన్నారని గమనించారు. క్యారియర్ క్వాలిఫికేషన్ ట్రయల్స్ సమయంలో నేవీ గ్రుమ్మన్కు సమాచారం ఇచ్చింది, F9F-5 స్టాల్ వేగాన్ని 12 mph (19 km/h) తగ్గించకపోతే అది క్యారియర్ కార్యకలాపాల నుండి తొలగించబడుతుంది, అదే సమయంలో FJ-2 అప్పటికే అరంగేట్రం చేస్తోంది నేవీ స్క్వాడ్రన్స్. [2] ఆ సమయంలో నార్త్ అమెరికన్ యొక్క చీఫ్ ఇంజనీర్, స్వీప్-వింగ్ సాబెర్ ఉత్తమమైన రెక్కల విమానాలతో పోల్చదగిన తక్కువ వేగంతో నిర్వహణ మరియు స్టాల్ లక్షణాలను కలిగి ఉందని పేర్కొన్నాడు. [3] ఈ కార్యక్రమం వెనుక ఉన్న ఆవశ్యకత 300 (తరువాత 200 కు తగ్గించబడింది) FJ-2 యోధులను ప్రోటోటైప్‌లు ఎగిరిపోయే ముందు ఆదేశించారు. ఎగురుతున్న మొట్టమొదటి నమూనా వాస్తవానికి మూడవ విమానం ఆదేశించబడింది: నియమించబడిన XFJ-2B మరియు మొదట 27 డిసెంబర్ 1951 న ఎగిరింది, ఇది దాని ఆయుధంలో ప్రామాణిక F-86E-10 నుండి మాత్రమే భిన్నంగా ఉంది, నాలుగు 20 mM (0.8 అంగుళాలు) కోల్ట్ MK 12 కలిగి ఉంది సాబెర్ యొక్క ఆరు కోల్ట్-బ్రౌనింగ్ M3 .50 లో (12.7 మిమీ) మెషిన్ గన్లకు బదులుగా ఫిరంగులు. ఫ్లై చేసిన రెండవ మరియు మూడవ విమానం XFJ-2 గా నియమించబడింది మరియు ఆయుధాలు లేవు, కానీ క్యారియర్-సామర్థ్యం గలవిగా సవరించబడ్డాయి. టేకాఫ్ మరియు ల్యాండింగ్ మరియు కాటాపుల్ట్ ఫిట్టింగుల వద్ద దాడి కోణాన్ని పెంచడానికి వారికి అరెస్టర్ హుక్స్ మరియు పొడవైన నోస్‌వీల్ కాళ్ళు ఉన్నాయి. ఆగష్టు 1952 లో, యుఎస్ఎస్ మిడ్‌వేపై క్యారియర్ ట్రయల్స్ ఎగిరిపోయాయి, తరువాత అక్టోబర్-డిసెంబర్ 1952 లో యుఎస్ఎస్ పగడపు సముద్రంలో క్యారియర్ క్వాలిఫికేషన్ ట్రయల్స్ ఉన్నాయి. ఫలితాలు సంతృప్తికరంగా ఉన్నాయి: తక్కువ-స్పీడ్ హ్యాండ్లింగ్ పేలవంగా ఉంది, అరెస్టర్ హుక్ మరియు ముక్కు గేర్ లెగ్ కాదు సరిపడేంత బలం. మొట్టమొదటి ఉత్పత్తి విమానం 22 నవంబర్ 1952 న ప్రయాణించింది. ఈ FJ-2 క్యారియర్ ఆపరేషన్ల కోసం మరిన్ని మార్పులను కలిగి ఉంది: ప్రధాన ల్యాండింగ్ గేర్ యొక్క ట్రాక్ ఎనిమిది అంగుళాలు, బయటి వింగ్ ప్యానెల్లు పైకి ముడుచుకున్నాయి మరియు పైలట్ ఇవ్వడానికి విండ్‌స్క్రీన్ సవరించబడింది విధానం సమయంలో మంచి దృశ్యం. FJ-2 లో డైహెడ్రల్ లేకుండా అన్ని కదిలే "ఫ్లయింగ్ టెయిల్" కూడా ఉంది. [4] ఆవిరి కాటాపుల్ట్‌లతో లాంచ్‌ల సమయంలో ఎదుర్కొన్న సమస్యల కారణంగా, అనేక ఎఫ్‌జె -2 తరువాత బలమైన నోస్‌వీల్ స్ట్రట్‌ను అందుకుంది. బాహ్యంగా, నేవీ పెయింట్ మరియు 20 మిమీ (0.8 అంగుళాలు) ఫిరంగుల తుపాకీ మజిల్స్ కాకుండా, FJ-2 F-86 నుండి వేరు చేయడం కష్టం. ఇంజిన్ జనరల్ ఎలక్ట్రిక్ J47-GE-2, ఇది F-86F లో ఉపయోగించిన J47-GE-27 యొక్క నావలీకరించిన వెర్షన్. FJ-2 యొక్క నావికా మార్పులు F-86F కంటే బరువు 1,100 lb (500 kg) పెరిగాయి, కాని పూర్తిగా క్యారియర్-సామర్థ్యం గల ఫైటర్‌ను అందించడంలో విజయం సాధించలేదు. యుఎస్ మెరైన్ కార్ప్స్ యొక్క భూమి ఆధారిత స్క్వాడ్రన్లకు ఇవ్వడానికి ఇప్పటికే ఒక నిర్ణయం తీసుకోబడింది. కొరియాలో ఎఫ్ -86 డిమాండ్ కారణంగా నిర్మాణం మందగించింది; ఆ వివాదం ముగిసిన తర్వాత FJ-2 పెద్ద సంఖ్యలో ఉత్పత్తి చేయబడలేదు. 1953 చివరి నాటికి ఏడు విమానాలు మాత్రమే పంపిణీ చేయబడ్డాయి, మరియు ఇది మొదటి విమానం VMF-122, మెరైన్ స్క్వాడ్రన్ కు మొదటి విమానం పంపిణీ చేయడానికి ముందు జనవరి 1954. క్యారియర్ కార్యకలాపాల కోసం ఉన్నతమైన స్లో-స్పీడ్ పనితీరు కారణంగా నావికాదళం తేలికైన ఎఫ్ 9 ఎఫ్ కౌగర్‌కు ప్రాధాన్యత ఇచ్చింది మరియు నిర్మించిన 200 ఎఫ్‌జె -2 మోడల్స్ అమెరికా మెరైన్ కార్ప్స్‌కు పంపిణీ చేయబడ్డాయి. మెరైన్స్ క్యారియర్‌లలో అనేక క్రూయిజ్‌లను తయారు చేసింది మరియు రకం యొక్క క్యారియర్ నిర్వహణ సమస్యలను పరిష్కరించడానికి ప్రయత్నించింది, కాని FJ-2 ఎప్పుడూ సంతృప్తికరంగా లేదు. 1956 లో, FJ-2 ఇప్పటికే ఫ్రంట్-లైన్ సేవ నుండి అదృశ్యమైంది, మరియు రిజర్వ్ యూనిట్లు 1957 లో రిటైర్ అయ్యాయి. [5] FJ-2 యొక్క అభివృద్ధి కొనసాగుతున్నప్పటికీ, బ్రిటిష్ ఆర్మ్‌స్ట్రాంగ్ సిడ్లీ నీలమణి టర్బోజెట్ యొక్క లైసెన్స్-నిర్మించిన వెర్షన్ అయిన రైట్ J65 చేత శక్తినిచ్చే సంస్కరణను అభివృద్ధి చేసింది. నీలమణి J47 కన్నా 28% ఎక్కువ థ్రస్ట్‌ను బట్వాడా చేస్తానని వాగ్దానం చేసింది. క్రొత్త సంస్కరణను FJ-3 గా నియమించారు, మరియు 389 విమానాల కోసం ఒక ఆర్డర్ మార్చి 1952 లో ఉంచబడింది. [ప్రస్తావన అవసరం] కొత్త ఇంజిన్‌ను పరీక్షించడానికి ఒకే FJ-2, BUNO 131931 సవరించబడింది, కానీ మొదటి నిజమైన ఉత్పత్తి FJ-3 3 జూలై 1953 న ప్రయాణించారు. [6] కొత్త ఇంజిన్‌కు బాహ్యంగా కనిపించే ఏకైక మార్పు పెద్ద ద్రవ్యరాశి ప్రవాహానికి అనుగుణంగా లోతుగా తీసుకోవడం. ప్రారంభ FJ-3 లు FJ-2 వలె అదే విభాగాన్ని కలిగి ఉన్నాయి, కాని 1955 నుండి FJ-3 ను "6-3" వింగ్ అని పిలవబడేవి నిర్మించబడ్డాయి, ప్రముఖ అంచుతో (150 mm) 6 లో విస్తరించబడింది చిట్కా వద్ద రూట్ మరియు 3 ఇన్ (76 మిమీ). ఈ మార్పు, మొదట F-86F లో ప్రవేశపెట్టింది, ప్రముఖ అంచు స్లాట్‌లను తొలగించడం వల్ల ల్యాండింగ్ వేగంతో చిన్న పెరుగుదల యొక్క వ్యయంతో మెరుగైన యుక్తి. FJ-3 లో ప్రవేశపెట్టిన సంస్కరణ F-86F కి సరిపోయేది నుండి భిన్నంగా ఉంది, ఎందుకంటే తక్కువ-వేగం నిర్వహణను మెరుగుపరచడానికి ప్రముఖ అంచు యొక్క దిగువ భాగంలో కాంబర్ వర్తించబడుతుంది. FJ-3 లో, కొత్త వింగ్ ప్రముఖ అంచులు కూడా అదనపు ఇంధనాన్ని కలిగి ఉన్నాయి. 345 వ విమానాల నుండి, రెక్కలకు బాహ్య లోడ్ల కోసం నాలుగు స్టేషన్లు, ఇన్బోర్డ్ స్టేషన్లలో 1,000 ఎల్బి (450 కిలోలు) మరియు అవుట్బోర్డ్ స్టేషన్లలో 500 ఎల్బి (230 కిలోలు) అందించబడ్డాయి. , మరియు FJ-3 మే 1955 లో విమానంలో చేరింది. 1956 లో కొత్త సూపర్ క్యారియర్ యుఎస్ఎస్ ఫారెస్టాల్‌లోకి ప్రవేశించిన మొదటి ఫైటర్ ఎఫ్జె -3. J65 ఇంజిన్‌తో సమస్యలు ఎదురయ్యాయి, దాని సరళత వ్యవస్థ యొక్క వైఫల్యాలతో సహా ప్రారంభించండి లేదా విన్యాసాల సమయంలో, మరియు టర్బైన్ బ్లేడ్ల వైఫల్యాలు. ఏదేమైనా, నేవీ FJ-2 తో ఉన్నదానికంటే FJ-3 తో మరింత సంతృప్తి చెందింది మరియు మార్చి 1954 లో అదనంగా 149 విమానాలను ఆదేశించింది. దాని శక్తివంతమైన ఇంజిన్ కారణంగా, F-86H మినహా FJ-3 F-86 యొక్క చాలా మోడళ్ల కంటే గొప్పది. మొత్తం 538 FJ-3 లు నిర్మించబడ్డాయి. వీటిలో 194 లో AIM-9 సైడ్‌విండర్ ఎయిర్-టు-ఎయిర్ క్షిపణులను తీసుకెళ్లగల సామర్థ్యంతో FJ-3MS కు సవరించారు. కొన్ని FJ-3 లు తరువాత రెగ్యులస్ క్షిపణులను (KDU-1), మరియు గ్రుమ్మన్ F9F-6K కౌగర్ టార్గెట్ డ్రోన్‌లను నియంత్రించడానికి సవరించబడ్డాయి. 1956 లో, నేవీ తన అన్ని FJ-3 లను ప్రోబ్-అండ్-డ్రాగ్ ఎయిర్ రీఫ్యూయలింగ్ పరికరాలతో రెట్రోతో అమర్చారు, లెఫ్ట్ వింగ్ కింద ఒక సుదీర్ఘ దర్యాప్తు అమర్చబడి ఉంది. [7] 1945 నుండి పోరాట విమానాల నుండి డేటా [17] సాధారణ లక్షణాలు పనితీరు ఆయుధాల సంబంధిత అభివృద్ధి విమానం పోల్చదగిన పాత్ర, కాన్ఫిగరేషన్ మరియు ERA సంబంధిత జాబితాలు</v>
      </c>
      <c r="E46" s="1" t="s">
        <v>944</v>
      </c>
      <c r="F46" s="1" t="s">
        <v>945</v>
      </c>
      <c r="G46" s="1" t="str">
        <f>IFERROR(__xludf.DUMMYFUNCTION("GOOGLETRANSLATE(F:F, ""en"", ""te"")"),"ఫైటర్ విమానం")</f>
        <v>ఫైటర్ విమానం</v>
      </c>
      <c r="H46" s="1" t="s">
        <v>946</v>
      </c>
      <c r="I46" s="1" t="s">
        <v>947</v>
      </c>
      <c r="J46" s="1" t="str">
        <f>IFERROR(__xludf.DUMMYFUNCTION("GOOGLETRANSLATE(I:I, ""en"", ""te"")"),"నార్త్ అమెరికన్ ఏవియేషన్")</f>
        <v>నార్త్ అమెరికన్ ఏవియేషన్</v>
      </c>
      <c r="K46" s="1" t="s">
        <v>948</v>
      </c>
      <c r="M46" s="2"/>
      <c r="O46" s="1">
        <v>741.0</v>
      </c>
      <c r="P46" s="1" t="s">
        <v>949</v>
      </c>
      <c r="Q46" s="1" t="s">
        <v>950</v>
      </c>
      <c r="AF46" s="1" t="s">
        <v>206</v>
      </c>
      <c r="AO46" s="5">
        <v>18989.0</v>
      </c>
      <c r="AX46" s="1">
        <v>1954.0</v>
      </c>
      <c r="AY46" s="1" t="s">
        <v>951</v>
      </c>
      <c r="AZ46" s="1" t="s">
        <v>952</v>
      </c>
      <c r="BN46" s="6">
        <v>22890.0</v>
      </c>
      <c r="BO46" s="1" t="s">
        <v>953</v>
      </c>
      <c r="BP46" s="1" t="s">
        <v>954</v>
      </c>
    </row>
    <row r="47">
      <c r="A47" s="1" t="s">
        <v>955</v>
      </c>
      <c r="B47" s="1" t="str">
        <f>IFERROR(__xludf.DUMMYFUNCTION("GOOGLETRANSLATE(A:A, ""en"", ""te"")"),"ఆస్టర్ AOP.9")</f>
        <v>ఆస్టర్ AOP.9</v>
      </c>
      <c r="C47" s="1" t="s">
        <v>956</v>
      </c>
      <c r="D47" s="2" t="str">
        <f>IFERROR(__xludf.DUMMYFUNCTION("GOOGLETRANSLATE(C:C, ""en"", ""te"")"),"ఆస్టర్ AOP.9 అనేది ఆస్టర్ AOP.6 ను భర్తీ చేయడానికి ఆస్టర్ ఎయిర్క్రాఫ్ట్ లిమిటెడ్ చేత ఉత్పత్తి చేయబడిన బ్రిటిష్ మిలిటరీ ఎయిర్ అబ్జర్వేషన్ ఎయిర్‌క్రాఫ్ట్ (""ఎయిర్ అబ్జర్వేషన్ పోస్ట్""). ఆస్టర్ AOP.9 ఆస్టర్ AOP.6 కు వారసుడిగా రూపొందించబడింది. దాని పూర్వీకుల "&amp;"మాదిరిగానే, ఇది ఒక బ్రేస్డ్ హై-వింగ్ సింగిల్ ఇంజిన్ మోనోప్లేన్, ఇది స్థిర టెయిల్‌వీల్ అండర్ క్యారేజీతో ఉంటుంది. [2] అదే సాధారణ రూపాన్ని కలిగి ఉన్నప్పటికీ, AOP.9 ఒక కొత్త డిజైన్, పెద్ద వింగ్ ప్రాంతం మరియు మరింత శక్తివంతమైన ఇంజిన్. రెక్కలు మరియు తోక లోహ-చర్"&amp;"మం గలవి, కానీ ఫ్యూజ్‌లేజ్ మరియు ఐలెరాన్లు ఫాబ్రిక్ కప్పబడి ఉన్నాయి. [2] గుర్తించదగిన డోర్సల్ ఫిల్లెట్ తో కొత్త విమానంలో ఫిన్ మరియు చుక్కాని అసెంబ్లీ మరింత కోణీయంగా ఉన్నాయి. [3] మరింత శక్తివంతమైన 180 హెచ్‌పి (134 కిలోవాట్ల) బ్లాక్బర్న్ సిరస్ బొంబార్డియర్ ఇ"&amp;"ంజిన్ కలయిక, పెద్ద రెక్కలు మరియు పెద్ద ఫ్లాప్‌ల కలయిక AOP.6 తో పోలిస్తే మెరుగైన టేకాఫ్ మరియు ల్యాండింగ్ పనితీరును ఇచ్చింది. ఇది తక్కువ పీడన టైర్లను ఉపయోగించి దున్నుతున్న పొలాలు మరియు బురద ఉపరితలాల నుండి పనిచేస్తుంది మరియు అండర్ క్యారేజీని బలోపేతం చేస్తుంద"&amp;"ి. [4] క్యాబిన్ మూడు సీట్లు, పైలట్ మరియు ప్రయాణీకుడు పక్కపక్కనే మరియు పరిశీలకుడు వెనుకబడి, ముందుకు లేదా వెనుకకు ఎదురుగా ఉంది. [2] ఈ విమానం మార్చుకోగలిగిన వెనుక అంతస్తుతో రెండు-సీట్ల కాంతి రవాణాగా మార్చడానికి కూడా రూపొందించబడింది. [4] ఈ కాన్ఫిగరేషన్‌లో పరి"&amp;"శీలకుడు పైలట్‌తో పాటు కూర్చున్నాడు. ప్రోటోటైప్ WZ662 మొదట 19 మార్చి 1954 న విరమించుకుంది. [2] ఆస్టర్ విమానం దాని మోడల్ హోదా B5 ను AOP.9 రూపకల్పనకు కేటాయించింది. [5] ఫిబ్రవరి 1955 లో రాయల్ వైమానిక దళానికి డెలివరీలు ప్రారంభమయ్యాయి, [2] సాధారణ AOP స్క్వాడ్రన"&amp;"్లలో AOP.6 లను భర్తీ చేస్తూ, AOP.9 లను స్వీకరించడానికి ముందు మార్చి 1957 లో సహాయక స్క్వాడ్రన్లు రద్దు చేయబడ్డాయి. సెప్టెంబర్ 1957 లో ఆర్మీ ఎయిర్ కార్ప్స్ (AAC) ఏర్పడే వరకు, ఆర్మీ సిబ్బంది RAF స్క్వాడ్రన్స్ కేంద్రంగా ఉన్న RAF విమానాలను ప్రయాణించారు. ఈ విమా"&amp;"నం సెప్టెంబర్ 1955 నుండి 656 స్క్వాడ్రన్‌తో చర్య తీసుకుంటుంది, [6] నెలకు సగటున 1,200 సోర్టీలు ఎగురుతుంది. [7] 31 జూలై 1960 న మలయాలో ఆపరేషన్ ఫైర్‌డాగ్ ముగిసే సమయానికి, 656 స్క్వాడ్రన్ యొక్క AOP.6 మరియు AOP.9 లు 143,000 సోర్టీలను నిర్వహించాయి. [8] AOP.9 లు "&amp;"బ్రిటన్ యొక్క అనేక ఇతర సామ్రాజ్యం సంఘర్షణలలో పాల్గొన్నాయి; 653 స్క్వాడ్రన్ AAC వాటిని 1960 ల ప్రారంభంలో అడెన్‌లో ఉపయోగించింది, ఫలైస్, లిటిల్ అడెన్ నుండి ఎగురుతుంది. [9] [10] వారు 1966 వరకు సేవలో ఉండిపోయారు మరియు AAC ఉపయోగించిన చివరి స్థిర వింగ్ AOP విమానం"&amp;", [9] వారి కాంతి రవాణా పాత్రను బీవర్స్ స్వాధీనం చేసుకున్నారు. దక్షిణాఫ్రికా వైమానిక దళం 1957 నుండి 1967 వరకు దాని AOP.9 లను నిర్వహించింది. ఆర్మీ హిస్టారిక్ ఎయిర్క్రాఫ్ట్ ఫ్లైట్ మిడిల్ వాలప్ వద్ద ఎగిరే స్థితిలో AOP.9 [11] ను నిర్వహిస్తుంది. 1970 లలో, 19 AO"&amp;"P.9 లు UK సివిల్ రిజిస్టర్‌లో చేరారు, మరియు 2008 లో 14 మిగిలి ఉన్నాయి, అయితే వీటిలో ముగ్గురికి మాత్రమే ప్రస్తుత వాయు యోగ్యత యొక్క ధృవీకరణ పత్రం ఉంది. [12] ఏకైక బీగల్ E3/ఆస్టర్ AOP.11 G-ASCC 2007 లో ప్రమాదం వరకు ఎగురుతోంది [13]. [14] [2] నుండి డేటా సాధారణ "&amp;"లక్షణాల పనితీరు సంబంధిత జాబితాలు వికీమీడియా కామన్స్ వద్ద ఆస్టర్ AOP.9 కు సంబంధించిన మీడియా")</f>
        <v>ఆస్టర్ AOP.9 అనేది ఆస్టర్ AOP.6 ను భర్తీ చేయడానికి ఆస్టర్ ఎయిర్క్రాఫ్ట్ లిమిటెడ్ చేత ఉత్పత్తి చేయబడిన బ్రిటిష్ మిలిటరీ ఎయిర్ అబ్జర్వేషన్ ఎయిర్‌క్రాఫ్ట్ ("ఎయిర్ అబ్జర్వేషన్ పోస్ట్"). ఆస్టర్ AOP.9 ఆస్టర్ AOP.6 కు వారసుడిగా రూపొందించబడింది. దాని పూర్వీకుల మాదిరిగానే, ఇది ఒక బ్రేస్డ్ హై-వింగ్ సింగిల్ ఇంజిన్ మోనోప్లేన్, ఇది స్థిర టెయిల్‌వీల్ అండర్ క్యారేజీతో ఉంటుంది. [2] అదే సాధారణ రూపాన్ని కలిగి ఉన్నప్పటికీ, AOP.9 ఒక కొత్త డిజైన్, పెద్ద వింగ్ ప్రాంతం మరియు మరింత శక్తివంతమైన ఇంజిన్. రెక్కలు మరియు తోక లోహ-చర్మం గలవి, కానీ ఫ్యూజ్‌లేజ్ మరియు ఐలెరాన్లు ఫాబ్రిక్ కప్పబడి ఉన్నాయి. [2] గుర్తించదగిన డోర్సల్ ఫిల్లెట్ తో కొత్త విమానంలో ఫిన్ మరియు చుక్కాని అసెంబ్లీ మరింత కోణీయంగా ఉన్నాయి. [3] మరింత శక్తివంతమైన 180 హెచ్‌పి (134 కిలోవాట్ల) బ్లాక్బర్న్ సిరస్ బొంబార్డియర్ ఇంజిన్ కలయిక, పెద్ద రెక్కలు మరియు పెద్ద ఫ్లాప్‌ల కలయిక AOP.6 తో పోలిస్తే మెరుగైన టేకాఫ్ మరియు ల్యాండింగ్ పనితీరును ఇచ్చింది. ఇది తక్కువ పీడన టైర్లను ఉపయోగించి దున్నుతున్న పొలాలు మరియు బురద ఉపరితలాల నుండి పనిచేస్తుంది మరియు అండర్ క్యారేజీని బలోపేతం చేస్తుంది. [4] క్యాబిన్ మూడు సీట్లు, పైలట్ మరియు ప్రయాణీకుడు పక్కపక్కనే మరియు పరిశీలకుడు వెనుకబడి, ముందుకు లేదా వెనుకకు ఎదురుగా ఉంది. [2] ఈ విమానం మార్చుకోగలిగిన వెనుక అంతస్తుతో రెండు-సీట్ల కాంతి రవాణాగా మార్చడానికి కూడా రూపొందించబడింది. [4] ఈ కాన్ఫిగరేషన్‌లో పరిశీలకుడు పైలట్‌తో పాటు కూర్చున్నాడు. ప్రోటోటైప్ WZ662 మొదట 19 మార్చి 1954 న విరమించుకుంది. [2] ఆస్టర్ విమానం దాని మోడల్ హోదా B5 ను AOP.9 రూపకల్పనకు కేటాయించింది. [5] ఫిబ్రవరి 1955 లో రాయల్ వైమానిక దళానికి డెలివరీలు ప్రారంభమయ్యాయి, [2] సాధారణ AOP స్క్వాడ్రన్లలో AOP.6 లను భర్తీ చేస్తూ, AOP.9 లను స్వీకరించడానికి ముందు మార్చి 1957 లో సహాయక స్క్వాడ్రన్లు రద్దు చేయబడ్డాయి. సెప్టెంబర్ 1957 లో ఆర్మీ ఎయిర్ కార్ప్స్ (AAC) ఏర్పడే వరకు, ఆర్మీ సిబ్బంది RAF స్క్వాడ్రన్స్ కేంద్రంగా ఉన్న RAF విమానాలను ప్రయాణించారు. ఈ విమానం సెప్టెంబర్ 1955 నుండి 656 స్క్వాడ్రన్‌తో చర్య తీసుకుంటుంది, [6] నెలకు సగటున 1,200 సోర్టీలు ఎగురుతుంది. [7] 31 జూలై 1960 న మలయాలో ఆపరేషన్ ఫైర్‌డాగ్ ముగిసే సమయానికి, 656 స్క్వాడ్రన్ యొక్క AOP.6 మరియు AOP.9 లు 143,000 సోర్టీలను నిర్వహించాయి. [8] AOP.9 లు బ్రిటన్ యొక్క అనేక ఇతర సామ్రాజ్యం సంఘర్షణలలో పాల్గొన్నాయి; 653 స్క్వాడ్రన్ AAC వాటిని 1960 ల ప్రారంభంలో అడెన్‌లో ఉపయోగించింది, ఫలైస్, లిటిల్ అడెన్ నుండి ఎగురుతుంది. [9] [10] వారు 1966 వరకు సేవలో ఉండిపోయారు మరియు AAC ఉపయోగించిన చివరి స్థిర వింగ్ AOP విమానం, [9] వారి కాంతి రవాణా పాత్రను బీవర్స్ స్వాధీనం చేసుకున్నారు. దక్షిణాఫ్రికా వైమానిక దళం 1957 నుండి 1967 వరకు దాని AOP.9 లను నిర్వహించింది. ఆర్మీ హిస్టారిక్ ఎయిర్క్రాఫ్ట్ ఫ్లైట్ మిడిల్ వాలప్ వద్ద ఎగిరే స్థితిలో AOP.9 [11] ను నిర్వహిస్తుంది. 1970 లలో, 19 AOP.9 లు UK సివిల్ రిజిస్టర్‌లో చేరారు, మరియు 2008 లో 14 మిగిలి ఉన్నాయి, అయితే వీటిలో ముగ్గురికి మాత్రమే ప్రస్తుత వాయు యోగ్యత యొక్క ధృవీకరణ పత్రం ఉంది. [12] ఏకైక బీగల్ E3/ఆస్టర్ AOP.11 G-ASCC 2007 లో ప్రమాదం వరకు ఎగురుతోంది [13]. [14] [2] నుండి డేటా సాధారణ లక్షణాల పనితీరు సంబంధిత జాబితాలు వికీమీడియా కామన్స్ వద్ద ఆస్టర్ AOP.9 కు సంబంధించిన మీడియా</v>
      </c>
      <c r="E47" s="1" t="s">
        <v>957</v>
      </c>
      <c r="F47" s="1" t="s">
        <v>958</v>
      </c>
      <c r="G47" s="1" t="str">
        <f>IFERROR(__xludf.DUMMYFUNCTION("GOOGLETRANSLATE(F:F, ""en"", ""te"")"),"సైనిక పరిశీలన విమానం")</f>
        <v>సైనిక పరిశీలన విమానం</v>
      </c>
      <c r="I47" s="1" t="s">
        <v>959</v>
      </c>
      <c r="J47" s="1" t="str">
        <f>IFERROR(__xludf.DUMMYFUNCTION("GOOGLETRANSLATE(I:I, ""en"", ""te"")"),"ఆస్టర్ ఎయిర్క్రాఫ్ట్ లిమిటెడ్")</f>
        <v>ఆస్టర్ ఎయిర్క్రాఫ్ట్ లిమిటెడ్</v>
      </c>
      <c r="K47" s="1" t="s">
        <v>960</v>
      </c>
      <c r="M47" s="2"/>
      <c r="O47" s="1" t="s">
        <v>961</v>
      </c>
      <c r="R47" s="1">
        <v>3.0</v>
      </c>
      <c r="T47" s="1" t="s">
        <v>962</v>
      </c>
      <c r="U47" s="1" t="s">
        <v>963</v>
      </c>
      <c r="V47" s="1" t="s">
        <v>964</v>
      </c>
      <c r="W47" s="1" t="s">
        <v>965</v>
      </c>
      <c r="X47" s="1" t="s">
        <v>966</v>
      </c>
      <c r="Z47" s="1" t="s">
        <v>967</v>
      </c>
      <c r="AA47" s="1" t="s">
        <v>968</v>
      </c>
      <c r="AC47" s="1" t="s">
        <v>969</v>
      </c>
      <c r="AD47" s="1" t="s">
        <v>970</v>
      </c>
      <c r="AH47" s="1" t="s">
        <v>971</v>
      </c>
      <c r="AI47" s="1" t="s">
        <v>972</v>
      </c>
      <c r="AJ47" s="1" t="s">
        <v>973</v>
      </c>
      <c r="AK47" s="1" t="s">
        <v>974</v>
      </c>
      <c r="AL47" s="1" t="s">
        <v>975</v>
      </c>
      <c r="AN47" s="1" t="s">
        <v>976</v>
      </c>
      <c r="AO47" s="5">
        <v>19802.0</v>
      </c>
      <c r="AX47" s="1">
        <v>1955.0</v>
      </c>
      <c r="BO47" s="1" t="s">
        <v>977</v>
      </c>
      <c r="BP47" s="1" t="s">
        <v>978</v>
      </c>
      <c r="BZ47" s="1" t="s">
        <v>979</v>
      </c>
      <c r="CA47" s="1" t="s">
        <v>980</v>
      </c>
    </row>
    <row r="48">
      <c r="A48" s="1" t="s">
        <v>981</v>
      </c>
      <c r="B48" s="1" t="str">
        <f>IFERROR(__xludf.DUMMYFUNCTION("GOOGLETRANSLATE(A:A, ""en"", ""te"")"),"స్కైహూక్ JHL-40")</f>
        <v>స్కైహూక్ JHL-40</v>
      </c>
      <c r="C48" s="1" t="s">
        <v>982</v>
      </c>
      <c r="D48" s="2" t="str">
        <f>IFERROR(__xludf.DUMMYFUNCTION("GOOGLETRANSLATE(C:C, ""en"", ""te"")"),"స్కైహూక్ JHL-40 ప్రతిపాదిత హైబ్రిడ్ ఎయిర్‌షిప్/హెలికాప్టర్. జూలై 9, 2008 న, బోయింగ్ ఈ విమానాన్ని అభివృద్ధి చేయడానికి కెనడియన్ సంస్థ స్కైహూక్ ఇంటర్నేషనల్ తో జతకట్టినట్లు ప్రకటించింది. [1] [2] [3] 2009 తరువాత తదుపరి పత్రికా ప్రకటనలు కనిపించవు మరియు ఇంటర్నెట"&amp;"్ ఆర్కైవ్ చూపిన విధంగా స్కైహూక్ ఇంటర్నేషనల్ 2010 నుండి డొమైన్ నేమ్ రిజిస్ట్రేషన్‌ను వదిలివేసింది. కంపెనీ ప్రతినిధి ప్రకారం, ఈ విమానం బ్లింప్ మరియు హెలికాప్టర్ యొక్క ఉత్తమ లక్షణాలను మిళితం చేస్తుంది మరియు ఇంధనం నింపకుండా 200 మైళ్ళు (320 కి.మీ) వరకు 40 టన్న"&amp;"ుల లోడ్ను మోయగలదు. 302 అడుగుల (92 మీ) పొడవు వద్ద, ఇది ప్రపంచంలోనే అతిపెద్ద హెలికాప్టర్‌గా వర్గీకరించబడుతుంది మరియు లోడ్ లేకుండా 800 మైళ్ళు (1,300 కిమీ) వరకు ఎగురుతుంది. [4] క్రాఫ్ట్ దాని స్వంత బరువును మోయడానికి తగినంత లిఫ్ట్‌ను అందించడానికి హీలియంను ఉపయోగ"&amp;"ిస్తుంది మరియు లోడ్‌ను ఎత్తడానికి మరియు విమానం నడిపించడానికి నాలుగు హెలికాప్టర్ రోటర్లను ఉపయోగిస్తుంది. [3] హీలియం మరియు హెలికాప్టర్ రోటర్లను ఉపయోగించడం ద్వారా, విమానం అన్‌లోడ్ చేసిన తర్వాత హీలియంను జెట్టిసన్ చేయకుండా చేస్తుంది. [1] పోల్చితే, CH-47 చినూక్"&amp;" హెలికాప్టర్ అదే దూరాన్ని ఒక భారాన్ని మోయగలదు, కానీ గరిష్టంగా 10 టన్నులను మాత్రమే ఎత్తగలదు. [3] ఈ విమానం భారీ లోడ్లను అందించే సాంప్రదాయ పద్ధతులపై పర్యావరణ ప్రయోజనాలను అందిస్తుందని స్కైహూక్ పేర్కొన్నారు, ఎందుకంటే దీనికి హెలికాప్టర్ కంటే తక్కువ ఇంధనం అవసరం "&amp;"మరియు నిర్మాణ పరికరాల కోసం పెద్ద రహదారులను నిర్మించడం అవసరం లేదు. [1] JHL-40, లేదా జెస్ హెవీ లిఫ్టర్, విమానానికి పేటెంట్ కలిగి ఉన్న స్కైహూక్ ఇంటర్నేషనల్ యొక్క ప్రెసిడెంట్ మరియు చీఫ్ ఆపరేటింగ్ ఆఫీసర్ పీట్ జెస్ పేరు పెట్టారు. [1] రవాణా కెనడా మరియు యు.ఎస్. ఫ"&amp;"ెడరల్ ఏవియేషన్ అడ్మినిస్ట్రేషన్ చేత ప్రణాళికాబద్ధమైన విమానం ఇంకా ధృవీకరించబడలేదు. [2] ప్రస్తుతం విమానం యొక్క మొత్తం పనితీరు మరియు లేఅవుట్ స్థాపించబడ్డాయి. తదుపరి ప్రధాన ప్రోగ్రామ్ మైలురాయి, ఎప్పుడూ చేరుకోలేదు, ఇది 2011 లో వివరణాత్మక రూపకల్పనగా ఉంది, ఇది అ"&amp;"న్ని హార్డ్‌వేర్, సాఫ్ట్‌వేర్ మరియు సంబంధిత విమానాలు మరియు గ్రౌండ్ సపోర్ట్ సిస్టమ్స్ ఇంటర్‌ఫేస్‌ల రూపకల్పన, విశ్లేషణ మరియు స్పెసిఫికేషన్‌పై కేంద్రీకృతమై ఉంటుంది. పెన్సిల్వేనియాలోని రిడ్లీ పార్క్‌లోని దాని రోటర్‌క్రాఫ్ట్ సిస్టమ్స్ సౌకర్యం వద్ద ప్రొడక్షన్ స"&amp;"్కైహూక్ హెచ్‌ఎల్‌వి ప్రోటోటైప్‌ను రూపొందించడానికి మరియు రూపొందించడానికి బోయింగ్ ప్రణాళిక వేసింది. ట్రాన్స్పోర్ట్ కెనడా మరియు యు.ఎస్. ఫెడరల్ ఏవియేషన్ అడ్మినిస్ట్రేషన్ చేత ధృవీకరించబడిన తరువాత కొత్త విమానం వాణిజ్య సేవలోకి ప్రవేశిస్తుంది. మొట్టమొదటి స్కైహూక్"&amp;" హెచ్‌ఎల్‌వి విమానం 2014 లో ప్రయాణించాల్సి ఉంది. [5] అయితే, సెప్టెంబర్ 13, 2010 న, ఫైనాన్షియల్ టైమ్స్ డ్యూచ్లాండ్ 100 మిలియన్ డాలర్ల ప్రజా నిధుల కషాయం అందుబాటులో ఉండే వరకు అభివృద్ధిని నిలిపివేసిందని వెల్లడించారు. [6] పోల్చదగిన పాత్ర, ఆకృతీకరణ మరియు యుగం య"&amp;"ొక్క విమానం")</f>
        <v>స్కైహూక్ JHL-40 ప్రతిపాదిత హైబ్రిడ్ ఎయిర్‌షిప్/హెలికాప్టర్. జూలై 9, 2008 న, బోయింగ్ ఈ విమానాన్ని అభివృద్ధి చేయడానికి కెనడియన్ సంస్థ స్కైహూక్ ఇంటర్నేషనల్ తో జతకట్టినట్లు ప్రకటించింది. [1] [2] [3] 2009 తరువాత తదుపరి పత్రికా ప్రకటనలు కనిపించవు మరియు ఇంటర్నెట్ ఆర్కైవ్ చూపిన విధంగా స్కైహూక్ ఇంటర్నేషనల్ 2010 నుండి డొమైన్ నేమ్ రిజిస్ట్రేషన్‌ను వదిలివేసింది. కంపెనీ ప్రతినిధి ప్రకారం, ఈ విమానం బ్లింప్ మరియు హెలికాప్టర్ యొక్క ఉత్తమ లక్షణాలను మిళితం చేస్తుంది మరియు ఇంధనం నింపకుండా 200 మైళ్ళు (320 కి.మీ) వరకు 40 టన్నుల లోడ్ను మోయగలదు. 302 అడుగుల (92 మీ) పొడవు వద్ద, ఇది ప్రపంచంలోనే అతిపెద్ద హెలికాప్టర్‌గా వర్గీకరించబడుతుంది మరియు లోడ్ లేకుండా 800 మైళ్ళు (1,300 కిమీ) వరకు ఎగురుతుంది. [4] క్రాఫ్ట్ దాని స్వంత బరువును మోయడానికి తగినంత లిఫ్ట్‌ను అందించడానికి హీలియంను ఉపయోగిస్తుంది మరియు లోడ్‌ను ఎత్తడానికి మరియు విమానం నడిపించడానికి నాలుగు హెలికాప్టర్ రోటర్లను ఉపయోగిస్తుంది. [3] హీలియం మరియు హెలికాప్టర్ రోటర్లను ఉపయోగించడం ద్వారా, విమానం అన్‌లోడ్ చేసిన తర్వాత హీలియంను జెట్టిసన్ చేయకుండా చేస్తుంది. [1] పోల్చితే, CH-47 చినూక్ హెలికాప్టర్ అదే దూరాన్ని ఒక భారాన్ని మోయగలదు, కానీ గరిష్టంగా 10 టన్నులను మాత్రమే ఎత్తగలదు. [3] ఈ విమానం భారీ లోడ్లను అందించే సాంప్రదాయ పద్ధతులపై పర్యావరణ ప్రయోజనాలను అందిస్తుందని స్కైహూక్ పేర్కొన్నారు, ఎందుకంటే దీనికి హెలికాప్టర్ కంటే తక్కువ ఇంధనం అవసరం మరియు నిర్మాణ పరికరాల కోసం పెద్ద రహదారులను నిర్మించడం అవసరం లేదు. [1] JHL-40, లేదా జెస్ హెవీ లిఫ్టర్, విమానానికి పేటెంట్ కలిగి ఉన్న స్కైహూక్ ఇంటర్నేషనల్ యొక్క ప్రెసిడెంట్ మరియు చీఫ్ ఆపరేటింగ్ ఆఫీసర్ పీట్ జెస్ పేరు పెట్టారు. [1] రవాణా కెనడా మరియు యు.ఎస్. ఫెడరల్ ఏవియేషన్ అడ్మినిస్ట్రేషన్ చేత ప్రణాళికాబద్ధమైన విమానం ఇంకా ధృవీకరించబడలేదు. [2] ప్రస్తుతం విమానం యొక్క మొత్తం పనితీరు మరియు లేఅవుట్ స్థాపించబడ్డాయి. తదుపరి ప్రధాన ప్రోగ్రామ్ మైలురాయి, ఎప్పుడూ చేరుకోలేదు, ఇది 2011 లో వివరణాత్మక రూపకల్పనగా ఉంది, ఇది అన్ని హార్డ్‌వేర్, సాఫ్ట్‌వేర్ మరియు సంబంధిత విమానాలు మరియు గ్రౌండ్ సపోర్ట్ సిస్టమ్స్ ఇంటర్‌ఫేస్‌ల రూపకల్పన, విశ్లేషణ మరియు స్పెసిఫికేషన్‌పై కేంద్రీకృతమై ఉంటుంది. పెన్సిల్వేనియాలోని రిడ్లీ పార్క్‌లోని దాని రోటర్‌క్రాఫ్ట్ సిస్టమ్స్ సౌకర్యం వద్ద ప్రొడక్షన్ స్కైహూక్ హెచ్‌ఎల్‌వి ప్రోటోటైప్‌ను రూపొందించడానికి మరియు రూపొందించడానికి బోయింగ్ ప్రణాళిక వేసింది. ట్రాన్స్పోర్ట్ కెనడా మరియు యు.ఎస్. ఫెడరల్ ఏవియేషన్ అడ్మినిస్ట్రేషన్ చేత ధృవీకరించబడిన తరువాత కొత్త విమానం వాణిజ్య సేవలోకి ప్రవేశిస్తుంది. మొట్టమొదటి స్కైహూక్ హెచ్‌ఎల్‌వి విమానం 2014 లో ప్రయాణించాల్సి ఉంది. [5] అయితే, సెప్టెంబర్ 13, 2010 న, ఫైనాన్షియల్ టైమ్స్ డ్యూచ్లాండ్ 100 మిలియన్ డాలర్ల ప్రజా నిధుల కషాయం అందుబాటులో ఉండే వరకు అభివృద్ధిని నిలిపివేసిందని వెల్లడించారు. [6] పోల్చదగిన పాత్ర, ఆకృతీకరణ మరియు యుగం యొక్క విమానం</v>
      </c>
      <c r="E48" s="1" t="s">
        <v>983</v>
      </c>
      <c r="F48" s="1" t="s">
        <v>984</v>
      </c>
      <c r="G48" s="1" t="str">
        <f>IFERROR(__xludf.DUMMYFUNCTION("GOOGLETRANSLATE(F:F, ""en"", ""te"")"),"హెవీ లిఫ్టర్")</f>
        <v>హెవీ లిఫ్టర్</v>
      </c>
      <c r="I48" s="1" t="s">
        <v>985</v>
      </c>
      <c r="J48" s="1" t="str">
        <f>IFERROR(__xludf.DUMMYFUNCTION("GOOGLETRANSLATE(I:I, ""en"", ""te"")"),"బోయింగ్")</f>
        <v>బోయింగ్</v>
      </c>
      <c r="K48" s="4" t="s">
        <v>986</v>
      </c>
      <c r="M48" s="2"/>
      <c r="AF48" s="1" t="s">
        <v>987</v>
      </c>
      <c r="AG48" s="1" t="s">
        <v>988</v>
      </c>
      <c r="AS48" s="1" t="s">
        <v>989</v>
      </c>
    </row>
    <row r="49">
      <c r="A49" s="1" t="s">
        <v>990</v>
      </c>
      <c r="B49" s="1" t="str">
        <f>IFERROR(__xludf.DUMMYFUNCTION("GOOGLETRANSLATE(A:A, ""en"", ""te"")"),"లాక్హీడ్ XFM-2")</f>
        <v>లాక్హీడ్ XFM-2</v>
      </c>
      <c r="C49" s="1" t="s">
        <v>991</v>
      </c>
      <c r="D49" s="2" t="str">
        <f>IFERROR(__xludf.DUMMYFUNCTION("GOOGLETRANSLATE(C:C, ""en"", ""te"")"),"లాక్‌హీడ్ XPB-3, తరువాత నియమించబడిన XFM-2, (PB-పర్స్యూట్, బిప్లేస్ / FM-ఫైటర్, మల్టీ-సీట్), ప్రతిపాదిత అమెరికన్ హెవీ ఫైటర్ విమానం, ఇది 1930 ల మధ్యలో లాక్‌హీడ్ కార్పొరేషన్ అభివృద్ధి చేసింది. అమెరికా ఆర్మీ ఎయిర్ కార్ప్స్ ఆపరేషన్ కోసం భారీ ఫైటర్ మరియు బాంబర్"&amp;" డిస్ట్రాయర్‌గా ఉద్దేశించినది, ఇది ఒక నమూనా నిర్మాణానికి ఒక ఒప్పందాన్ని గెలుచుకోవడంలో విఫలమైంది, బెల్ YFM-1 ఎయిరాకుడాకు ప్రాధాన్యత ఇవ్వబడింది. లాక్‌హీడ్ హోదా మోడల్ 11, [1] భారీ, జంట-ఇంజిన్ ""బాంబర్ డిస్ట్రాయర్"" కోసం అమెరికా ఆర్మీ ఎయిర్ కార్ప్స్ అవసరానికి"&amp;" ప్రతిస్పందనగా XFM-2 అభివృద్ధి చేయబడింది. వాస్తవానికి 'పర్స్యూట్, బిప్లేస్' విభాగంలో XPB-3 ను నియమించారు, అభివృద్ధి ప్రారంభంలో 'ఫైటర్, మల్టీప్లేస్' కోసం దీనిని 'XFM-2' పున es రూపకల్పన చేశారు. రెండు అల్లిసన్ వి -1710 సూపర్ఛార్జ్డ్ ఇంజిన్ల ద్వారా శక్తినిచ్చ"&amp;"ే ఉద్దేశ్యంతో, ఈ విమానం రెండు 37 మిమీ ఫిరంగి యొక్క ఆయుధాల కోసం రూపొందించబడింది, ఒకటి ముక్కు టర్రెట్‌లో అమర్చబడి, మరొకటి కాక్‌పిట్ వెనుక ఉన్న డోర్సల్ టర్రెట్‌లో. [2] XFM-2 ట్రైసైకిల్ ల్యాండింగ్ గేర్ కాన్ఫిగరేషన్‌ను కలిగి ఉంది మరియు ఇది దాదాపు మీడియం బాంబర్"&amp;" సైజు యొక్క మిడ్-వింగ్ మోనోప్లేన్. సామ్రాజ్యం జంట తోక అమరికను కలిగి ఉంది. [3] XFM-2 రూపకల్పనను ఎయిర్ కార్ప్స్ అనుకూలంగా అంచనా వేసినప్పటికీ, బాంబర్ డిస్ట్రాయర్ అవసరాన్ని పూరించడానికి బెల్ YFM-1 ఎయిరాకుడాను ఎంపిక చేశారు, మరియు XFM-2 పై మరింత పని వదిలివేయబడి"&amp;"ంది. [4] పోల్చదగిన పాత్ర, కాన్ఫిగరేషన్ మరియు ERA సంబంధిత జాబితాల విమానం")</f>
        <v>లాక్‌హీడ్ XPB-3, తరువాత నియమించబడిన XFM-2, (PB-పర్స్యూట్, బిప్లేస్ / FM-ఫైటర్, మల్టీ-సీట్), ప్రతిపాదిత అమెరికన్ హెవీ ఫైటర్ విమానం, ఇది 1930 ల మధ్యలో లాక్‌హీడ్ కార్పొరేషన్ అభివృద్ధి చేసింది. అమెరికా ఆర్మీ ఎయిర్ కార్ప్స్ ఆపరేషన్ కోసం భారీ ఫైటర్ మరియు బాంబర్ డిస్ట్రాయర్‌గా ఉద్దేశించినది, ఇది ఒక నమూనా నిర్మాణానికి ఒక ఒప్పందాన్ని గెలుచుకోవడంలో విఫలమైంది, బెల్ YFM-1 ఎయిరాకుడాకు ప్రాధాన్యత ఇవ్వబడింది. లాక్‌హీడ్ హోదా మోడల్ 11, [1] భారీ, జంట-ఇంజిన్ "బాంబర్ డిస్ట్రాయర్" కోసం అమెరికా ఆర్మీ ఎయిర్ కార్ప్స్ అవసరానికి ప్రతిస్పందనగా XFM-2 అభివృద్ధి చేయబడింది. వాస్తవానికి 'పర్స్యూట్, బిప్లేస్' విభాగంలో XPB-3 ను నియమించారు, అభివృద్ధి ప్రారంభంలో 'ఫైటర్, మల్టీప్లేస్' కోసం దీనిని 'XFM-2' పున es రూపకల్పన చేశారు. రెండు అల్లిసన్ వి -1710 సూపర్ఛార్జ్డ్ ఇంజిన్ల ద్వారా శక్తినిచ్చే ఉద్దేశ్యంతో, ఈ విమానం రెండు 37 మిమీ ఫిరంగి యొక్క ఆయుధాల కోసం రూపొందించబడింది, ఒకటి ముక్కు టర్రెట్‌లో అమర్చబడి, మరొకటి కాక్‌పిట్ వెనుక ఉన్న డోర్సల్ టర్రెట్‌లో. [2] XFM-2 ట్రైసైకిల్ ల్యాండింగ్ గేర్ కాన్ఫిగరేషన్‌ను కలిగి ఉంది మరియు ఇది దాదాపు మీడియం బాంబర్ సైజు యొక్క మిడ్-వింగ్ మోనోప్లేన్. సామ్రాజ్యం జంట తోక అమరికను కలిగి ఉంది. [3] XFM-2 రూపకల్పనను ఎయిర్ కార్ప్స్ అనుకూలంగా అంచనా వేసినప్పటికీ, బాంబర్ డిస్ట్రాయర్ అవసరాన్ని పూరించడానికి బెల్ YFM-1 ఎయిరాకుడాను ఎంపిక చేశారు, మరియు XFM-2 పై మరింత పని వదిలివేయబడింది. [4] పోల్చదగిన పాత్ర, కాన్ఫిగరేషన్ మరియు ERA సంబంధిత జాబితాల విమానం</v>
      </c>
      <c r="F49" s="1" t="s">
        <v>992</v>
      </c>
      <c r="G49" s="1" t="str">
        <f>IFERROR(__xludf.DUMMYFUNCTION("GOOGLETRANSLATE(F:F, ""en"", ""te"")"),"హెవీ ఫైటర్/బాంబర్ డిస్ట్రాయర్")</f>
        <v>హెవీ ఫైటర్/బాంబర్ డిస్ట్రాయర్</v>
      </c>
      <c r="I49" s="1" t="s">
        <v>993</v>
      </c>
      <c r="J49" s="1" t="str">
        <f>IFERROR(__xludf.DUMMYFUNCTION("GOOGLETRANSLATE(I:I, ""en"", ""te"")"),"లాక్‌హీడ్ కార్పొరేషన్")</f>
        <v>లాక్‌హీడ్ కార్పొరేషన్</v>
      </c>
      <c r="K49" s="1" t="s">
        <v>994</v>
      </c>
      <c r="M49" s="2"/>
      <c r="O49" s="1">
        <v>0.0</v>
      </c>
      <c r="AO49" s="1" t="s">
        <v>995</v>
      </c>
      <c r="AP49" s="1" t="s">
        <v>996</v>
      </c>
      <c r="AQ49" s="1" t="s">
        <v>997</v>
      </c>
      <c r="AS49" s="1" t="s">
        <v>998</v>
      </c>
    </row>
    <row r="50">
      <c r="A50" s="1" t="s">
        <v>999</v>
      </c>
      <c r="B50" s="1" t="str">
        <f>IFERROR(__xludf.DUMMYFUNCTION("GOOGLETRANSLATE(A:A, ""en"", ""te"")"),"NWT స్ప్రూస్ కూపే")</f>
        <v>NWT స్ప్రూస్ కూపే</v>
      </c>
      <c r="C50" s="1" t="s">
        <v>1000</v>
      </c>
      <c r="D50" s="2" t="str">
        <f>IFERROR(__xludf.DUMMYFUNCTION("GOOGLETRANSLATE(C:C, ""en"", ""te"")"),"NWT స్ప్రూస్ కూపే అనేది ఒక అమెరికన్ హోమ్‌బిల్ట్ విమానం, దీనిని మైనేలోని చార్లెస్టన్ యొక్క NWT CO రూపొందించింది మరియు ఉత్పత్తి చేసింది. ఇది అందుబాటులో ఉన్నప్పుడు విమానం కిట్‌గా మరియు te త్సాహిక నిర్మాణానికి ప్రణాళికల రూపంలో కూడా సరఫరా చేయబడింది. [1] స్ప్రూ"&amp;"స్ కూపేలో స్ట్రట్-బ్రేస్డ్ లో-వింగ్, సింగిల్-సీట్ల పరివేష్టిత కాక్‌పిట్, స్థిర సాంప్రదాయ ల్యాండింగ్ గేర్ మరియు ట్రాక్టర్ కాన్ఫిగరేషన్‌లో ఒకే ఇంజిన్ ఉన్నాయి. [1] ఈ విమానం స్ప్రూస్ లేదా పైన్ కలయిక నుండి తయారవుతుంది, మరియు ఫిర్, బిర్చ్, మహోగని ప్లైవుడ్ దాని "&amp;"ఎగిరే ఉపరితలాలతో డోప్డ్ ఎయిర్క్రాఫ్ట్ ఫాబ్రిక్‌లో కప్పబడి ఉంటుంది. దాని 22.00 అడుగుల (6.7 మీ) స్పాన్ వింగ్ రెక్క ప్రాంతం 88.00 చదరపు అడుగులు (8.175 మీ 2), జంకర్స్ ఐలెరాన్‌లను మౌంట్ చేస్తుంది మరియు ల్యాండింగ్ గేర్‌కు ""వి"" స్ట్రట్‌లతో కలుపుతుంది. క్యాబిన్"&amp;" వెడల్పు 23 (58 సెం.మీ). ఆమోదయోగ్యమైన శక్తి శ్రేణి 40 నుండి 50 హెచ్‌పి (30 నుండి 37 కిలోవాట్) మరియు ఉపయోగించిన ప్రామాణిక ఇంజిన్ 45 హెచ్‌పి (34 కిలోవాట్ స్ప్రూస్ కూపే 300 ఎల్బి (140 కిలోల) మరియు స్థూల బరువు 600 ఎల్బి (270 కిలోలు) ఖాళీ బరువును కలిగి ఉంది, ఇ"&amp;"ది 300 ఎల్బి (140 కిలోల) ఉపయోగకరమైన లోడ్ ఇస్తుంది. 6 యు.ఎస్. గ్యాలన్ల పూర్తి ఇంధనంతో (23 ఎల్; 5.0 ఇంప్ గల్) పైలట్ కోసం పేలోడ్, ప్రయాణీకులు మరియు సామాను 270 ఎల్బి (120 కిలోలు). [1] ఈ విమానం దాని STOL సామర్థ్యాలకు ప్రసిద్ది చెందింది మరియు ప్రామాణిక రోజు, సమ"&amp;"ుద్ర మట్టం, గాలి, 45 HP (34 kW) ఇంజిన్‌తో టేకాఫ్ 75 అడుగులు (23 మీ) మరియు ల్యాండింగ్ రోల్ 100 అడుగులు (30 మీ). [ 1] తయారీదారు సరఫరా చేసిన కిట్ నుండి నిర్మాణ సమయాన్ని 500 గంటలుగా అంచనా వేస్తాడు. [1] 1998 నాటికి కంపెనీ ఒక విమానం పూర్తయిందని మరియు ఎగురుతున్న"&amp;"ట్లు నివేదించింది. [1] ఏరోక్రాఫ్టర్ నుండి డేటా [1] సాధారణ లక్షణాల పనితీరు")</f>
        <v>NWT స్ప్రూస్ కూపే అనేది ఒక అమెరికన్ హోమ్‌బిల్ట్ విమానం, దీనిని మైనేలోని చార్లెస్టన్ యొక్క NWT CO రూపొందించింది మరియు ఉత్పత్తి చేసింది. ఇది అందుబాటులో ఉన్నప్పుడు విమానం కిట్‌గా మరియు te త్సాహిక నిర్మాణానికి ప్రణాళికల రూపంలో కూడా సరఫరా చేయబడింది. [1] స్ప్రూస్ కూపేలో స్ట్రట్-బ్రేస్డ్ లో-వింగ్, సింగిల్-సీట్ల పరివేష్టిత కాక్‌పిట్, స్థిర సాంప్రదాయ ల్యాండింగ్ గేర్ మరియు ట్రాక్టర్ కాన్ఫిగరేషన్‌లో ఒకే ఇంజిన్ ఉన్నాయి. [1] ఈ విమానం స్ప్రూస్ లేదా పైన్ కలయిక నుండి తయారవుతుంది, మరియు ఫిర్, బిర్చ్, మహోగని ప్లైవుడ్ దాని ఎగిరే ఉపరితలాలతో డోప్డ్ ఎయిర్క్రాఫ్ట్ ఫాబ్రిక్‌లో కప్పబడి ఉంటుంది. దాని 22.00 అడుగుల (6.7 మీ) స్పాన్ వింగ్ రెక్క ప్రాంతం 88.00 చదరపు అడుగులు (8.175 మీ 2), జంకర్స్ ఐలెరాన్‌లను మౌంట్ చేస్తుంది మరియు ల్యాండింగ్ గేర్‌కు "వి" స్ట్రట్‌లతో కలుపుతుంది. క్యాబిన్ వెడల్పు 23 (58 సెం.మీ). ఆమోదయోగ్యమైన శక్తి శ్రేణి 40 నుండి 50 హెచ్‌పి (30 నుండి 37 కిలోవాట్) మరియు ఉపయోగించిన ప్రామాణిక ఇంజిన్ 45 హెచ్‌పి (34 కిలోవాట్ స్ప్రూస్ కూపే 300 ఎల్బి (140 కిలోల) మరియు స్థూల బరువు 600 ఎల్బి (270 కిలోలు) ఖాళీ బరువును కలిగి ఉంది, ఇది 300 ఎల్బి (140 కిలోల) ఉపయోగకరమైన లోడ్ ఇస్తుంది. 6 యు.ఎస్. గ్యాలన్ల పూర్తి ఇంధనంతో (23 ఎల్; 5.0 ఇంప్ గల్) పైలట్ కోసం పేలోడ్, ప్రయాణీకులు మరియు సామాను 270 ఎల్బి (120 కిలోలు). [1] ఈ విమానం దాని STOL సామర్థ్యాలకు ప్రసిద్ది చెందింది మరియు ప్రామాణిక రోజు, సముద్ర మట్టం, గాలి, 45 HP (34 kW) ఇంజిన్‌తో టేకాఫ్ 75 అడుగులు (23 మీ) మరియు ల్యాండింగ్ రోల్ 100 అడుగులు (30 మీ). [ 1] తయారీదారు సరఫరా చేసిన కిట్ నుండి నిర్మాణ సమయాన్ని 500 గంటలుగా అంచనా వేస్తాడు. [1] 1998 నాటికి కంపెనీ ఒక విమానం పూర్తయిందని మరియు ఎగురుతున్నట్లు నివేదించింది. [1] ఏరోక్రాఫ్టర్ నుండి డేటా [1] సాధారణ లక్షణాల పనితీరు</v>
      </c>
      <c r="F50" s="1" t="s">
        <v>920</v>
      </c>
      <c r="G50" s="1" t="str">
        <f>IFERROR(__xludf.DUMMYFUNCTION("GOOGLETRANSLATE(F:F, ""en"", ""te"")"),"హోమ్‌బిల్ట్ విమానం")</f>
        <v>హోమ్‌బిల్ట్ విమానం</v>
      </c>
      <c r="H50" s="1" t="s">
        <v>921</v>
      </c>
      <c r="I50" s="1" t="s">
        <v>1001</v>
      </c>
      <c r="J50" s="1" t="str">
        <f>IFERROR(__xludf.DUMMYFUNCTION("GOOGLETRANSLATE(I:I, ""en"", ""te"")"),"NWT CO")</f>
        <v>NWT CO</v>
      </c>
      <c r="K50" s="1" t="s">
        <v>1002</v>
      </c>
      <c r="M50" s="2"/>
      <c r="O50" s="1" t="s">
        <v>1003</v>
      </c>
      <c r="R50" s="1" t="s">
        <v>222</v>
      </c>
      <c r="T50" s="1" t="s">
        <v>1004</v>
      </c>
      <c r="U50" s="1" t="s">
        <v>1005</v>
      </c>
      <c r="V50" s="1" t="s">
        <v>1006</v>
      </c>
      <c r="W50" s="1" t="s">
        <v>1007</v>
      </c>
      <c r="X50" s="1" t="s">
        <v>1008</v>
      </c>
      <c r="Z50" s="1" t="s">
        <v>1009</v>
      </c>
      <c r="AA50" s="1" t="s">
        <v>556</v>
      </c>
      <c r="AB50" s="1" t="s">
        <v>678</v>
      </c>
      <c r="AC50" s="1" t="s">
        <v>1010</v>
      </c>
      <c r="AD50" s="1" t="s">
        <v>434</v>
      </c>
      <c r="AF50" s="1" t="s">
        <v>206</v>
      </c>
      <c r="AG50" s="4" t="s">
        <v>207</v>
      </c>
      <c r="AK50" s="1" t="s">
        <v>1011</v>
      </c>
      <c r="AL50" s="1" t="s">
        <v>1012</v>
      </c>
      <c r="AR50" s="1" t="s">
        <v>1013</v>
      </c>
      <c r="AS50" s="1" t="s">
        <v>1014</v>
      </c>
      <c r="AU50" s="1" t="s">
        <v>1015</v>
      </c>
    </row>
    <row r="51">
      <c r="A51" s="1" t="s">
        <v>1016</v>
      </c>
      <c r="B51" s="1" t="str">
        <f>IFERROR(__xludf.DUMMYFUNCTION("GOOGLETRANSLATE(A:A, ""en"", ""te"")"),"పిపిస్ట్రెల్ స్పైడర్")</f>
        <v>పిపిస్ట్రెల్ స్పైడర్</v>
      </c>
      <c r="C51" s="1" t="s">
        <v>1017</v>
      </c>
      <c r="D51" s="2" t="str">
        <f>IFERROR(__xludf.DUMMYFUNCTION("GOOGLETRANSLATE(C:C, ""en"", ""te"")"),"పిపిస్ట్రెల్ స్పైడర్ ఒక స్లోవేనియన్ అల్ట్రాలైట్ ట్రైక్, ఇది అజ్డోవానాకు చెందిన పిపిస్ట్రెల్ చేత రూపొందించబడింది మరియు ఉత్పత్తి చేస్తుంది. ఈ విమానం te త్సాహిక నిర్మాణానికి కిట్‌గా లేదా పూర్తి రెడీ-టు-ఫ్లై-ఎయిర్‌క్రాఫ్ట్‌గా సరఫరా చేయబడుతుంది. [1] ఈ స్పైడర్‌"&amp;"ను ఐరోపాలో జర్మనీలోని ఇప్పేషీమ్‌కు చెందిన ఫ్లైట్ టీం యుజి &amp; కంపెనీ ఎగ్ విక్రయించింది మరియు కొన్నిసార్లు దీనిని ఫ్లైట్ టీం స్పైడర్ అని పిలుస్తారు. [2] అక్టోబర్ 2018 నాటికి ఇది ""లెగసీ"" ఉత్పత్తిగా జాబితా చేయబడింది మరియు ఉత్పత్తి ముగిసింది. [3] ఈ విమానం ఫెడ"&amp;"రేషన్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వెయిట్-షి"&amp;"ఫ్ట్ కంట్రోల్స్, ఐచ్ఛిక కాక్‌పిట్ ఫెయిరింగ్ ఉన్న రెండు-సీట్ల తేమ ఓపెన్ కాక్‌పిట్, వీల్ ప్యాంటుతో ట్రైసైకిల్ ల్యాండింగ్ గేర్ మరియు పషర్ కాన్ఫిగరేషన్‌లో ఒకే ఇంజిన్ ఉన్నాయి. [ 1] ఈ విమానం మిశ్రమాలు మరియు ఉక్కు గొట్టాల నుండి తయారవుతుంది, దాని డబుల్ ఉపరితల విం"&amp;"గ్ డాక్రాన్ సెయిల్‌క్లాత్‌లో కప్పబడి ఉంటుంది. అనేక విభిన్న రెక్కలను ప్రాథమిక క్యారేజీకి అమర్చవచ్చు, కాని విలక్షణమైనది 10.50 మీ (34.4 అడుగులు) స్పాన్ వింగ్‌కు ఒకే ట్యూబ్-రకం కింగ్‌పోస్ట్ మద్దతు ఇస్తుంది మరియు ""ఫ్రేమ్ వెయిట్-షిఫ్ట్ కంట్రోల్ బార్‌ను ఉపయోగిస"&amp;"్తుంది. పవర్‌ప్లాంట్ ఒక జంట సిలిండర్, ఎయిర్-కూల్డ్, టూ-స్ట్రోక్, డ్యూయల్-ఇగ్నిషన్ 50 హెచ్‌పి (37 కిలోవాట్ ఇంజిన్. ఈ విమానం ఖాళీ బరువు 130 కిలోల (287 పౌండ్లు) మరియు స్థూల బరువు 450 కిలోలు (992 పౌండ్లు), 320 కిలోల (705 ఎల్బి) ఉపయోగకరమైన లోడ్‌ను ఇస్తుంది. 42"&amp;" లీటర్ల పూర్తి ఇంధనంతో (9.2 ఇంప్ గల్; 11 యుఎస్ గాల్) పేలోడ్ 290 కిలోలు (639 ఎల్బి). [1] [4] ప్రామాణిక రోజు, సముద్ర మట్టం, విండ్ లేదు, 50 హెచ్‌పి (37 కిలోవాట్) ఇంజిన్‌తో ల్యాండింగ్ రోల్ 30 మీ (98 అడుగులు). [1] తయారీదారు సరఫరా చేసిన కిట్ నుండి నిర్మాణ సమయాన"&amp;"్ని 150 గంటలుగా అంచనా వేస్తాడు. [1] 1998 నాటికి 250 కిట్లు అమ్ముడయ్యాయని కంపెనీ నివేదించింది. [1] పర్డీ నుండి డేటా [1] సాధారణ లక్షణాల పనితీరు")</f>
        <v>పిపిస్ట్రెల్ స్పైడర్ ఒక స్లోవేనియన్ అల్ట్రాలైట్ ట్రైక్, ఇది అజ్డోవానాకు చెందిన పిపిస్ట్రెల్ చేత రూపొందించబడింది మరియు ఉత్పత్తి చేస్తుంది. ఈ విమానం te త్సాహిక నిర్మాణానికి కిట్‌గా లేదా పూర్తి రెడీ-టు-ఫ్లై-ఎయిర్‌క్రాఫ్ట్‌గా సరఫరా చేయబడుతుంది. [1] ఈ స్పైడర్‌ను ఐరోపాలో జర్మనీలోని ఇప్పేషీమ్‌కు చెందిన ఫ్లైట్ టీం యుజి &amp; కంపెనీ ఎగ్ విక్రయించింది మరియు కొన్నిసార్లు దీనిని ఫ్లైట్ టీం స్పైడర్ అని పిలుస్తారు. [2] అక్టోబర్ 2018 నాటికి ఇది "లెగసీ" ఉత్పత్తిగా జాబితా చేయబడింది మరియు ఉత్పత్తి ముగిసింది. [3]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వెయిట్-షిఫ్ట్ కంట్రోల్స్, ఐచ్ఛిక కాక్‌పిట్ ఫెయిరింగ్ ఉన్న రెండు-సీట్ల తేమ ఓపెన్ కాక్‌పిట్, వీల్ ప్యాంటుతో ట్రైసైకిల్ ల్యాండింగ్ గేర్ మరియు పషర్ కాన్ఫిగరేషన్‌లో ఒకే ఇంజిన్ ఉన్నాయి. [ 1] ఈ విమానం మిశ్రమాలు మరియు ఉక్కు గొట్టాల నుండి తయారవుతుంది, దాని డబుల్ ఉపరితల వింగ్ డాక్రాన్ సెయిల్‌క్లాత్‌లో కప్పబడి ఉంటుంది. అనేక విభిన్న రెక్కలను ప్రాథమిక క్యారేజీకి అమర్చవచ్చు, కాని విలక్షణమైనది 10.50 మీ (34.4 అడుగులు) స్పాన్ వింగ్‌కు ఒకే ట్యూబ్-రకం కింగ్‌పోస్ట్ మద్దతు ఇస్తుంది మరియు "ఫ్రేమ్ వెయిట్-షిఫ్ట్ కంట్రోల్ బార్‌ను ఉపయోగిస్తుంది. పవర్‌ప్లాంట్ ఒక జంట సిలిండర్, ఎయిర్-కూల్డ్, టూ-స్ట్రోక్, డ్యూయల్-ఇగ్నిషన్ 50 హెచ్‌పి (37 కిలోవాట్ ఇంజిన్. ఈ విమానం ఖాళీ బరువు 130 కిలోల (287 పౌండ్లు) మరియు స్థూల బరువు 450 కిలోలు (992 పౌండ్లు), 320 కిలోల (705 ఎల్బి) ఉపయోగకరమైన లోడ్‌ను ఇస్తుంది. 42 లీటర్ల పూర్తి ఇంధనంతో (9.2 ఇంప్ గల్; 11 యుఎస్ గాల్) పేలోడ్ 290 కిలోలు (639 ఎల్బి). [1] [4] ప్రామాణిక రోజు, సముద్ర మట్టం, విండ్ లేదు, 50 హెచ్‌పి (37 కిలోవాట్) ఇంజిన్‌తో ల్యాండింగ్ రోల్ 30 మీ (98 అడుగులు). [1] తయారీదారు సరఫరా చేసిన కిట్ నుండి నిర్మాణ సమయాన్ని 150 గంటలుగా అంచనా వేస్తాడు. [1] 1998 నాటికి 250 కిట్లు అమ్ముడయ్యాయని కంపెనీ నివేదించింది. [1] పర్డీ నుండి డేటా [1] సాధారణ లక్షణాల పనితీరు</v>
      </c>
      <c r="F51" s="1" t="s">
        <v>300</v>
      </c>
      <c r="G51" s="1" t="str">
        <f>IFERROR(__xludf.DUMMYFUNCTION("GOOGLETRANSLATE(F:F, ""en"", ""te"")"),"అల్ట్రాలైట్ ట్రైక్")</f>
        <v>అల్ట్రాలైట్ ట్రైక్</v>
      </c>
      <c r="H51" s="1" t="s">
        <v>301</v>
      </c>
      <c r="I51" s="1" t="s">
        <v>1018</v>
      </c>
      <c r="J51" s="1" t="str">
        <f>IFERROR(__xludf.DUMMYFUNCTION("GOOGLETRANSLATE(I:I, ""en"", ""te"")"),"పిపిస్ట్రెల్")</f>
        <v>పిపిస్ట్రెల్</v>
      </c>
      <c r="K51" s="4" t="s">
        <v>1019</v>
      </c>
      <c r="M51" s="2"/>
      <c r="O51" s="1" t="s">
        <v>1020</v>
      </c>
      <c r="R51" s="1" t="s">
        <v>222</v>
      </c>
      <c r="S51" s="1" t="s">
        <v>250</v>
      </c>
      <c r="U51" s="1" t="s">
        <v>1021</v>
      </c>
      <c r="W51" s="1" t="s">
        <v>1022</v>
      </c>
      <c r="X51" s="1" t="s">
        <v>1023</v>
      </c>
      <c r="Z51" s="1" t="s">
        <v>1024</v>
      </c>
      <c r="AA51" s="1" t="s">
        <v>705</v>
      </c>
      <c r="AB51" s="1" t="s">
        <v>334</v>
      </c>
      <c r="AC51" s="1" t="s">
        <v>1025</v>
      </c>
      <c r="AD51" s="1" t="s">
        <v>1026</v>
      </c>
      <c r="AF51" s="1" t="s">
        <v>1027</v>
      </c>
      <c r="AG51" s="4" t="s">
        <v>1028</v>
      </c>
      <c r="AK51" s="1" t="s">
        <v>755</v>
      </c>
      <c r="AL51" s="1" t="s">
        <v>1029</v>
      </c>
      <c r="AN51" s="1" t="s">
        <v>1030</v>
      </c>
      <c r="AR51" s="1" t="s">
        <v>1031</v>
      </c>
      <c r="AS51" s="1" t="s">
        <v>1032</v>
      </c>
      <c r="AX51" s="1" t="s">
        <v>1033</v>
      </c>
      <c r="BJ51" s="1" t="s">
        <v>1034</v>
      </c>
    </row>
    <row r="52">
      <c r="A52" s="1" t="s">
        <v>1035</v>
      </c>
      <c r="B52" s="1" t="str">
        <f>IFERROR(__xludf.DUMMYFUNCTION("GOOGLETRANSLATE(A:A, ""en"", ""te"")"),"టెక్నామ్ ఆస్టోర్")</f>
        <v>టెక్నామ్ ఆస్టోర్</v>
      </c>
      <c r="C52" s="1" t="s">
        <v>1036</v>
      </c>
      <c r="D52" s="2" t="str">
        <f>IFERROR(__xludf.DUMMYFUNCTION("GOOGLETRANSLATE(C:C, ""en"", ""te"")"),"టెక్నామ్ ఆస్టోర్ (ఇంగ్లీష్: గోషాక్) ఒక ఇటాలియన్ లైట్-స్పోర్ట్ విమానం, ఇది నేపుల్స్ యొక్క టెక్నం అభివృద్ధిలో ఉంది. ఇది మొట్టమొదట జూన్, 2013 ప్రారంభంలో ఎగురవేయబడింది మరియు 2013 లో ఏరో ఫ్రీడ్రిచ్‌షాఫెన్ షోలో పరిచయం చేయబడింది. ఇది పూర్తి మరియు సిద్ధంగా ఉండటాన"&amp;"ికి సిద్ధంగా ఉంది. [1] [2] సర్టిఫైడ్ P2002JF మోడల్ కానప్పటికీ, ఆస్టోర్ టెక్నం P2002 సియెర్రాను అల్ట్రాలైట్ ఉత్పత్తిలో భర్తీ చేసింది. [2] ఈ విమానం యుఎస్ లైట్ స్పోర్ట్ ఎయిర్క్రాఫ్ట్ (ఎల్‌ఎస్‌ఎ) నిబంధనలను పాటించేలా రూపొందించబడింది. ఇది కాంటిలివర్ లో-వింగ్, స"&amp;"ైడ్-బై-సైడ్ కాన్ఫిగరేషన్‌లో రెండు సీట్లు, బబుల్ పందిరి కింద పరివేష్టిత కాక్‌పిట్, వీల్ ప్యాంటుతో స్థిర ట్రైసైకిల్ ల్యాండింగ్ గేర్ మరియు ట్రాక్టర్ కాన్ఫిగరేషన్‌లో ఒకే ఇంజిన్ ఉన్నాయి. [1] [2] [3] విమానం అల్యూమినియం షీట్ నుండి తయారు చేయబడింది. దీని వింగ్ 8.6"&amp;"5 మీ (28.4 అడుగులు) వ్యవధిని కలిగి ఉంది మరియు ఫ్లాప్‌లు ఉన్నాయి. అందుబాటులో ఉన్న ప్రామాణిక ఇంజన్లు 100 HP (75 kW) రోటాక్స్ 912లు మరియు 912 ఐల్స్, మరియు 115 HP (86 kW) రోటాక్స్ 914 నాలుగు-స్ట్రోక్ పవర్‌ప్లాంట్లు. [2] [3] ఆస్టోర్ తన FAA LSA సమ్మతిని ఏప్రిల్"&amp;" 2014 లో సాధించింది. ముప్పైకి పైగా సెప్టెంబర్ 2014 నాటికి పంపిణీ చేయబడింది. [4] సమీక్షకుడు మారినో బోరిక్ 2015 సమీక్షలో డిజైన్‌ను ""అందమైన"" గా అభివర్ణించారు. [2] AOPA, ప్యూ మరియు టెక్నం నుండి డేటా [1] [3] [5] సాధారణ లక్షణాల పనితీరు ఏవియానిక్స్")</f>
        <v>టెక్నామ్ ఆస్టోర్ (ఇంగ్లీష్: గోషాక్) ఒక ఇటాలియన్ లైట్-స్పోర్ట్ విమానం, ఇది నేపుల్స్ యొక్క టెక్నం అభివృద్ధిలో ఉంది. ఇది మొట్టమొదట జూన్, 2013 ప్రారంభంలో ఎగురవేయబడింది మరియు 2013 లో ఏరో ఫ్రీడ్రిచ్‌షాఫెన్ షోలో పరిచయం చేయబడింది. ఇది పూర్తి మరియు సిద్ధంగా ఉండటానికి సిద్ధంగా ఉంది. [1] [2] సర్టిఫైడ్ P2002JF మోడల్ కానప్పటికీ, ఆస్టోర్ టెక్నం P2002 సియెర్రాను అల్ట్రాలైట్ ఉత్పత్తిలో భర్తీ చేసింది. [2] ఈ విమానం యుఎస్ లైట్ స్పోర్ట్ ఎయిర్క్రాఫ్ట్ (ఎల్‌ఎస్‌ఎ) నిబంధనలను పాటించేలా రూపొందించబడింది. ఇది కాంటిలివర్ లో-వింగ్, సైడ్-బై-సైడ్ కాన్ఫిగరేషన్‌లో రెండు సీట్లు, బబుల్ పందిరి కింద పరివేష్టిత కాక్‌పిట్, వీల్ ప్యాంటుతో స్థిర ట్రైసైకిల్ ల్యాండింగ్ గేర్ మరియు ట్రాక్టర్ కాన్ఫిగరేషన్‌లో ఒకే ఇంజిన్ ఉన్నాయి. [1] [2] [3] విమానం అల్యూమినియం షీట్ నుండి తయారు చేయబడింది. దీని వింగ్ 8.65 మీ (28.4 అడుగులు) వ్యవధిని కలిగి ఉంది మరియు ఫ్లాప్‌లు ఉన్నాయి. అందుబాటులో ఉన్న ప్రామాణిక ఇంజన్లు 100 HP (75 kW) రోటాక్స్ 912లు మరియు 912 ఐల్స్, మరియు 115 HP (86 kW) రోటాక్స్ 914 నాలుగు-స్ట్రోక్ పవర్‌ప్లాంట్లు. [2] [3] ఆస్టోర్ తన FAA LSA సమ్మతిని ఏప్రిల్ 2014 లో సాధించింది. ముప్పైకి పైగా సెప్టెంబర్ 2014 నాటికి పంపిణీ చేయబడింది. [4] సమీక్షకుడు మారినో బోరిక్ 2015 సమీక్షలో డిజైన్‌ను "అందమైన" గా అభివర్ణించారు. [2] AOPA, ప్యూ మరియు టెక్నం నుండి డేటా [1] [3] [5] సాధారణ లక్షణాల పనితీరు ఏవియానిక్స్</v>
      </c>
      <c r="E52" s="1" t="s">
        <v>1037</v>
      </c>
      <c r="F52" s="1" t="s">
        <v>246</v>
      </c>
      <c r="G52" s="1" t="str">
        <f>IFERROR(__xludf.DUMMYFUNCTION("GOOGLETRANSLATE(F:F, ""en"", ""te"")"),"లైట్-స్పోర్ట్ విమానం")</f>
        <v>లైట్-స్పోర్ట్ విమానం</v>
      </c>
      <c r="H52" s="1" t="s">
        <v>247</v>
      </c>
      <c r="I52" s="1" t="s">
        <v>1038</v>
      </c>
      <c r="J52" s="1" t="str">
        <f>IFERROR(__xludf.DUMMYFUNCTION("GOOGLETRANSLATE(I:I, ""en"", ""te"")"),"టెక్నం")</f>
        <v>టెక్నం</v>
      </c>
      <c r="K52" s="4" t="s">
        <v>1039</v>
      </c>
      <c r="L52" s="1" t="s">
        <v>1040</v>
      </c>
      <c r="M52" s="2" t="str">
        <f>IFERROR(__xludf.DUMMYFUNCTION("GOOGLETRANSLATE(L:L, ""en"", ""te"")"),"లుయిగి పాస్కేల్")</f>
        <v>లుయిగి పాస్కేల్</v>
      </c>
      <c r="O52" s="1" t="s">
        <v>1041</v>
      </c>
      <c r="R52" s="1" t="s">
        <v>222</v>
      </c>
      <c r="S52" s="1" t="s">
        <v>250</v>
      </c>
      <c r="T52" s="1" t="s">
        <v>1042</v>
      </c>
      <c r="U52" s="1" t="s">
        <v>1043</v>
      </c>
      <c r="V52" s="1" t="s">
        <v>1044</v>
      </c>
      <c r="X52" s="1" t="s">
        <v>254</v>
      </c>
      <c r="Z52" s="1" t="s">
        <v>1045</v>
      </c>
      <c r="AB52" s="1" t="s">
        <v>1046</v>
      </c>
      <c r="AD52" s="1" t="s">
        <v>1047</v>
      </c>
      <c r="AF52" s="1" t="s">
        <v>603</v>
      </c>
      <c r="AG52" s="4" t="s">
        <v>857</v>
      </c>
      <c r="AI52" s="1" t="s">
        <v>1048</v>
      </c>
      <c r="AK52" s="1" t="s">
        <v>1049</v>
      </c>
      <c r="AL52" s="1" t="s">
        <v>1050</v>
      </c>
      <c r="AM52" s="1" t="s">
        <v>1051</v>
      </c>
      <c r="AN52" s="1" t="s">
        <v>1052</v>
      </c>
      <c r="AO52" s="1" t="s">
        <v>1053</v>
      </c>
      <c r="AR52" s="1" t="s">
        <v>1054</v>
      </c>
      <c r="AS52" s="1" t="s">
        <v>240</v>
      </c>
      <c r="AT52" s="1" t="s">
        <v>1055</v>
      </c>
      <c r="BJ52" s="1" t="s">
        <v>1056</v>
      </c>
    </row>
    <row r="53">
      <c r="A53" s="1" t="s">
        <v>1057</v>
      </c>
      <c r="B53" s="1" t="str">
        <f>IFERROR(__xludf.DUMMYFUNCTION("GOOGLETRANSLATE(A:A, ""en"", ""te"")"),"KAMAN SH-2G సూపర్ సీస్ప్రిట్")</f>
        <v>KAMAN SH-2G సూపర్ సీస్ప్రిట్</v>
      </c>
      <c r="C53" s="1" t="s">
        <v>1058</v>
      </c>
      <c r="D53" s="2" t="str">
        <f>IFERROR(__xludf.DUMMYFUNCTION("GOOGLETRANSLATE(C:C, ""en"", ""te"")"),"కమాన్ ఎస్‌హెచ్ -2 జి సూపర్ సీస్‌ప్రైట్ అనేది అమెరికన్ షిప్ ఆధారిత హెలికాప్టర్, ఇది యాంటీ-సబ్‌మెరైన్, ఉపరితల వ్యతిరేక ముప్పు సామర్ధ్యం, ఓవర్-ది-హోరిజోన్ టార్గెటింగ్‌తో సహా. ఈ విమానం షిప్‌బోర్డ్ సెన్సార్ మరియు ఆయుధ సామర్థ్యాలను విస్తరించి, అనేక రకాల శత్రు బ"&amp;"ెదిరింపులకు వ్యతిరేకంగా పెంచుతుంది, వీటిలో అన్ని రకాల జలాంతర్గాములు, ఉపరితల నౌకలు మరియు పెట్రోల్ క్రాఫ్ట్‌లు ఉన్నాయి, ఇవి యాంటీ-షిప్ క్షిపణులతో సాయుధమయ్యాయి. ఇది మొదట 1980 లలో అమెరికా నేవీ కోసం పాత కామన్ SH-2 సీస్ప్రైట్ యొక్క పునర్నిర్మించిన సంస్కరణగా అభి"&amp;"వృద్ధి చేయబడింది. SH-2G యొక్క ప్రాధమిక మిషన్లలో యాంటీ-సబ్‌మెరైన్ మరియు ఉపరితల వ్యతిరేక యుద్ధం, షిప్ వ్యతిరేక క్షిపణి రక్షణ మరియు షిప్ వ్యతిరేక నిఘా మరియు లక్ష్యం ఉన్నాయి. ద్వితీయ మిషన్లలో వైద్య తరలింపు, శోధన మరియు రెస్క్యూ, సిబ్బంది మరియు కార్గో బదిలీ, అల"&amp;"ాగే చిన్న పడవ నిషేధం, ఉభయచర దాడి గాలి మద్దతు, తుపాకీ ఫైర్ స్పాటింగ్, గని గుర్తింపు మరియు యుద్ధ నష్టం అంచనా ఉండవచ్చు. 1985 లో, SH-2G కార్యక్రమం ప్రారంభించబడింది. యుఎస్ నేవీ మెరుగైన యాంటీ-సబ్‌మెరైన్ సామర్థ్యాలను కోరుకుంది మరియు ప్రస్తుత హెలికాప్టర్లను అప్‌గ"&amp;"్రేడ్ చేయడం మరింత ఖర్చుతో కూడుకున్న విధానం అని భావించింది; అంతేకాక లెగసీ నాక్స్-క్లాస్ మరియు ప్రారంభ ""షార్ట్-హల్"" పెర్రీ-క్లాస్ ఫ్రిగేట్స్ SH-2F ను ఆపరేట్ చేయడం పెద్ద SH-60B సీహాక్‌ను ఆపరేట్ చేయలేకపోయింది. ప్రోటోటైప్ YSH-2G మొదట 2 ఏప్రిల్ 1985 న ప్రయాణి"&amp;"ంచింది. ప్రోటోటైప్ అనేది మరో రెండు శక్తివంతమైన సాధారణ ఎలక్ట్రిక్ T700-GE-401/401C ఇంజిన్లతో అమర్చబడిన సవరించిన SH-2F. [1] భారీ కొత్త ఇంజిన్లకు మద్దతు ఇవ్వడానికి G- మోడల్ రీన్ఫోర్స్డ్ ఎగువ ఫ్యూజ్‌లేజ్‌ను కలిగి ఉంది. [1] SH-2G లో మల్టీఫంక్షనల్ డిస్ప్లేలు మర"&amp;"ియు కొత్త ఏవియానిక్ వ్యవస్థలు కూడా ఉన్నాయి. [2] నావికాదళం డిసెంబర్ 1996 లో కామన్ మ్యాజిక్ లాంతర్ లేజర్ గని డిటెక్షన్ సిస్టమ్‌తో వాయుమార్గాన గని కౌంటర్ కొలతలు (AMCM) హార్డ్‌వేర్‌ను స్వీకరించడం ప్రారంభించింది. [3] యుఎస్ నేవీ యొక్క SH-2F యొక్క చివరి ఉత్పత్తి"&amp;" క్రమం 1986 ఆర్థిక సంవత్సరంలో ఉంది, చివరి ఆరు ఆర్డర్లు SH-2G వేరియంట్‌కు మారాయి. [1] 1990 లలో, రాయల్ ఆస్ట్రేలియన్ నేవీ (RAN) అంజాక్-క్లాస్ ఫ్రిగేట్స్ మరియు ప్లాన్డ్ ఆఫ్‌షోర్ పెట్రోల్ వెసెల్ (OPV) నుండి పనిచేయడానికి ఇంటర్మీడియట్ హెలికాప్టర్ అవసరమని నిర్ణయి"&amp;"ంచింది, ఇది మలేషియాతో ప్రతిపాదిత సహకార ప్రాజెక్ట్; అయినప్పటికీ, దాని పరిమాణం కారణంగా, OPV ఒక చిన్న హెలికాప్టర్‌ను మాత్రమే ఆపరేట్ చేస్తుంది. 1997 లో, ఆస్ట్రేలియా ప్రభుత్వం 11 అప్‌గ్రేడ్ చేసిన సూపర్ సీస్ప్రిట్‌లను కొనుగోలు చేయడానికి కమాన్‌తో 667 మిలియన్ డాల"&amp;"ర్ల ఒప్పందంపై సంతకం చేసింది. [4] 2005 నాటికి, హెలికాప్టర్‌లో 40 వరకు లోపాలు గుర్తించబడ్డాయి, వీటిలో చెడు వాతావరణం మరియు తక్కువ-కాంతి పరిస్థితులలో పనిచేయలేకపోవడం మరియు ఆస్ట్రేలియన్ వాయువ్య ప్రమాణాలకు అనుగుణంగా దాని వైఫల్యం. [5] మే 2006 లో గ్రౌన్దేడ్ చేయడాన"&amp;"ికి ముందు హెలికాప్టర్లు ప్రారంభంలో మంచి వాతావరణంలో రవాణా విధులకు పరిమితం చేయబడ్డాయి. [5] [6] 2007 ప్రారంభంలో, పది సూపర్ సీస్ప్రిట్స్ 805 స్క్వాడ్రన్‌కు పంపిణీ చేయబడ్డాయి. [4] [5] ఫిబ్రవరి 2007 లో, ఆస్ట్రేలియన్ సీస్ప్రిట్ ప్రాజెక్ట్ ""స్క్రాప్ చేయబడటం దాదా"&amp;"పు ఖాయం"" అని ప్రకటించింది. [4] ఈ సమయంలో, ఈ ప్రాజెక్ట్ షెడ్యూల్ కంటే ఆరు సంవత్సరాలు మరియు దాని ఖర్చు 1.1 బిలియన్ డాలర్లకు పెరిగింది, అదనపు అప్‌గ్రేడ్‌లకు అవసరమైన విధంగా అదనంగా million 45 మిలియన్ల సూచన ఉంది. [4] ఆమోదించబడితే స్క్వాడ్రన్ ఇప్పటికీ 2010 వరకు "&amp;"కార్యాచరణ హోదాను చేరుకోదు. [4] విమానాల అమ్మకం లేదా స్క్రాపింగ్ పరిశీలనలో ఉంది, సాధ్యమయ్యే పున ments స్థాపనలలో Nhindustries NH90 లేదా సికోర్స్కీ SH-60 సీహాక్స్ యొక్క తదుపరి ఆర్డర్లు ఉన్నాయి. [4] 25 మే 2007 న, ప్రభుత్వం సముద్రతీరానికి మద్దతు ఇస్తూనే ఉంటుందన"&amp;"ి వయస్సు నివేదించింది; రక్షణ మంత్రి బ్రెండన్ నెల్సన్ ఈ ప్రాజెక్టుపై పురోగతిని నిశితంగా పరిశీలిస్తున్నారని వ్యాఖ్యానించారు. [7] కొత్త కార్మిక ప్రభుత్వం ఎన్నికైన తరువాత, ఆస్ట్రేలియన్ 31 జనవరి 2008 న SH-2G (ఎ) కార్యక్రమం ఖర్చు పెరగడం వల్ల రద్దు చేయబడే అవకాశం"&amp;" ఉందని నివేదించింది; అదనంగా, 1997 లో అసలు ఒప్పందం కుదుర్చుకున్నప్పటికీ ఇది ఇప్పటికీ పనిచేయలేదు. అదే వ్యాసం సికోర్స్కీ ఆస్ట్రేలియా యొక్క SH-2G (A) ను భర్తీ చేయడానికి అనేక 'షెల్ఫ్ ఆఫ్ ది షెల్ఫ్' హెలికాప్టర్ల ఆఫర్‌ను సమర్పించాడని పేర్కొంది. [8] 5 మార్చి 2008"&amp;" న, ఈ ప్రాజెక్టును ప్రభుత్వం రద్దు చేసింది; కమాన్ ప్రాజెక్ట్ యొక్క ముగింపును ""పరస్పరం అంగీకరించిన నిబంధనలపై"" గుర్తించాడు. [9] [10] [11] ప్రతిపక్ష పార్టీలు కూడా రద్దు చేయాలనే నిర్ణయానికి మద్దతు ఇచ్చాయి. [12] మిగిలిన విమానం కమాన్ కు తిరిగి ఇవ్వబడింది. [13"&amp;"] సూపర్ సీస్ప్రిట్ రద్దు తరువాత, 816 స్క్వాడ్రన్ నుండి ఎస్ -70 సీహాక్స్ అంజాక్-క్లాస్ ఫ్రిగేట్లకు కేటాయించారు. 1995 లో, ఈజిప్టు నేవీ ఉపయోగం కోసం ఈజిప్ట్ 10 SH-2GS కోసం ఒక ఒప్పందంపై సంతకం చేసింది. ఈ హెలికాప్టర్లు సబ్‌మెరైన్ వ్యతిరేక విధుల కోసం అమర్చబడి, నే"&amp;"వీ నౌకల్లో అవసరమైన విధంగా అమలు చేయబడ్డాయి; ఈ సేకరణలో AQS-18A డిప్పింగ్ సోనార్, సెర్చ్ రాడార్లు మరియు ఎలక్ట్రానిక్ సపోర్ట్ సూట్ ఉన్నాయి. వెస్ట్‌ల్యాండ్ సీ కింగ్స్ యొక్క ఈజిప్ట్ యొక్క విమానాలతో పాటు ఇవి తరచూ నిర్వహించబడతాయి. [14] రాయల్ న్యూజిలాండ్ నేవీ (ఆర్"&amp;"‌ఎన్‌జెడ్ఎన్) తన వెస్ట్‌ల్యాండ్ కందిరీగలను నాలుగు మధ్యంతర ఎస్‌హెచ్ -2 ఎఫ్ సీస్ప్రిట్స్ (ఎక్స్-యుఎస్ నేవీ) తో భర్తీ చేసింది, ఐదు కొత్త ఎస్‌హెచ్‌ -2 జి సూపర్ సీస్ప్రిట్‌ల విమానాలు పంపిణీ అయ్యే వరకు అంజాక్-క్లాస్ ఫ్రిగేట్స్‌తో పనిచేస్తాయి. నేవీ ఎయిర్ ఎలిమెంట"&amp;"్ అక్టోబర్ 2005 లో ఎప్పుడువాపాయిలోని ఆర్‌ఎన్‌జాఫ్ బేస్ ఆక్లాండ్‌లోని 6 వ స్క్వాడ్రన్ ఆర్‌ఎన్‌జాఫ్‌కు బదిలీ చేయబడింది. తూర్పు తైమూర్లో RNZN సీస్ప్రిట్స్ సేవలను చూశారు. [15] న్యూజిలాండ్ ఆస్ట్రేలియా మాదిరిగానే ఐదు SH-2G లను కొనుగోలు చేసింది. ఏదేమైనా, న్యూజిల"&amp;"ాండ్ వేర్వేరు ఏవియానిక్‌లతో తయారు చేయబడిన కొత్తగా నిర్మించిన ఎయిర్‌ఫ్రేమ్‌లను ఎంచుకుంది. SH-2G కొనుగోలు NZ $ 338 మిలియన్ల బడ్జెట్ (GST మినహా) కింద NZ $ 12 మిలియన్లకు పూర్తయింది. మొట్టమొదటి RNZN SH-2G (NZ) 2001 మధ్యలో పంపిణీ చేయబడింది, మరియు చివరిది ఫిబ్రవ"&amp;"రి 2003 లో పంపిణీ చేయబడింది. రాయల్ న్యూజిలాండ్ నేవీ (RNZN) దాని రెండు అంజాక్-క్లాస్ ఫ్రిగేట్స్, రెండు ప్రొటెక్టర్-క్లాస్ ఆఫ్‌షోర్ పెట్రోలింగ్ నాళాల నుండి ఈ రకాన్ని నిర్వహిస్తుంది , మరియు మల్టీ-రోల్ వెసెల్ hmnzs కాంటర్బరీ. వారు మొదట నంబర్ 3 స్క్వాడ్రన్ RNZ"&amp;"AF యొక్క నావికాదళ మద్దతు విమానంలో నిర్వహించబడ్డారు, కాని ఇప్పుడు 6 వ స్క్వాడ్రన్ RNZAF నుండి. మే 2012 లో, రక్షణ మంత్రి జోనాథన్ కోల్మన్ రద్దు చేయబడిన ఆస్ట్రేలియన్ ఎస్‌హెచ్‌ -2 జి (ఎ) సూపర్ సీస్‌ప్రైట్ ప్రాజెక్ట్ నుండి 11 హెలికాప్టర్లకు మరియు ఫ్లైట్ సిమ్యుల"&amp;"ేటర్‌తో కామన్ కార్పొరేషన్‌తో చర్చలు జరపడానికి క్యాబినెట్ రక్షణ అధికారులకు అనుమతి ఇచ్చినట్లు ప్రకటించారు. 2008 లో NZ $ 1.4 బిలియన్ల విలువైన 11 హెలికాప్టర్లు న్యూజిలాండ్‌ను NZ $ 130 మిలియన్ల మధ్య NZ $ 230 మిలియన్ల వరకు ఖర్చు చేస్తాయని భావిస్తున్నారు. [16] $"&amp;" NZ242 మిలియన్లకు హెలికాప్టర్లలో పది కొనుగోలు చేసే నిర్ణయం 19 ఏప్రిల్ 2013 న ప్రకటించబడింది. [17] [18] ఇప్పటికే ఉన్న ఐదు సీస్ప్రిట్‌లను భర్తీ చేయడానికి ఎనిమిది విమానం RNZAF తో సేవలోకి ప్రవేశిస్తుంది, మరియు మిగిలిన రెండు విడి భాగాల మూలంగా ఉపయోగించబడతాయి. ["&amp;"19] న్యూజిలాండ్ రక్షణ మంత్రిత్వ శాఖ 1 డిసెంబర్ 2014 న అమెరికాలో మొదటి హెలికాప్టర్లను అంగీకరించింది, మరియు మరో రెండు 2015 ప్రారంభంలో ఆక్లాండ్‌కు పంపిణీ చేయబడ్డాయి. 2015 చివరి నాటికి డెలివరీలు పూర్తయ్యాయి. [20] అన్ని విమానాలు 2016 నాటికి సేవలో ఉన్నాయి. [19]"&amp;" NZDF యొక్క ఐదు SH-2G (NZ) సీస్ప్రిట్స్ 14 ఏప్రిల్ 2016 న అధికారికంగా రిటైర్ అయ్యారు మరియు ఆగస్టు 2001 నుండి పనిచేసిన తరువాత ఏప్రిల్ 21 న వారి చివరి విమానాన్ని నిర్వహిస్తారు. వాటి స్థానంలో ఎనిమిది రీ-మాన్యుడ్యూటెడ్ SH-2G (I) మోడళ్లతో భర్తీ చేయబడుతుంది, నా"&amp;"వికాదళం రెండు బదులు ఒకేసారి ఓడల నుండి మూడు హెలికాప్టర్లను ప్రారంభించటానికి అనుమతిస్తుంది. ""I"" మోడల్ AGM-65 మావెరిక్‌ను AGM-119 పెంగ్విన్ యాంటీ-షిప్ క్షిపణితో భర్తీ చేస్తుంది. [21] న్యూజిలాండ్ యొక్క ఐదు SH-2G (NZ) మోడళ్లను అక్టోబర్ 2014 లో పెరువియన్ నేవీ"&amp;"కి విక్రయించారు మరియు స్థానంలో ఎనిమిది SH-2G (I) మోడల్స్ ఉన్నాయి. [22] పెరువియన్ నావికాదళంతో సేవ చేయడానికి ముందు నాలుగు మాజీ న్యూజిలాండ్ ఎస్‌హెచ్ -2 జిలను కమాన్ తిరిగి తయారు చేసి అప్‌గ్రేడ్ చేస్తారు. పెరూ యొక్క సీస్ప్రైట్ కొనుగోలు యొక్క ""అమలు దశ"" 2018 ల"&amp;"ో ముగుస్తుందని భావిస్తున్నారు. [23] హెలికాప్టర్లు నేవీ యొక్క లపో-క్లాస్ ఫ్రిగేట్స్ నుండి నిర్వహించబడతాయి. [24] పోలిష్ నావికాదళం ఈ నాలుగు విమానాలను నిర్వహిస్తోంది, వీటిని అమెరికా నేవీ నుండి రెండు ఆలివర్ హజార్డ్ పెర్రీ-క్లాస్ ఫ్రిగేట్స్ కొనుగోలులో చేర్చారు."&amp;" ఫ్రిగేట్స్ ఇప్పుడు ఓర్ప్ జెనెరాస్ తడియస్జ్ కోసియుస్జ్కో మరియు జెనెరాస్ కాజిమియర్జ్ పునాస్కిగా పనిచేస్తున్నాయి. 2007 లో వారు ఒక MU90 ఇంపాక్ట్ టార్పెడో మరియు పివట్ మౌంటుపై 7.62 మిమీ పికె మెషిన్ గన్ తీసుకెళ్లడానికి సవరించబడ్డారు. [25] 1991 నుండి, యుఎస్ నేవీ"&amp;" 24 ఎస్‌హెచ్ -2 జిఎస్‌ను అందుకుంది, వీటిని యుఎస్ నేవీ రిజర్వ్ యూనిట్లకు కేటాయించారు. సూపర్ సీస్ప్రిట్ 1993 లో HSL-84 తో సేవలోకి ప్రవేశించింది. [3] SH-2 సుమారు 600 నేవీ విస్తరణలలో పనిచేసింది మరియు 1.5 మిలియన్ విమాన గంటలను ఎగురవేసింది. నేవీ రిజర్వ్ జూన్ 200"&amp;"1 నాటికి చివరి హెలికాప్టర్లను పదవీ విరమణ చేసింది. [3] [26] ఇంటర్నేషనల్ డైరెక్టరీ ఆఫ్ మిలిటరీ ఎయిర్క్రాఫ్ట్ నుండి డేటా [2] సాధారణ లక్షణాలు పనితీరు ఆయుధాల సంబంధిత అభివృద్ధి విమానం పోల్చదగిన పాత్ర, కాన్ఫిగరేషన్ మరియు ERA సంబంధిత జాబితాలు")</f>
        <v>కమాన్ ఎస్‌హెచ్ -2 జి సూపర్ సీస్‌ప్రైట్ అనేది అమెరికన్ షిప్ ఆధారిత హెలికాప్టర్, ఇది యాంటీ-సబ్‌మెరైన్, ఉపరితల వ్యతిరేక ముప్పు సామర్ధ్యం, ఓవర్-ది-హోరిజోన్ టార్గెటింగ్‌తో సహా. ఈ విమానం షిప్‌బోర్డ్ సెన్సార్ మరియు ఆయుధ సామర్థ్యాలను విస్తరించి, అనేక రకాల శత్రు బెదిరింపులకు వ్యతిరేకంగా పెంచుతుంది, వీటిలో అన్ని రకాల జలాంతర్గాములు, ఉపరితల నౌకలు మరియు పెట్రోల్ క్రాఫ్ట్‌లు ఉన్నాయి, ఇవి యాంటీ-షిప్ క్షిపణులతో సాయుధమయ్యాయి. ఇది మొదట 1980 లలో అమెరికా నేవీ కోసం పాత కామన్ SH-2 సీస్ప్రైట్ యొక్క పునర్నిర్మించిన సంస్కరణగా అభివృద్ధి చేయబడింది. SH-2G యొక్క ప్రాధమిక మిషన్లలో యాంటీ-సబ్‌మెరైన్ మరియు ఉపరితల వ్యతిరేక యుద్ధం, షిప్ వ్యతిరేక క్షిపణి రక్షణ మరియు షిప్ వ్యతిరేక నిఘా మరియు లక్ష్యం ఉన్నాయి. ద్వితీయ మిషన్లలో వైద్య తరలింపు, శోధన మరియు రెస్క్యూ, సిబ్బంది మరియు కార్గో బదిలీ, అలాగే చిన్న పడవ నిషేధం, ఉభయచర దాడి గాలి మద్దతు, తుపాకీ ఫైర్ స్పాటింగ్, గని గుర్తింపు మరియు యుద్ధ నష్టం అంచనా ఉండవచ్చు. 1985 లో, SH-2G కార్యక్రమం ప్రారంభించబడింది. యుఎస్ నేవీ మెరుగైన యాంటీ-సబ్‌మెరైన్ సామర్థ్యాలను కోరుకుంది మరియు ప్రస్తుత హెలికాప్టర్లను అప్‌గ్రేడ్ చేయడం మరింత ఖర్చుతో కూడుకున్న విధానం అని భావించింది; అంతేకాక లెగసీ నాక్స్-క్లాస్ మరియు ప్రారంభ "షార్ట్-హల్" పెర్రీ-క్లాస్ ఫ్రిగేట్స్ SH-2F ను ఆపరేట్ చేయడం పెద్ద SH-60B సీహాక్‌ను ఆపరేట్ చేయలేకపోయింది. ప్రోటోటైప్ YSH-2G మొదట 2 ఏప్రిల్ 1985 న ప్రయాణించింది. ప్రోటోటైప్ అనేది మరో రెండు శక్తివంతమైన సాధారణ ఎలక్ట్రిక్ T700-GE-401/401C ఇంజిన్లతో అమర్చబడిన సవరించిన SH-2F. [1] భారీ కొత్త ఇంజిన్లకు మద్దతు ఇవ్వడానికి G- మోడల్ రీన్ఫోర్స్డ్ ఎగువ ఫ్యూజ్‌లేజ్‌ను కలిగి ఉంది. [1] SH-2G లో మల్టీఫంక్షనల్ డిస్ప్లేలు మరియు కొత్త ఏవియానిక్ వ్యవస్థలు కూడా ఉన్నాయి. [2] నావికాదళం డిసెంబర్ 1996 లో కామన్ మ్యాజిక్ లాంతర్ లేజర్ గని డిటెక్షన్ సిస్టమ్‌తో వాయుమార్గాన గని కౌంటర్ కొలతలు (AMCM) హార్డ్‌వేర్‌ను స్వీకరించడం ప్రారంభించింది. [3] యుఎస్ నేవీ యొక్క SH-2F యొక్క చివరి ఉత్పత్తి క్రమం 1986 ఆర్థిక సంవత్సరంలో ఉంది, చివరి ఆరు ఆర్డర్లు SH-2G వేరియంట్‌కు మారాయి. [1] 1990 లలో, రాయల్ ఆస్ట్రేలియన్ నేవీ (RAN) అంజాక్-క్లాస్ ఫ్రిగేట్స్ మరియు ప్లాన్డ్ ఆఫ్‌షోర్ పెట్రోల్ వెసెల్ (OPV) నుండి పనిచేయడానికి ఇంటర్మీడియట్ హెలికాప్టర్ అవసరమని నిర్ణయించింది, ఇది మలేషియాతో ప్రతిపాదిత సహకార ప్రాజెక్ట్; అయినప్పటికీ, దాని పరిమాణం కారణంగా, OPV ఒక చిన్న హెలికాప్టర్‌ను మాత్రమే ఆపరేట్ చేస్తుంది. 1997 లో, ఆస్ట్రేలియా ప్రభుత్వం 11 అప్‌గ్రేడ్ చేసిన సూపర్ సీస్ప్రిట్‌లను కొనుగోలు చేయడానికి కమాన్‌తో 667 మిలియన్ డాలర్ల ఒప్పందంపై సంతకం చేసింది. [4] 2005 నాటికి, హెలికాప్టర్‌లో 40 వరకు లోపాలు గుర్తించబడ్డాయి, వీటిలో చెడు వాతావరణం మరియు తక్కువ-కాంతి పరిస్థితులలో పనిచేయలేకపోవడం మరియు ఆస్ట్రేలియన్ వాయువ్య ప్రమాణాలకు అనుగుణంగా దాని వైఫల్యం. [5] మే 2006 లో గ్రౌన్దేడ్ చేయడానికి ముందు హెలికాప్టర్లు ప్రారంభంలో మంచి వాతావరణంలో రవాణా విధులకు పరిమితం చేయబడ్డాయి. [5] [6] 2007 ప్రారంభంలో, పది సూపర్ సీస్ప్రిట్స్ 805 స్క్వాడ్రన్‌కు పంపిణీ చేయబడ్డాయి. [4] [5] ఫిబ్రవరి 2007 లో, ఆస్ట్రేలియన్ సీస్ప్రిట్ ప్రాజెక్ట్ "స్క్రాప్ చేయబడటం దాదాపు ఖాయం" అని ప్రకటించింది. [4] ఈ సమయంలో, ఈ ప్రాజెక్ట్ షెడ్యూల్ కంటే ఆరు సంవత్సరాలు మరియు దాని ఖర్చు 1.1 బిలియన్ డాలర్లకు పెరిగింది, అదనపు అప్‌గ్రేడ్‌లకు అవసరమైన విధంగా అదనంగా million 45 మిలియన్ల సూచన ఉంది. [4] ఆమోదించబడితే స్క్వాడ్రన్ ఇప్పటికీ 2010 వరకు కార్యాచరణ హోదాను చేరుకోదు. [4] విమానాల అమ్మకం లేదా స్క్రాపింగ్ పరిశీలనలో ఉంది, సాధ్యమయ్యే పున ments స్థాపనలలో Nhindustries NH90 లేదా సికోర్స్కీ SH-60 సీహాక్స్ యొక్క తదుపరి ఆర్డర్లు ఉన్నాయి. [4] 25 మే 2007 న, ప్రభుత్వం సముద్రతీరానికి మద్దతు ఇస్తూనే ఉంటుందని వయస్సు నివేదించింది; రక్షణ మంత్రి బ్రెండన్ నెల్సన్ ఈ ప్రాజెక్టుపై పురోగతిని నిశితంగా పరిశీలిస్తున్నారని వ్యాఖ్యానించారు. [7] కొత్త కార్మిక ప్రభుత్వం ఎన్నికైన తరువాత, ఆస్ట్రేలియన్ 31 జనవరి 2008 న SH-2G (ఎ) కార్యక్రమం ఖర్చు పెరగడం వల్ల రద్దు చేయబడే అవకాశం ఉందని నివేదించింది; అదనంగా, 1997 లో అసలు ఒప్పందం కుదుర్చుకున్నప్పటికీ ఇది ఇప్పటికీ పనిచేయలేదు. అదే వ్యాసం సికోర్స్కీ ఆస్ట్రేలియా యొక్క SH-2G (A) ను భర్తీ చేయడానికి అనేక 'షెల్ఫ్ ఆఫ్ ది షెల్ఫ్' హెలికాప్టర్ల ఆఫర్‌ను సమర్పించాడని పేర్కొంది. [8] 5 మార్చి 2008 న, ఈ ప్రాజెక్టును ప్రభుత్వం రద్దు చేసింది; కమాన్ ప్రాజెక్ట్ యొక్క ముగింపును "పరస్పరం అంగీకరించిన నిబంధనలపై" గుర్తించాడు. [9] [10] [11] ప్రతిపక్ష పార్టీలు కూడా రద్దు చేయాలనే నిర్ణయానికి మద్దతు ఇచ్చాయి. [12] మిగిలిన విమానం కమాన్ కు తిరిగి ఇవ్వబడింది. [13] సూపర్ సీస్ప్రిట్ రద్దు తరువాత, 816 స్క్వాడ్రన్ నుండి ఎస్ -70 సీహాక్స్ అంజాక్-క్లాస్ ఫ్రిగేట్లకు కేటాయించారు. 1995 లో, ఈజిప్టు నేవీ ఉపయోగం కోసం ఈజిప్ట్ 10 SH-2GS కోసం ఒక ఒప్పందంపై సంతకం చేసింది. ఈ హెలికాప్టర్లు సబ్‌మెరైన్ వ్యతిరేక విధుల కోసం అమర్చబడి, నేవీ నౌకల్లో అవసరమైన విధంగా అమలు చేయబడ్డాయి; ఈ సేకరణలో AQS-18A డిప్పింగ్ సోనార్, సెర్చ్ రాడార్లు మరియు ఎలక్ట్రానిక్ సపోర్ట్ సూట్ ఉన్నాయి. వెస్ట్‌ల్యాండ్ సీ కింగ్స్ యొక్క ఈజిప్ట్ యొక్క విమానాలతో పాటు ఇవి తరచూ నిర్వహించబడతాయి. [14] రాయల్ న్యూజిలాండ్ నేవీ (ఆర్‌ఎన్‌జెడ్ఎన్) తన వెస్ట్‌ల్యాండ్ కందిరీగలను నాలుగు మధ్యంతర ఎస్‌హెచ్ -2 ఎఫ్ సీస్ప్రిట్స్ (ఎక్స్-యుఎస్ నేవీ) తో భర్తీ చేసింది, ఐదు కొత్త ఎస్‌హెచ్‌ -2 జి సూపర్ సీస్ప్రిట్‌ల విమానాలు పంపిణీ అయ్యే వరకు అంజాక్-క్లాస్ ఫ్రిగేట్స్‌తో పనిచేస్తాయి. నేవీ ఎయిర్ ఎలిమెంట్ అక్టోబర్ 2005 లో ఎప్పుడువాపాయిలోని ఆర్‌ఎన్‌జాఫ్ బేస్ ఆక్లాండ్‌లోని 6 వ స్క్వాడ్రన్ ఆర్‌ఎన్‌జాఫ్‌కు బదిలీ చేయబడింది. తూర్పు తైమూర్లో RNZN సీస్ప్రిట్స్ సేవలను చూశారు. [15] న్యూజిలాండ్ ఆస్ట్రేలియా మాదిరిగానే ఐదు SH-2G లను కొనుగోలు చేసింది. ఏదేమైనా, న్యూజిలాండ్ వేర్వేరు ఏవియానిక్‌లతో తయారు చేయబడిన కొత్తగా నిర్మించిన ఎయిర్‌ఫ్రేమ్‌లను ఎంచుకుంది. SH-2G కొనుగోలు NZ $ 338 మిలియన్ల బడ్జెట్ (GST మినహా) కింద NZ $ 12 మిలియన్లకు పూర్తయింది. మొట్టమొదటి RNZN SH-2G (NZ) 2001 మధ్యలో పంపిణీ చేయబడింది, మరియు చివరిది ఫిబ్రవరి 2003 లో పంపిణీ చేయబడింది. రాయల్ న్యూజిలాండ్ నేవీ (RNZN) దాని రెండు అంజాక్-క్లాస్ ఫ్రిగేట్స్, రెండు ప్రొటెక్టర్-క్లాస్ ఆఫ్‌షోర్ పెట్రోలింగ్ నాళాల నుండి ఈ రకాన్ని నిర్వహిస్తుంది , మరియు మల్టీ-రోల్ వెసెల్ hmnzs కాంటర్బరీ. వారు మొదట నంబర్ 3 స్క్వాడ్రన్ RNZAF యొక్క నావికాదళ మద్దతు విమానంలో నిర్వహించబడ్డారు, కాని ఇప్పుడు 6 వ స్క్వాడ్రన్ RNZAF నుండి. మే 2012 లో, రక్షణ మంత్రి జోనాథన్ కోల్మన్ రద్దు చేయబడిన ఆస్ట్రేలియన్ ఎస్‌హెచ్‌ -2 జి (ఎ) సూపర్ సీస్‌ప్రైట్ ప్రాజెక్ట్ నుండి 11 హెలికాప్టర్లకు మరియు ఫ్లైట్ సిమ్యులేటర్‌తో కామన్ కార్పొరేషన్‌తో చర్చలు జరపడానికి క్యాబినెట్ రక్షణ అధికారులకు అనుమతి ఇచ్చినట్లు ప్రకటించారు. 2008 లో NZ $ 1.4 బిలియన్ల విలువైన 11 హెలికాప్టర్లు న్యూజిలాండ్‌ను NZ $ 130 మిలియన్ల మధ్య NZ $ 230 మిలియన్ల వరకు ఖర్చు చేస్తాయని భావిస్తున్నారు. [16] $ NZ242 మిలియన్లకు హెలికాప్టర్లలో పది కొనుగోలు చేసే నిర్ణయం 19 ఏప్రిల్ 2013 న ప్రకటించబడింది. [17] [18] ఇప్పటికే ఉన్న ఐదు సీస్ప్రిట్‌లను భర్తీ చేయడానికి ఎనిమిది విమానం RNZAF తో సేవలోకి ప్రవేశిస్తుంది, మరియు మిగిలిన రెండు విడి భాగాల మూలంగా ఉపయోగించబడతాయి. [19] న్యూజిలాండ్ రక్షణ మంత్రిత్వ శాఖ 1 డిసెంబర్ 2014 న అమెరికాలో మొదటి హెలికాప్టర్లను అంగీకరించింది, మరియు మరో రెండు 2015 ప్రారంభంలో ఆక్లాండ్‌కు పంపిణీ చేయబడ్డాయి. 2015 చివరి నాటికి డెలివరీలు పూర్తయ్యాయి. [20] అన్ని విమానాలు 2016 నాటికి సేవలో ఉన్నాయి. [19] NZDF యొక్క ఐదు SH-2G (NZ) సీస్ప్రిట్స్ 14 ఏప్రిల్ 2016 న అధికారికంగా రిటైర్ అయ్యారు మరియు ఆగస్టు 2001 నుండి పనిచేసిన తరువాత ఏప్రిల్ 21 న వారి చివరి విమానాన్ని నిర్వహిస్తారు. వాటి స్థానంలో ఎనిమిది రీ-మాన్యుడ్యూటెడ్ SH-2G (I) మోడళ్లతో భర్తీ చేయబడుతుంది, నావికాదళం రెండు బదులు ఒకేసారి ఓడల నుండి మూడు హెలికాప్టర్లను ప్రారంభించటానికి అనుమతిస్తుంది. "I" మోడల్ AGM-65 మావెరిక్‌ను AGM-119 పెంగ్విన్ యాంటీ-షిప్ క్షిపణితో భర్తీ చేస్తుంది. [21] న్యూజిలాండ్ యొక్క ఐదు SH-2G (NZ) మోడళ్లను అక్టోబర్ 2014 లో పెరువియన్ నేవీకి విక్రయించారు మరియు స్థానంలో ఎనిమిది SH-2G (I) మోడల్స్ ఉన్నాయి. [22] పెరువియన్ నావికాదళంతో సేవ చేయడానికి ముందు నాలుగు మాజీ న్యూజిలాండ్ ఎస్‌హెచ్ -2 జిలను కమాన్ తిరిగి తయారు చేసి అప్‌గ్రేడ్ చేస్తారు. పెరూ యొక్క సీస్ప్రైట్ కొనుగోలు యొక్క "అమలు దశ" 2018 లో ముగుస్తుందని భావిస్తున్నారు. [23] హెలికాప్టర్లు నేవీ యొక్క లపో-క్లాస్ ఫ్రిగేట్స్ నుండి నిర్వహించబడతాయి. [24] పోలిష్ నావికాదళం ఈ నాలుగు విమానాలను నిర్వహిస్తోంది, వీటిని అమెరికా నేవీ నుండి రెండు ఆలివర్ హజార్డ్ పెర్రీ-క్లాస్ ఫ్రిగేట్స్ కొనుగోలులో చేర్చారు. ఫ్రిగేట్స్ ఇప్పుడు ఓర్ప్ జెనెరాస్ తడియస్జ్ కోసియుస్జ్కో మరియు జెనెరాస్ కాజిమియర్జ్ పునాస్కిగా పనిచేస్తున్నాయి. 2007 లో వారు ఒక MU90 ఇంపాక్ట్ టార్పెడో మరియు పివట్ మౌంటుపై 7.62 మిమీ పికె మెషిన్ గన్ తీసుకెళ్లడానికి సవరించబడ్డారు. [25] 1991 నుండి, యుఎస్ నేవీ 24 ఎస్‌హెచ్ -2 జిఎస్‌ను అందుకుంది, వీటిని యుఎస్ నేవీ రిజర్వ్ యూనిట్లకు కేటాయించారు. సూపర్ సీస్ప్రిట్ 1993 లో HSL-84 తో సేవలోకి ప్రవేశించింది. [3] SH-2 సుమారు 600 నేవీ విస్తరణలలో పనిచేసింది మరియు 1.5 మిలియన్ విమాన గంటలను ఎగురవేసింది. నేవీ రిజర్వ్ జూన్ 2001 నాటికి చివరి హెలికాప్టర్లను పదవీ విరమణ చేసింది. [3] [26] ఇంటర్నేషనల్ డైరెక్టరీ ఆఫ్ మిలిటరీ ఎయిర్క్రాఫ్ట్ నుండి డేటా [2] సాధారణ లక్షణాలు పనితీరు ఆయుధాల సంబంధిత అభివృద్ధి విమానం పోల్చదగిన పాత్ర, కాన్ఫిగరేషన్ మరియు ERA సంబంధిత జాబితాలు</v>
      </c>
      <c r="E53" s="1" t="s">
        <v>1059</v>
      </c>
      <c r="F53" s="1" t="s">
        <v>1060</v>
      </c>
      <c r="G53" s="1" t="str">
        <f>IFERROR(__xludf.DUMMYFUNCTION("GOOGLETRANSLATE(F:F, ""en"", ""te"")"),"ASW హెలికాప్టర్")</f>
        <v>ASW హెలికాప్టర్</v>
      </c>
      <c r="H53" s="1" t="s">
        <v>1061</v>
      </c>
      <c r="I53" s="1" t="s">
        <v>1062</v>
      </c>
      <c r="J53" s="1" t="str">
        <f>IFERROR(__xludf.DUMMYFUNCTION("GOOGLETRANSLATE(I:I, ""en"", ""te"")"),"కమాన్ విమానం")</f>
        <v>కమాన్ విమానం</v>
      </c>
      <c r="K53" s="1" t="s">
        <v>1063</v>
      </c>
      <c r="M53" s="2"/>
      <c r="P53" s="1" t="s">
        <v>1064</v>
      </c>
      <c r="Q53" s="1" t="s">
        <v>1065</v>
      </c>
      <c r="R53" s="1" t="s">
        <v>1066</v>
      </c>
      <c r="S53" s="1" t="s">
        <v>1067</v>
      </c>
      <c r="T53" s="1" t="s">
        <v>1068</v>
      </c>
      <c r="W53" s="1" t="s">
        <v>1069</v>
      </c>
      <c r="Y53" s="1" t="s">
        <v>1070</v>
      </c>
      <c r="Z53" s="1" t="s">
        <v>1071</v>
      </c>
      <c r="AA53" s="1" t="s">
        <v>1072</v>
      </c>
      <c r="AC53" s="1" t="s">
        <v>1073</v>
      </c>
      <c r="AD53" s="1" t="s">
        <v>1074</v>
      </c>
      <c r="AF53" s="1" t="s">
        <v>206</v>
      </c>
      <c r="AH53" s="1" t="s">
        <v>261</v>
      </c>
      <c r="AI53" s="1" t="s">
        <v>1075</v>
      </c>
      <c r="AL53" s="1" t="s">
        <v>1076</v>
      </c>
      <c r="AM53" s="1" t="s">
        <v>1077</v>
      </c>
      <c r="AN53" s="1" t="s">
        <v>1078</v>
      </c>
      <c r="AO53" s="5">
        <v>31139.0</v>
      </c>
      <c r="AS53" s="1" t="s">
        <v>70</v>
      </c>
      <c r="AV53" s="1" t="s">
        <v>1079</v>
      </c>
      <c r="AX53" s="1">
        <v>1993.0</v>
      </c>
      <c r="BJ53" s="1" t="s">
        <v>1080</v>
      </c>
      <c r="BN53" s="1" t="s">
        <v>1081</v>
      </c>
      <c r="BO53" s="1" t="s">
        <v>1082</v>
      </c>
      <c r="BP53" s="1" t="s">
        <v>1083</v>
      </c>
      <c r="BQ53" s="1" t="s">
        <v>1084</v>
      </c>
      <c r="BS53" s="1" t="s">
        <v>1085</v>
      </c>
      <c r="CB53" s="1" t="s">
        <v>1086</v>
      </c>
      <c r="CC53" s="1" t="s">
        <v>1087</v>
      </c>
      <c r="CD53" s="1" t="s">
        <v>1088</v>
      </c>
      <c r="CE53" s="1" t="s">
        <v>1089</v>
      </c>
      <c r="CF53" s="1" t="s">
        <v>1090</v>
      </c>
    </row>
    <row r="54">
      <c r="A54" s="1" t="s">
        <v>1091</v>
      </c>
      <c r="B54" s="1" t="str">
        <f>IFERROR(__xludf.DUMMYFUNCTION("GOOGLETRANSLATE(A:A, ""en"", ""te"")"),"డోర్నియర్ డూ 29 (1934)")</f>
        <v>డోర్నియర్ డూ 29 (1934)</v>
      </c>
      <c r="C54" s="1" t="s">
        <v>1092</v>
      </c>
      <c r="D54" s="2" t="str">
        <f>IFERROR(__xludf.DUMMYFUNCTION("GOOGLETRANSLATE(C:C, ""en"", ""te"")"),"డోర్నియర్ DO 29 ప్రతిపాదిత జెర్స్టార్ లేదా హెవీ ఫైటర్, ఇది మెసెర్స్‌మిట్ బిఎఫ్ 110 కు పోటీదారుగా డోర్నియర్ రూపొందించినది. 1934 శరదృతువులో భారీ పోరాట యోధుడి కోసం రీచ్ ఎయిర్ మినిస్ట్రీ అవసరానికి డిజైన్ సమాధానం ఇచ్చింది. మునుపటి DO 17 యొక్క అత్యంత ఉత్పన్నం, "&amp;"డిజైన్ ప్రోటోటైప్ దశకు ముందు తిరస్కరించబడింది మరియు 1936 లో పని ఆగిపోయింది. లుఫ్ట్‌వాఫ్ సీక్రెట్ ప్రాజెక్ట్స్ నుండి డేటా: గ్రౌండ్ అటాక్ &amp; స్పెషల్ పర్పస్ ఎయిర్‌క్రాఫ్ట్ [1] సాధారణ లక్షణాలు పనితీరు ఆయుధ సంబంధిత అభివృద్ధి విమానం, కాన్ఫిగరేషన్ , మరియు ERA సంబ"&amp;"ంధిత జాబితాలు 1930 ల వ్యాసం యొక్క ఈ విమానం ఒక స్టబ్. వికీపీడియా విస్తరించడం ద్వారా మీరు సహాయపడవచ్చు.")</f>
        <v>డోర్నియర్ DO 29 ప్రతిపాదిత జెర్స్టార్ లేదా హెవీ ఫైటర్, ఇది మెసెర్స్‌మిట్ బిఎఫ్ 110 కు పోటీదారుగా డోర్నియర్ రూపొందించినది. 1934 శరదృతువులో భారీ పోరాట యోధుడి కోసం రీచ్ ఎయిర్ మినిస్ట్రీ అవసరానికి డిజైన్ సమాధానం ఇచ్చింది. మునుపటి DO 17 యొక్క అత్యంత ఉత్పన్నం, డిజైన్ ప్రోటోటైప్ దశకు ముందు తిరస్కరించబడింది మరియు 1936 లో పని ఆగిపోయింది. లుఫ్ట్‌వాఫ్ సీక్రెట్ ప్రాజెక్ట్స్ నుండి డేటా: గ్రౌండ్ అటాక్ &amp; స్పెషల్ పర్పస్ ఎయిర్‌క్రాఫ్ట్ [1] సాధారణ లక్షణాలు పనితీరు ఆయుధ సంబంధిత అభివృద్ధి విమానం, కాన్ఫిగరేషన్ , మరియు ERA సంబంధిత జాబితాలు 1930 ల వ్యాసం యొక్క ఈ విమానం ఒక స్టబ్. వికీపీడియా విస్తరించడం ద్వారా మీరు సహాయపడవచ్చు.</v>
      </c>
      <c r="F54" s="1" t="s">
        <v>1093</v>
      </c>
      <c r="G54" s="1" t="str">
        <f>IFERROR(__xludf.DUMMYFUNCTION("GOOGLETRANSLATE(F:F, ""en"", ""te"")"),"జెర్స్టోరర్ (""డిస్ట్రాయర్"")")</f>
        <v>జెర్స్టోరర్ ("డిస్ట్రాయర్")</v>
      </c>
      <c r="H54" s="1" t="s">
        <v>1094</v>
      </c>
      <c r="I54" s="1" t="s">
        <v>1095</v>
      </c>
      <c r="J54" s="1" t="str">
        <f>IFERROR(__xludf.DUMMYFUNCTION("GOOGLETRANSLATE(I:I, ""en"", ""te"")"),"డోర్నియర్")</f>
        <v>డోర్నియర్</v>
      </c>
      <c r="K54" s="4" t="s">
        <v>1096</v>
      </c>
      <c r="M54" s="2"/>
      <c r="P54" s="1" t="s">
        <v>1097</v>
      </c>
      <c r="Q54" s="1" t="s">
        <v>1098</v>
      </c>
      <c r="R54" s="1">
        <v>1.0</v>
      </c>
      <c r="T54" s="1" t="s">
        <v>1099</v>
      </c>
      <c r="U54" s="1" t="s">
        <v>1100</v>
      </c>
      <c r="V54" s="1" t="s">
        <v>1101</v>
      </c>
      <c r="X54" s="1" t="s">
        <v>1102</v>
      </c>
      <c r="Z54" s="1" t="s">
        <v>1103</v>
      </c>
      <c r="AI54" s="1" t="s">
        <v>1104</v>
      </c>
      <c r="AL54" s="1" t="s">
        <v>1105</v>
      </c>
      <c r="AP54" s="1" t="s">
        <v>1106</v>
      </c>
      <c r="AQ54" s="4" t="s">
        <v>1107</v>
      </c>
      <c r="AR54" s="1" t="s">
        <v>1108</v>
      </c>
      <c r="AS54" s="1" t="s">
        <v>1109</v>
      </c>
      <c r="BS54" s="1" t="s">
        <v>1110</v>
      </c>
    </row>
    <row r="55">
      <c r="A55" s="1" t="s">
        <v>1111</v>
      </c>
      <c r="B55" s="1" t="str">
        <f>IFERROR(__xludf.DUMMYFUNCTION("GOOGLETRANSLATE(A:A, ""en"", ""te"")"),"పోటెజ్-కామ్స్ 161")</f>
        <v>పోటెజ్-కామ్స్ 161</v>
      </c>
      <c r="C55" s="1" t="s">
        <v>1112</v>
      </c>
      <c r="D55" s="2" t="str">
        <f>IFERROR(__xludf.DUMMYFUNCTION("GOOGLETRANSLATE(C:C, ""en"", ""te"")"),"పోటెజ్-కామ్స్ 161 ఒక పెద్ద, ఫ్రెంచ్ ఆరు-ఇంజిన్ ఫ్లయింగ్ బోట్ విమానాలు, ఇది 1930 ల చివరలో ప్రారంభమవుతున్న ఉత్తర అట్లాంటిక్ మార్గాల్లో పనిచేసేలా రూపొందించబడింది. రెండవ ప్రపంచ యుద్ధం ద్వారా దీని అభివృద్ధి దాదాపుగా నిలిపివేయబడింది. యుద్ధం ముగింపుకు సమీపంలో ఉన"&amp;"్న మిత్రరాజ్యాల శక్తులచే ఒకటి నిర్మించబడింది మరియు పాక్షికంగా పరీక్షించబడింది. పోటెజ్-కామ్స్ 161 ఉత్తర అట్లాంటిక్ మార్గంలో విమానాలుగా ఉద్దేశించిన మూడు ఫ్రెంచ్ పెద్ద, ఆరు ఇంజిన్ ఫ్లయింగ్ బోట్లలో ఒకటి. ఇతరులు లాటకోర్ 631 మరియు SNCase Se.200. 1938 వేసవిలో, 1"&amp;"61 యొక్క ఏరోడైనమిక్స్ పరిశోధించబడింది మరియు పోటెజ్-కామ్స్ 160, 5/13 స్కేల్ ఫ్లైట్ మోడల్. [1] మొదటి విమానంలో చాలా భిన్నమైన తేదీలు సాహిత్యంలో కనిపిస్తాయి: విమానంలో సమకాలీన నివేదిక డిసెంబర్ 7 1939 కి ముందు కొన్ని వారాల్లోపు ఇస్తుంది, [2] 1942 మొదటి భాగంలో """&amp;"మరింత ఎగిరే పరీక్షలు"" తో, [2] అయితే హార్ట్‌మన్ [2] [2] 3] 20 మార్చి 1942 మొదటి విమాన తేదీగా ఉంది. ఈ రెండు సందర్భాల్లోనూ క్యామ్స్ మెషిన్ ఎగురుతున్న మూడింటిలో మొదటిది. 161 అనేది ఆల్-మెటల్ మోనోప్లేన్, ఇది అధిక, సెమీ-కాంటిలివర్ వింగ్, ప్రతి వైపు తక్కువ ఫ్యూజ"&amp;"్‌లేజ్ మరియు మొదటి అవుట్‌బోర్డ్ ఇంజిన్ సమీపంలో ఉన్న వింగ్ మధ్య సమాంతర స్ట్రట్‌లతో కలుపుతారు. ఇంజిన్లు స్థిరమైన తీగ కేంద్ర విభాగంలో అమర్చబడ్డాయి, కాని బయటి ప్యానెల్లు దెబ్బతిన్నాయి, [3] రెక్క చిట్కాల దగ్గర హ్యాండ్లీ పేజీ స్లాట్‌లకు అనుసంధానించబడిన ఐలెరాన్‌"&amp;"లు. [1] వెనుకంజలో ఉన్న అంచులు స్ప్లిట్ ఫ్లాప్‌లను కలిగి ఉన్నాయి. ఫ్లయింగ్ బోట్ యొక్క వింగ్ స్టెబిలైజింగ్ ఫ్లోట్లు బయటి ఇంజిన్ కౌనింగ్స్‌కు నిలువుగా ఉపసంహరించబడ్డాయి. [1] తోక యూనిట్ ట్విన్ ఎండ్‌ప్లేట్ ఫిన్ రకంతో టెయిల్‌ప్లేన్‌తో, గుర్తించబడిన డైహెడ్రల్‌తో "&amp;"అమర్చబడి, ఫ్యూజ్‌లేజ్ పీఠంపై మరియు దిగువ నుండి బాహ్యంగా కలుపుతారు. D- ఆకారపు రెక్కలు టెయిల్‌ప్లేన్‌కు వారి క్షితిజ సమాంతర మధ్య-లైన్‌ల కంటే కొంచెం తక్కువగా ఉన్నాయి మరియు తేలికగా కలుపుతారు, వాటికి మరియు ఎగువ టెయిల్‌ప్లేన్ ఉపరితలాల మధ్య స్ట్రట్‌లు ఉన్నాయి. ["&amp;"4] క్యామ్స్ 161 ఆరు 664 కిలోవాట్ల (890 హెచ్‌పి) హిస్పానో-సుయిజా 12ydrs లిక్విడ్ కూల్డ్ వి -12 ఇంజన్లు [1] మూడు బ్లేడ్ ప్రొపెల్లర్లను నడుపుతున్నాయి. [4] ఇవి రెక్క ఉపరితలం మరియు ఫ్రంటల్ రేడియేటర్ల ద్వారా చల్లబరుస్తాయి, రెండోది టేకాఫ్ తర్వాత ఉపసంహరించబడింది."&amp;" [1] దాని రెండు స్టెప్ హల్ [3] వింగ్ యొక్క ఫ్లాట్ సైడెడ్, కానీ మరింత గుండ్రంగా ఉంది; పొడవైన వింగ్ రూట్ ఫిల్లెట్లు ఉన్నాయి. [4] ప్రతి వైపు పది చదరపు కిటికీలు ప్రయాణీకుల క్యాబిన్‌ను వెలిగించాయి, ఇక్కడ ఇరవై మందికి సీటింగ్ మరియు స్లీపింగ్ కంపార్ట్‌మెంట్లు అంద"&amp;"ించబడ్డాయి మరియు ఆరుగురు సిబ్బంది ఎగిరి చూసుకున్నారు. [1] [5] పూర్తి విమాన ప్రయత్నాలు మరియు పనితీరు కొలతలు ఎప్పుడూ చేయబడలేదు, కాబట్టి గణాంకాలు అంచనాలు మిగిలి ఉన్నాయి, అయితే 161 ఎగురుతున్న సమయానికి 1938 అంచనాల నుండి ఖాళీ బరువు సుమారు 33% పెరిగిందని స్పష్టమ"&amp;"ైన ఆధారాలు ఉన్నాయి, సంబంధిత 16% పెరుగుదల స్థూల బరువు. [1] [5] హార్ట్‌మన్ ఖాతాలో, [3] మార్చి ఫ్లైట్ సీన్ నుండి, జర్మన్ గుర్తులలో విమానంతో ఉంది. అంతకుముందు ఇది ఎయిర్ ఫ్రాన్స్ అట్లాంటిక్ ట్రిమ్‌లో పెయింట్ చేయబడింది మరియు ఏదో ఒక సమయంలో దీనికి ఫ్రెంచ్ సివిల్ ర"&amp;"ిజిస్ట్రేషన్ లభించింది. రెండవ ప్రపంచ యుద్ధం ముగిసే సమయానికి ఇది శత్రు కాల్పుల ద్వారా నాశనం అయినట్లు అనిపిస్తుంది, కాని ఎప్పుడు, ఎక్కడ అనే దానిపై విభేదాలు ఉన్నాయి: హార్ట్‌మన్ ఈ సంఘటనను బాల్టిక్‌కు, ఇతరులు సరస్సు కాన్స్టాన్స్ వరకు గుర్తించాడు. [4] 1944 ప్రా"&amp;"రంభంలో SE.200 మరియు లాలే 631 సరస్సుపై నాశనం చేయబడిందని, అయితే పోటెజ్ తప్పించుకున్నారని CUNY పేర్కొంది. [6] జేన్ యొక్క అన్ని ప్రపంచ విమానాల నుండి డేటా 1938 [1] [గమనికలు 1] సాధారణ లక్షణాల పనితీరు")</f>
        <v>పోటెజ్-కామ్స్ 161 ఒక పెద్ద, ఫ్రెంచ్ ఆరు-ఇంజిన్ ఫ్లయింగ్ బోట్ విమానాలు, ఇది 1930 ల చివరలో ప్రారంభమవుతున్న ఉత్తర అట్లాంటిక్ మార్గాల్లో పనిచేసేలా రూపొందించబడింది. రెండవ ప్రపంచ యుద్ధం ద్వారా దీని అభివృద్ధి దాదాపుగా నిలిపివేయబడింది. యుద్ధం ముగింపుకు సమీపంలో ఉన్న మిత్రరాజ్యాల శక్తులచే ఒకటి నిర్మించబడింది మరియు పాక్షికంగా పరీక్షించబడింది. పోటెజ్-కామ్స్ 161 ఉత్తర అట్లాంటిక్ మార్గంలో విమానాలుగా ఉద్దేశించిన మూడు ఫ్రెంచ్ పెద్ద, ఆరు ఇంజిన్ ఫ్లయింగ్ బోట్లలో ఒకటి. ఇతరులు లాటకోర్ 631 మరియు SNCase Se.200. 1938 వేసవిలో, 161 యొక్క ఏరోడైనమిక్స్ పరిశోధించబడింది మరియు పోటెజ్-కామ్స్ 160, 5/13 స్కేల్ ఫ్లైట్ మోడల్. [1] మొదటి విమానంలో చాలా భిన్నమైన తేదీలు సాహిత్యంలో కనిపిస్తాయి: విమానంలో సమకాలీన నివేదిక డిసెంబర్ 7 1939 కి ముందు కొన్ని వారాల్లోపు ఇస్తుంది, [2] 1942 మొదటి భాగంలో "మరింత ఎగిరే పరీక్షలు" తో, [2] అయితే హార్ట్‌మన్ [2] [2] 3] 20 మార్చి 1942 మొదటి విమాన తేదీగా ఉంది. ఈ రెండు సందర్భాల్లోనూ క్యామ్స్ మెషిన్ ఎగురుతున్న మూడింటిలో మొదటిది. 161 అనేది ఆల్-మెటల్ మోనోప్లేన్, ఇది అధిక, సెమీ-కాంటిలివర్ వింగ్, ప్రతి వైపు తక్కువ ఫ్యూజ్‌లేజ్ మరియు మొదటి అవుట్‌బోర్డ్ ఇంజిన్ సమీపంలో ఉన్న వింగ్ మధ్య సమాంతర స్ట్రట్‌లతో కలుపుతారు. ఇంజిన్లు స్థిరమైన తీగ కేంద్ర విభాగంలో అమర్చబడ్డాయి, కాని బయటి ప్యానెల్లు దెబ్బతిన్నాయి, [3] రెక్క చిట్కాల దగ్గర హ్యాండ్లీ పేజీ స్లాట్‌లకు అనుసంధానించబడిన ఐలెరాన్‌లు. [1] వెనుకంజలో ఉన్న అంచులు స్ప్లిట్ ఫ్లాప్‌లను కలిగి ఉన్నాయి. ఫ్లయింగ్ బోట్ యొక్క వింగ్ స్టెబిలైజింగ్ ఫ్లోట్లు బయటి ఇంజిన్ కౌనింగ్స్‌కు నిలువుగా ఉపసంహరించబడ్డాయి. [1] తోక యూనిట్ ట్విన్ ఎండ్‌ప్లేట్ ఫిన్ రకంతో టెయిల్‌ప్లేన్‌తో, గుర్తించబడిన డైహెడ్రల్‌తో అమర్చబడి, ఫ్యూజ్‌లేజ్ పీఠంపై మరియు దిగువ నుండి బాహ్యంగా కలుపుతారు. D- ఆకారపు రెక్కలు టెయిల్‌ప్లేన్‌కు వారి క్షితిజ సమాంతర మధ్య-లైన్‌ల కంటే కొంచెం తక్కువగా ఉన్నాయి మరియు తేలికగా కలుపుతారు, వాటికి మరియు ఎగువ టెయిల్‌ప్లేన్ ఉపరితలాల మధ్య స్ట్రట్‌లు ఉన్నాయి. [4] క్యామ్స్ 161 ఆరు 664 కిలోవాట్ల (890 హెచ్‌పి) హిస్పానో-సుయిజా 12ydrs లిక్విడ్ కూల్డ్ వి -12 ఇంజన్లు [1] మూడు బ్లేడ్ ప్రొపెల్లర్లను నడుపుతున్నాయి. [4] ఇవి రెక్క ఉపరితలం మరియు ఫ్రంటల్ రేడియేటర్ల ద్వారా చల్లబరుస్తాయి, రెండోది టేకాఫ్ తర్వాత ఉపసంహరించబడింది. [1] దాని రెండు స్టెప్ హల్ [3] వింగ్ యొక్క ఫ్లాట్ సైడెడ్, కానీ మరింత గుండ్రంగా ఉంది; పొడవైన వింగ్ రూట్ ఫిల్లెట్లు ఉన్నాయి. [4] ప్రతి వైపు పది చదరపు కిటికీలు ప్రయాణీకుల క్యాబిన్‌ను వెలిగించాయి, ఇక్కడ ఇరవై మందికి సీటింగ్ మరియు స్లీపింగ్ కంపార్ట్‌మెంట్లు అందించబడ్డాయి మరియు ఆరుగురు సిబ్బంది ఎగిరి చూసుకున్నారు. [1] [5] పూర్తి విమాన ప్రయత్నాలు మరియు పనితీరు కొలతలు ఎప్పుడూ చేయబడలేదు, కాబట్టి గణాంకాలు అంచనాలు మిగిలి ఉన్నాయి, అయితే 161 ఎగురుతున్న సమయానికి 1938 అంచనాల నుండి ఖాళీ బరువు సుమారు 33% పెరిగిందని స్పష్టమైన ఆధారాలు ఉన్నాయి, సంబంధిత 16% పెరుగుదల స్థూల బరువు. [1] [5] హార్ట్‌మన్ ఖాతాలో, [3] మార్చి ఫ్లైట్ సీన్ నుండి, జర్మన్ గుర్తులలో విమానంతో ఉంది. అంతకుముందు ఇది ఎయిర్ ఫ్రాన్స్ అట్లాంటిక్ ట్రిమ్‌లో పెయింట్ చేయబడింది మరియు ఏదో ఒక సమయంలో దీనికి ఫ్రెంచ్ సివిల్ రిజిస్ట్రేషన్ లభించింది. రెండవ ప్రపంచ యుద్ధం ముగిసే సమయానికి ఇది శత్రు కాల్పుల ద్వారా నాశనం అయినట్లు అనిపిస్తుంది, కాని ఎప్పుడు, ఎక్కడ అనే దానిపై విభేదాలు ఉన్నాయి: హార్ట్‌మన్ ఈ సంఘటనను బాల్టిక్‌కు, ఇతరులు సరస్సు కాన్స్టాన్స్ వరకు గుర్తించాడు. [4] 1944 ప్రారంభంలో SE.200 మరియు లాలే 631 సరస్సుపై నాశనం చేయబడిందని, అయితే పోటెజ్ తప్పించుకున్నారని CUNY పేర్కొంది. [6] జేన్ యొక్క అన్ని ప్రపంచ విమానాల నుండి డేటా 1938 [1] [గమనికలు 1] సాధారణ లక్షణాల పనితీరు</v>
      </c>
      <c r="E55" s="1" t="s">
        <v>1113</v>
      </c>
      <c r="F55" s="1" t="s">
        <v>1114</v>
      </c>
      <c r="G55" s="1" t="str">
        <f>IFERROR(__xludf.DUMMYFUNCTION("GOOGLETRANSLATE(F:F, ""en"", ""te"")"),"ఫ్లయింగ్ బోట్ ఎయిర్‌లైనర్")</f>
        <v>ఫ్లయింగ్ బోట్ ఎయిర్‌లైనర్</v>
      </c>
      <c r="H55" s="1" t="s">
        <v>1115</v>
      </c>
      <c r="I55" s="1" t="s">
        <v>1116</v>
      </c>
      <c r="J55" s="1" t="str">
        <f>IFERROR(__xludf.DUMMYFUNCTION("GOOGLETRANSLATE(I:I, ""en"", ""te"")"),"క్యామ్స్")</f>
        <v>క్యామ్స్</v>
      </c>
      <c r="K55" s="4" t="s">
        <v>1117</v>
      </c>
      <c r="M55" s="2"/>
      <c r="O55" s="1">
        <v>1.0</v>
      </c>
      <c r="R55" s="1" t="s">
        <v>1118</v>
      </c>
      <c r="S55" s="1" t="s">
        <v>1119</v>
      </c>
      <c r="T55" s="1" t="s">
        <v>1120</v>
      </c>
      <c r="U55" s="1" t="s">
        <v>1121</v>
      </c>
      <c r="V55" s="1" t="s">
        <v>1122</v>
      </c>
      <c r="W55" s="1" t="s">
        <v>1123</v>
      </c>
      <c r="X55" s="1" t="s">
        <v>1124</v>
      </c>
      <c r="Z55" s="1" t="s">
        <v>1125</v>
      </c>
      <c r="AA55" s="1" t="s">
        <v>1126</v>
      </c>
      <c r="AC55" s="1" t="s">
        <v>1127</v>
      </c>
      <c r="AF55" s="1" t="s">
        <v>465</v>
      </c>
      <c r="AG55" s="4" t="s">
        <v>466</v>
      </c>
      <c r="AI55" s="1" t="s">
        <v>1128</v>
      </c>
      <c r="AK55" s="1" t="s">
        <v>1129</v>
      </c>
      <c r="AL55" s="1" t="s">
        <v>1130</v>
      </c>
      <c r="AR55" s="1" t="s">
        <v>1131</v>
      </c>
    </row>
    <row r="56">
      <c r="A56" s="1" t="s">
        <v>1132</v>
      </c>
      <c r="B56" s="1" t="str">
        <f>IFERROR(__xludf.DUMMYFUNCTION("GOOGLETRANSLATE(A:A, ""en"", ""te"")"),"సిడో S.1")</f>
        <v>సిడో S.1</v>
      </c>
      <c r="C56" s="1" t="s">
        <v>1133</v>
      </c>
      <c r="D56" s="2" t="str">
        <f>IFERROR(__xludf.DUMMYFUNCTION("GOOGLETRANSLATE(C:C, ""en"", ""te"")"),"SIDO S.1 ఒక పోలిష్ రెండు సీటు, పారాసోల్ వింగ్ ట్రైనర్ విమానం, ఇది మొట్టమొదట 1930 లో ఎగిరింది. 1920 ల చివరలో LOPP తక్కువ ఖర్చుతో, 60 కిలోవాట్ల (80 హెచ్‌పి) క్లబ్ ట్రైనర్ కోసం ఒక అవసరాన్ని జారీ చేసింది. 1929 లో సిడో S.1 ను క్రాకోవ్‌లోని మైనింగ్ అకాడమీలో విద"&amp;"్యార్థి అయిన te త్సాహిక జజెఫ్ సిడో ప్రతిస్పందనగా రూపొందించారు. లోప్ మరియు క్రాకోవ్ అకాడెమిక్ ఏరోక్లబ్ రెండింటి నుండి సానుకూల ప్రతిచర్యలు స్థానిక ఎయిర్ రెజిమెంట్ యొక్క వర్క్‌షాప్‌లలో మూడు ఎయిర్‌ఫ్రేమ్‌ల సమాంతర నిర్మాణానికి దారితీశాయి, ప్రధానంగా వారి ఇంజిన్"&amp;"‌లలో విభిన్నంగా ఉన్నాయి. మొదటిది, 63 kW (85 HP) సిరస్ III ఇన్లైన్ ద్వారా శక్తినిస్తుంది, ఈథర్ 21 [1] లేదా 28 జూలై 1930 న మొదటిసారిగా ప్రయాణించింది. [2] రెండవ ఎయిర్‌ఫ్రేమ్ సెప్టెంబర్ 1930 లో ఎగిరింది, దీనిని ప్రారంభంలో S.2 అని పిలుస్తారు మరియు 60 kW (80 HP"&amp;") AVIA W.Z.7, పోలిష్ ఏడు సిలిండర్ రేడియల్ ఇంజిన్. మూడవది, ప్రారంభంలో S.3 గా పిలువబడుతుంది, ఇది సిరస్ ఇంజిన్‌ను కలిగి ఉంది, కాని వింగ్ బ్రేసింగ్ స్ట్రట్స్ మరియు అండర్ క్యారేజీని సవరించారు. 1931 వేసవి చివరలో, తరువాతి రెండు విమానాలు S.1 యొక్క ప్రమాణాలు మరియు"&amp;" ఇంజిన్‌కు సవరించబడ్డాయి మరియు ఆ హోదా ద్వారా సూచించబడ్డాయి. [1] [2] సిడో S.1 యొక్క చెక్క పారాసోల్ వింగ్ రెండు భాగాలుగా నిర్మించబడింది. ప్రతి రెండు స్పార్స్ ఉన్నాయి, ప్లైవుడ్ స్కిన్డ్ ప్రముఖ అంచులు మరియు ఫాబ్రిక్ కప్పబడి ఉన్నాయి. ప్రణాళికలో రెక్క నేరుగా దె"&amp;"బ్బతింది మరియు దాని విభాగం S.T.AE 74 నుండి గోటింగెన్ గో 398 వరకు అవుట్‌బోర్డును మారుస్తుంది. ప్రతి సగం వాటాను దిగువ ఫ్యూజ్‌లేజ్ లాంగన్స్‌తో V- స్ట్రట్‌లతో స్పార్స్‌కు చేరింది మరియు ఇంధన ట్యాంక్ నుండి ఏర్పడిన సెంటర్ విభాగం జరిగింది స్టీల్ ట్యూబ్ పై ఫ్యూజ్‌"&amp;"లేజ్ పైన ఎగువ ఫ్యూజ్‌లేజ్‌కు బాగా ఉంటుంది. [1] దీని ఫ్లాట్-సైడెడ్ ఫ్యూజ్‌లేజ్ స్టీల్ ట్యూబ్ నిర్మాణం మరియు ప్లైవుడ్ డెక్కింగ్ నుండి కప్పబడిన ఫాబ్రిక్ చుట్టూ నిర్మించబడింది. ద్వంద్వ నియంత్రణతో కూడిన రెండు ఓపెన్, టెన్డం కాక్‌పిట్‌లు ఉన్నాయి. వెనుక కాక్‌పిట్"&amp;" నుండి పైకి దృశ్య క్షేత్రం విస్తృత, గుండ్రని, వెనుకంజలో ఉన్న ఎడ్జ్ కటౌట్ మరియు స్టార్‌బోర్డ్-సైడ్ తలుపుతో ముందు కాక్‌పిట్‌కు ప్రాప్యతతో మెరుగుపరచబడింది. S.1 లో త్రిభుజాకార ఫిన్ మరియు పెద్ద చుక్కాని ఒక ప్రముఖ అంచుతో ఉంది, ఇది ఫిన్ యొక్క సరళ అంచుని విస్తరిం"&amp;"చింది, కాని పూర్తి, గుండ్రని వెనుకంజలో ఉన్న అంచుతో కీల్ వరకు ఉంటుంది. టెయిల్‌ప్లేన్ ఫ్యూజ్‌లేజ్ పైన అమర్చబడింది, దిగువ నుండి స్ట్రట్ బ్రేస్ చేయబడింది, మరియు ఎలివేటర్లు చుక్కాని కదలిక కోసం కటౌట్ కలిగి ఉన్నాయి. [1] S.1 లో సాంప్రదాయ, స్థిర ల్యాండింగ్ గేర్ ఉం"&amp;"ది. ప్రతి మనిన్‌వీల్ సగం యాక్సిల్ మీద ఉంది, రేడియస్ ఆర్మ్ వలె, దిగువ ఫ్యూజ్‌లేజ్ లాంగన్ నుండి అతుక్కొని ఉంది. సంపీడన రబ్బరు షాక్ అబ్జార్బర్‌ను కలిగి ఉన్న ల్యాండింగ్ లెగ్ ఎగువ లాంగన్ నుండి అతుక్కొని ఉంది. [1] పోలిష్ మిలిటరీ ఏవియేషన్ అధికారులు వారి శిక్షకుల"&amp;" అవసరాలకు PZL.5 మరియు M.N.5 తో పాటు S.1 ను పరిగణించారు. మంచి పనితీరు ఉన్నప్పటికీ, ఈ te త్సాహిక రూపకల్పన కోసం స్థాపించబడిన ఉత్పాదక సదుపాయం లేకపోవడం దాని సైనిక స్వీకరించడాన్ని నిరోధించింది. సివిలియన్ ఏరోక్లబ్స్ నుండి మరింత ఉత్సాహం ఉంది మరియు ఐదు ఎయిర్‌ఫ్రేమ"&amp;"్‌ల శ్రేణి, నియమించిన S.1BIS Z, AVIA ఇంజిన్ ద్వారా టౌనెండ్ రింగ్ కౌలింగ్‌లో శక్తితో మరియు క్రమబద్ధీకరించిన వింగ్ స్ట్రట్‌లతో అమర్చబడి, కొత్తగా స్థాపించబడిన సెంట్రల్ ఏరోక్లబ్స్ వర్క్‌షాప్‌లలో ప్రారంభమైంది (C.W.A. ). C.W.A కేవలం మూడు మాత్రమే ఉత్పత్తి చేసిన "&amp;"తరువాత దివాళా తీసింది, చివరిగా 60 కిలోవాట్ల (80 హెచ్‌పి) సిమెన్స్-హాల్స్కే ఎస్‌హెచ్ 11 రేడియల్ ఉంది. [1] S.1S పోలిష్ సమావేశాలలో తరచూ పోటీదారుగా ఉండేది, వీటిలో జాతీయ లైట్ ప్లేన్ పోటీలు మరియు 1930 ల ప్రారంభంలో అనేక స్థానిక మరియు ప్రాంతీయ సమావేశాలు మరియు ర్య"&amp;"ాలీలు ఉన్నాయి, పెద్ద విజయాలు లేకుండా. ఇది నమ్మదగిన మరియు క్షమించే క్లబ్ ట్రైనర్‌గా కూడా పనిచేసింది, చిన్న ఉత్పత్తి సంఖ్యలు దాని లక్షణాల కంటే విమానానికి స్థాపించబడిన కన్స్ట్రక్టర్‌ను కనుగొనడంలో వైఫల్యాన్ని ప్రతిబింబిస్తాయి. [1] ఒకటి 1939 వరకు వాడుకలో ఉంది "&amp;"[1] మరియు రొమేనియాకు ఖాళీ చేయబడి ఉండవచ్చు. [2] J. సిన్క్ (1971) నుండి డేటా [1] సాధారణ లక్షణాల పనితీరు")</f>
        <v>SIDO S.1 ఒక పోలిష్ రెండు సీటు, పారాసోల్ వింగ్ ట్రైనర్ విమానం, ఇది మొట్టమొదట 1930 లో ఎగిరింది. 1920 ల చివరలో LOPP తక్కువ ఖర్చుతో, 60 కిలోవాట్ల (80 హెచ్‌పి) క్లబ్ ట్రైనర్ కోసం ఒక అవసరాన్ని జారీ చేసింది. 1929 లో సిడో S.1 ను క్రాకోవ్‌లోని మైనింగ్ అకాడమీలో విద్యార్థి అయిన te త్సాహిక జజెఫ్ సిడో ప్రతిస్పందనగా రూపొందించారు. లోప్ మరియు క్రాకోవ్ అకాడెమిక్ ఏరోక్లబ్ రెండింటి నుండి సానుకూల ప్రతిచర్యలు స్థానిక ఎయిర్ రెజిమెంట్ యొక్క వర్క్‌షాప్‌లలో మూడు ఎయిర్‌ఫ్రేమ్‌ల సమాంతర నిర్మాణానికి దారితీశాయి, ప్రధానంగా వారి ఇంజిన్‌లలో విభిన్నంగా ఉన్నాయి. మొదటిది, 63 kW (85 HP) సిరస్ III ఇన్లైన్ ద్వారా శక్తినిస్తుంది, ఈథర్ 21 [1] లేదా 28 జూలై 1930 న మొదటిసారిగా ప్రయాణించింది. [2] రెండవ ఎయిర్‌ఫ్రేమ్ సెప్టెంబర్ 1930 లో ఎగిరింది, దీనిని ప్రారంభంలో S.2 అని పిలుస్తారు మరియు 60 kW (80 HP) AVIA W.Z.7, పోలిష్ ఏడు సిలిండర్ రేడియల్ ఇంజిన్. మూడవది, ప్రారంభంలో S.3 గా పిలువబడుతుంది, ఇది సిరస్ ఇంజిన్‌ను కలిగి ఉంది, కాని వింగ్ బ్రేసింగ్ స్ట్రట్స్ మరియు అండర్ క్యారేజీని సవరించారు. 1931 వేసవి చివరలో, తరువాతి రెండు విమానాలు S.1 యొక్క ప్రమాణాలు మరియు ఇంజిన్‌కు సవరించబడ్డాయి మరియు ఆ హోదా ద్వారా సూచించబడ్డాయి. [1] [2] సిడో S.1 యొక్క చెక్క పారాసోల్ వింగ్ రెండు భాగాలుగా నిర్మించబడింది. ప్రతి రెండు స్పార్స్ ఉన్నాయి, ప్లైవుడ్ స్కిన్డ్ ప్రముఖ అంచులు మరియు ఫాబ్రిక్ కప్పబడి ఉన్నాయి. ప్రణాళికలో రెక్క నేరుగా దెబ్బతింది మరియు దాని విభాగం S.T.AE 74 నుండి గోటింగెన్ గో 398 వరకు అవుట్‌బోర్డును మారుస్తుంది. ప్రతి సగం వాటాను దిగువ ఫ్యూజ్‌లేజ్ లాంగన్స్‌తో V- స్ట్రట్‌లతో స్పార్స్‌కు చేరింది మరియు ఇంధన ట్యాంక్ నుండి ఏర్పడిన సెంటర్ విభాగం జరిగింది స్టీల్ ట్యూబ్ పై ఫ్యూజ్‌లేజ్ పైన ఎగువ ఫ్యూజ్‌లేజ్‌కు బాగా ఉంటుంది. [1] దీని ఫ్లాట్-సైడెడ్ ఫ్యూజ్‌లేజ్ స్టీల్ ట్యూబ్ నిర్మాణం మరియు ప్లైవుడ్ డెక్కింగ్ నుండి కప్పబడిన ఫాబ్రిక్ చుట్టూ నిర్మించబడింది. ద్వంద్వ నియంత్రణతో కూడిన రెండు ఓపెన్, టెన్డం కాక్‌పిట్‌లు ఉన్నాయి. వెనుక కాక్‌పిట్ నుండి పైకి దృశ్య క్షేత్రం విస్తృత, గుండ్రని, వెనుకంజలో ఉన్న ఎడ్జ్ కటౌట్ మరియు స్టార్‌బోర్డ్-సైడ్ తలుపుతో ముందు కాక్‌పిట్‌కు ప్రాప్యతతో మెరుగుపరచబడింది. S.1 లో త్రిభుజాకార ఫిన్ మరియు పెద్ద చుక్కాని ఒక ప్రముఖ అంచుతో ఉంది, ఇది ఫిన్ యొక్క సరళ అంచుని విస్తరించింది, కాని పూర్తి, గుండ్రని వెనుకంజలో ఉన్న అంచుతో కీల్ వరకు ఉంటుంది. టెయిల్‌ప్లేన్ ఫ్యూజ్‌లేజ్ పైన అమర్చబడింది, దిగువ నుండి స్ట్రట్ బ్రేస్ చేయబడింది, మరియు ఎలివేటర్లు చుక్కాని కదలిక కోసం కటౌట్ కలిగి ఉన్నాయి. [1] S.1 లో సాంప్రదాయ, స్థిర ల్యాండింగ్ గేర్ ఉంది. ప్రతి మనిన్‌వీల్ సగం యాక్సిల్ మీద ఉంది, రేడియస్ ఆర్మ్ వలె, దిగువ ఫ్యూజ్‌లేజ్ లాంగన్ నుండి అతుక్కొని ఉంది. సంపీడన రబ్బరు షాక్ అబ్జార్బర్‌ను కలిగి ఉన్న ల్యాండింగ్ లెగ్ ఎగువ లాంగన్ నుండి అతుక్కొని ఉంది. [1] పోలిష్ మిలిటరీ ఏవియేషన్ అధికారులు వారి శిక్షకుల అవసరాలకు PZL.5 మరియు M.N.5 తో పాటు S.1 ను పరిగణించారు. మంచి పనితీరు ఉన్నప్పటికీ, ఈ te త్సాహిక రూపకల్పన కోసం స్థాపించబడిన ఉత్పాదక సదుపాయం లేకపోవడం దాని సైనిక స్వీకరించడాన్ని నిరోధించింది. సివిలియన్ ఏరోక్లబ్స్ నుండి మరింత ఉత్సాహం ఉంది మరియు ఐదు ఎయిర్‌ఫ్రేమ్‌ల శ్రేణి, నియమించిన S.1BIS Z, AVIA ఇంజిన్ ద్వారా టౌనెండ్ రింగ్ కౌలింగ్‌లో శక్తితో మరియు క్రమబద్ధీకరించిన వింగ్ స్ట్రట్‌లతో అమర్చబడి, కొత్తగా స్థాపించబడిన సెంట్రల్ ఏరోక్లబ్స్ వర్క్‌షాప్‌లలో ప్రారంభమైంది (C.W.A. ). C.W.A కేవలం మూడు మాత్రమే ఉత్పత్తి చేసిన తరువాత దివాళా తీసింది, చివరిగా 60 కిలోవాట్ల (80 హెచ్‌పి) సిమెన్స్-హాల్స్కే ఎస్‌హెచ్ 11 రేడియల్ ఉంది. [1] S.1S పోలిష్ సమావేశాలలో తరచూ పోటీదారుగా ఉండేది, వీటిలో జాతీయ లైట్ ప్లేన్ పోటీలు మరియు 1930 ల ప్రారంభంలో అనేక స్థానిక మరియు ప్రాంతీయ సమావేశాలు మరియు ర్యాలీలు ఉన్నాయి, పెద్ద విజయాలు లేకుండా. ఇది నమ్మదగిన మరియు క్షమించే క్లబ్ ట్రైనర్‌గా కూడా పనిచేసింది, చిన్న ఉత్పత్తి సంఖ్యలు దాని లక్షణాల కంటే విమానానికి స్థాపించబడిన కన్స్ట్రక్టర్‌ను కనుగొనడంలో వైఫల్యాన్ని ప్రతిబింబిస్తాయి. [1] ఒకటి 1939 వరకు వాడుకలో ఉంది [1] మరియు రొమేనియాకు ఖాళీ చేయబడి ఉండవచ్చు. [2] J. సిన్క్ (1971) నుండి డేటా [1] సాధారణ లక్షణాల పనితీరు</v>
      </c>
      <c r="E56" s="1" t="s">
        <v>1134</v>
      </c>
      <c r="F56" s="1" t="s">
        <v>1135</v>
      </c>
      <c r="G56" s="1" t="str">
        <f>IFERROR(__xludf.DUMMYFUNCTION("GOOGLETRANSLATE(F:F, ""en"", ""te"")"),"ట్రైనర్ విమానం")</f>
        <v>ట్రైనర్ విమానం</v>
      </c>
      <c r="H56" s="1" t="s">
        <v>1136</v>
      </c>
      <c r="J56" s="1" t="str">
        <f>IFERROR(__xludf.DUMMYFUNCTION("GOOGLETRANSLATE(I:I, ""en"", ""te"")"),"#VALUE!")</f>
        <v>#VALUE!</v>
      </c>
      <c r="L56" s="1" t="s">
        <v>1137</v>
      </c>
      <c r="M56" s="2" t="str">
        <f>IFERROR(__xludf.DUMMYFUNCTION("GOOGLETRANSLATE(L:L, ""en"", ""te"")"),"జజెఫ్ సిడో")</f>
        <v>జజెఫ్ సిడో</v>
      </c>
      <c r="O56" s="1">
        <v>6.0</v>
      </c>
      <c r="R56" s="1" t="s">
        <v>1138</v>
      </c>
      <c r="T56" s="1" t="s">
        <v>1139</v>
      </c>
      <c r="U56" s="1" t="s">
        <v>185</v>
      </c>
      <c r="V56" s="1" t="s">
        <v>1140</v>
      </c>
      <c r="W56" s="1" t="s">
        <v>1141</v>
      </c>
      <c r="X56" s="1" t="s">
        <v>1142</v>
      </c>
      <c r="Z56" s="1" t="s">
        <v>1143</v>
      </c>
      <c r="AA56" s="1" t="s">
        <v>338</v>
      </c>
      <c r="AC56" s="1" t="s">
        <v>1144</v>
      </c>
      <c r="AF56" s="1" t="s">
        <v>1145</v>
      </c>
      <c r="AG56" s="4" t="s">
        <v>1146</v>
      </c>
      <c r="AH56" s="1" t="s">
        <v>261</v>
      </c>
      <c r="AI56" s="1" t="s">
        <v>1147</v>
      </c>
      <c r="AL56" s="1" t="s">
        <v>1148</v>
      </c>
      <c r="AN56" s="1" t="s">
        <v>1149</v>
      </c>
      <c r="AO56" s="1" t="s">
        <v>1150</v>
      </c>
      <c r="BC56" s="1" t="s">
        <v>1151</v>
      </c>
      <c r="CG56" s="1" t="s">
        <v>1152</v>
      </c>
      <c r="CH56" s="1" t="s">
        <v>1153</v>
      </c>
    </row>
    <row r="57">
      <c r="A57" s="1" t="s">
        <v>1154</v>
      </c>
      <c r="B57" s="1" t="str">
        <f>IFERROR(__xludf.DUMMYFUNCTION("GOOGLETRANSLATE(A:A, ""en"", ""te"")"),"మిరాజ్ మారథాన్")</f>
        <v>మిరాజ్ మారథాన్</v>
      </c>
      <c r="C57" s="1" t="s">
        <v>1155</v>
      </c>
      <c r="D57" s="2" t="str">
        <f>IFERROR(__xludf.DUMMYFUNCTION("GOOGLETRANSLATE(C:C, ""en"", ""te"")"),"మిరాజ్ మారథాన్ ఒక అమెరికన్ హోమ్‌బిల్ట్ విమానం, ఇది అరిజోనాలోని ప్రెస్‌కాట్ వ్యాలీ యొక్క మిరాజ్ ఎయిర్‌క్రాఫ్ట్ కార్పొరేషన్ రూపొందించి నిర్మించింది. ఈ విమానం te త్సాహిక నిర్మాణం కోసం ప్రణాళికల రూపంలో సరఫరా చేయబడుతుంది, ఎయిర్క్రాఫ్ట్ స్ప్రూస్ &amp; స్పెషాలిటీ కో"&amp;". మారథాన్ అనేది లారీ బర్టన్ రూపొందించిన ముడుచుకునే ల్యాండింగ్ గేర్ అమర్చిన మిరాజ్ సెలెరిటీ యొక్క స్థిర ల్యాండింగ్ గేర్ అభివృద్ధి. డిజైన్ లక్ష్యాలలో తక్కువ ఖర్చుతో అధిక పనితీరు గల క్రాస్ కౌంటీ ఎగురుతుంది. [1] [2] మారథాన్‌లో కాంటిలివర్ లో-వింగ్, రెండు-సీట్ల"&amp;"-సైడ్-సైడ్ కాన్ఫిగరేషన్ పరివేష్టిత కాక్‌పిట్, స్థిర ట్రైసైకిల్ ల్యాండింగ్ గేర్ లేదా ఐచ్ఛికంగా సాంప్రదాయిక ల్యాండింగ్ గేర్ వీల్ ప్యాంటు మరియు ట్రాక్టర్ కాన్ఫిగరేషన్‌లో ఒకే ఇంజిన్ ఉన్నాయి. [1] ఈ విమానం కలప, నురుగు మరియు ఫైబర్గ్లాస్ నుండి తయారవుతుంది. దీని 2"&amp;"5.00 అడుగుల (7.6 మీ) స్పాన్ వింగ్ ఫ్లాప్‌లను మౌంట్ చేస్తుంది మరియు రెక్క ప్రాంతాన్ని 100.0 చదరపు అడుగులు (9.29 మీ 2) కలిగి ఉంది. క్యాబిన్ వెడల్పు 40 అంగుళాలు (100 సెం.మీ). ఆమోదయోగ్యమైన శక్తి శ్రేణి 150 నుండి 180 హెచ్‌పి (112 నుండి 134 కిలోవాట్) మరియు ఉపయో"&amp;"గించిన ప్రామాణిక ఇంజన్లు 160 హెచ్‌పి (119 కిలోవాట్ V-6 ఆటోమోటివ్ ఇంజన్లు. [1] ప్రముఖ అంచు ఇంధన ట్యాంకులు, విమానం పందిరి మరియు ల్యాండింగ్ గేర్‌లతో సహా విమానం నిర్మాణానికి ఈ కర్మాగారం కొన్ని ప్రత్యేకమైన భాగాలను అందిస్తుంది. [1] [2] మారథాన్‌లో 1,119 పౌండ్లు "&amp;"(508 కిలోలు) ఖాళీ బరువు మరియు 1,825 ఎల్బి (828 కిలోలు) స్థూల బరువు ఉంది, ఇది 706 ఎల్బి (320 కిలోల) ఉపయోగకరమైన లోడ్‌ను ఇస్తుంది. 50 యు.ఎస్. గ్యాలన్ల పూర్తి ఇంధనంతో (190 ఎల్; 42 ఇంప్ గల్) పైలట్, ప్రయాణీకుడు మరియు సామాను 406 ఎల్బి (184 కిలోలు). [1] ప్రామాణిక"&amp;" రోజు, సముద్ర మట్టం, గాలి, 160 హెచ్‌పి (119 కిలోవాట్) ఇంజిన్‌తో టేకాఫ్ 800 అడుగులు (244 మీ) మరియు ల్యాండింగ్ రోల్ 1,000 అడుగులు (305 మీ). [1] 1998 నాటికి పది కిట్లు అమ్ముడయ్యాయని కంపెనీ నివేదించింది. [1] జనవరి 2014 లో ఫెడరల్ ఏవియేషన్ అడ్మినిస్ట్రేషన్తో అమ"&amp;"ెరికాలో ఒక ఉదాహరణ నమోదు చేయబడింది. [3] ఏరోక్రాఫ్టర్ నుండి డేటా [1] సాధారణ లక్షణాల పనితీరు")</f>
        <v>మిరాజ్ మారథాన్ ఒక అమెరికన్ హోమ్‌బిల్ట్ విమానం, ఇది అరిజోనాలోని ప్రెస్‌కాట్ వ్యాలీ యొక్క మిరాజ్ ఎయిర్‌క్రాఫ్ట్ కార్పొరేషన్ రూపొందించి నిర్మించింది. ఈ విమానం te త్సాహిక నిర్మాణం కోసం ప్రణాళికల రూపంలో సరఫరా చేయబడుతుంది, ఎయిర్క్రాఫ్ట్ స్ప్రూస్ &amp; స్పెషాలిటీ కో. మారథాన్ అనేది లారీ బర్టన్ రూపొందించిన ముడుచుకునే ల్యాండింగ్ గేర్ అమర్చిన మిరాజ్ సెలెరిటీ యొక్క స్థిర ల్యాండింగ్ గేర్ అభివృద్ధి. డిజైన్ లక్ష్యాలలో తక్కువ ఖర్చుతో అధిక పనితీరు గల క్రాస్ కౌంటీ ఎగురుతుంది. [1] [2] మారథాన్‌లో కాంటిలివర్ లో-వింగ్, రెండు-సీట్ల-సైడ్-సైడ్ కాన్ఫిగరేషన్ పరివేష్టిత కాక్‌పిట్, స్థిర ట్రైసైకిల్ ల్యాండింగ్ గేర్ లేదా ఐచ్ఛికంగా సాంప్రదాయిక ల్యాండింగ్ గేర్ వీల్ ప్యాంటు మరియు ట్రాక్టర్ కాన్ఫిగరేషన్‌లో ఒకే ఇంజిన్ ఉన్నాయి. [1] ఈ విమానం కలప, నురుగు మరియు ఫైబర్గ్లాస్ నుండి తయారవుతుంది. దీని 25.00 అడుగుల (7.6 మీ) స్పాన్ వింగ్ ఫ్లాప్‌లను మౌంట్ చేస్తుంది మరియు రెక్క ప్రాంతాన్ని 100.0 చదరపు అడుగులు (9.29 మీ 2) కలిగి ఉంది. క్యాబిన్ వెడల్పు 40 అంగుళాలు (100 సెం.మీ). ఆమోదయోగ్యమైన శక్తి శ్రేణి 150 నుండి 180 హెచ్‌పి (112 నుండి 134 కిలోవాట్) మరియు ఉపయోగించిన ప్రామాణిక ఇంజన్లు 160 హెచ్‌పి (119 కిలోవాట్ V-6 ఆటోమోటివ్ ఇంజన్లు. [1] ప్రముఖ అంచు ఇంధన ట్యాంకులు, విమానం పందిరి మరియు ల్యాండింగ్ గేర్‌లతో సహా విమానం నిర్మాణానికి ఈ కర్మాగారం కొన్ని ప్రత్యేకమైన భాగాలను అందిస్తుంది. [1] [2] మారథాన్‌లో 1,119 పౌండ్లు (508 కిలోలు) ఖాళీ బరువు మరియు 1,825 ఎల్బి (828 కిలోలు) స్థూల బరువు ఉంది, ఇది 706 ఎల్బి (320 కిలోల) ఉపయోగకరమైన లోడ్‌ను ఇస్తుంది. 50 యు.ఎస్. గ్యాలన్ల పూర్తి ఇంధనంతో (190 ఎల్; 42 ఇంప్ గల్) పైలట్, ప్రయాణీకుడు మరియు సామాను 406 ఎల్బి (184 కిలోలు). [1] ప్రామాణిక రోజు, సముద్ర మట్టం, గాలి, 160 హెచ్‌పి (119 కిలోవాట్) ఇంజిన్‌తో టేకాఫ్ 800 అడుగులు (244 మీ) మరియు ల్యాండింగ్ రోల్ 1,000 అడుగులు (305 మీ). [1] 1998 నాటికి పది కిట్లు అమ్ముడయ్యాయని కంపెనీ నివేదించింది. [1] జనవరి 2014 లో ఫెడరల్ ఏవియేషన్ అడ్మినిస్ట్రేషన్తో అమెరికాలో ఒక ఉదాహరణ నమోదు చేయబడింది. [3] ఏరోక్రాఫ్టర్ నుండి డేటా [1] సాధారణ లక్షణాల పనితీరు</v>
      </c>
      <c r="F57" s="1" t="s">
        <v>920</v>
      </c>
      <c r="G57" s="1" t="str">
        <f>IFERROR(__xludf.DUMMYFUNCTION("GOOGLETRANSLATE(F:F, ""en"", ""te"")"),"హోమ్‌బిల్ట్ విమానం")</f>
        <v>హోమ్‌బిల్ట్ విమానం</v>
      </c>
      <c r="H57" s="1" t="s">
        <v>921</v>
      </c>
      <c r="I57" s="1" t="s">
        <v>1156</v>
      </c>
      <c r="J57" s="1" t="str">
        <f>IFERROR(__xludf.DUMMYFUNCTION("GOOGLETRANSLATE(I:I, ""en"", ""te"")"),"మిరాజ్ ఎయిర్క్రాఫ్ట్ కార్పొరేషన్")</f>
        <v>మిరాజ్ ఎయిర్క్రాఫ్ట్ కార్పొరేషన్</v>
      </c>
      <c r="K57" s="1" t="s">
        <v>1157</v>
      </c>
      <c r="M57" s="2"/>
      <c r="O57" s="1" t="s">
        <v>222</v>
      </c>
      <c r="P57" s="1" t="s">
        <v>1158</v>
      </c>
      <c r="Q57" s="1" t="s">
        <v>1159</v>
      </c>
      <c r="R57" s="1" t="s">
        <v>222</v>
      </c>
      <c r="S57" s="1" t="s">
        <v>250</v>
      </c>
      <c r="T57" s="1" t="s">
        <v>1160</v>
      </c>
      <c r="U57" s="1" t="s">
        <v>1161</v>
      </c>
      <c r="V57" s="1" t="s">
        <v>1162</v>
      </c>
      <c r="W57" s="1" t="s">
        <v>1163</v>
      </c>
      <c r="X57" s="1" t="s">
        <v>1164</v>
      </c>
      <c r="Z57" s="1" t="s">
        <v>1165</v>
      </c>
      <c r="AA57" s="1" t="s">
        <v>1166</v>
      </c>
      <c r="AB57" s="1" t="s">
        <v>1167</v>
      </c>
      <c r="AC57" s="1" t="s">
        <v>1168</v>
      </c>
      <c r="AD57" s="1" t="s">
        <v>1169</v>
      </c>
      <c r="AF57" s="1" t="s">
        <v>206</v>
      </c>
      <c r="AG57" s="4" t="s">
        <v>207</v>
      </c>
      <c r="AK57" s="1" t="s">
        <v>1170</v>
      </c>
      <c r="AL57" s="1" t="s">
        <v>1171</v>
      </c>
      <c r="AN57" s="1" t="s">
        <v>1172</v>
      </c>
      <c r="AS57" s="1" t="s">
        <v>1173</v>
      </c>
      <c r="AU57" s="1" t="s">
        <v>1174</v>
      </c>
    </row>
    <row r="58">
      <c r="A58" s="1" t="s">
        <v>1175</v>
      </c>
      <c r="B58" s="1" t="str">
        <f>IFERROR(__xludf.DUMMYFUNCTION("GOOGLETRANSLATE(A:A, ""en"", ""te"")"),"ఏరోవెలో అట్లాస్")</f>
        <v>ఏరోవెలో అట్లాస్</v>
      </c>
      <c r="C58" s="1" t="s">
        <v>1176</v>
      </c>
      <c r="D58" s="2" t="str">
        <f>IFERROR(__xludf.DUMMYFUNCTION("GOOGLETRANSLATE(C:C, ""en"", ""te"")"),"ఏరోవెలో అట్లాస్ అనేది మానవ-శక్తితో కూడిన హెలికాప్టర్ (హెచ్‌పిహెచ్), ఇది AHS ఇంటర్నేషనల్ యొక్క ఇగోర్ I. సికోర్స్కీ హ్యూమన్ పవర్డ్ హెలికాప్టర్ పోటీ కోసం నిర్మించబడింది. 13 జూన్ 2013 న, ఇది పోటీ యొక్క లక్ష్యాలను సాధించిన మొదటి విమానంగా మారింది మరియు తద్వారా "&amp;"బహుమతిని గెలుచుకుంది. టొరంటో విశ్వవిద్యాలయం యొక్క విద్యార్థులు మరియు గ్రాడ్యుయేట్ల బృందం ఏరోవెలో, 28 ఆగస్టు 2012 న తన అట్లాస్ క్వాడ్ రోటర్ హెచ్‌పిహెచ్‌ను విమాన పరీక్ష ప్రారంభించింది. [1] ఏరోవెలో యొక్క ప్రధాన బృందం స్నోబర్డ్ ను సృష్టించిన అదే సమూహం, ఇది మొ"&amp;"దటి విజయవంతమైన మానవ శక్తితో కూడిన ఆర్నిథోప్టర్. [2] అట్లాస్ ఇప్పటివరకు ఎగిరిన అతిపెద్ద HPH, [3] మరియు చిట్కా-టు-టిప్ రోటర్ స్పాన్ 154 అడుగులు (47 మీ), ఇది రష్యన్ MIL V-12 కు రెండవది. [4] [5] [6] [6] [6] [6] [6] 7] 1.1 కిలోవాట్ల (1.5 హెచ్‌పి) గరిష్ట శక్తి "&amp;"మొదటి కొన్ని సెకన్లలో మాత్రమే అవసరమైన 3-మీటర్ (9.8 అడుగులు) ఎత్తుకు ఎక్కడానికి ఉత్పత్తి చేయబడింది. ఫ్లైట్ ముగిసే సమయానికి, శక్తి 600 W (0.80 HP) కు తగ్గింది. టాడ్ రీచెర్ట్, పైలట్ మరియు రేసింగ్ సైక్లిస్ట్, అటువంటి శక్తి ప్రొఫైల్ కోసం ప్రత్యేకంగా శిక్షణ పొం"&amp;"దారు. [8] బహుమతిని గెలుచుకోవడానికి అవసరమైన ఎత్తులో సాధ్యమైనంతవరకు డిజైన్ ప్రత్యేకంగా గ్రౌండ్ ఎఫెక్ట్‌ను సద్వినియోగం చేసుకుంది. [7] బైక్‌ను వాలుకోవడం ద్వారా నియంత్రణ సృష్టించబడింది, ఇది మొత్తం హెలికాప్టర్ ఫ్రేమ్‌ను వంచుతూ, రోటర్ అక్షాలను వంచుతుంది. [8] 13 "&amp;"జూన్ 2013 న, ఏరోవెలో తన అట్లాస్ హెచ్‌పిహెచ్‌ని ఎగురవేసి, ఫ్లైట్ నుండి AHS ఇంటర్నేషనల్‌కు డేటాను సమర్పించింది. 13 జూన్ 2013 విమానంలో, మధ్యాహ్నం 12:43 గంటలకు, ఈ బృందం అట్లాస్‌ను 64.11 సెకన్ల పాటు గాలిలో ఉంచగలిగింది, గరిష్ట ఎత్తు 3.3 మీ (11 అడుగులు) చేరుకుంట"&amp;"ుంది మరియు 9.8 మీ (32 అడుగుల) కంటే ఎక్కువ డ్రిఫ్ట్ లేదు ప్రారంభ స్థానం. [9] [10] నిలువు విమాన సాంకేతిక నిపుణుల ప్యానెల్ ఫ్లైట్ నుండి డేటాను సమీక్షించిన తరువాత, AHS ఇంటర్నేషనల్ ఈ ఫ్లైట్ పోటీ యొక్క అవసరాలను తీర్చినట్లు మరియు ఏరోవెలో అధికారికంగా 11 జూలై 2013"&amp;" న, 000 250,000 బహుమతిని గెలుచుకున్నట్లు ప్రకటించింది. [11] [12] ఒక విభాగాన్ని 2017 లో న్యూ ఇంగ్లాండ్ ఎయిర్ మ్యూజియంకు విరాళంగా ఇచ్చారు. [13] ఏవియేషన్ వీక్ అండ్ స్పేస్ టెక్నాలజీ నుండి డేటా 15 జూలై 2013 [8] సాధారణ లక్షణాల పనితీరు")</f>
        <v>ఏరోవెలో అట్లాస్ అనేది మానవ-శక్తితో కూడిన హెలికాప్టర్ (హెచ్‌పిహెచ్), ఇది AHS ఇంటర్నేషనల్ యొక్క ఇగోర్ I. సికోర్స్కీ హ్యూమన్ పవర్డ్ హెలికాప్టర్ పోటీ కోసం నిర్మించబడింది. 13 జూన్ 2013 న, ఇది పోటీ యొక్క లక్ష్యాలను సాధించిన మొదటి విమానంగా మారింది మరియు తద్వారా బహుమతిని గెలుచుకుంది. టొరంటో విశ్వవిద్యాలయం యొక్క విద్యార్థులు మరియు గ్రాడ్యుయేట్ల బృందం ఏరోవెలో, 28 ఆగస్టు 2012 న తన అట్లాస్ క్వాడ్ రోటర్ హెచ్‌పిహెచ్‌ను విమాన పరీక్ష ప్రారంభించింది. [1] ఏరోవెలో యొక్క ప్రధాన బృందం స్నోబర్డ్ ను సృష్టించిన అదే సమూహం, ఇది మొదటి విజయవంతమైన మానవ శక్తితో కూడిన ఆర్నిథోప్టర్. [2] అట్లాస్ ఇప్పటివరకు ఎగిరిన అతిపెద్ద HPH, [3] మరియు చిట్కా-టు-టిప్ రోటర్ స్పాన్ 154 అడుగులు (47 మీ), ఇది రష్యన్ MIL V-12 కు రెండవది. [4] [5] [6] [6] [6] [6] [6] 7] 1.1 కిలోవాట్ల (1.5 హెచ్‌పి) గరిష్ట శక్తి మొదటి కొన్ని సెకన్లలో మాత్రమే అవసరమైన 3-మీటర్ (9.8 అడుగులు) ఎత్తుకు ఎక్కడానికి ఉత్పత్తి చేయబడింది. ఫ్లైట్ ముగిసే సమయానికి, శక్తి 600 W (0.80 HP) కు తగ్గింది. టాడ్ రీచెర్ట్, పైలట్ మరియు రేసింగ్ సైక్లిస్ట్, అటువంటి శక్తి ప్రొఫైల్ కోసం ప్రత్యేకంగా శిక్షణ పొందారు. [8] బహుమతిని గెలుచుకోవడానికి అవసరమైన ఎత్తులో సాధ్యమైనంతవరకు డిజైన్ ప్రత్యేకంగా గ్రౌండ్ ఎఫెక్ట్‌ను సద్వినియోగం చేసుకుంది. [7] బైక్‌ను వాలుకోవడం ద్వారా నియంత్రణ సృష్టించబడింది, ఇది మొత్తం హెలికాప్టర్ ఫ్రేమ్‌ను వంచుతూ, రోటర్ అక్షాలను వంచుతుంది. [8] 13 జూన్ 2013 న, ఏరోవెలో తన అట్లాస్ హెచ్‌పిహెచ్‌ని ఎగురవేసి, ఫ్లైట్ నుండి AHS ఇంటర్నేషనల్‌కు డేటాను సమర్పించింది. 13 జూన్ 2013 విమానంలో, మధ్యాహ్నం 12:43 గంటలకు, ఈ బృందం అట్లాస్‌ను 64.11 సెకన్ల పాటు గాలిలో ఉంచగలిగింది, గరిష్ట ఎత్తు 3.3 మీ (11 అడుగులు) చేరుకుంటుంది మరియు 9.8 మీ (32 అడుగుల) కంటే ఎక్కువ డ్రిఫ్ట్ లేదు ప్రారంభ స్థానం. [9] [10] నిలువు విమాన సాంకేతిక నిపుణుల ప్యానెల్ ఫ్లైట్ నుండి డేటాను సమీక్షించిన తరువాత, AHS ఇంటర్నేషనల్ ఈ ఫ్లైట్ పోటీ యొక్క అవసరాలను తీర్చినట్లు మరియు ఏరోవెలో అధికారికంగా 11 జూలై 2013 న, 000 250,000 బహుమతిని గెలుచుకున్నట్లు ప్రకటించింది. [11] [12] ఒక విభాగాన్ని 2017 లో న్యూ ఇంగ్లాండ్ ఎయిర్ మ్యూజియంకు విరాళంగా ఇచ్చారు. [13] ఏవియేషన్ వీక్ అండ్ స్పేస్ టెక్నాలజీ నుండి డేటా 15 జూలై 2013 [8] సాధారణ లక్షణాల పనితీరు</v>
      </c>
      <c r="E58" s="1" t="s">
        <v>1177</v>
      </c>
      <c r="F58" s="1" t="s">
        <v>1178</v>
      </c>
      <c r="G58" s="1" t="str">
        <f>IFERROR(__xludf.DUMMYFUNCTION("GOOGLETRANSLATE(F:F, ""en"", ""te"")"),"మానవ శక్తితో కూడిన హెలికాప్టర్")</f>
        <v>మానవ శక్తితో కూడిన హెలికాప్టర్</v>
      </c>
      <c r="H58" s="1" t="s">
        <v>1179</v>
      </c>
      <c r="I58" s="1" t="s">
        <v>1180</v>
      </c>
      <c r="J58" s="1" t="str">
        <f>IFERROR(__xludf.DUMMYFUNCTION("GOOGLETRANSLATE(I:I, ""en"", ""te"")"),"ఏరోవెలో")</f>
        <v>ఏరోవెలో</v>
      </c>
      <c r="K58" s="4" t="s">
        <v>1181</v>
      </c>
      <c r="M58" s="2"/>
      <c r="O58" s="1">
        <v>1.0</v>
      </c>
      <c r="R58" s="1">
        <v>1.0</v>
      </c>
      <c r="W58" s="1" t="s">
        <v>1182</v>
      </c>
      <c r="X58" s="1" t="s">
        <v>1183</v>
      </c>
      <c r="Z58" s="1" t="s">
        <v>1184</v>
      </c>
      <c r="AF58" s="1" t="s">
        <v>233</v>
      </c>
      <c r="AG58" s="4" t="s">
        <v>234</v>
      </c>
      <c r="AN58" s="1" t="s">
        <v>1185</v>
      </c>
      <c r="BQ58" s="1" t="s">
        <v>1186</v>
      </c>
      <c r="BR58" s="1" t="s">
        <v>1187</v>
      </c>
    </row>
    <row r="59">
      <c r="A59" s="1" t="s">
        <v>1188</v>
      </c>
      <c r="B59" s="1" t="str">
        <f>IFERROR(__xludf.DUMMYFUNCTION("GOOGLETRANSLATE(A:A, ""en"", ""te"")"),"UMS స్కెల్డార్ V-200")</f>
        <v>UMS స్కెల్డార్ V-200</v>
      </c>
      <c r="C59" s="1" t="s">
        <v>1189</v>
      </c>
      <c r="D59" s="2" t="str">
        <f>IFERROR(__xludf.DUMMYFUNCTION("GOOGLETRANSLATE(C:C, ""en"", ""te"")"),"UMS స్కెల్డార్ V-200 అనేది స్వీడిష్ ఏరోస్పేస్ కంపెనీ సాబ్ అభివృద్ధి చేసిన మీడియం-రేంజ్ VTOL (లంబ టేకాఫ్ మరియు ల్యాండింగ్) UAV (మానవరహిత వైమానిక వాహనం). స్కెల్డార్‌ను నిఘా, ఇంటెలిజెన్స్ సేకరణ, తేలికపాటి కార్గో రవాణా మరియు ఎలక్ట్రానిక్ యుద్ధానికి ఉపయోగించవచ"&amp;"్చు. స్కెల్డార్ సైబీరో యొక్క APID 55 UAV వ్యవస్థ యొక్క ఉత్పన్నం, మరియు దాని అభివృద్ధి 2005 లో ప్రారంభమైంది. [1] జూన్ 2006 లో, ఫ్రాన్స్‌లోని పారిస్‌లో జరిగిన యూరోసేటరీ ఎగ్జిబిషన్‌లో స్కెల్డార్ V-150 ఆవిష్కరించబడింది. [2] స్కెల్డార్ V-200 అనేది సిస్టమ్ యొక్"&amp;"క అభివృద్ధి చెందిన సంస్కరణకు హోదా. [3] స్కెల్డార్ వి -200 15x15 మీటర్ల విస్తీర్ణంలో టేకాఫ్ మరియు ల్యాండ్ చేయగలదు. టేకాఫ్ మరియు ల్యాండింగ్లను స్వయంచాలకంగా చేయవచ్చు. మిషన్ లక్షణాలను బట్టి పేలోడ్లను మార్చగలదనే అర్థంలో స్కెల్డార్ V-200 మాడ్యులర్, ఉదాహరణకు దీన"&amp;"ిని లేజర్ పాయింటర్లు, రేంజ్ ఫైండర్స్, ఎలక్ట్రో-ఆప్టికల్ &amp; ఇన్ఫ్రారెడ్ (EO/IR) 3D మ్యాపింగ్, లైట్ కార్గో హుక్ హుక్ కలిగి ఉంటుంది మరియు సిగింట్ (సిగ్నల్స్ ఇంటెలిజెన్స్) [4] స్కెల్డార్ V-200 ను భూమి మరియు నావికాదళ కార్యకలాపాలలో 2-4 మంది ప్రజలు నిర్వహించవచ్చు"&amp;". UAS కంట్రోల్ స్టేషన్‌ను APC లేదా ట్రక్ వంటి భూ-వాహనంలో విలీనం చేయవచ్చు. [5] నావికాదళ కార్యకలాపాల కోసం కంట్రోల్ స్టేషన్‌ను షిప్‌ల సాధారణ ఆపరేటర్ కన్సోల్‌లు మరియు పోరాట నిర్వహణ వ్యవస్థలుగా విలీనం చేయవచ్చు. [6] 2009 లో సాబ్ మూడు VTOL (లంబ టేకాఫ్ మరియు ల్యా"&amp;"ండింగ్) డిజైన్లను సంయుక్తంగా అభివృద్ధి చేయడానికి మరియు మార్కెట్ చేయడానికి స్విస్ UAV తో భాగస్వామ్యం కలిగి ఉంది: స్కెల్డార్ V-200 మరియు స్విస్ UAV యొక్క NEO S-300 మరియు KOAX X 240. మూడు వ్యవస్థలను సాబ్ కామన్ నుండి నియంత్రించవచ్చు గ్రౌండ్ కంట్రోల్ స్టేషన్. "&amp;"[7] 2015 చివరిలో సాబ్ UMS తో భాగస్వామ్యం కలిగి ఉంది మరియు సంస్థ UMS స్కెల్డార్ను సృష్టించింది. [8] సెప్టెంబర్ 2018 లో, UMS స్కెల్డార్ V-200B ను జర్మన్ నేవీ ఎంపిక చేసింది. రాయల్ నెదర్లాండ్స్ నేవీ మరియు బెల్జియన్ నేవీ భాగం వారి భవిష్యత్ MCMV (మైన్ కౌంటర్ మె"&amp;"జర్ నాళాలు) పై V-200 ను ఉపయోగిస్తుంది, వీటిలో మొదటిది 2024 లో పనిచేస్తుంది. [1] మూలం: సాబ్ స్కెల్డార్ V-200 సాంకేతిక లక్షణాలు [12] పొడవు . గంటలు శక్తి రేటింగ్: 55 హెచ్‌పి సర్వీస్ సీలింగ్: 3000 మీ. టేకాఫ్ తయారీ సమయం: &lt;15 నిమి")</f>
        <v>UMS స్కెల్డార్ V-200 అనేది స్వీడిష్ ఏరోస్పేస్ కంపెనీ సాబ్ అభివృద్ధి చేసిన మీడియం-రేంజ్ VTOL (లంబ టేకాఫ్ మరియు ల్యాండింగ్) UAV (మానవరహిత వైమానిక వాహనం). స్కెల్డార్‌ను నిఘా, ఇంటెలిజెన్స్ సేకరణ, తేలికపాటి కార్గో రవాణా మరియు ఎలక్ట్రానిక్ యుద్ధానికి ఉపయోగించవచ్చు. స్కెల్డార్ సైబీరో యొక్క APID 55 UAV వ్యవస్థ యొక్క ఉత్పన్నం, మరియు దాని అభివృద్ధి 2005 లో ప్రారంభమైంది. [1] జూన్ 2006 లో, ఫ్రాన్స్‌లోని పారిస్‌లో జరిగిన యూరోసేటరీ ఎగ్జిబిషన్‌లో స్కెల్డార్ V-150 ఆవిష్కరించబడింది. [2] స్కెల్డార్ V-200 అనేది సిస్టమ్ యొక్క అభివృద్ధి చెందిన సంస్కరణకు హోదా. [3] స్కెల్డార్ వి -200 15x15 మీటర్ల విస్తీర్ణంలో టేకాఫ్ మరియు ల్యాండ్ చేయగలదు. టేకాఫ్ మరియు ల్యాండింగ్లను స్వయంచాలకంగా చేయవచ్చు. మిషన్ లక్షణాలను బట్టి పేలోడ్లను మార్చగలదనే అర్థంలో స్కెల్డార్ V-200 మాడ్యులర్, ఉదాహరణకు దీనిని లేజర్ పాయింటర్లు, రేంజ్ ఫైండర్స్, ఎలక్ట్రో-ఆప్టికల్ &amp; ఇన్ఫ్రారెడ్ (EO/IR) 3D మ్యాపింగ్, లైట్ కార్గో హుక్ హుక్ కలిగి ఉంటుంది మరియు సిగింట్ (సిగ్నల్స్ ఇంటెలిజెన్స్) [4] స్కెల్డార్ V-200 ను భూమి మరియు నావికాదళ కార్యకలాపాలలో 2-4 మంది ప్రజలు నిర్వహించవచ్చు. UAS కంట్రోల్ స్టేషన్‌ను APC లేదా ట్రక్ వంటి భూ-వాహనంలో విలీనం చేయవచ్చు. [5] నావికాదళ కార్యకలాపాల కోసం కంట్రోల్ స్టేషన్‌ను షిప్‌ల సాధారణ ఆపరేటర్ కన్సోల్‌లు మరియు పోరాట నిర్వహణ వ్యవస్థలుగా విలీనం చేయవచ్చు. [6] 2009 లో సాబ్ మూడు VTOL (లంబ టేకాఫ్ మరియు ల్యాండింగ్) డిజైన్లను సంయుక్తంగా అభివృద్ధి చేయడానికి మరియు మార్కెట్ చేయడానికి స్విస్ UAV తో భాగస్వామ్యం కలిగి ఉంది: స్కెల్డార్ V-200 మరియు స్విస్ UAV యొక్క NEO S-300 మరియు KOAX X 240. మూడు వ్యవస్థలను సాబ్ కామన్ నుండి నియంత్రించవచ్చు గ్రౌండ్ కంట్రోల్ స్టేషన్. [7] 2015 చివరిలో సాబ్ UMS తో భాగస్వామ్యం కలిగి ఉంది మరియు సంస్థ UMS స్కెల్డార్ను సృష్టించింది. [8] సెప్టెంబర్ 2018 లో, UMS స్కెల్డార్ V-200B ను జర్మన్ నేవీ ఎంపిక చేసింది. రాయల్ నెదర్లాండ్స్ నేవీ మరియు బెల్జియన్ నేవీ భాగం వారి భవిష్యత్ MCMV (మైన్ కౌంటర్ మెజర్ నాళాలు) పై V-200 ను ఉపయోగిస్తుంది, వీటిలో మొదటిది 2024 లో పనిచేస్తుంది. [1] మూలం: సాబ్ స్కెల్డార్ V-200 సాంకేతిక లక్షణాలు [12] పొడవు . గంటలు శక్తి రేటింగ్: 55 హెచ్‌పి సర్వీస్ సీలింగ్: 3000 మీ. టేకాఫ్ తయారీ సమయం: &lt;15 నిమి</v>
      </c>
      <c r="E59" s="1" t="s">
        <v>1190</v>
      </c>
      <c r="F59" s="1" t="s">
        <v>1191</v>
      </c>
      <c r="G59" s="1" t="str">
        <f>IFERROR(__xludf.DUMMYFUNCTION("GOOGLETRANSLATE(F:F, ""en"", ""te"")"),"UAV హెలికాప్టర్")</f>
        <v>UAV హెలికాప్టర్</v>
      </c>
      <c r="H59" s="1" t="s">
        <v>1192</v>
      </c>
      <c r="I59" s="1" t="s">
        <v>1193</v>
      </c>
      <c r="J59" s="1" t="str">
        <f>IFERROR(__xludf.DUMMYFUNCTION("GOOGLETRANSLATE(I:I, ""en"", ""te"")"),"UMS స్కెల్డార్")</f>
        <v>UMS స్కెల్డార్</v>
      </c>
      <c r="K59" s="1" t="s">
        <v>1194</v>
      </c>
      <c r="M59" s="2"/>
    </row>
    <row r="60">
      <c r="A60" s="1" t="s">
        <v>1195</v>
      </c>
      <c r="B60" s="1" t="str">
        <f>IFERROR(__xludf.DUMMYFUNCTION("GOOGLETRANSLATE(A:A, ""en"", ""te"")"),"కాడ్రాన్ C.25")</f>
        <v>కాడ్రాన్ C.25</v>
      </c>
      <c r="C60" s="1" t="s">
        <v>1196</v>
      </c>
      <c r="D60" s="2" t="str">
        <f>IFERROR(__xludf.DUMMYFUNCTION("GOOGLETRANSLATE(C:C, ""en"", ""te"")"),"కాడ్రాన్ C.25 ఒక పెద్ద, మూడు ఇంజిన్, బిప్‌లేన్ విమానాలు, ఇది మొదటి ప్రపంచ యుద్ధం ముగిసిన వెంటనే ఫ్రాన్స్‌లో రూపొందించబడింది మరియు నిర్మించబడింది. దీని పరివేష్టిత క్యాబిన్ పద్దెనిమిది మంది ప్రయాణీకులకు వసతి కల్పిస్తుంది. మొదటి ప్రపంచ యుద్ధం ముగిసిన తరువాత,"&amp;" కొన్ని కాడ్రాన్ C.23 లు, ఒక పెద్ద ట్రిమోటర్ నైట్ బాంబర్, ప్రయాణీకుల విమానంగా పనిచేయడానికి సవరించబడ్డాయి, కాని C.25 అనేది కాడ్రాన్ మొదటి నుండి ప్రయాణీకులను తీసుకువెళ్ళడానికి రూపొందించిన మొదటి విమానం. ఇది పెద్దది, 25 మీ (82 అడుగుల 0 అంగుళాలు) స్పాన్, [1] క"&amp;"ాబట్టి కాడ్రాన్ అతుక్కొనిలో నిర్మించబడింది, భూమిపై సులభంగా నిర్వహించడానికి రెక్కలను ముడుచుకోవడానికి వీలు కల్పిస్తుంది. రెక్కలు ప్రణాళికలో దీర్ఘచతురస్రాకారంగా ఉన్నాయి, అస్థిరంగా మరియు ఫాబ్రిక్ లేకుండా అమర్చబడి ఉన్నాయి. ఇది అసాధారణంగా సన్నని, చెక్క, సమాంతర,"&amp;" నిలువు ఇంటర్‌ప్లేన్ స్ట్రట్‌లతో కూడిన మూడు-బే బైప్‌లేన్, సాధారణ గేజ్ కంటే మందంగా ఉన్న వైర్లను ఎగరడం ద్వారా సహాయపడుతుంది. ఇంజిన్ మౌంటు, రెండు జతల సమాంతర స్ట్రట్స్, లోపలి బేను నిర్వచించాయి. ఈ స్ట్రట్‌ల యొక్క బయటి జత రెట్టింపు అయ్యింది, ఎందుకంటే ఇది రెక్క మ"&amp;"డతపెట్టింది, కాబట్టి రెక్కల చివరలు రెక్కల చివరలు వాటి స్ట్రట్‌లను నిలుపుకున్నాయి. నాలుగు నిలువు కాబేన్ స్ట్రట్స్ ఎగువ వింగ్ మధ్యలో ఎగువ ఫ్యూజ్‌లేజ్ నుండి కట్టుబడి ఉన్నాయి. [2] తక్కువ మరియు దిగువ విమానాలలో ఐలెరన్లు ఉన్నాయి, ఇవి సగం కంటే ఎక్కువ విస్తరించి ఉ"&amp;"న్నాయి. ఇవి సాధారణ మార్గంలో ఏరోడైనమిక్‌గా సమతుల్యతను కలిగి లేవు, కాని మూడు నిలువు రాడ్ల ద్వారా ఒకదానితో ఒకటి అనుసంధానించబడ్డాయి, ఇవి సగం పైకి ఇరుకైన మరియు తక్కువ క్షితిజ సమాంతర ఉపరితలం యొక్క వెనుకంజలో ఉన్న అంచుకు అతుక్కొని ఉన్నాయి, ఇది దాని ఏరోడైనమిక్ సెం"&amp;"టర్ వెనుక అక్షం గురించి బాగా తిరుగుతుంది. కాక్‌పిట్ నుండి వచ్చిన వైర్లు ఈ సహాయక ఉపరితలాలను నిర్వహిస్తున్నాయి, ఇది సాంప్రదాయిక సమతుల్య ఐలెరాన్ యొక్క ప్రముఖ అంచు, కీలు ముందుకు విస్తరించి, పైలట్ యొక్క ఇన్‌పుట్‌కు సహాయపడుతుంది. [1] [2] కాడ్రాన్ C.23 మూడు 186 "&amp;"kW (250 HP) సాల్మ్సన్ 9Z తొమ్మిది సిలిండర్ వాటర్-కూల్డ్ రేడియల్ ఇంజన్లు, ప్రతి చక్కగా కౌల్డ్. ఫ్లాట్-సైడెడ్ నాసెల్ల్స్‌లో రెక్కల మధ్య రెండు సగం అమర్చబడ్డాయి, ఇవి వెనుక భాగంలో ఒక బిందువుకు వక్రంగా ఉన్నాయి మరియు మూడవది ముక్కు-మౌంటెడ్. వింగ్-మౌంటెడ్ ఇంజన్లలో"&amp;" నాసెల్లస్‌లో ఇంధన ట్యాంకులు ఉన్నాయి, మరియు ముక్కు ఇంజిన్ దాని వెనుక ఒక ట్యాంక్ ద్వారా వడ్డించింది. దాని వెనుక ఫ్యూజ్‌లేజ్ విభాగంలో దీర్ఘచతురస్రాకారంగా ఉంది మరియు ప్లైవుడ్ ప్రయాణీకుల క్యాబిన్ వెనుక భాగంలో కప్పబడి ఉంది, ఆ తర్వాత అది ఫాబ్రిక్ కప్పబడి ఉంటుంద"&amp;"ి. ఇద్దరు సిబ్బంది వింగ్ లీడింగ్ ఎడ్జ్ కంటే ముందు ఫ్యూజ్‌లేజ్ యొక్క ఎగువ భాగంలో ప్రత్యేక, వెడల్పు, పక్కపక్కనే ఓపెన్ కాక్‌పిట్స్‌లో కూర్చున్నారు. దిగువ ఫ్యూజ్‌లేజ్‌లోకి వారి కాక్‌పిట్‌లను పొడుచుకు రావడం ప్రయాణీకుల స్థలాన్ని వెనుక ఒక ప్రధాన క్యాబిన్గా మరియు"&amp;" చిన్న చిన్న ఫార్వర్డ్లను విభజించింది, కాక్‌పిట్స్ దిగువన డక్ చేయడం ద్వారా యాక్సెస్ చేయబడింది. లోపలి భాగంలో పెద్ద కిటికీలు ఉన్నాయి మరియు వికర్ చేతులకుర్చీలు మరియు పట్టికలు, లైటింగ్ మరియు అలంకరించబడిన గోడలతో జాగ్రత్తగా అమర్చబడి ఉన్నాయి; [2] ఒక మరుగుదొడ్డి "&amp;"అందించబడింది. [3] క్షితిజ సమాంతర తోక ఒక బిప్‌లేన్ యూనిట్, ఇది దిగువ టెయిల్‌ప్లేన్‌తో ఫ్యూజ్‌లేజ్ దిగువకు మరియు చిన్న, నిస్సార ఫిన్ పైన ఎగువ భాగంలో జతచేయబడుతుంది. దీర్ఘచతురస్రాకార టెయిల్‌ప్లేన్‌లను ప్రతి వైపు రెండు ఇంటర్‌ప్లేన్ స్ట్రట్‌ల ద్వారా కలుపుతారు; "&amp;"రెండూ దీర్ఘచతురస్రాకారంగా ఉన్నాయి మరియు ఎలివేటర్లను తీసుకువెళ్ళాయి. మూడు రడ్డర్లు ఎలివేటర్ల మధ్య అంతరాన్ని ఆక్రమించారు, ఎలివేటర్ కదలిక కోసం చిట్కాలు కత్తిరించబడ్డాయి. బయటి రడ్డర్లు మాత్రమే సమతుల్యమయ్యాయి, కాని ఇవి నేరుగా సెంట్రల్‌తో అనుసంధానించబడ్డాయి, దీ"&amp;"నికి సహాయం చేస్తాయి. C.25 లో ప్రతి ఇంజిన్ కింద జంటగా ప్రధాన చక్రాలతో టెయిల్‌స్కిడ్ సాంప్రదాయ ల్యాండింగ్ గేర్‌ను కలిగి ఉంది, నోసోవర్లను నివారించడానికి ముక్కు కింద మరొక జత సహాయపడుతుంది. [1] [2] C.25 1919 లో పారిస్ ఏరో షోలో ప్రదర్శనలో ఉంది, అయినప్పటికీ ఇది అ"&amp;"ప్పటికి ఎగిరిపోకపోవచ్చు. [2] దాని తదుపరి చరిత్రలో లిటిల్ రికార్డ్ చేయబడింది. హావెట్ నుండి డేటా (2001) పే .142 [1] సాధారణ లక్షణాల పనితీరు")</f>
        <v>కాడ్రాన్ C.25 ఒక పెద్ద, మూడు ఇంజిన్, బిప్‌లేన్ విమానాలు, ఇది మొదటి ప్రపంచ యుద్ధం ముగిసిన వెంటనే ఫ్రాన్స్‌లో రూపొందించబడింది మరియు నిర్మించబడింది. దీని పరివేష్టిత క్యాబిన్ పద్దెనిమిది మంది ప్రయాణీకులకు వసతి కల్పిస్తుంది. మొదటి ప్రపంచ యుద్ధం ముగిసిన తరువాత, కొన్ని కాడ్రాన్ C.23 లు, ఒక పెద్ద ట్రిమోటర్ నైట్ బాంబర్, ప్రయాణీకుల విమానంగా పనిచేయడానికి సవరించబడ్డాయి, కాని C.25 అనేది కాడ్రాన్ మొదటి నుండి ప్రయాణీకులను తీసుకువెళ్ళడానికి రూపొందించిన మొదటి విమానం. ఇది పెద్దది, 25 మీ (82 అడుగుల 0 అంగుళాలు) స్పాన్, [1] కాబట్టి కాడ్రాన్ అతుక్కొనిలో నిర్మించబడింది, భూమిపై సులభంగా నిర్వహించడానికి రెక్కలను ముడుచుకోవడానికి వీలు కల్పిస్తుంది. రెక్కలు ప్రణాళికలో దీర్ఘచతురస్రాకారంగా ఉన్నాయి, అస్థిరంగా మరియు ఫాబ్రిక్ లేకుండా అమర్చబడి ఉన్నాయి. ఇది అసాధారణంగా సన్నని, చెక్క, సమాంతర, నిలువు ఇంటర్‌ప్లేన్ స్ట్రట్‌లతో కూడిన మూడు-బే బైప్‌లేన్, సాధారణ గేజ్ కంటే మందంగా ఉన్న వైర్లను ఎగరడం ద్వారా సహాయపడుతుంది. ఇంజిన్ మౌంటు, రెండు జతల సమాంతర స్ట్రట్స్, లోపలి బేను నిర్వచించాయి. ఈ స్ట్రట్‌ల యొక్క బయటి జత రెట్టింపు అయ్యింది, ఎందుకంటే ఇది రెక్క మడతపెట్టింది, కాబట్టి రెక్కల చివరలు రెక్కల చివరలు వాటి స్ట్రట్‌లను నిలుపుకున్నాయి. నాలుగు నిలువు కాబేన్ స్ట్రట్స్ ఎగువ వింగ్ మధ్యలో ఎగువ ఫ్యూజ్‌లేజ్ నుండి కట్టుబడి ఉన్నాయి. [2] తక్కువ మరియు దిగువ విమానాలలో ఐలెరన్లు ఉన్నాయి, ఇవి సగం కంటే ఎక్కువ విస్తరించి ఉన్నాయి. ఇవి సాధారణ మార్గంలో ఏరోడైనమిక్‌గా సమతుల్యతను కలిగి లేవు, కాని మూడు నిలువు రాడ్ల ద్వారా ఒకదానితో ఒకటి అనుసంధానించబడ్డాయి, ఇవి సగం పైకి ఇరుకైన మరియు తక్కువ క్షితిజ సమాంతర ఉపరితలం యొక్క వెనుకంజలో ఉన్న అంచుకు అతుక్కొని ఉన్నాయి, ఇది దాని ఏరోడైనమిక్ సెంటర్ వెనుక అక్షం గురించి బాగా తిరుగుతుంది. కాక్‌పిట్ నుండి వచ్చిన వైర్లు ఈ సహాయక ఉపరితలాలను నిర్వహిస్తున్నాయి, ఇది సాంప్రదాయిక సమతుల్య ఐలెరాన్ యొక్క ప్రముఖ అంచు, కీలు ముందుకు విస్తరించి, పైలట్ యొక్క ఇన్‌పుట్‌కు సహాయపడుతుంది. [1] [2] కాడ్రాన్ C.23 మూడు 186 kW (250 HP) సాల్మ్సన్ 9Z తొమ్మిది సిలిండర్ వాటర్-కూల్డ్ రేడియల్ ఇంజన్లు, ప్రతి చక్కగా కౌల్డ్. ఫ్లాట్-సైడెడ్ నాసెల్ల్స్‌లో రెక్కల మధ్య రెండు సగం అమర్చబడ్డాయి, ఇవి వెనుక భాగంలో ఒక బిందువుకు వక్రంగా ఉన్నాయి మరియు మూడవది ముక్కు-మౌంటెడ్. వింగ్-మౌంటెడ్ ఇంజన్లలో నాసెల్లస్‌లో ఇంధన ట్యాంకులు ఉన్నాయి, మరియు ముక్కు ఇంజిన్ దాని వెనుక ఒక ట్యాంక్ ద్వారా వడ్డించింది. దాని వెనుక ఫ్యూజ్‌లేజ్ విభాగంలో దీర్ఘచతురస్రాకారంగా ఉంది మరియు ప్లైవుడ్ ప్రయాణీకుల క్యాబిన్ వెనుక భాగంలో కప్పబడి ఉంది, ఆ తర్వాత అది ఫాబ్రిక్ కప్పబడి ఉంటుంది. ఇద్దరు సిబ్బంది వింగ్ లీడింగ్ ఎడ్జ్ కంటే ముందు ఫ్యూజ్‌లేజ్ యొక్క ఎగువ భాగంలో ప్రత్యేక, వెడల్పు, పక్కపక్కనే ఓపెన్ కాక్‌పిట్స్‌లో కూర్చున్నారు. దిగువ ఫ్యూజ్‌లేజ్‌లోకి వారి కాక్‌పిట్‌లను పొడుచుకు రావడం ప్రయాణీకుల స్థలాన్ని వెనుక ఒక ప్రధాన క్యాబిన్గా మరియు చిన్న చిన్న ఫార్వర్డ్లను విభజించింది, కాక్‌పిట్స్ దిగువన డక్ చేయడం ద్వారా యాక్సెస్ చేయబడింది. లోపలి భాగంలో పెద్ద కిటికీలు ఉన్నాయి మరియు వికర్ చేతులకుర్చీలు మరియు పట్టికలు, లైటింగ్ మరియు అలంకరించబడిన గోడలతో జాగ్రత్తగా అమర్చబడి ఉన్నాయి; [2] ఒక మరుగుదొడ్డి అందించబడింది. [3] క్షితిజ సమాంతర తోక ఒక బిప్‌లేన్ యూనిట్, ఇది దిగువ టెయిల్‌ప్లేన్‌తో ఫ్యూజ్‌లేజ్ దిగువకు మరియు చిన్న, నిస్సార ఫిన్ పైన ఎగువ భాగంలో జతచేయబడుతుంది. దీర్ఘచతురస్రాకార టెయిల్‌ప్లేన్‌లను ప్రతి వైపు రెండు ఇంటర్‌ప్లేన్ స్ట్రట్‌ల ద్వారా కలుపుతారు; రెండూ దీర్ఘచతురస్రాకారంగా ఉన్నాయి మరియు ఎలివేటర్లను తీసుకువెళ్ళాయి. మూడు రడ్డర్లు ఎలివేటర్ల మధ్య అంతరాన్ని ఆక్రమించారు, ఎలివేటర్ కదలిక కోసం చిట్కాలు కత్తిరించబడ్డాయి. బయటి రడ్డర్లు మాత్రమే సమతుల్యమయ్యాయి, కాని ఇవి నేరుగా సెంట్రల్‌తో అనుసంధానించబడ్డాయి, దీనికి సహాయం చేస్తాయి. C.25 లో ప్రతి ఇంజిన్ కింద జంటగా ప్రధాన చక్రాలతో టెయిల్‌స్కిడ్ సాంప్రదాయ ల్యాండింగ్ గేర్‌ను కలిగి ఉంది, నోసోవర్లను నివారించడానికి ముక్కు కింద మరొక జత సహాయపడుతుంది. [1] [2] C.25 1919 లో పారిస్ ఏరో షోలో ప్రదర్శనలో ఉంది, అయినప్పటికీ ఇది అప్పటికి ఎగిరిపోకపోవచ్చు. [2] దాని తదుపరి చరిత్రలో లిటిల్ రికార్డ్ చేయబడింది. హావెట్ నుండి డేటా (2001) పే .142 [1] సాధారణ లక్షణాల పనితీరు</v>
      </c>
      <c r="E60" s="1" t="s">
        <v>1197</v>
      </c>
      <c r="F60" s="1" t="s">
        <v>1198</v>
      </c>
      <c r="G60" s="1" t="str">
        <f>IFERROR(__xludf.DUMMYFUNCTION("GOOGLETRANSLATE(F:F, ""en"", ""te"")"),"16–18-ప్రయాణీకుల విమానాలు")</f>
        <v>16–18-ప్రయాణీకుల విమానాలు</v>
      </c>
      <c r="H60" s="1" t="s">
        <v>1199</v>
      </c>
      <c r="I60" s="1" t="s">
        <v>1200</v>
      </c>
      <c r="J60" s="1" t="str">
        <f>IFERROR(__xludf.DUMMYFUNCTION("GOOGLETRANSLATE(I:I, ""en"", ""te"")"),"కాడ్రాన్")</f>
        <v>కాడ్రాన్</v>
      </c>
      <c r="K60" s="4" t="s">
        <v>1201</v>
      </c>
      <c r="L60" s="1" t="s">
        <v>1202</v>
      </c>
      <c r="M60" s="2" t="str">
        <f>IFERROR(__xludf.DUMMYFUNCTION("GOOGLETRANSLATE(L:L, ""en"", ""te"")"),"పాల్ డెవిల్లే")</f>
        <v>పాల్ డెవిల్లే</v>
      </c>
      <c r="R60" s="1" t="s">
        <v>1203</v>
      </c>
      <c r="S60" s="1" t="s">
        <v>1204</v>
      </c>
      <c r="T60" s="1" t="s">
        <v>1205</v>
      </c>
      <c r="U60" s="1" t="s">
        <v>1206</v>
      </c>
      <c r="V60" s="1" t="s">
        <v>1207</v>
      </c>
      <c r="W60" s="1" t="s">
        <v>1208</v>
      </c>
      <c r="X60" s="1" t="s">
        <v>1209</v>
      </c>
      <c r="Z60" s="1" t="s">
        <v>1210</v>
      </c>
      <c r="AF60" s="1" t="s">
        <v>465</v>
      </c>
      <c r="AG60" s="4" t="s">
        <v>466</v>
      </c>
      <c r="AI60" s="1" t="s">
        <v>1211</v>
      </c>
      <c r="AL60" s="1" t="s">
        <v>1212</v>
      </c>
      <c r="AR60" s="1" t="s">
        <v>1213</v>
      </c>
      <c r="AV60" s="1" t="s">
        <v>1214</v>
      </c>
    </row>
    <row r="61">
      <c r="A61" s="1" t="s">
        <v>1215</v>
      </c>
      <c r="B61" s="1" t="str">
        <f>IFERROR(__xludf.DUMMYFUNCTION("GOOGLETRANSLATE(A:A, ""en"", ""te"")"),"కాడ్రాన్ C.33")</f>
        <v>కాడ్రాన్ C.33</v>
      </c>
      <c r="C61" s="1" t="s">
        <v>1216</v>
      </c>
      <c r="D61" s="2" t="str">
        <f>IFERROR(__xludf.DUMMYFUNCTION("GOOGLETRANSLATE(C:C, ""en"", ""te"")"),"కాడ్రాన్ C.33 ""లాండౌలెట్ మాన్సియూర్-మేడమ్"" ఒక ఫ్రెంచ్ జంట ఇంజిన్ బిప్‌లేన్, నాలుగు సీట్లు, రెండు ఓపెన్ కాక్‌పిట్స్‌లో మరియు రెండు పరివేష్టిత క్యాబిన్లో ఉన్నాయి. 1919 మరియు 1922 మధ్య, కాడ్రాన్ సారూప్య రూపకల్పన యొక్క బహుళ ఇంజిన్ సివిల్ ప్యాసింజర్ ట్రాన్స్"&amp;"పోర్ట్ బైప్లేన్ల శ్రేణిని నిర్మించింది, కానీ పెరుగుతున్న పరిమాణం మరియు ఇంజిన్ శక్తి, C.33, C.37, C.39, C.43 మరియు C.61. C.33 ఈ సిరీస్‌లో జంట ఇంజిన్ విమానం మరియు స్పాన్ మరియు ప్యాసింజర్ సామర్థ్యంలో అతిచిన్నది, మరికొన్నింటికి మూడు లేదా ఐదు ఇంజన్లు ఉన్నాయి. "&amp;"[1] చెల్లించే ప్రయాణీకులను తీసుకునే ఒక చిన్న విమానాల కంటే, లాండౌలెట్ మాన్సియూర్-మడేమ్ ఒక జంట మరియు ఇంటిలోని మరొక సభ్యుడిని మోసుకెళ్ళే డ్రైవర్ నడిచే కారుతో సమానంగా ఉద్దేశించబడింది, దాని పేరు సూచించినట్లు. [2] C.33 అనేది మూడు బే బైప్‌లేన్, ఫాబ్రిక్ కప్పబడిన"&amp;", దీర్ఘచతురస్రాకార ప్రణాళిక రెక్కలు అస్థిరంగా లేకుండా అమర్చబడి ఉంటాయి. తక్కువ దిగువ రెక్కలు మాత్రమే డైహెడ్రల్ కలిగి ఉన్నాయి, ఇది ఇంజిన్ల వెలుపల ప్రారంభమైంది. రెక్కలు నిలువు జతల ఇంటర్‌ప్లేన్ స్ట్రట్‌లతో చేరారు, ఫార్వర్డ్ సభ్యులు ప్రముఖ అంచుల దగ్గర జతచేయబడ్"&amp;"డారు, మరియు సెంటర్ విభాగానికి ఎగువ ఫార్వర్డ్ ఫ్యూజ్‌లేజ్ నుండి ఇలాంటి, తక్కువ క్యాబన్ స్ట్రట్‌లు మద్దతు ఇచ్చాయి. ప్రతి లోపలి బే రెండు దగ్గరి జతల సమాంతర ఇంటర్‌ప్లేన్ స్ట్రట్‌ల ద్వారా నిర్వచించబడింది, ఇది 60 కిలోవాట్ల (80 హెచ్‌పి) లే రోన్ 9 సి తొమ్మిది సిలి"&amp;"ండర్ రోటరీ ఇంజిన్‌కు వాటి మధ్య, రెక్కల మధ్య సగం వరకు మద్దతు ఇస్తుంది. ప్రతి వింగ్ మౌంటెడ్ ఇంజిన్ పొడవైన, దెబ్బతిన్న కౌలింగ్‌లో ఉంది, వెనుక భాగంలో తెరిచి ఉంటుంది. [2] కూలింగ్స్ లోపల చీలిక ఆకారపు ట్యాంకులలో ఇంధనం జరిగింది, వారి క్షితిజ సమాంతర వెనుక అంచులు వ"&amp;"ెనుక నుండి కనిపిస్తాయి. [3] ప్రతి ఒక్కటి 100 ఎల్ (22 ఇంప్ గల్; 26 యుఎస్ గాల్). ఎగువ మరియు దిగువ రెక్కలు రెండూ ఐలెరాన్‌లను తీసుకువెళ్ళాయి, అవి సమతుల్యతను కలిగి లేవు. [2] C.33 యొక్క ఫ్యూజ్‌లేజ్ విభాగంలో దీర్ఘచతురస్రాకారంగా ఉంది. చీలిక ఆకారపు ముక్కులో రెండు "&amp;"ఓపెన్ కాక్‌పిట్‌లు ఉన్నాయి. ఒక ప్రయాణీకుడు వెనుక పైలట్‌తో ముందు కూర్చున్నాడు. పైలట్ వెనుక ఒక పరివేష్టిత క్యాబిన్ ఉంది, ప్రతి వైపు కిటికీ మరియు పోర్ట్ సైడ్ డోర్ ఉన్నాయి. [2] ఇందులో స్వివెల్స్‌పై అమర్చిన అప్హోల్స్టర్డ్ వికర్ కుర్చీలు ఉన్నాయి. [3] రెక్కల వెన"&amp;"ుక ఫ్యూజ్‌లేజ్ విస్తృత, త్రిభుజాకార ఫిన్‌కు సున్నితంగా ఉంటుంది, ఇది నిలువు అంచుగల సమతుల్య చుక్కానిని తీసుకువెళ్ళింది, అది కీల్‌కు చేరుకుంది. టెయిల్‌ప్లేన్ ఫ్యూజ్‌లేజ్ పైన అమర్చబడింది, తద్వారా దాని ఎలివేటర్లు చుక్కాని ఉద్యమానికి ఒక గీతను కలిగి ఉన్నాయి. C.3"&amp;"7 లో స్థిర టెయిల్‌స్కిడ్ అండర్ క్యారేజ్ ఉంది. చిన్న, ఫార్వర్డ్ ర్యాక్డ్ వి-స్ట్రట్స్‌లో ప్రతి చివర ఇంజిన్ కింద ఉన్న ఒక రేఖాంశ బార్‌కు వాటి మధ్యలో జతచేయబడిన సింగిల్ ఇరుసులపై ప్రధాన చక్రాల జతలు ఉన్నాయి. [2] లాండౌలెట్ మాన్సియూర్-మడేమ్ మొదట 1919 చివరలో లేదా వ"&amp;"చ్చే ఏడాది ప్రారంభంలో ప్రయాణించారు. ఇది 1919 యొక్క పారిస్ ఏరో షోలో ప్రదర్శనలో ఉంది, [3] బహుశా విలక్షణమైనది. రెండు ఫ్రెంచ్ సివిల్ రిజిస్టర్‌లో కనిపించారు, 1931 వరకు దానిపై మిగిలి ఉన్నారు. [4] హావెట్ నుండి డేటా (2001) పే .143 [2] సాధారణ లక్షణాల పనితీరు")</f>
        <v>కాడ్రాన్ C.33 "లాండౌలెట్ మాన్సియూర్-మేడమ్" ఒక ఫ్రెంచ్ జంట ఇంజిన్ బిప్‌లేన్, నాలుగు సీట్లు, రెండు ఓపెన్ కాక్‌పిట్స్‌లో మరియు రెండు పరివేష్టిత క్యాబిన్లో ఉన్నాయి. 1919 మరియు 1922 మధ్య, కాడ్రాన్ సారూప్య రూపకల్పన యొక్క బహుళ ఇంజిన్ సివిల్ ప్యాసింజర్ ట్రాన్స్పోర్ట్ బైప్లేన్ల శ్రేణిని నిర్మించింది, కానీ పెరుగుతున్న పరిమాణం మరియు ఇంజిన్ శక్తి, C.33, C.37, C.39, C.43 మరియు C.61. C.33 ఈ సిరీస్‌లో జంట ఇంజిన్ విమానం మరియు స్పాన్ మరియు ప్యాసింజర్ సామర్థ్యంలో అతిచిన్నది, మరికొన్నింటికి మూడు లేదా ఐదు ఇంజన్లు ఉన్నాయి. [1] చెల్లించే ప్రయాణీకులను తీసుకునే ఒక చిన్న విమానాల కంటే, లాండౌలెట్ మాన్సియూర్-మడేమ్ ఒక జంట మరియు ఇంటిలోని మరొక సభ్యుడిని మోసుకెళ్ళే డ్రైవర్ నడిచే కారుతో సమానంగా ఉద్దేశించబడింది, దాని పేరు సూచించినట్లు. [2] C.33 అనేది మూడు బే బైప్‌లేన్, ఫాబ్రిక్ కప్పబడిన, దీర్ఘచతురస్రాకార ప్రణాళిక రెక్కలు అస్థిరంగా లేకుండా అమర్చబడి ఉంటాయి. తక్కువ దిగువ రెక్కలు మాత్రమే డైహెడ్రల్ కలిగి ఉన్నాయి, ఇది ఇంజిన్ల వెలుపల ప్రారంభమైంది. రెక్కలు నిలువు జతల ఇంటర్‌ప్లేన్ స్ట్రట్‌లతో చేరారు, ఫార్వర్డ్ సభ్యులు ప్రముఖ అంచుల దగ్గర జతచేయబడ్డారు, మరియు సెంటర్ విభాగానికి ఎగువ ఫార్వర్డ్ ఫ్యూజ్‌లేజ్ నుండి ఇలాంటి, తక్కువ క్యాబన్ స్ట్రట్‌లు మద్దతు ఇచ్చాయి. ప్రతి లోపలి బే రెండు దగ్గరి జతల సమాంతర ఇంటర్‌ప్లేన్ స్ట్రట్‌ల ద్వారా నిర్వచించబడింది, ఇది 60 కిలోవాట్ల (80 హెచ్‌పి) లే రోన్ 9 సి తొమ్మిది సిలిండర్ రోటరీ ఇంజిన్‌కు వాటి మధ్య, రెక్కల మధ్య సగం వరకు మద్దతు ఇస్తుంది. ప్రతి వింగ్ మౌంటెడ్ ఇంజిన్ పొడవైన, దెబ్బతిన్న కౌలింగ్‌లో ఉంది, వెనుక భాగంలో తెరిచి ఉంటుంది. [2] కూలింగ్స్ లోపల చీలిక ఆకారపు ట్యాంకులలో ఇంధనం జరిగింది, వారి క్షితిజ సమాంతర వెనుక అంచులు వెనుక నుండి కనిపిస్తాయి. [3] ప్రతి ఒక్కటి 100 ఎల్ (22 ఇంప్ గల్; 26 యుఎస్ గాల్). ఎగువ మరియు దిగువ రెక్కలు రెండూ ఐలెరాన్‌లను తీసుకువెళ్ళాయి, అవి సమతుల్యతను కలిగి లేవు. [2] C.33 యొక్క ఫ్యూజ్‌లేజ్ విభాగంలో దీర్ఘచతురస్రాకారంగా ఉంది. చీలిక ఆకారపు ముక్కులో రెండు ఓపెన్ కాక్‌పిట్‌లు ఉన్నాయి. ఒక ప్రయాణీకుడు వెనుక పైలట్‌తో ముందు కూర్చున్నాడు. పైలట్ వెనుక ఒక పరివేష్టిత క్యాబిన్ ఉంది, ప్రతి వైపు కిటికీ మరియు పోర్ట్ సైడ్ డోర్ ఉన్నాయి. [2] ఇందులో స్వివెల్స్‌పై అమర్చిన అప్హోల్స్టర్డ్ వికర్ కుర్చీలు ఉన్నాయి. [3] రెక్కల వెనుక ఫ్యూజ్‌లేజ్ విస్తృత, త్రిభుజాకార ఫిన్‌కు సున్నితంగా ఉంటుంది, ఇది నిలువు అంచుగల సమతుల్య చుక్కానిని తీసుకువెళ్ళింది, అది కీల్‌కు చేరుకుంది. టెయిల్‌ప్లేన్ ఫ్యూజ్‌లేజ్ పైన అమర్చబడింది, తద్వారా దాని ఎలివేటర్లు చుక్కాని ఉద్యమానికి ఒక గీతను కలిగి ఉన్నాయి. C.37 లో స్థిర టెయిల్‌స్కిడ్ అండర్ క్యారేజ్ ఉంది. చిన్న, ఫార్వర్డ్ ర్యాక్డ్ వి-స్ట్రట్స్‌లో ప్రతి చివర ఇంజిన్ కింద ఉన్న ఒక రేఖాంశ బార్‌కు వాటి మధ్యలో జతచేయబడిన సింగిల్ ఇరుసులపై ప్రధాన చక్రాల జతలు ఉన్నాయి. [2] లాండౌలెట్ మాన్సియూర్-మడేమ్ మొదట 1919 చివరలో లేదా వచ్చే ఏడాది ప్రారంభంలో ప్రయాణించారు. ఇది 1919 యొక్క పారిస్ ఏరో షోలో ప్రదర్శనలో ఉంది, [3] బహుశా విలక్షణమైనది. రెండు ఫ్రెంచ్ సివిల్ రిజిస్టర్‌లో కనిపించారు, 1931 వరకు దానిపై మిగిలి ఉన్నారు. [4] హావెట్ నుండి డేటా (2001) పే .143 [2] సాధారణ లక్షణాల పనితీరు</v>
      </c>
      <c r="E61" s="1" t="s">
        <v>1217</v>
      </c>
      <c r="F61" s="1" t="s">
        <v>1218</v>
      </c>
      <c r="G61" s="1" t="str">
        <f>IFERROR(__xludf.DUMMYFUNCTION("GOOGLETRANSLATE(F:F, ""en"", ""te"")"),"మూడు సీట్ల ప్రయాణీకుల రవాణా")</f>
        <v>మూడు సీట్ల ప్రయాణీకుల రవాణా</v>
      </c>
      <c r="I61" s="1" t="s">
        <v>1200</v>
      </c>
      <c r="J61" s="1" t="str">
        <f>IFERROR(__xludf.DUMMYFUNCTION("GOOGLETRANSLATE(I:I, ""en"", ""te"")"),"కాడ్రాన్")</f>
        <v>కాడ్రాన్</v>
      </c>
      <c r="K61" s="4" t="s">
        <v>1201</v>
      </c>
      <c r="L61" s="1" t="s">
        <v>1202</v>
      </c>
      <c r="M61" s="2" t="str">
        <f>IFERROR(__xludf.DUMMYFUNCTION("GOOGLETRANSLATE(L:L, ""en"", ""te"")"),"పాల్ డెవిల్లే")</f>
        <v>పాల్ డెవిల్లే</v>
      </c>
      <c r="O61" s="1">
        <v>2.0</v>
      </c>
      <c r="R61" s="1" t="s">
        <v>1219</v>
      </c>
      <c r="S61" s="1" t="s">
        <v>1220</v>
      </c>
      <c r="T61" s="1" t="s">
        <v>1221</v>
      </c>
      <c r="V61" s="1" t="s">
        <v>1222</v>
      </c>
      <c r="W61" s="1" t="s">
        <v>1223</v>
      </c>
      <c r="X61" s="1" t="s">
        <v>1224</v>
      </c>
      <c r="Z61" s="1" t="s">
        <v>1225</v>
      </c>
      <c r="AF61" s="1" t="s">
        <v>465</v>
      </c>
      <c r="AG61" s="4" t="s">
        <v>466</v>
      </c>
      <c r="AI61" s="1" t="s">
        <v>1226</v>
      </c>
      <c r="AK61" s="1" t="s">
        <v>1227</v>
      </c>
      <c r="AL61" s="1" t="s">
        <v>1228</v>
      </c>
      <c r="AO61" s="1" t="s">
        <v>1229</v>
      </c>
      <c r="AR61" s="1" t="s">
        <v>372</v>
      </c>
      <c r="AV61" s="1" t="s">
        <v>1214</v>
      </c>
      <c r="BA61" s="1" t="s">
        <v>1230</v>
      </c>
      <c r="BB61" s="1" t="s">
        <v>1231</v>
      </c>
      <c r="CI61" s="1" t="s">
        <v>1232</v>
      </c>
    </row>
    <row r="62">
      <c r="A62" s="1" t="s">
        <v>1233</v>
      </c>
      <c r="B62" s="1" t="str">
        <f>IFERROR(__xludf.DUMMYFUNCTION("GOOGLETRANSLATE(A:A, ""en"", ""te"")"),"కాడ్రాన్ C.67")</f>
        <v>కాడ్రాన్ C.67</v>
      </c>
      <c r="C62" s="1" t="s">
        <v>1234</v>
      </c>
      <c r="D62" s="2" t="str">
        <f>IFERROR(__xludf.DUMMYFUNCTION("GOOGLETRANSLATE(C:C, ""en"", ""te"")"),"కాడ్రాన్ C.67 తక్కువ శక్తితో కూడిన ఇంజిన్‌తో కూడిన సాధారణ సింగిల్ సీట్ బిప్‌లేన్. ఇది 1922 లో ఫ్రాన్స్‌లో నిర్మించబడింది మరియు ఎగురవేయబడింది. C.67, దాని అండర్ క్యారేజ్ కాకుండా, ఫాబ్రిక్ కవరింగ్‌తో కలప-ఫ్రేమ్డ్ విమానం. ఇది రెక్కలతో కూడిన సింగిల్ బే బైప్‌లే"&amp;"న్, ఇవి కోణాల చిట్కాలు కాకుండా ప్రణాళికలో దీర్ఘచతురస్రాకారంగా ఉన్నాయి, సమానమైన విస్తరణలను కలిగి ఉన్నాయి మరియు అస్థిరంగా లేవు. దిగువ రెక్కలు దిగువ ఫ్యూజ్‌లేజ్ లాంగన్స్‌పై అమర్చబడ్డాయి, ఎగువ వింగ్ దీనికి నిలువు ఇంటర్‌ప్లేన్ స్ట్రట్‌ల సమాంతర జతల ద్వారా కలుపు"&amp;"తారు. నాలుగు సారూప్య కానీ తక్కువ క్యాబనే స్ట్రట్స్ ఎగువ ఫ్యూజ్‌లేజ్ మరియు అప్పర్ వింగ్ సెంటర్ విభాగాన్ని అనుసంధానించాయి; బ్రేసింగ్ వైర్లు నిర్మాణాత్మక స్థిరత్వాన్ని నిర్ధారిస్తాయి. ఎగువ రెక్కను రెండు భాగాలుగా నిర్మించారు మరియు ఐలెరాన్‌లను తీసుకువెళ్లారు. "&amp;"[1] దీని ఫ్యూజ్‌లేజ్ కూడా చాలా సులభం, వక్ర ఎగువ డెక్కింగ్ కాకుండా దీర్ఘచతురస్రాకార విభాగం. దిగువ భాగంలో ముక్కు దగ్గర బలంగా పైకి వణుకుతుంది, ఇక్కడ దాని మూడు సిలిండర్ అంజాని రేడియల్ ఇంజిన్ దాని సిలిండర్లు శీతలీకరణ కోసం ప్రొజెక్ట్ చేస్తుంది. రెక్క కింద ఒకే, "&amp;"ఓపెన్ కాక్‌పిట్ ఉంది, ఇది పైకి దృశ్యమానతను మెరుగుపరచడానికి దాని వెనుకంజలో ఉన్న అంచులో విస్తృత కటౌట్ కలిగి ఉంది. వెనుక భాగంలో ఒక విస్తృత, త్రిభుజాకార ఫిన్ కోణీయ, అసమతుల్య చుక్కానిని తీసుకువెళ్ళింది, ఇది కీల్ వరకు చేరుకుంది. టెయిల్‌ప్లేన్, రెక్కల మాదిరిగానే"&amp;" ప్రణాళికతో, ఫ్యూజ్‌లేజ్ పైన అమర్చబడినందున, ఎలివేటర్లకు చుక్కాని ఉద్యమానికి కటౌట్ అవసరం. C.67 లో స్థిర టెయిల్‌స్కిడ్ అండర్ క్యారేజ్ ఉంది. దీని మెయిన్‌వీల్స్ ఒక స్టీల్ సింగిల్ ఇరుసుపై ఒక జతకి పుట్టుకొచ్చాయి, స్టీల్ వి-ఫారమ్ స్ట్రట్‌లను, వైర్ బ్రేసింగ్ సహాయ"&amp;"ంతో. [1] C.67 మే మధ్య నాటికి క్రమం తప్పకుండా ఎగురుతోంది, పోయిరీ చేత పైలట్ చేయబడింది మరియు ఏరోబాటిక్స్ ప్రదర్శిస్తుంది. [2] ఇది ఆ డిసెంబరులో 1922 పారిస్ సెలూన్లో ప్రదర్శించబడింది. [3] C.67 కి నమూనా ఏకైక ఉదాహరణ. హావెట్ (2001) నుండి డేటా [1] సాధారణ లక్షణాల ప"&amp;"నితీరు")</f>
        <v>కాడ్రాన్ C.67 తక్కువ శక్తితో కూడిన ఇంజిన్‌తో కూడిన సాధారణ సింగిల్ సీట్ బిప్‌లేన్. ఇది 1922 లో ఫ్రాన్స్‌లో నిర్మించబడింది మరియు ఎగురవేయబడింది. C.67, దాని అండర్ క్యారేజ్ కాకుండా, ఫాబ్రిక్ కవరింగ్‌తో కలప-ఫ్రేమ్డ్ విమానం. ఇది రెక్కలతో కూడిన సింగిల్ బే బైప్‌లేన్, ఇవి కోణాల చిట్కాలు కాకుండా ప్రణాళికలో దీర్ఘచతురస్రాకారంగా ఉన్నాయి, సమానమైన విస్తరణలను కలిగి ఉన్నాయి మరియు అస్థిరంగా లేవు. దిగువ రెక్కలు దిగువ ఫ్యూజ్‌లేజ్ లాంగన్స్‌పై అమర్చబడ్డాయి, ఎగువ వింగ్ దీనికి నిలువు ఇంటర్‌ప్లేన్ స్ట్రట్‌ల సమాంతర జతల ద్వారా కలుపుతారు. నాలుగు సారూప్య కానీ తక్కువ క్యాబనే స్ట్రట్స్ ఎగువ ఫ్యూజ్‌లేజ్ మరియు అప్పర్ వింగ్ సెంటర్ విభాగాన్ని అనుసంధానించాయి; బ్రేసింగ్ వైర్లు నిర్మాణాత్మక స్థిరత్వాన్ని నిర్ధారిస్తాయి. ఎగువ రెక్కను రెండు భాగాలుగా నిర్మించారు మరియు ఐలెరాన్‌లను తీసుకువెళ్లారు. [1] దీని ఫ్యూజ్‌లేజ్ కూడా చాలా సులభం, వక్ర ఎగువ డెక్కింగ్ కాకుండా దీర్ఘచతురస్రాకార విభాగం. దిగువ భాగంలో ముక్కు దగ్గర బలంగా పైకి వణుకుతుంది, ఇక్కడ దాని మూడు సిలిండర్ అంజాని రేడియల్ ఇంజిన్ దాని సిలిండర్లు శీతలీకరణ కోసం ప్రొజెక్ట్ చేస్తుంది. రెక్క కింద ఒకే, ఓపెన్ కాక్‌పిట్ ఉంది, ఇది పైకి దృశ్యమానతను మెరుగుపరచడానికి దాని వెనుకంజలో ఉన్న అంచులో విస్తృత కటౌట్ కలిగి ఉంది. వెనుక భాగంలో ఒక విస్తృత, త్రిభుజాకార ఫిన్ కోణీయ, అసమతుల్య చుక్కానిని తీసుకువెళ్ళింది, ఇది కీల్ వరకు చేరుకుంది. టెయిల్‌ప్లేన్, రెక్కల మాదిరిగానే ప్రణాళికతో, ఫ్యూజ్‌లేజ్ పైన అమర్చబడినందున, ఎలివేటర్లకు చుక్కాని ఉద్యమానికి కటౌట్ అవసరం. C.67 లో స్థిర టెయిల్‌స్కిడ్ అండర్ క్యారేజ్ ఉంది. దీని మెయిన్‌వీల్స్ ఒక స్టీల్ సింగిల్ ఇరుసుపై ఒక జతకి పుట్టుకొచ్చాయి, స్టీల్ వి-ఫారమ్ స్ట్రట్‌లను, వైర్ బ్రేసింగ్ సహాయంతో. [1] C.67 మే మధ్య నాటికి క్రమం తప్పకుండా ఎగురుతోంది, పోయిరీ చేత పైలట్ చేయబడింది మరియు ఏరోబాటిక్స్ ప్రదర్శిస్తుంది. [2] ఇది ఆ డిసెంబరులో 1922 పారిస్ సెలూన్లో ప్రదర్శించబడింది. [3] C.67 కి నమూనా ఏకైక ఉదాహరణ. హావెట్ (2001) నుండి డేటా [1] సాధారణ లక్షణాల పనితీరు</v>
      </c>
      <c r="E62" s="1" t="s">
        <v>1235</v>
      </c>
      <c r="F62" s="1" t="s">
        <v>1236</v>
      </c>
      <c r="G62" s="1" t="str">
        <f>IFERROR(__xludf.DUMMYFUNCTION("GOOGLETRANSLATE(F:F, ""en"", ""te"")"),"క్రీడా విమానం")</f>
        <v>క్రీడా విమానం</v>
      </c>
      <c r="I62" s="1" t="s">
        <v>1200</v>
      </c>
      <c r="J62" s="1" t="str">
        <f>IFERROR(__xludf.DUMMYFUNCTION("GOOGLETRANSLATE(I:I, ""en"", ""te"")"),"కాడ్రాన్")</f>
        <v>కాడ్రాన్</v>
      </c>
      <c r="K62" s="4" t="s">
        <v>1201</v>
      </c>
      <c r="L62" s="1" t="s">
        <v>1202</v>
      </c>
      <c r="M62" s="2" t="str">
        <f>IFERROR(__xludf.DUMMYFUNCTION("GOOGLETRANSLATE(L:L, ""en"", ""te"")"),"పాల్ డెవిల్లే")</f>
        <v>పాల్ డెవిల్లే</v>
      </c>
      <c r="O62" s="1">
        <v>1.0</v>
      </c>
      <c r="R62" s="1" t="s">
        <v>550</v>
      </c>
      <c r="T62" s="1" t="s">
        <v>1237</v>
      </c>
      <c r="U62" s="1" t="s">
        <v>1238</v>
      </c>
      <c r="V62" s="1" t="s">
        <v>1239</v>
      </c>
      <c r="W62" s="1" t="s">
        <v>1240</v>
      </c>
      <c r="X62" s="1" t="s">
        <v>1241</v>
      </c>
      <c r="Z62" s="1" t="s">
        <v>1242</v>
      </c>
      <c r="AF62" s="1" t="s">
        <v>465</v>
      </c>
      <c r="AG62" s="4" t="s">
        <v>466</v>
      </c>
      <c r="AI62" s="1" t="s">
        <v>1243</v>
      </c>
      <c r="AK62" s="1" t="s">
        <v>1244</v>
      </c>
      <c r="AL62" s="1" t="s">
        <v>1245</v>
      </c>
      <c r="AN62" s="1" t="s">
        <v>1246</v>
      </c>
      <c r="AO62" s="1" t="s">
        <v>1247</v>
      </c>
      <c r="AR62" s="1" t="s">
        <v>372</v>
      </c>
    </row>
    <row r="63">
      <c r="A63" s="1" t="s">
        <v>1248</v>
      </c>
      <c r="B63" s="1" t="str">
        <f>IFERROR(__xludf.DUMMYFUNCTION("GOOGLETRANSLATE(A:A, ""en"", ""te"")"),"రాపియర్ మానవరహిత హెలికాప్టర్")</f>
        <v>రాపియర్ మానవరహిత హెలికాప్టర్</v>
      </c>
      <c r="C63" s="1" t="s">
        <v>1249</v>
      </c>
      <c r="D63" s="2" t="str">
        <f>IFERROR(__xludf.DUMMYFUNCTION("GOOGLETRANSLATE(C:C, ""en"", ""te"")"),"రేపియర్ అనేది మానవరహిత స్వయంప్రతిపత్తి హెలికాప్టర్, ఇది నిఘా, నిఘా, పరిస్థితుల అవగాహన, ఎలక్ట్రానిక్ వార్ఫేర్, వైమానిక అగ్ని మద్దతు మరియు భూమి, గాలి మరియు సముద్ర దళాలకు ఖచ్చితమైన లక్ష్య మద్దతును అందించగలదు. VTOL (లంబ టేక్ ఆఫ్ ల్యాండింగ్) హెలికాప్టర్లు ఉపయో"&amp;"గించడానికి మరింత సౌకర్యవంతంగా ఉంటాయి- ఏ విధమైన భూభాగాలపై (చిన్న ఓడలు లేదా వాహనాలు) నిలువుగా టేకాఫ్ చేయండి మరియు ల్యాండ్ చేయండి, రన్వే అవసరం లేదు, పర్యవేక్షణ మరియు రికార్డింగ్ కోసం ఎక్కువ అవకాశం ఉంది. రాడార్ సిస్టమ్స్, రాడార్ గందరగోళ ప్రసారాలు, నిఘా పరికరా"&amp;"లు (కలర్ టీవీ కెమెరా, తక్కువ లైట్ లెవల్ టీవీ కెమెరా, థర్మల్ ఇమేజింగ్ కెమెరా, లేజర్ టార్గెట్ హోదా) మరియు ఆయుధాలు వంటి వివిధ పేలోడ్‌లను మోయడానికి హెలికాప్టర్ రూపొందించబడింది. మానవరహిత వైమానిక వాహనంపై ఈ వ్యాసం ఒక స్టబ్. వికీపీడియా విస్తరించడం ద్వారా మీరు సహా"&amp;"యపడవచ్చు.")</f>
        <v>రేపియర్ అనేది మానవరహిత స్వయంప్రతిపత్తి హెలికాప్టర్, ఇది నిఘా, నిఘా, పరిస్థితుల అవగాహన, ఎలక్ట్రానిక్ వార్ఫేర్, వైమానిక అగ్ని మద్దతు మరియు భూమి, గాలి మరియు సముద్ర దళాలకు ఖచ్చితమైన లక్ష్య మద్దతును అందించగలదు. VTOL (లంబ టేక్ ఆఫ్ ల్యాండింగ్) హెలికాప్టర్లు ఉపయోగించడానికి మరింత సౌకర్యవంతంగా ఉంటాయి- ఏ విధమైన భూభాగాలపై (చిన్న ఓడలు లేదా వాహనాలు) నిలువుగా టేకాఫ్ చేయండి మరియు ల్యాండ్ చేయండి, రన్వే అవసరం లేదు, పర్యవేక్షణ మరియు రికార్డింగ్ కోసం ఎక్కువ అవకాశం ఉంది. రాడార్ సిస్టమ్స్, రాడార్ గందరగోళ ప్రసారాలు, నిఘా పరికరాలు (కలర్ టీవీ కెమెరా, తక్కువ లైట్ లెవల్ టీవీ కెమెరా, థర్మల్ ఇమేజింగ్ కెమెరా, లేజర్ టార్గెట్ హోదా) మరియు ఆయుధాలు వంటి వివిధ పేలోడ్‌లను మోయడానికి హెలికాప్టర్ రూపొందించబడింది. మానవరహిత వైమానిక వాహనంపై ఈ వ్యాసం ఒక స్టబ్. వికీపీడియా విస్తరించడం ద్వారా మీరు సహాయపడవచ్చు.</v>
      </c>
      <c r="E63" s="1" t="s">
        <v>1250</v>
      </c>
      <c r="F63" s="1" t="s">
        <v>1251</v>
      </c>
      <c r="G63" s="1" t="str">
        <f>IFERROR(__xludf.DUMMYFUNCTION("GOOGLETRANSLATE(F:F, ""en"", ""te"")"),"మానవరహిత పోరాట వైమానిక వాహనం")</f>
        <v>మానవరహిత పోరాట వైమానిక వాహనం</v>
      </c>
      <c r="H63" s="1" t="s">
        <v>1252</v>
      </c>
      <c r="I63" s="1" t="s">
        <v>1253</v>
      </c>
      <c r="J63" s="1" t="str">
        <f>IFERROR(__xludf.DUMMYFUNCTION("GOOGLETRANSLATE(I:I, ""en"", ""te"")"),"EDEPRO")</f>
        <v>EDEPRO</v>
      </c>
      <c r="K63" s="4" t="s">
        <v>1254</v>
      </c>
      <c r="L63" s="1" t="s">
        <v>1253</v>
      </c>
      <c r="M63" s="2" t="str">
        <f>IFERROR(__xludf.DUMMYFUNCTION("GOOGLETRANSLATE(L:L, ""en"", ""te"")"),"EDEPRO")</f>
        <v>EDEPRO</v>
      </c>
      <c r="N63" s="4" t="s">
        <v>1254</v>
      </c>
      <c r="O63" s="1" t="s">
        <v>1255</v>
      </c>
      <c r="P63" s="1">
        <v>2015.0</v>
      </c>
      <c r="AF63" s="1" t="s">
        <v>1256</v>
      </c>
      <c r="AG63" s="4" t="s">
        <v>1257</v>
      </c>
      <c r="AS63" s="1" t="s">
        <v>1258</v>
      </c>
    </row>
    <row r="64">
      <c r="A64" s="1" t="s">
        <v>1259</v>
      </c>
      <c r="B64" s="1" t="str">
        <f>IFERROR(__xludf.DUMMYFUNCTION("GOOGLETRANSLATE(A:A, ""en"", ""te"")"),"కాడ్రాన్ రకం b")</f>
        <v>కాడ్రాన్ రకం b</v>
      </c>
      <c r="C64" s="1" t="s">
        <v>1260</v>
      </c>
      <c r="D64" s="2" t="str">
        <f>IFERROR(__xludf.DUMMYFUNCTION("GOOGLETRANSLATE(C:C, ""en"", ""te"")"),"కాడ్రాన్ రకం B 1911 ప్రారంభ కాడ్రాన్ రకం, కాడ్రాన్ టైప్ A యొక్క అభివృద్ధి, ఇది నాసెల్లె స్టైల్ ఫ్యూజ్‌లేజ్ మరియు మరింత శక్తివంతమైన ఇంజిన్. ప్రారంభంలో సమాన స్పాన్ బిప్‌లేన్, ఇది సెస్క్విప్లేన్‌గా సవరించబడింది. ప్రారంభ కాడ్రాన్ విమానం యొక్క పైలట్లు, కాడ్రాన"&amp;"్ టైప్ ఎ, రెక్కపై అసురక్షితంగా కూర్చున్నారు. ఒక టైప్ ఎ ట్రాక్టర్ ఇంజిన్ మరియు పైలట్‌ను చిన్న, స్కిన్డ్ నాసెల్లె ఫ్రేమ్‌లో ఉంచి, దిగువ వింగ్ పైన అమర్చబడి, అబిస్ రకం ఓపెన్ కాక్‌పిట్‌తో ఇలాంటి కానీ పరివేష్టిత నాసెల్లెను ప్రవేశపెట్టింది. ఇది B రకం B నుండి కాడ"&amp;"్రాన్ రకం F వరకు కాడ్రాన్ యొక్క ట్విన్-బూమ్ బైప్‌ల్స్‌పై ప్రామాణిక అమరికగా మారింది మరియు చిన్న మార్పుతో, విస్తృతంగా ఉపయోగించిన మొదటి ప్రపంచ యుద్ధం కాడ్రాన్ G.3 వరకు. [1] దాని అసలు రూపంలో, B రకం సమానమైన వ్యవధి, వైర్ రెండు బే బైప్‌లేన్‌ను కలుపుతుంది, అయితే "&amp;"లోపలి బే బయటి వెడల్పులో సగం మాత్రమే. రెండు స్పార్ ఫాబ్రిక్ కప్పబడిన రెక్కలు కోణ చిట్కాలతో పాటు ఒకే దీర్ఘచతురస్రాకార ప్రణాళికను కలిగి ఉన్నాయి. అస్థిరత లేదు, కాబట్టి సమాంతర ఇంటర్‌ప్లేన్ స్ట్రట్‌ల యొక్క మూడు సెట్లు సమాంతరంగా మరియు నిలువుగా ఉన్నాయి; లోపలి జత "&amp;"సెంటర్ విభాగాన్ని నిర్వచించింది మరియు నాసెల్లెకు మరింత కాబేన్ స్ట్రట్స్ సహాయంతో మద్దతు ఇచ్చింది. వెనుక స్పార్ మధ్య తీగ కంటే ముందుంది, వింగ్ యొక్క వెనుక భాగంలో పక్కటెముకలను వదిలివేసి, వింగ్ వార్పింగ్ ద్వారా రోల్ నియంత్రణను అనుమతిస్తుంది. రెండవ రకం B, ఆగష్ట"&amp;"ు 1911 లో ఇలాంటి రెక్కలతో కనిపించిన బి 2, ఆరు నెలల తరువాత సెస్క్విప్లేన్గా సవరించబడింది, ఎగువ వింగ్ స్పాన్ 11.6 మీ (38 అడుగుల 1 అంగుళాలు), తక్కువ వ్యవధి 7.30 మీ (23 అడుగులు 11 ఇన్ ) మరియు మొత్తం రెక్క ప్రాంతం 32 మీ 2 (344 చదరపు అడుగులు). ఎగువ ఓవర్‌హాంగ్‌క"&amp;"ు బాహ్య ఇంటర్‌ప్లేన్ స్ట్రట్స్ యొక్క స్థావరాల నుండి సమాంతర, బాహ్యంగా వాలుతున్న స్ట్రట్‌లు మద్దతు ఇచ్చాయి. చాలా తరువాత కాడ్రాన్ నమూనాలు అదేవిధంగా బ్రాస్డ్ సెస్క్విప్లేన్లు. [2] నాసెల్లె ఒక సరళమైన, ఫ్లాట్ సైడెడ్ స్ట్రక్చర్, ఇది ముందు 37 kW (50 hp) గ్నోమ్ ఒమ"&amp;"ేగా రోటరీ ఇంజిన్‌ను కలిగి ఉంది. 37 కిలోవాట్ల (50 హెచ్‌పి) అంజాని 6-సిలిండర్ రేడియల్ ఇంజిన్ కూడా అమర్చబడి ఉండవచ్చు. ఇంజిన్ వెనుక విలోమంగా అమర్చిన, స్థూపాకార ఇంధన ట్యాంక్ ఉంది, దాని పై సగం ఓపెన్ కాక్‌పిట్ ముందు భాగంలో కనిపిస్తుంది. ప్రారంభంలో కాడ్రాన్ కేటలా"&amp;"గ్ B టైప్ను మూడు-సీటర్లుగా, తరువాత రెండు సీటర్లుగా అభివర్ణించింది, పైలట్ ఎల్లప్పుడూ నాసెల్లె యొక్క విపరీతమైన వెనుక భాగంలో ఉంటుంది. ఛాయాచిత్రాలు B ను దాని ప్రారంభ రూపంలో రెండు మీదితో చూపిస్తాయి, తరువాత, నాసెల్లె మరియు లోయర్ వింగ్ మధ్య అంతరాన్ని మూడుతో మరొక"&amp;" ట్యాంక్ అమర్చిన తరువాత. [2] టైప్ బి యొక్క సామ్రాజ్యం ప్రణాళికలో ఒకదానికొకటి సమాంతరంగా ఏర్పాటు చేసిన ఒక జత గిర్డర్లకు మద్దతు ఇవ్వబడింది. ఎగువ గిర్డర్ సభ్యులు లోపలి ఇంటర్‌ప్లేన్ స్ట్రట్‌ల పైభాగంలో ఉన్న ఎగువ వింగ్ స్పార్‌లకు జతచేయబడ్డారు మరియు దిగువ వాటిని "&amp;"దిగువ వింగ్ కింద నడిచి, ఇంటర్‌ప్లేన్ స్ట్రట్ ఎక్స్‌టెన్షన్స్‌పై అమర్చారు. ఈ దిగువ సభ్యులు, భూమిపై ఉన్న విమానానికి స్కిడ్లుగా మద్దతు ఇచ్చారు, ప్రతి ఒక్కరూ జంట ల్యాండింగ్ చక్రాలను తీసుకువెళ్లారు మరియు వాటి ముందు పైకి వంగారు, వికర్ణ స్ట్రట్‌ల ద్వారా బలోపేతం "&amp;"అవుతుంది. రెక్క వెనుక ఎగువ మరియు దిగువ సభ్యులు వెనుక వైపుకు కలుస్తారు. ప్రతి గిర్డర్‌లో మూడు నిలువు క్రాస్ కలుపులు ఉన్నాయి, కాని వైర్ బ్రేసింగ్ ఉన్నప్పటికీ, పార్శ్వ అంతర్-అమ్మాయి స్ట్రట్స్ తోక దగ్గర మాత్రమే ఉన్నాయి. విస్తృత తీగ, సుమారు దీర్ఘచతురస్రాకార, వ"&amp;"ార్పింగ్ టెయిల్‌ప్లేన్ ఎగువ గిర్డర్ సభ్యునికి కొంచెం దిగువన అమర్చబడింది. దాని పైన, ఒక జత దీర్ఘచతురస్రాకార రడ్డర్లు టెయిల్‌ప్లేన్ వ్యవధిలో మూడింట ఒక వంతు ద్వారా వేరు చేయబడ్డాయి. [2] టైప్ బి మొదట 28 జనవరి 1911 న ప్రయాణించింది. జూన్ 1911 లో ప్రారంభమైన యూరోపి"&amp;"యన్ సర్క్యూట్ పోటీలో ఫ్రాన్స్, బెల్జియం, నెదర్లాండ్స్ మరియు ఇంగ్లాండ్‌లోని పట్టణాల మధ్య విమానాలు ఉన్నాయి. [3] డువల్ కాడ్రాన్ రకం అబిస్‌తో పాల్గొన్నాడు, కాని బ్రస్సెల్స్ సమీపంలో ఐదవ దశ చివరలో దానిని వదిలివేయవలసి వచ్చింది. అతను జూలై 4 న ర్యూలోని కాడ్రాన్ ఫ్"&amp;"యాక్టరీ నుండి టై రకాన్ని సేకరించి, కలైస్ ద్వారా బ్రైటన్ మరియు డోవర్ వరకు ప్రయాణించాడు, సర్క్యూట్ యొక్క ఆంగ్ల భాగంలో గమ్యస్థానాలు. [2] 1912 లో బి 2 ను అగస్టే మాకన్ కొనుగోలు చేశారు, ఫిబ్రవరి 16 న అతను పోర్టో మౌరిజియోకు విమాన ప్రయాణం ప్రారంభిస్తాడని మరియు అక"&amp;"్కడ నుండి నైస్ వరకు ప్రకటించాడు. [2] అతని ప్రయాణం యొక్క వివరాలు తెలియదు కాని ఆగస్టు 18 న అతను అల్లాసియో నుండి, పోర్టో మౌరిజియో నుండి 21 కిలోమీటర్ల (13 మైళ్ళు), 150 కిమీ (93 మైళ్ళు) ఫ్లైట్. [4] కాడ్రాన్ యొక్క 1912 కేటలాగ్, బి మల్టిప్లేస్ అనే టైప్ లో మరొక క"&amp;"ానీ సంబంధం లేని రకం B కనిపించింది. ఇది అసమాన వ్యవధి యొక్క రెక్కలతో కూడిన పెద్ద మూడు బే బైప్‌లేన్ మరియు, 1910-15 కాలం యొక్క కాడ్రాన్లకు ప్రత్యేకంగా, సాంప్రదాయిక పరివేష్టిత, పూర్తి పొడవు ఫ్యూజ్‌లేజ్. పేరు నొక్కిచెప్పినట్లుగా, ఇది చాలా మంది ప్రయాణీకులను తీసు"&amp;"కువెళ్ళడానికి ఉద్దేశించబడింది. [5] హావెట్ నుండి డేటా (2001) p.21 [2] సాధారణ లక్షణాలు")</f>
        <v>కాడ్రాన్ రకం B 1911 ప్రారంభ కాడ్రాన్ రకం, కాడ్రాన్ టైప్ A యొక్క అభివృద్ధి, ఇది నాసెల్లె స్టైల్ ఫ్యూజ్‌లేజ్ మరియు మరింత శక్తివంతమైన ఇంజిన్. ప్రారంభంలో సమాన స్పాన్ బిప్‌లేన్, ఇది సెస్క్విప్లేన్‌గా సవరించబడింది. ప్రారంభ కాడ్రాన్ విమానం యొక్క పైలట్లు, కాడ్రాన్ టైప్ ఎ, రెక్కపై అసురక్షితంగా కూర్చున్నారు. ఒక టైప్ ఎ ట్రాక్టర్ ఇంజిన్ మరియు పైలట్‌ను చిన్న, స్కిన్డ్ నాసెల్లె ఫ్రేమ్‌లో ఉంచి, దిగువ వింగ్ పైన అమర్చబడి, అబిస్ రకం ఓపెన్ కాక్‌పిట్‌తో ఇలాంటి కానీ పరివేష్టిత నాసెల్లెను ప్రవేశపెట్టింది. ఇది B రకం B నుండి కాడ్రాన్ రకం F వరకు కాడ్రాన్ యొక్క ట్విన్-బూమ్ బైప్‌ల్స్‌పై ప్రామాణిక అమరికగా మారింది మరియు చిన్న మార్పుతో, విస్తృతంగా ఉపయోగించిన మొదటి ప్రపంచ యుద్ధం కాడ్రాన్ G.3 వరకు. [1] దాని అసలు రూపంలో, B రకం సమానమైన వ్యవధి, వైర్ రెండు బే బైప్‌లేన్‌ను కలుపుతుంది, అయితే లోపలి బే బయటి వెడల్పులో సగం మాత్రమే. రెండు స్పార్ ఫాబ్రిక్ కప్పబడిన రెక్కలు కోణ చిట్కాలతో పాటు ఒకే దీర్ఘచతురస్రాకార ప్రణాళికను కలిగి ఉన్నాయి. అస్థిరత లేదు, కాబట్టి సమాంతర ఇంటర్‌ప్లేన్ స్ట్రట్‌ల యొక్క మూడు సెట్లు సమాంతరంగా మరియు నిలువుగా ఉన్నాయి; లోపలి జత సెంటర్ విభాగాన్ని నిర్వచించింది మరియు నాసెల్లెకు మరింత కాబేన్ స్ట్రట్స్ సహాయంతో మద్దతు ఇచ్చింది. వెనుక స్పార్ మధ్య తీగ కంటే ముందుంది, వింగ్ యొక్క వెనుక భాగంలో పక్కటెముకలను వదిలివేసి, వింగ్ వార్పింగ్ ద్వారా రోల్ నియంత్రణను అనుమతిస్తుంది. రెండవ రకం B, ఆగష్టు 1911 లో ఇలాంటి రెక్కలతో కనిపించిన బి 2, ఆరు నెలల తరువాత సెస్క్విప్లేన్గా సవరించబడింది, ఎగువ వింగ్ స్పాన్ 11.6 మీ (38 అడుగుల 1 అంగుళాలు), తక్కువ వ్యవధి 7.30 మీ (23 అడుగులు 11 ఇన్ ) మరియు మొత్తం రెక్క ప్రాంతం 32 మీ 2 (344 చదరపు అడుగులు). ఎగువ ఓవర్‌హాంగ్‌కు బాహ్య ఇంటర్‌ప్లేన్ స్ట్రట్స్ యొక్క స్థావరాల నుండి సమాంతర, బాహ్యంగా వాలుతున్న స్ట్రట్‌లు మద్దతు ఇచ్చాయి. చాలా తరువాత కాడ్రాన్ నమూనాలు అదేవిధంగా బ్రాస్డ్ సెస్క్విప్లేన్లు. [2] నాసెల్లె ఒక సరళమైన, ఫ్లాట్ సైడెడ్ స్ట్రక్చర్, ఇది ముందు 37 kW (50 hp) గ్నోమ్ ఒమేగా రోటరీ ఇంజిన్‌ను కలిగి ఉంది. 37 కిలోవాట్ల (50 హెచ్‌పి) అంజాని 6-సిలిండర్ రేడియల్ ఇంజిన్ కూడా అమర్చబడి ఉండవచ్చు. ఇంజిన్ వెనుక విలోమంగా అమర్చిన, స్థూపాకార ఇంధన ట్యాంక్ ఉంది, దాని పై సగం ఓపెన్ కాక్‌పిట్ ముందు భాగంలో కనిపిస్తుంది. ప్రారంభంలో కాడ్రాన్ కేటలాగ్ B టైప్ను మూడు-సీటర్లుగా, తరువాత రెండు సీటర్లుగా అభివర్ణించింది, పైలట్ ఎల్లప్పుడూ నాసెల్లె యొక్క విపరీతమైన వెనుక భాగంలో ఉంటుంది. ఛాయాచిత్రాలు B ను దాని ప్రారంభ రూపంలో రెండు మీదితో చూపిస్తాయి, తరువాత, నాసెల్లె మరియు లోయర్ వింగ్ మధ్య అంతరాన్ని మూడుతో మరొక ట్యాంక్ అమర్చిన తరువాత. [2] టైప్ బి యొక్క సామ్రాజ్యం ప్రణాళికలో ఒకదానికొకటి సమాంతరంగా ఏర్పాటు చేసిన ఒక జత గిర్డర్లకు మద్దతు ఇవ్వబడింది. ఎగువ గిర్డర్ సభ్యులు లోపలి ఇంటర్‌ప్లేన్ స్ట్రట్‌ల పైభాగంలో ఉన్న ఎగువ వింగ్ స్పార్‌లకు జతచేయబడ్డారు మరియు దిగువ వాటిని దిగువ వింగ్ కింద నడిచి, ఇంటర్‌ప్లేన్ స్ట్రట్ ఎక్స్‌టెన్షన్స్‌పై అమర్చారు. ఈ దిగువ సభ్యులు, భూమిపై ఉన్న విమానానికి స్కిడ్లుగా మద్దతు ఇచ్చారు, ప్రతి ఒక్కరూ జంట ల్యాండింగ్ చక్రాలను తీసుకువెళ్లారు మరియు వాటి ముందు పైకి వంగారు, వికర్ణ స్ట్రట్‌ల ద్వారా బలోపేతం అవుతుంది. రెక్క వెనుక ఎగువ మరియు దిగువ సభ్యులు వెనుక వైపుకు కలుస్తారు. ప్రతి గిర్డర్‌లో మూడు నిలువు క్రాస్ కలుపులు ఉన్నాయి, కాని వైర్ బ్రేసింగ్ ఉన్నప్పటికీ, పార్శ్వ అంతర్-అమ్మాయి స్ట్రట్స్ తోక దగ్గర మాత్రమే ఉన్నాయి. విస్తృత తీగ, సుమారు దీర్ఘచతురస్రాకార, వార్పింగ్ టెయిల్‌ప్లేన్ ఎగువ గిర్డర్ సభ్యునికి కొంచెం దిగువన అమర్చబడింది. దాని పైన, ఒక జత దీర్ఘచతురస్రాకార రడ్డర్లు టెయిల్‌ప్లేన్ వ్యవధిలో మూడింట ఒక వంతు ద్వారా వేరు చేయబడ్డాయి. [2] టైప్ బి మొదట 28 జనవరి 1911 న ప్రయాణించింది. జూన్ 1911 లో ప్రారంభమైన యూరోపియన్ సర్క్యూట్ పోటీలో ఫ్రాన్స్, బెల్జియం, నెదర్లాండ్స్ మరియు ఇంగ్లాండ్‌లోని పట్టణాల మధ్య విమానాలు ఉన్నాయి. [3] డువల్ కాడ్రాన్ రకం అబిస్‌తో పాల్గొన్నాడు, కాని బ్రస్సెల్స్ సమీపంలో ఐదవ దశ చివరలో దానిని వదిలివేయవలసి వచ్చింది. అతను జూలై 4 న ర్యూలోని కాడ్రాన్ ఫ్యాక్టరీ నుండి టై రకాన్ని సేకరించి, కలైస్ ద్వారా బ్రైటన్ మరియు డోవర్ వరకు ప్రయాణించాడు, సర్క్యూట్ యొక్క ఆంగ్ల భాగంలో గమ్యస్థానాలు. [2] 1912 లో బి 2 ను అగస్టే మాకన్ కొనుగోలు చేశారు, ఫిబ్రవరి 16 న అతను పోర్టో మౌరిజియోకు విమాన ప్రయాణం ప్రారంభిస్తాడని మరియు అక్కడ నుండి నైస్ వరకు ప్రకటించాడు. [2] అతని ప్రయాణం యొక్క వివరాలు తెలియదు కాని ఆగస్టు 18 న అతను అల్లాసియో నుండి, పోర్టో మౌరిజియో నుండి 21 కిలోమీటర్ల (13 మైళ్ళు), 150 కిమీ (93 మైళ్ళు) ఫ్లైట్. [4] కాడ్రాన్ యొక్క 1912 కేటలాగ్, బి మల్టిప్లేస్ అనే టైప్ లో మరొక కానీ సంబంధం లేని రకం B కనిపించింది. ఇది అసమాన వ్యవధి యొక్క రెక్కలతో కూడిన పెద్ద మూడు బే బైప్‌లేన్ మరియు, 1910-15 కాలం యొక్క కాడ్రాన్లకు ప్రత్యేకంగా, సాంప్రదాయిక పరివేష్టిత, పూర్తి పొడవు ఫ్యూజ్‌లేజ్. పేరు నొక్కిచెప్పినట్లుగా, ఇది చాలా మంది ప్రయాణీకులను తీసుకువెళ్ళడానికి ఉద్దేశించబడింది. [5] హావెట్ నుండి డేటా (2001) p.21 [2] సాధారణ లక్షణాలు</v>
      </c>
      <c r="F64" s="1" t="s">
        <v>1261</v>
      </c>
      <c r="G64" s="1" t="str">
        <f>IFERROR(__xludf.DUMMYFUNCTION("GOOGLETRANSLATE(F:F, ""en"", ""te"")"),"రెండు సీట్ల బిప్‌లేన్")</f>
        <v>రెండు సీట్ల బిప్‌లేన్</v>
      </c>
      <c r="H64" s="1" t="s">
        <v>1262</v>
      </c>
      <c r="I64" s="1" t="s">
        <v>1200</v>
      </c>
      <c r="J64" s="1" t="str">
        <f>IFERROR(__xludf.DUMMYFUNCTION("GOOGLETRANSLATE(I:I, ""en"", ""te"")"),"కాడ్రాన్")</f>
        <v>కాడ్రాన్</v>
      </c>
      <c r="K64" s="4" t="s">
        <v>1201</v>
      </c>
      <c r="M64" s="2"/>
      <c r="O64" s="1">
        <v>2.0</v>
      </c>
      <c r="P64" s="1" t="s">
        <v>1263</v>
      </c>
      <c r="Q64" s="1" t="s">
        <v>1264</v>
      </c>
      <c r="R64" s="1" t="s">
        <v>129</v>
      </c>
      <c r="S64" s="1" t="s">
        <v>1265</v>
      </c>
      <c r="T64" s="1" t="s">
        <v>1266</v>
      </c>
      <c r="U64" s="1" t="s">
        <v>328</v>
      </c>
      <c r="V64" s="1" t="s">
        <v>1267</v>
      </c>
      <c r="W64" s="1" t="s">
        <v>1268</v>
      </c>
      <c r="Z64" s="1" t="s">
        <v>1269</v>
      </c>
      <c r="AA64" s="1" t="s">
        <v>1270</v>
      </c>
      <c r="AC64" s="1" t="s">
        <v>1271</v>
      </c>
      <c r="AF64" s="1" t="s">
        <v>465</v>
      </c>
      <c r="AG64" s="4" t="s">
        <v>466</v>
      </c>
      <c r="AH64" s="1" t="s">
        <v>261</v>
      </c>
      <c r="AL64" s="1" t="s">
        <v>1272</v>
      </c>
      <c r="AO64" s="5">
        <v>4046.0</v>
      </c>
      <c r="AR64" s="1" t="s">
        <v>1273</v>
      </c>
      <c r="AS64" s="1" t="s">
        <v>1274</v>
      </c>
    </row>
    <row r="65">
      <c r="A65" s="1" t="s">
        <v>1275</v>
      </c>
      <c r="B65" s="1" t="str">
        <f>IFERROR(__xludf.DUMMYFUNCTION("GOOGLETRANSLATE(A:A, ""en"", ""te"")"),"ఎక్స్‌ప్లోరైర్ రిలాక్స్ MV")</f>
        <v>ఎక్స్‌ప్లోరైర్ రిలాక్స్ MV</v>
      </c>
      <c r="C65" s="1" t="s">
        <v>1276</v>
      </c>
      <c r="D65" s="2" t="str">
        <f>IFERROR(__xludf.DUMMYFUNCTION("GOOGLETRANSLATE(C:C, ""en"", ""te"")"),"ఎక్స్‌ప్లోరైర్ రిలాక్స్ MV అనేది జర్మన్ శక్తితో కూడిన పారాచూట్, దీనిని మాథియాస్ మౌచ్ రూపొందించారు మరియు ఎక్స్‌ప్లోరైర్ ఆఫ్ ఎబ్రింగెన్, బ్రెయిస్‌గా-హోచ్వార్జ్వాల్డ్ బాడెన్-వుర్టెంబెర్గ్‌లో నిర్మించారు. ఇప్పుడు ఉత్పత్తిలో లేదు, ఇది అందుబాటులో ఉన్నప్పుడు విమ"&amp;"ానం పూర్తి రెడీ-టు-ఫ్లై-విమానయానంగా సరఫరా చేయబడింది. [1] ఈ విమానం సుమారు 2002 లో ప్రవేశపెట్టబడింది మరియు 2004 లో కంపెనీ వ్యాపారం నుండి బయటపడినప్పుడు ఉత్పత్తి ముగిసింది. [2] రిలాక్స్ MV ఫెడరేషన్ ఏరోనటిక్ ఇంటర్నేషనల్ మైక్రోలైట్ కేటగిరీ మరియు యుఎస్ ఫార్ 103 "&amp;"అల్ట్రాలైట్ వెహికల్స్ నిబంధనలకు అనుగుణంగా రూపొందించబడింది. [1] రిలాక్స్ MV లో 42 మీ 2 (450 చదరపు అడుగులు) పారాచూట్-శైలి వింగ్, సింగిల్-ప్లేస్ వసతి, ట్రైసైకిల్ ల్యాండింగ్ గేర్ మరియు ఒకే 28 హెచ్‌పి (21 కిలోవాట్) ఎక్స్‌ప్లోరైర్-కన్వర్టెడ్ బ్రిగ్స్ &amp; స్ట్రాటన"&amp;"్ ఫోర్ స్ట్రోక్ ఇంజిన్ పషర్ కాన్ఫిగరేషన్‌లో ఉన్నాయి. విమానం క్యారేజ్ మిశ్రమ పదార్థం మరియు బోల్ట్ అల్యూమినియం గొట్టాల కలయిక నుండి నిర్మించబడింది. [1] క్యారేజీని హాంగ్ గ్లైడర్ వింగ్‌తో అల్ట్రాలైట్ ట్రైక్‌గా మార్చవచ్చు. [1] ఈ విమానం ఖాళీ బరువు 115 కిలోల (254"&amp;" పౌండ్లు) మరియు స్థూల బరువు 250 కిలోల (551 పౌండ్లు), ఇది 135 కిలోల (298 పౌండ్లు) ఉపయోగకరమైన లోడ్‌ను ఇస్తుంది. 22 లీటర్ల పూర్తి ఇంధనంతో (4.8 ఇంప్ గల్; 5.8 యుఎస్ గాల్) పైలట్ మరియు సామాను కోసం పేలోడ్ 119 కిలోలు (262 ఎల్బి). [1] బెర్ట్రాండ్ నుండి డేటా [1] సాధ"&amp;"ారణ లక్షణాల పనితీరు")</f>
        <v>ఎక్స్‌ప్లోరైర్ రిలాక్స్ MV అనేది జర్మన్ శక్తితో కూడిన పారాచూట్, దీనిని మాథియాస్ మౌచ్ రూపొందించారు మరియు ఎక్స్‌ప్లోరైర్ ఆఫ్ ఎబ్రింగెన్, బ్రెయిస్‌గా-హోచ్వార్జ్వాల్డ్ బాడెన్-వుర్టెంబెర్గ్‌లో నిర్మించారు. ఇప్పుడు ఉత్పత్తిలో లేదు, ఇది అందుబాటులో ఉన్నప్పుడు విమానం పూర్తి రెడీ-టు-ఫ్లై-విమానయానంగా సరఫరా చేయబడింది. [1] ఈ విమానం సుమారు 2002 లో ప్రవేశపెట్టబడింది మరియు 2004 లో కంపెనీ వ్యాపారం నుండి బయటపడినప్పుడు ఉత్పత్తి ముగిసింది. [2] రిలాక్స్ MV ఫెడరేషన్ ఏరోనటిక్ ఇంటర్నేషనల్ మైక్రోలైట్ కేటగిరీ మరియు యుఎస్ ఫార్ 103 అల్ట్రాలైట్ వెహికల్స్ నిబంధనలకు అనుగుణంగా రూపొందించబడింది. [1] రిలాక్స్ MV లో 42 మీ 2 (450 చదరపు అడుగులు) పారాచూట్-శైలి వింగ్, సింగిల్-ప్లేస్ వసతి, ట్రైసైకిల్ ల్యాండింగ్ గేర్ మరియు ఒకే 28 హెచ్‌పి (21 కిలోవాట్) ఎక్స్‌ప్లోరైర్-కన్వర్టెడ్ బ్రిగ్స్ &amp; స్ట్రాటన్ ఫోర్ స్ట్రోక్ ఇంజిన్ పషర్ కాన్ఫిగరేషన్‌లో ఉన్నాయి. విమానం క్యారేజ్ మిశ్రమ పదార్థం మరియు బోల్ట్ అల్యూమినియం గొట్టాల కలయిక నుండి నిర్మించబడింది. [1] క్యారేజీని హాంగ్ గ్లైడర్ వింగ్‌తో అల్ట్రాలైట్ ట్రైక్‌గా మార్చవచ్చు. [1] ఈ విమానం ఖాళీ బరువు 115 కిలోల (254 పౌండ్లు) మరియు స్థూల బరువు 250 కిలోల (551 పౌండ్లు), ఇది 135 కిలోల (298 పౌండ్లు) ఉపయోగకరమైన లోడ్‌ను ఇస్తుంది. 22 లీటర్ల పూర్తి ఇంధనంతో (4.8 ఇంప్ గల్; 5.8 యుఎస్ గాల్) పైలట్ మరియు సామాను కోసం పేలోడ్ 119 కిలోలు (262 ఎల్బి). [1] బెర్ట్రాండ్ నుండి డేటా [1] సాధారణ లక్షణాల పనితీరు</v>
      </c>
      <c r="F65" s="1" t="s">
        <v>1277</v>
      </c>
      <c r="G65" s="1" t="str">
        <f>IFERROR(__xludf.DUMMYFUNCTION("GOOGLETRANSLATE(F:F, ""en"", ""te"")"),"శక్తితో కూడిన పారాచూట్")</f>
        <v>శక్తితో కూడిన పారాచూట్</v>
      </c>
      <c r="H65" s="1" t="s">
        <v>1278</v>
      </c>
      <c r="I65" s="1" t="s">
        <v>1279</v>
      </c>
      <c r="J65" s="1" t="str">
        <f>IFERROR(__xludf.DUMMYFUNCTION("GOOGLETRANSLATE(I:I, ""en"", ""te"")"),"అన్వేషణ")</f>
        <v>అన్వేషణ</v>
      </c>
      <c r="K65" s="4" t="s">
        <v>1280</v>
      </c>
      <c r="L65" s="1" t="s">
        <v>1281</v>
      </c>
      <c r="M65" s="2" t="str">
        <f>IFERROR(__xludf.DUMMYFUNCTION("GOOGLETRANSLATE(L:L, ""en"", ""te"")"),"మాథియాస్ మౌచ్")</f>
        <v>మాథియాస్ మౌచ్</v>
      </c>
      <c r="R65" s="1" t="s">
        <v>222</v>
      </c>
      <c r="V65" s="1" t="s">
        <v>1282</v>
      </c>
      <c r="W65" s="1" t="s">
        <v>1283</v>
      </c>
      <c r="X65" s="1" t="s">
        <v>1284</v>
      </c>
      <c r="Z65" s="1" t="s">
        <v>1285</v>
      </c>
      <c r="AB65" s="1" t="s">
        <v>1286</v>
      </c>
      <c r="AF65" s="1" t="s">
        <v>335</v>
      </c>
      <c r="AG65" s="4" t="s">
        <v>336</v>
      </c>
      <c r="AK65" s="1" t="s">
        <v>1287</v>
      </c>
      <c r="AS65" s="1" t="s">
        <v>1288</v>
      </c>
      <c r="AU65" s="1" t="s">
        <v>1289</v>
      </c>
      <c r="AX65" s="1" t="s">
        <v>1290</v>
      </c>
      <c r="BJ65" s="1" t="s">
        <v>1291</v>
      </c>
    </row>
    <row r="66">
      <c r="A66" s="1" t="s">
        <v>1292</v>
      </c>
      <c r="B66" s="1" t="str">
        <f>IFERROR(__xludf.DUMMYFUNCTION("GOOGLETRANSLATE(A:A, ""en"", ""te"")"),"హై స్పీడ్ టార్గెట్ డ్రోన్")</f>
        <v>హై స్పీడ్ టార్గెట్ డ్రోన్</v>
      </c>
      <c r="C66" s="1" t="s">
        <v>1293</v>
      </c>
      <c r="D66" s="2" t="str">
        <f>IFERROR(__xludf.DUMMYFUNCTION("GOOGLETRANSLATE(C:C, ""en"", ""te"")"),"టార్గెట్ డ్రోన్ అనేది ఎయిర్ డిఫెన్స్ పాత్రకు మరియు శిక్షణ పాత్రతో కూడిన వ్యవస్థగా ఉద్దేశించబడింది. డ్రోన్ ఆధునిక గ్రౌండ్ కంట్రోల్ స్టేషన్ కలిగి ఉంది, ఇది మిషన్ ప్లానింగ్ మరియు రీ-టాస్కింగ్, మిషన్ రిహార్సల్ మరియు ప్లేబ్యాక్ మరియు సిస్టమ్ వాడకం కోసం ఆపరేటర్"&amp;"ల శిక్షణను అనుమతిస్తుంది. ఫ్యూజ్‌లేజ్ లోపల ఇన్‌స్టాల్ చేయబడిన మిషన్ పేలోడ్‌ల యొక్క విస్తృత మరియు సౌకర్యవంతమైన ఎంపిక, శిక్షణ మరియు ఆయుధ వ్యవస్థల పరీక్ష మరియు మూల్యాంకన ప్రయోజనాల కోసం చాలా క్లిష్టమైన క్షిపణి వ్యవస్థల నిశ్చితార్థ దృశ్యాల అవసరాలకు సమర్థవంతంగా"&amp;" అనుగుణంగా ఉంటుంది. మొదటిసారి EDEPRO ప్రదర్శన. మానవరహిత వైమానిక వాహనంపై ఈ వ్యాసం ఒక స్టబ్. వికీపీడియా విస్తరించడం ద్వారా మీరు సహాయపడవచ్చు.")</f>
        <v>టార్గెట్ డ్రోన్ అనేది ఎయిర్ డిఫెన్స్ పాత్రకు మరియు శిక్షణ పాత్రతో కూడిన వ్యవస్థగా ఉద్దేశించబడింది. డ్రోన్ ఆధునిక గ్రౌండ్ కంట్రోల్ స్టేషన్ కలిగి ఉంది, ఇది మిషన్ ప్లానింగ్ మరియు రీ-టాస్కింగ్, మిషన్ రిహార్సల్ మరియు ప్లేబ్యాక్ మరియు సిస్టమ్ వాడకం కోసం ఆపరేటర్ల శిక్షణను అనుమతిస్తుంది. ఫ్యూజ్‌లేజ్ లోపల ఇన్‌స్టాల్ చేయబడిన మిషన్ పేలోడ్‌ల యొక్క విస్తృత మరియు సౌకర్యవంతమైన ఎంపిక, శిక్షణ మరియు ఆయుధ వ్యవస్థల పరీక్ష మరియు మూల్యాంకన ప్రయోజనాల కోసం చాలా క్లిష్టమైన క్షిపణి వ్యవస్థల నిశ్చితార్థ దృశ్యాల అవసరాలకు సమర్థవంతంగా అనుగుణంగా ఉంటుంది. మొదటిసారి EDEPRO ప్రదర్శన. మానవరహిత వైమానిక వాహనంపై ఈ వ్యాసం ఒక స్టబ్. వికీపీడియా విస్తరించడం ద్వారా మీరు సహాయపడవచ్చు.</v>
      </c>
      <c r="E66" s="1" t="s">
        <v>1250</v>
      </c>
      <c r="F66" s="1" t="s">
        <v>170</v>
      </c>
      <c r="G66" s="1" t="str">
        <f>IFERROR(__xludf.DUMMYFUNCTION("GOOGLETRANSLATE(F:F, ""en"", ""te"")"),"మానవరహిత వైమానిక వాహనం")</f>
        <v>మానవరహిత వైమానిక వాహనం</v>
      </c>
      <c r="H66" s="1" t="s">
        <v>171</v>
      </c>
      <c r="I66" s="1" t="s">
        <v>1253</v>
      </c>
      <c r="J66" s="1" t="str">
        <f>IFERROR(__xludf.DUMMYFUNCTION("GOOGLETRANSLATE(I:I, ""en"", ""te"")"),"EDEPRO")</f>
        <v>EDEPRO</v>
      </c>
      <c r="K66" s="4" t="s">
        <v>1254</v>
      </c>
      <c r="L66" s="1" t="s">
        <v>1253</v>
      </c>
      <c r="M66" s="2" t="str">
        <f>IFERROR(__xludf.DUMMYFUNCTION("GOOGLETRANSLATE(L:L, ""en"", ""te"")"),"EDEPRO")</f>
        <v>EDEPRO</v>
      </c>
      <c r="N66" s="4" t="s">
        <v>1254</v>
      </c>
      <c r="O66" s="1" t="s">
        <v>1255</v>
      </c>
      <c r="P66" s="1">
        <v>2015.0</v>
      </c>
      <c r="AF66" s="1" t="s">
        <v>1256</v>
      </c>
      <c r="AG66" s="4" t="s">
        <v>1257</v>
      </c>
      <c r="AS66" s="1" t="s">
        <v>1258</v>
      </c>
    </row>
    <row r="67">
      <c r="A67" s="1" t="s">
        <v>1294</v>
      </c>
      <c r="B67" s="1" t="str">
        <f>IFERROR(__xludf.DUMMYFUNCTION("GOOGLETRANSLATE(A:A, ""en"", ""te"")"),"కాడ్రాన్ C.251")</f>
        <v>కాడ్రాన్ C.251</v>
      </c>
      <c r="C67" s="1" t="s">
        <v>1295</v>
      </c>
      <c r="D67" s="2" t="str">
        <f>IFERROR(__xludf.DUMMYFUNCTION("GOOGLETRANSLATE(C:C, ""en"", ""te"")"),"కాడ్రాన్ C.251 ET-2 ఒక ఫ్రెంచ్ టెన్డం సీటు, ఓపెన్ కాక్‌పిట్ బిప్‌లేన్ ఇంటర్మీడియట్ ట్రైనర్‌గా రూపొందించబడింది మరియు 1931 లో నిర్మించబడింది. ఇది ఉత్పత్తిలోకి వెళ్ళలేదు. రెండు సీటులు, ఓపెన్ కాక్‌పిట్ C.251 1922 నుండి ఇంటర్మీడియట్ ట్రైనర్ విమానం వలె సర్వత్రా"&amp;" కాడ్రాన్ C.59 ను భర్తీ చేయడానికి రూపొందించబడింది. ఇది ఎన్-ఫారమ్ ఇంటర్‌ప్లేన్ స్ట్రట్‌లతో కూడిన సింగిల్ బే బైప్‌లేన్, దాని అప్పర్ వింగ్ ఒక జత చిన్న, నిలువు, ఎన్-ఫారమ్ క్యాబనే స్ట్రట్‌లపై ఫ్యూజ్‌లేజ్‌పై మద్దతు ఇస్తుంది. కొంచెం తక్కువ స్పాన్ దిగువ రెక్కలు ద"&amp;"ిగువ ఫ్యూజ్‌లేజ్ లాంగన్స్‌పై ఫ్యూజ్‌లేజ్ దిగువ భాగంలో కొంచెం పైన అమర్చబడి ఉన్నాయి మరియు, ఎగువ వింగ్ మాదిరిగా కాకుండా కొన్ని డైహెడ్రల్ ఉంది. రెక్కలు గణనీయమైన అస్థిరంగా ఉన్నాయి, కానీ ఇలాంటి ప్రణాళికను కలిగి ఉన్నాయి, సమానమైన మరియు స్థిరమైన తీగతో, స్ట్రెయిట్ "&amp;"కాని కోణాల రెక్క చిట్కా దగ్గర తప్ప. దిగువ రెక్కలు మాత్రమే ఐలెరాన్‌లను కలిగి ఉన్నాయి. [1] ఇది 180 కిలోవాట్ల (240 హెచ్‌పి) లోరైన్ 7ME మిజార్ ఏడు సిలిండర్ రేడియల్ ఇంజిన్‌తో శక్తిని పొందింది, ఇది టౌనెండ్ రింగ్ రకం కౌలింగ్‌ను కలిగి ఉంది మరియు శంఖాకార స్పిన్నర్"&amp;"‌తో రెండు బ్లేడ్ మెటల్ ప్రొపెల్లర్‌ను నడిపింది. ఇంజిన్ వెనుక ఫ్యూజ్‌లేజ్ ఫాబ్రిక్ కప్పబడి మరియు ఫ్లాట్ సైడెడ్, అయినప్పటికీ బహుభుజి దిగువ భాగంలో మరియు డెక్కింగ్. ఫార్వర్డ్ కాక్‌పిట్ ఎగువ వింగ్ వెనుకంజలో ఉంది, ఇక్కడ కొంచెం కటౌట్ విద్యార్థి యొక్క పైకి దృశ్యా"&amp;"న్ని మెరుగుపరిచింది. బోధకుడి కాక్‌పిట్ మరింత తిరిగి వచ్చింది. C.251S ఎంపెనేజ్ సాంప్రదాయికమైనది, టెయిల్‌ప్లేన్ మరియు ఎలివేటర్లు ఫ్యూజ్‌లేజ్ పైన అమర్చబడి, విజయాలకు సమానమైన ప్లాన్‌ఫార్మ్‌ను కలిగి ఉంటాయి, చుక్కాని ఉద్యమానికి కటౌట్ కాకుండా. ఫిన్ ప్రొఫైల్ నిస్స"&amp;"ార త్రిభుజం; చుక్కాని దాని ఎగువ రేఖను గుండ్రని చిట్కా మరియు నిటారుగా, నిలువు వెనుకంజలో ఉన్న అంచుకు కొనసాగించింది. [1] C.251 లో స్థిర తోక చక్రం అండర్ క్యారేజ్ ఉంది మరియు కదలిక కోసం తోక వీల్ లెగ్ రూమ్ ఇవ్వడానికి చుక్కాని కొద్దిగా క్రింద కత్తిరించబడింది. ప్ర"&amp;"ధాన చక్రాలు సెంట్రల్ ఫ్యూజ్‌లేజ్ అండర్‌సైడ్‌లో జతచేయబడిన సగం యాక్సిల్స్‌పై అమర్చబడి, దిగువ ఫ్యూజ్‌లేజ్ లాన్స్‌ల నుండి ఫెయిర్డ్ వి-స్ట్రట్‌లపై అతుక్కొని ఉన్నాయి. ల్యాండింగ్ లోడ్లు కాళ్ళతో కలిసిపోయాయి. C.251 1931 మొదటి భాగంలో మొదటిసారిగా ప్రయాణించింది. [2] "&amp;"ఆ అక్టోబరులో ఇది విల్లాకౌబ్లే [1] లోని సైనిక పరీక్షా విభాగానికి వెళ్ళింది మరియు జనవరి 1932 లో ఉంది. [3] ఉత్పత్తి ఉత్తర్వు తరువాత మరియు ఫిబ్రవరి నాటికి ఇస్ట్రెస్ ఏవియేషన్ స్కూల్‌కు వెళ్లేటప్పుడు సెయింట్-సిర్ వద్ద ఏకైక సి .251 ఉంది. [4] హావెట్ నుండి డేటా (2"&amp;"001) పే .236 [1] సాధారణ లక్షణాల పనితీరు")</f>
        <v>కాడ్రాన్ C.251 ET-2 ఒక ఫ్రెంచ్ టెన్డం సీటు, ఓపెన్ కాక్‌పిట్ బిప్‌లేన్ ఇంటర్మీడియట్ ట్రైనర్‌గా రూపొందించబడింది మరియు 1931 లో నిర్మించబడింది. ఇది ఉత్పత్తిలోకి వెళ్ళలేదు. రెండు సీటులు, ఓపెన్ కాక్‌పిట్ C.251 1922 నుండి ఇంటర్మీడియట్ ట్రైనర్ విమానం వలె సర్వత్రా కాడ్రాన్ C.59 ను భర్తీ చేయడానికి రూపొందించబడింది. ఇది ఎన్-ఫారమ్ ఇంటర్‌ప్లేన్ స్ట్రట్‌లతో కూడిన సింగిల్ బే బైప్‌లేన్, దాని అప్పర్ వింగ్ ఒక జత చిన్న, నిలువు, ఎన్-ఫారమ్ క్యాబనే స్ట్రట్‌లపై ఫ్యూజ్‌లేజ్‌పై మద్దతు ఇస్తుంది. కొంచెం తక్కువ స్పాన్ దిగువ రెక్కలు దిగువ ఫ్యూజ్‌లేజ్ లాంగన్స్‌పై ఫ్యూజ్‌లేజ్ దిగువ భాగంలో కొంచెం పైన అమర్చబడి ఉన్నాయి మరియు, ఎగువ వింగ్ మాదిరిగా కాకుండా కొన్ని డైహెడ్రల్ ఉంది. రెక్కలు గణనీయమైన అస్థిరంగా ఉన్నాయి, కానీ ఇలాంటి ప్రణాళికను కలిగి ఉన్నాయి, సమానమైన మరియు స్థిరమైన తీగతో, స్ట్రెయిట్ కాని కోణాల రెక్క చిట్కా దగ్గర తప్ప. దిగువ రెక్కలు మాత్రమే ఐలెరాన్‌లను కలిగి ఉన్నాయి. [1] ఇది 180 కిలోవాట్ల (240 హెచ్‌పి) లోరైన్ 7ME మిజార్ ఏడు సిలిండర్ రేడియల్ ఇంజిన్‌తో శక్తిని పొందింది, ఇది టౌనెండ్ రింగ్ రకం కౌలింగ్‌ను కలిగి ఉంది మరియు శంఖాకార స్పిన్నర్‌తో రెండు బ్లేడ్ మెటల్ ప్రొపెల్లర్‌ను నడిపింది. ఇంజిన్ వెనుక ఫ్యూజ్‌లేజ్ ఫాబ్రిక్ కప్పబడి మరియు ఫ్లాట్ సైడెడ్, అయినప్పటికీ బహుభుజి దిగువ భాగంలో మరియు డెక్కింగ్. ఫార్వర్డ్ కాక్‌పిట్ ఎగువ వింగ్ వెనుకంజలో ఉంది, ఇక్కడ కొంచెం కటౌట్ విద్యార్థి యొక్క పైకి దృశ్యాన్ని మెరుగుపరిచింది. బోధకుడి కాక్‌పిట్ మరింత తిరిగి వచ్చింది. C.251S ఎంపెనేజ్ సాంప్రదాయికమైనది, టెయిల్‌ప్లేన్ మరియు ఎలివేటర్లు ఫ్యూజ్‌లేజ్ పైన అమర్చబడి, విజయాలకు సమానమైన ప్లాన్‌ఫార్మ్‌ను కలిగి ఉంటాయి, చుక్కాని ఉద్యమానికి కటౌట్ కాకుండా. ఫిన్ ప్రొఫైల్ నిస్సార త్రిభుజం; చుక్కాని దాని ఎగువ రేఖను గుండ్రని చిట్కా మరియు నిటారుగా, నిలువు వెనుకంజలో ఉన్న అంచుకు కొనసాగించింది. [1] C.251 లో స్థిర తోక చక్రం అండర్ క్యారేజ్ ఉంది మరియు కదలిక కోసం తోక వీల్ లెగ్ రూమ్ ఇవ్వడానికి చుక్కాని కొద్దిగా క్రింద కత్తిరించబడింది. ప్రధాన చక్రాలు సెంట్రల్ ఫ్యూజ్‌లేజ్ అండర్‌సైడ్‌లో జతచేయబడిన సగం యాక్సిల్స్‌పై అమర్చబడి, దిగువ ఫ్యూజ్‌లేజ్ లాన్స్‌ల నుండి ఫెయిర్డ్ వి-స్ట్రట్‌లపై అతుక్కొని ఉన్నాయి. ల్యాండింగ్ లోడ్లు కాళ్ళతో కలిసిపోయాయి. C.251 1931 మొదటి భాగంలో మొదటిసారిగా ప్రయాణించింది. [2] ఆ అక్టోబరులో ఇది విల్లాకౌబ్లే [1] లోని సైనిక పరీక్షా విభాగానికి వెళ్ళింది మరియు జనవరి 1932 లో ఉంది. [3] ఉత్పత్తి ఉత్తర్వు తరువాత మరియు ఫిబ్రవరి నాటికి ఇస్ట్రెస్ ఏవియేషన్ స్కూల్‌కు వెళ్లేటప్పుడు సెయింట్-సిర్ వద్ద ఏకైక సి .251 ఉంది. [4] హావెట్ నుండి డేటా (2001) పే .236 [1] సాధారణ లక్షణాల పనితీరు</v>
      </c>
      <c r="F67" s="1" t="s">
        <v>1135</v>
      </c>
      <c r="G67" s="1" t="str">
        <f>IFERROR(__xludf.DUMMYFUNCTION("GOOGLETRANSLATE(F:F, ""en"", ""te"")"),"ట్రైనర్ విమానం")</f>
        <v>ట్రైనర్ విమానం</v>
      </c>
      <c r="H67" s="1" t="s">
        <v>1136</v>
      </c>
      <c r="I67" s="1" t="s">
        <v>1200</v>
      </c>
      <c r="J67" s="1" t="str">
        <f>IFERROR(__xludf.DUMMYFUNCTION("GOOGLETRANSLATE(I:I, ""en"", ""te"")"),"కాడ్రాన్")</f>
        <v>కాడ్రాన్</v>
      </c>
      <c r="K67" s="4" t="s">
        <v>1201</v>
      </c>
      <c r="M67" s="2"/>
      <c r="O67" s="1">
        <v>1.0</v>
      </c>
      <c r="R67" s="1" t="s">
        <v>1138</v>
      </c>
      <c r="T67" s="1" t="s">
        <v>1296</v>
      </c>
      <c r="V67" s="1" t="s">
        <v>1297</v>
      </c>
      <c r="W67" s="1" t="s">
        <v>1298</v>
      </c>
      <c r="X67" s="1" t="s">
        <v>1299</v>
      </c>
      <c r="Z67" s="1" t="s">
        <v>1300</v>
      </c>
      <c r="AB67" s="1" t="s">
        <v>1301</v>
      </c>
      <c r="AF67" s="1" t="s">
        <v>465</v>
      </c>
      <c r="AG67" s="4" t="s">
        <v>466</v>
      </c>
      <c r="AI67" s="1" t="s">
        <v>1302</v>
      </c>
      <c r="AK67" s="1" t="s">
        <v>1303</v>
      </c>
      <c r="AL67" s="1" t="s">
        <v>1304</v>
      </c>
      <c r="AN67" s="1" t="s">
        <v>815</v>
      </c>
      <c r="AO67" s="1" t="s">
        <v>1305</v>
      </c>
      <c r="AR67" s="1" t="s">
        <v>1306</v>
      </c>
      <c r="BA67" s="1" t="s">
        <v>1307</v>
      </c>
      <c r="BE67" s="1" t="s">
        <v>1308</v>
      </c>
      <c r="CJ67" s="1" t="s">
        <v>1309</v>
      </c>
      <c r="CK67" s="1" t="s">
        <v>1310</v>
      </c>
    </row>
    <row r="68">
      <c r="A68" s="1" t="s">
        <v>1311</v>
      </c>
      <c r="B68" s="1" t="str">
        <f>IFERROR(__xludf.DUMMYFUNCTION("GOOGLETRANSLATE(A:A, ""en"", ""te"")"),"కాడ్రాన్ C.27")</f>
        <v>కాడ్రాన్ C.27</v>
      </c>
      <c r="C68" s="1" t="s">
        <v>1312</v>
      </c>
      <c r="D68" s="2" t="str">
        <f>IFERROR(__xludf.DUMMYFUNCTION("GOOGLETRANSLATE(C:C, ""en"", ""te"")"),"కాడ్రాన్ C.27 ఒక ఫ్రెంచ్ బిప్‌లేన్, రెండు సీట్ల ప్రాథమిక శిక్షకుడు, ఇది 1920 లలో విజయవంతంగా పోటీ పడింది. ఇది 1922 పారిస్ సెలూన్లో చూపించినప్పుడు, C.27 పెరుగుతున్న డిమాండ్ శిక్షకుల త్రిపాదిలో రెండవదిగా ప్రదర్శించబడింది, కాడ్రాన్ G.3 తో ప్రారంభించి, మరింత శ"&amp;"క్తివంతమైన కాడ్రాన్ C.59 తో ముగుస్తుంది, [1] [2] దీనిని ప్రాథమిక శిక్షకుడిగా వివరిస్తుంది. ఇది రెండు బే బైప్‌లేన్, అస్థిరత లేదా ముఖ్యమైన డైహెడ్రల్ లేకుండా. ఇది దీర్ఘచతురస్రాకార ప్రణాళిక రెక్కలను కలిగి ఉంది, [2] ఒక్కొక్కటి రెండు చెక్క స్పార్స్ [3] మరియు ఫా"&amp;"బ్రిక్ కప్పబడి ఉన్నాయి. పియానో-వైర్ బ్రేసింగ్ సహాయంతో ఇవి సమాంతర ఇంటర్‌ప్లేన్ స్ట్రట్‌లతో కలుపుతారు. అప్పర్ వింగ్ సెంటర్ విభాగం మరియు ఎగువ ఫ్యూజ్‌లేజ్ లాన్స్‌ల మధ్య సాధారణ సమాంతర క్యాబనే స్ట్రట్‌లు ఉన్నాయి. [2] ఐలెరాన్లు ఎగువ రెక్కకు మాత్రమే అమర్చబడ్డాయి."&amp;" [3] C.27 80 HP (60 kW) లే రోన్ 9 సి తొమ్మిది సిలిండర్ ఎయిర్-కూల్డ్ రోటరీ ఇంజిన్, రెండు బ్లేడ్ ప్రొపెల్లర్‌ను నడుపుతోంది మరియు దాని ఎగువ మూడొంతుల చుట్టూ ఉన్న కౌలింగ్‌తో. [2] ఇంజిన్ వెనుక ఫ్యూజ్‌లేజ్ క్రాస్-బ్రేస్డ్ బీమ్ స్ట్రక్చర్ కలిగి ఉంది. [3] ఓపెన్ కా"&amp;"క్‌పిట్‌లు రెక్కల మధ్య కలిసి ఉన్నాయి, విద్యార్థి మధ్య-తీగకు కొంచెం ముందుకు మరియు బోధకుడు వెనుకంజలో ఉన్న అంచు వెనుక ఉంది, ఇది అతని దృష్టిని మెరుగుపరచడానికి గుండ్రని కటౌట్ కలిగి ఉంది. వెనుక భాగంలో ఒక పొడవైన, నిస్సార త్రిభుజాకార ఫిన్ నేరుగా అంచుగల సమతుల్య చు"&amp;"క్కానిని తీసుకువెళ్ళాడు, ఇది కీల్ వరకు చేరుకుంది. ఫ్యూజ్‌లేజ్ పైన టెయిల్‌ప్లేన్ అమర్చబడింది మరియు చుక్కాని కదలికను అనుమతించడానికి ఎలివేటర్లను కేంద్రంగా కత్తిరించారు. C.27 ఒక స్థిర తోక స్కిడ్ అండర్ క్యారేజీని దాని చక్రాలతో ఒకే ఇరుసుపై కలిగి ఉంది, దిగువ ఫ్య"&amp;"ూజ్‌లేజ్ నుండి రెండు జతల V- స్ట్రట్‌లచే మద్దతు ఉంది. వీటిలో ఫార్వర్డ్ సభ్యులు మొదట వారి ఎగువ భాగాలలో షాక్ అబ్జార్బర్‌తో రెట్టింపు అయ్యారు, ముక్కు-ఓవర్లను నివారించడానికి విస్తృతంగా వైర్ బ్రేస్డ్ సెంట్రల్ స్కిడ్‌తో పాటు స్కిడ్ త్వరలోనే వదిలివేయబడింది మరియు "&amp;"డబుల్ స్ట్రట్‌లను ఒకే వాటితో భర్తీ చేశారు. [2] కనీసం ఒక C.27 80 HP (60 kW) అంజాని ఇంజిన్‌తో ఎగిరింది. [2] C.27 అనే పేరు కనీసం 1924 మధ్యలో ఉపయోగించబడింది, కాని పారిస్ సెలూన్లో ఎల్'అరోఫైల్ వద్ద హోదా c.127 గా మారిందని గుర్తించారు. [3] [4] 1925 నుండి అనేక 130"&amp;" హెచ్‌పి (97 కిలోవాట్) మతాధికారి 9 బి తొమ్మిది సిలిండర్ రోటరీ ఇంజన్లు మరియు నియమించబడిన c.125 తో అమర్చారు. [5] C.128 మళ్ళీ చాలా పోలి ఉంటుంది కాని 120 HP (89 kW) సాల్మ్సన్ 9AC, తొమ్మిది సిలిండర్, ఎయిర్ కూల్డ్ రేడియల్ ఇంజిన్. ఇది రోటరీల కంటే చిన్న వ్యాసాన్న"&amp;"ి కలిగి ఉంది మరియు దాని సిలిండర్లను బహిర్గతం చేసే ముక్కులో అమర్చారు. C.127 నుండి ఖాళీ బరువులో 14% పెరుగుదల మరియు వ్యవధి మరియు ప్రాంతంలో స్వల్ప పెరుగుదల ఉంది. [6] కనీసం ఐదు నిర్మించబడ్డాయి లేదా మార్చబడ్డాయి. [7] ఫ్రెంచ్ సివిల్ రిజిస్టర్‌లో కనీసం ఇరవై ఒకటి "&amp;"C.27, C.125, C.127 మరియు C.128 విమానం కనిపించాయి. [7] బౌలార్డ్ పైలట్ చేసిన మొదటి విమానంలో ఖచ్చితమైన తేదీ, [2] తెలియదు కాని ఈ విమానం జూన్ 1922 చివరిలో ఓర్లీ వద్ద బహిరంగంగా ఎగిరింది. దీనిని తోరెట్ పైలట్ చేశారు, అతను ముఖ్యంగా ఒంకిలూకర్లను పాలిష్ చేసిన ఏరోబాట"&amp;"ిక్ పనితీరుతో ఆకట్టుకున్నాడు, ది అతని ఇంజిన్ ఆఫ్ తో చివరి భాగం. [8] రెండు సంవత్సరాల తరువాత పాటిన్ చేత పైలట్ చేయబడిన C.27 1924 జెనిత్ కప్‌ను గెలుచుకుంది, ఇంధన వినియోగం మరియు లోడ్ మోసే సామర్థ్యం ఆధారంగా ట్రోఫీ, మరియు అడ్రియన్ బోలాండ్ ఆమె వరుసగా 212 లూప్‌లను"&amp;" పూర్తి చేసినప్పుడు మరో C.27 లో మహిళల రికార్డును సృష్టించింది. [2] 1926 జెనిత్ కప్‌లో ఒక c.128 రెండవ స్థానంలో నిలిచింది మరియు సెప్టెంబర్ 1927 లో, ఆవెర్గ్నేలో జరిగిన ర్యాలీలో ఒక పోటీని గెలుచుకోవడానికి ఐదుగురు వ్యక్తులను తీసుకువెళ్లారు. సెప్టెంబర్ 1927 లో స"&amp;"ి .128 ఐదుగురిని తీసుకెళ్లడం ద్వారా బహుమతిని గెలుచుకుంది. సెప్టెంబరులో 1928 లో, పైలట్లు మౌలర్ మరియు బాడ్, కెమెరామెన్ కోహెండి విమానంలో బయలుదేరింది, ఇది ప్యారిస్ నుండి పశ్చిమ ఆఫ్రికన్ తీరం ద్వారా పారిస్ నుండి కేప్ ఆఫ్ గుడ్ హోప్ వరకు 350–400 కిమీ (220–250 మై"&amp;"ళ్ళు) దశలలో తయారు చేయబడింది. ఈ విమానాన్ని లే పీట్ పైసియన్ వార్తాపత్రిక మరియు పారామౌంట్ ఫిల్మ్స్ నిర్వహించింది, వీరి కోసం కోహెండి వారి ప్రయాణాన్ని రికార్డ్ చేశారు. ఇది ఫ్రాన్స్ నుండి కేప్ వరకు మొదటి ఫ్లైట్. సుమారు 35,000 కి.మీ (22,000 మైళ్ళు) రౌండ్ ట్రిప్ "&amp;"తర్వాత వారు తిరిగి పారిస్‌కు వెళ్లారు. [6] 1930 లో, సవరించిన C.128, దీనిని సోషియాట్ పోర్ లే డెవల్‌పెంట్‌పెమెంట్ డి ఎల్ ఏవియేషన్ (సొసైటీ ఫర్ ది డెవలప్‌మెంట్ ఆఫ్ ఏవియేషన్) మరియు నియమించబడిన c.128/2 ఆదేశించింది, ఒక అక్రోబాట్ విమానం కింద ఒక ట్రాపెజీపై వేలాడదీ"&amp;"యడానికి అనుమతించబడింది వింగ్-వాకింగ్ అనుమతించడానికి. [6] హావెట్ నుండి డేటా (2001) pp.188-9 [4] సాధారణ లక్షణాల పనితీరు")</f>
        <v>కాడ్రాన్ C.27 ఒక ఫ్రెంచ్ బిప్‌లేన్, రెండు సీట్ల ప్రాథమిక శిక్షకుడు, ఇది 1920 లలో విజయవంతంగా పోటీ పడింది. ఇది 1922 పారిస్ సెలూన్లో చూపించినప్పుడు, C.27 పెరుగుతున్న డిమాండ్ శిక్షకుల త్రిపాదిలో రెండవదిగా ప్రదర్శించబడింది, కాడ్రాన్ G.3 తో ప్రారంభించి, మరింత శక్తివంతమైన కాడ్రాన్ C.59 తో ముగుస్తుంది, [1] [2] దీనిని ప్రాథమిక శిక్షకుడిగా వివరిస్తుంది. ఇది రెండు బే బైప్‌లేన్, అస్థిరత లేదా ముఖ్యమైన డైహెడ్రల్ లేకుండా. ఇది దీర్ఘచతురస్రాకార ప్రణాళిక రెక్కలను కలిగి ఉంది, [2] ఒక్కొక్కటి రెండు చెక్క స్పార్స్ [3] మరియు ఫాబ్రిక్ కప్పబడి ఉన్నాయి. పియానో-వైర్ బ్రేసింగ్ సహాయంతో ఇవి సమాంతర ఇంటర్‌ప్లేన్ స్ట్రట్‌లతో కలుపుతారు. అప్పర్ వింగ్ సెంటర్ విభాగం మరియు ఎగువ ఫ్యూజ్‌లేజ్ లాన్స్‌ల మధ్య సాధారణ సమాంతర క్యాబనే స్ట్రట్‌లు ఉన్నాయి. [2] ఐలెరాన్లు ఎగువ రెక్కకు మాత్రమే అమర్చబడ్డాయి. [3] C.27 80 HP (60 kW) లే రోన్ 9 సి తొమ్మిది సిలిండర్ ఎయిర్-కూల్డ్ రోటరీ ఇంజిన్, రెండు బ్లేడ్ ప్రొపెల్లర్‌ను నడుపుతోంది మరియు దాని ఎగువ మూడొంతుల చుట్టూ ఉన్న కౌలింగ్‌తో. [2] ఇంజిన్ వెనుక ఫ్యూజ్‌లేజ్ క్రాస్-బ్రేస్డ్ బీమ్ స్ట్రక్చర్ కలిగి ఉంది. [3] ఓపెన్ కాక్‌పిట్‌లు రెక్కల మధ్య కలిసి ఉన్నాయి, విద్యార్థి మధ్య-తీగకు కొంచెం ముందుకు మరియు బోధకుడు వెనుకంజలో ఉన్న అంచు వెనుక ఉంది, ఇది అతని దృష్టిని మెరుగుపరచడానికి గుండ్రని కటౌట్ కలిగి ఉంది. వెనుక భాగంలో ఒక పొడవైన, నిస్సార త్రిభుజాకార ఫిన్ నేరుగా అంచుగల సమతుల్య చుక్కానిని తీసుకువెళ్ళాడు, ఇది కీల్ వరకు చేరుకుంది. ఫ్యూజ్‌లేజ్ పైన టెయిల్‌ప్లేన్ అమర్చబడింది మరియు చుక్కాని కదలికను అనుమతించడానికి ఎలివేటర్లను కేంద్రంగా కత్తిరించారు. C.27 ఒక స్థిర తోక స్కిడ్ అండర్ క్యారేజీని దాని చక్రాలతో ఒకే ఇరుసుపై కలిగి ఉంది, దిగువ ఫ్యూజ్‌లేజ్ నుండి రెండు జతల V- స్ట్రట్‌లచే మద్దతు ఉంది. వీటిలో ఫార్వర్డ్ సభ్యులు మొదట వారి ఎగువ భాగాలలో షాక్ అబ్జార్బర్‌తో రెట్టింపు అయ్యారు, ముక్కు-ఓవర్లను నివారించడానికి విస్తృతంగా వైర్ బ్రేస్డ్ సెంట్రల్ స్కిడ్‌తో పాటు స్కిడ్ త్వరలోనే వదిలివేయబడింది మరియు డబుల్ స్ట్రట్‌లను ఒకే వాటితో భర్తీ చేశారు. [2] కనీసం ఒక C.27 80 HP (60 kW) అంజాని ఇంజిన్‌తో ఎగిరింది. [2] C.27 అనే పేరు కనీసం 1924 మధ్యలో ఉపయోగించబడింది, కాని పారిస్ సెలూన్లో ఎల్'అరోఫైల్ వద్ద హోదా c.127 గా మారిందని గుర్తించారు. [3] [4] 1925 నుండి అనేక 130 హెచ్‌పి (97 కిలోవాట్) మతాధికారి 9 బి తొమ్మిది సిలిండర్ రోటరీ ఇంజన్లు మరియు నియమించబడిన c.125 తో అమర్చారు. [5] C.128 మళ్ళీ చాలా పోలి ఉంటుంది కాని 120 HP (89 kW) సాల్మ్సన్ 9AC, తొమ్మిది సిలిండర్, ఎయిర్ కూల్డ్ రేడియల్ ఇంజిన్. ఇది రోటరీల కంటే చిన్న వ్యాసాన్ని కలిగి ఉంది మరియు దాని సిలిండర్లను బహిర్గతం చేసే ముక్కులో అమర్చారు. C.127 నుండి ఖాళీ బరువులో 14% పెరుగుదల మరియు వ్యవధి మరియు ప్రాంతంలో స్వల్ప పెరుగుదల ఉంది. [6] కనీసం ఐదు నిర్మించబడ్డాయి లేదా మార్చబడ్డాయి. [7] ఫ్రెంచ్ సివిల్ రిజిస్టర్‌లో కనీసం ఇరవై ఒకటి C.27, C.125, C.127 మరియు C.128 విమానం కనిపించాయి. [7] బౌలార్డ్ పైలట్ చేసిన మొదటి విమానంలో ఖచ్చితమైన తేదీ, [2] తెలియదు కాని ఈ విమానం జూన్ 1922 చివరిలో ఓర్లీ వద్ద బహిరంగంగా ఎగిరింది. దీనిని తోరెట్ పైలట్ చేశారు, అతను ముఖ్యంగా ఒంకిలూకర్లను పాలిష్ చేసిన ఏరోబాటిక్ పనితీరుతో ఆకట్టుకున్నాడు, ది అతని ఇంజిన్ ఆఫ్ తో చివరి భాగం. [8] రెండు సంవత్సరాల తరువాత పాటిన్ చేత పైలట్ చేయబడిన C.27 1924 జెనిత్ కప్‌ను గెలుచుకుంది, ఇంధన వినియోగం మరియు లోడ్ మోసే సామర్థ్యం ఆధారంగా ట్రోఫీ, మరియు అడ్రియన్ బోలాండ్ ఆమె వరుసగా 212 లూప్‌లను పూర్తి చేసినప్పుడు మరో C.27 లో మహిళల రికార్డును సృష్టించింది. [2] 1926 జెనిత్ కప్‌లో ఒక c.128 రెండవ స్థానంలో నిలిచింది మరియు సెప్టెంబర్ 1927 లో, ఆవెర్గ్నేలో జరిగిన ర్యాలీలో ఒక పోటీని గెలుచుకోవడానికి ఐదుగురు వ్యక్తులను తీసుకువెళ్లారు. సెప్టెంబర్ 1927 లో సి .128 ఐదుగురిని తీసుకెళ్లడం ద్వారా బహుమతిని గెలుచుకుంది. సెప్టెంబరులో 1928 లో, పైలట్లు మౌలర్ మరియు బాడ్, కెమెరామెన్ కోహెండి విమానంలో బయలుదేరింది, ఇది ప్యారిస్ నుండి పశ్చిమ ఆఫ్రికన్ తీరం ద్వారా పారిస్ నుండి కేప్ ఆఫ్ గుడ్ హోప్ వరకు 350–400 కిమీ (220–250 మైళ్ళు) దశలలో తయారు చేయబడింది. ఈ విమానాన్ని లే పీట్ పైసియన్ వార్తాపత్రిక మరియు పారామౌంట్ ఫిల్మ్స్ నిర్వహించింది, వీరి కోసం కోహెండి వారి ప్రయాణాన్ని రికార్డ్ చేశారు. ఇది ఫ్రాన్స్ నుండి కేప్ వరకు మొదటి ఫ్లైట్. సుమారు 35,000 కి.మీ (22,000 మైళ్ళు) రౌండ్ ట్రిప్ తర్వాత వారు తిరిగి పారిస్‌కు వెళ్లారు. [6] 1930 లో, సవరించిన C.128, దీనిని సోషియాట్ పోర్ లే డెవల్‌పెంట్‌పెమెంట్ డి ఎల్ ఏవియేషన్ (సొసైటీ ఫర్ ది డెవలప్‌మెంట్ ఆఫ్ ఏవియేషన్) మరియు నియమించబడిన c.128/2 ఆదేశించింది, ఒక అక్రోబాట్ విమానం కింద ఒక ట్రాపెజీపై వేలాడదీయడానికి అనుమతించబడింది వింగ్-వాకింగ్ అనుమతించడానికి. [6] హావెట్ నుండి డేటా (2001) pp.188-9 [4] సాధారణ లక్షణాల పనితీరు</v>
      </c>
      <c r="E68" s="1" t="s">
        <v>1313</v>
      </c>
      <c r="F68" s="1" t="s">
        <v>1314</v>
      </c>
      <c r="G68" s="1" t="str">
        <f>IFERROR(__xludf.DUMMYFUNCTION("GOOGLETRANSLATE(F:F, ""en"", ""te"")"),"ప్రాథమిక శిక్షకుడు")</f>
        <v>ప్రాథమిక శిక్షకుడు</v>
      </c>
      <c r="H68" s="1" t="s">
        <v>1315</v>
      </c>
      <c r="I68" s="1" t="s">
        <v>1200</v>
      </c>
      <c r="J68" s="1" t="str">
        <f>IFERROR(__xludf.DUMMYFUNCTION("GOOGLETRANSLATE(I:I, ""en"", ""te"")"),"కాడ్రాన్")</f>
        <v>కాడ్రాన్</v>
      </c>
      <c r="K68" s="4" t="s">
        <v>1201</v>
      </c>
      <c r="L68" s="1" t="s">
        <v>1202</v>
      </c>
      <c r="M68" s="2" t="str">
        <f>IFERROR(__xludf.DUMMYFUNCTION("GOOGLETRANSLATE(L:L, ""en"", ""te"")"),"పాల్ డెవిల్లే")</f>
        <v>పాల్ డెవిల్లే</v>
      </c>
      <c r="N68" s="1" t="s">
        <v>1316</v>
      </c>
      <c r="O68" s="1" t="s">
        <v>1317</v>
      </c>
      <c r="R68" s="1" t="s">
        <v>1138</v>
      </c>
      <c r="T68" s="1" t="s">
        <v>1318</v>
      </c>
      <c r="U68" s="1" t="s">
        <v>1319</v>
      </c>
      <c r="V68" s="1" t="s">
        <v>1320</v>
      </c>
      <c r="W68" s="1" t="s">
        <v>718</v>
      </c>
      <c r="X68" s="1" t="s">
        <v>1321</v>
      </c>
      <c r="Z68" s="1" t="s">
        <v>1322</v>
      </c>
      <c r="AB68" s="1" t="s">
        <v>355</v>
      </c>
      <c r="AF68" s="1" t="s">
        <v>465</v>
      </c>
      <c r="AG68" s="4" t="s">
        <v>466</v>
      </c>
      <c r="AH68" s="1" t="s">
        <v>1323</v>
      </c>
      <c r="AI68" s="1" t="s">
        <v>1324</v>
      </c>
      <c r="AK68" s="1" t="s">
        <v>1325</v>
      </c>
      <c r="AL68" s="1" t="s">
        <v>1326</v>
      </c>
      <c r="AN68" s="1" t="s">
        <v>1327</v>
      </c>
      <c r="AO68" s="1" t="s">
        <v>1328</v>
      </c>
      <c r="AR68" s="1" t="s">
        <v>372</v>
      </c>
      <c r="AU68" s="1" t="s">
        <v>1329</v>
      </c>
    </row>
    <row r="69">
      <c r="A69" s="1" t="s">
        <v>1330</v>
      </c>
      <c r="B69" s="1" t="str">
        <f>IFERROR(__xludf.DUMMYFUNCTION("GOOGLETRANSLATE(A:A, ""en"", ""te"")"),"కాడ్రాన్ C.37")</f>
        <v>కాడ్రాన్ C.37</v>
      </c>
      <c r="C69" s="1" t="s">
        <v>1331</v>
      </c>
      <c r="D69" s="2" t="str">
        <f>IFERROR(__xludf.DUMMYFUNCTION("GOOGLETRANSLATE(C:C, ""en"", ""te"")"),"కాడ్రాన్ C.37 ఒక ఫ్రెంచ్ మూడు ఇంజిన్ బిప్‌లేన్ ప్రయాణీకుల రవాణా, ఇది 1920 లో నిర్మించబడింది. ఇది ఆరుగురు ప్రయాణీకులను తీసుకువెళ్ళగలదు. 1919 మరియు 1922 మధ్య కాడ్రాన్ సారూప్య రూపకల్పన యొక్క బహుళ-ఇంజిన్ సివిల్ ప్యాసింజర్ ట్రాన్స్పోర్ట్ బైప్లేన్ల శ్రేణిని నిర"&amp;"్మించింది, కాని పరిమాణం మరియు ఇంజిన్ శక్తి పెరుగుతోంది, c.33, c.37, c.39, c.43 మరియు c.61. [1] C.37 ఈ శ్రేణిలో మొదటి ట్రిమోటర్. [2] C.37 అనేది మూడు బే బైప్‌లేన్, ఇది ఫాబ్రిక్-కప్పబడిన, దీర్ఘచతురస్రాకార-ప్లాన్ రెక్కలతో అస్థిరంగా ఉంటుంది. దిగువ వింగ్ ఇంజిన్"&amp;"ల డైహెడ్రల్ అవుట్‌బోర్డ్‌ను కలిగి ఉంది, మరియు ఎగువ ఐలెరాన్‌లను తీసుకువెళ్ళింది, అవి తరువాతి విమానంలో ఉన్నందున సమతుల్యతను కలిగి లేవు. రెక్కలు నిలువు జతల ఇంటర్‌ప్లేన్ స్ట్రట్‌లతో చేరారు, ఫార్వర్డ్ సభ్యులు ప్రముఖ అంచుల దగ్గర జతచేయబడ్డారు, మరియు సెంటర్ విభాగా"&amp;"నికి ఎగువ ఫ్యూజ్‌లేజ్ నుండి ఇలాంటి, తక్కువ క్యాబన్ స్ట్రట్‌లు మద్దతు ఇచ్చాయి. ప్రతి లోపలి బేను రెండు దగ్గరి జతల లీనింగ్ ఇంటర్‌ప్లేన్ స్ట్రట్‌ల ద్వారా నిర్వచించారు, రెక్కల మధ్య సగం వరకు 60 కిలోవాట్ల (80 హెచ్‌పి) లే రోన్ 9 సి తొమ్మిది సిలిండర్ రోటరీ ఇంజిన్‌"&amp;"కు మద్దతు ఇస్తుంది. ప్రతి రెక్క-మౌంటెడ్ ఇంజిన్ పొడవైన, దెబ్బతిన్న కౌలింగ్‌లో ఉంది, వెనుక భాగంలో తెరిచి ఉంటుంది. ముక్కులో మూడవ కౌల్డ్ లే రోన్ ఉంది. ఆరుగురు ప్రయాణీకులను తీసుకువెళ్ళేటప్పుడు విమానాలు కేవలం రెండు ఇంజిన్లలో మాత్రమే ప్రయాణించగలవు. [2] ఇంజిన్ వె"&amp;"నుక ఫ్యూజ్‌లేజ్ ఫ్లాట్-సైడెడ్, విస్తృత, ఓపెన్ కాక్‌పిట్ దాని విండ్‌స్క్రీన్‌తో వెంటనే ఎగువ ప్రముఖ అంచు క్రింద ఉంది. 450 కిలోల (992 పౌండ్లు) ఉపయోగకరమైన లోడ్‌తో C.37 ఆరుగురు ప్రయాణీకులను మోయగలదు, అయినప్పటికీ కిటికీలు లేదా సీట్లు అమర్చబడినా అనేది ఖచ్చితంగా త"&amp;"ెలియదు. రెక్కల వెనుక ఫ్యూజ్‌లేజ్ విస్తృత, త్రిభుజాకార ఫిన్‌కు సున్నితంగా ఉంటుంది, ఇది నిలువు-అంచుగల చుక్కానిని తీసుకువెళ్ళింది, అది కీల్‌కు చేరుకుంది. టెయిల్‌ప్లేన్ ఫ్యూజ్‌లేజ్ పైన అమర్చబడింది, తద్వారా దాని ఎలివేటర్లు చుక్కాని ఉద్యమానికి ఒక గీతను కలిగి ఉన"&amp;"్నాయి. [2] C.37 లో స్థిర టెయిల్‌స్కిడ్ అండర్ క్యారేజ్ ఉంది. చిన్న, ఫార్వర్డ్-ర్యాక్డ్ వి-స్ట్రట్స్‌లో ప్రతి చివర ఇంజిన్ కింద ఉన్న ఒక రేఖాంశ బార్‌కు వాటి మధ్యలో జతచేయబడిన సింగిల్ ఇరుసులపై ప్రధాన చక్రాల జతలు ఉన్నాయి. ముక్కు-ఓవర్లను నివారించడానికి, ముక్కు కి"&amp;"ంద ఐదవ చక్రం అమర్చబడి ఉంది. [2] హావెట్ నుండి డేటా (2001) పే .145 [2] సాధారణ లక్షణాల పనితీరు")</f>
        <v>కాడ్రాన్ C.37 ఒక ఫ్రెంచ్ మూడు ఇంజిన్ బిప్‌లేన్ ప్రయాణీకుల రవాణా, ఇది 1920 లో నిర్మించబడింది. ఇది ఆరుగురు ప్రయాణీకులను తీసుకువెళ్ళగలదు. 1919 మరియు 1922 మధ్య కాడ్రాన్ సారూప్య రూపకల్పన యొక్క బహుళ-ఇంజిన్ సివిల్ ప్యాసింజర్ ట్రాన్స్పోర్ట్ బైప్లేన్ల శ్రేణిని నిర్మించింది, కాని పరిమాణం మరియు ఇంజిన్ శక్తి పెరుగుతోంది, c.33, c.37, c.39, c.43 మరియు c.61. [1] C.37 ఈ శ్రేణిలో మొదటి ట్రిమోటర్. [2] C.37 అనేది మూడు బే బైప్‌లేన్, ఇది ఫాబ్రిక్-కప్పబడిన, దీర్ఘచతురస్రాకార-ప్లాన్ రెక్కలతో అస్థిరంగా ఉంటుంది. దిగువ వింగ్ ఇంజిన్ల డైహెడ్రల్ అవుట్‌బోర్డ్‌ను కలిగి ఉంది, మరియు ఎగువ ఐలెరాన్‌లను తీసుకువెళ్ళింది, అవి తరువాతి విమానంలో ఉన్నందున సమతుల్యతను కలిగి లేవు. రెక్కలు నిలువు జతల ఇంటర్‌ప్లేన్ స్ట్రట్‌లతో చేరారు, ఫార్వర్డ్ సభ్యులు ప్రముఖ అంచుల దగ్గర జతచేయబడ్డారు, మరియు సెంటర్ విభాగానికి ఎగువ ఫ్యూజ్‌లేజ్ నుండి ఇలాంటి, తక్కువ క్యాబన్ స్ట్రట్‌లు మద్దతు ఇచ్చాయి. ప్రతి లోపలి బేను రెండు దగ్గరి జతల లీనింగ్ ఇంటర్‌ప్లేన్ స్ట్రట్‌ల ద్వారా నిర్వచించారు, రెక్కల మధ్య సగం వరకు 60 కిలోవాట్ల (80 హెచ్‌పి) లే రోన్ 9 సి తొమ్మిది సిలిండర్ రోటరీ ఇంజిన్‌కు మద్దతు ఇస్తుంది. ప్రతి రెక్క-మౌంటెడ్ ఇంజిన్ పొడవైన, దెబ్బతిన్న కౌలింగ్‌లో ఉంది, వెనుక భాగంలో తెరిచి ఉంటుంది. ముక్కులో మూడవ కౌల్డ్ లే రోన్ ఉంది. ఆరుగురు ప్రయాణీకులను తీసుకువెళ్ళేటప్పుడు విమానాలు కేవలం రెండు ఇంజిన్లలో మాత్రమే ప్రయాణించగలవు. [2] ఇంజిన్ వెనుక ఫ్యూజ్‌లేజ్ ఫ్లాట్-సైడెడ్, విస్తృత, ఓపెన్ కాక్‌పిట్ దాని విండ్‌స్క్రీన్‌తో వెంటనే ఎగువ ప్రముఖ అంచు క్రింద ఉంది. 450 కిలోల (992 పౌండ్లు) ఉపయోగకరమైన లోడ్‌తో C.37 ఆరుగురు ప్రయాణీకులను మోయగలదు, అయినప్పటికీ కిటికీలు లేదా సీట్లు అమర్చబడినా అనేది ఖచ్చితంగా తెలియదు. రెక్కల వెనుక ఫ్యూజ్‌లేజ్ విస్తృత, త్రిభుజాకార ఫిన్‌కు సున్నితంగా ఉంటుంది, ఇది నిలువు-అంచుగల చుక్కానిని తీసుకువెళ్ళింది, అది కీల్‌కు చేరుకుంది. టెయిల్‌ప్లేన్ ఫ్యూజ్‌లేజ్ పైన అమర్చబడింది, తద్వారా దాని ఎలివేటర్లు చుక్కాని ఉద్యమానికి ఒక గీతను కలిగి ఉన్నాయి. [2] C.37 లో స్థిర టెయిల్‌స్కిడ్ అండర్ క్యారేజ్ ఉంది. చిన్న, ఫార్వర్డ్-ర్యాక్డ్ వి-స్ట్రట్స్‌లో ప్రతి చివర ఇంజిన్ కింద ఉన్న ఒక రేఖాంశ బార్‌కు వాటి మధ్యలో జతచేయబడిన సింగిల్ ఇరుసులపై ప్రధాన చక్రాల జతలు ఉన్నాయి. ముక్కు-ఓవర్లను నివారించడానికి, ముక్కు కింద ఐదవ చక్రం అమర్చబడి ఉంది. [2] హావెట్ నుండి డేటా (2001) పే .145 [2] సాధారణ లక్షణాల పనితీరు</v>
      </c>
      <c r="F69" s="1" t="s">
        <v>1332</v>
      </c>
      <c r="G69" s="1" t="str">
        <f>IFERROR(__xludf.DUMMYFUNCTION("GOOGLETRANSLATE(F:F, ""en"", ""te"")"),"ఆరు ప్యాసింజర్ విమానాలు")</f>
        <v>ఆరు ప్యాసింజర్ విమానాలు</v>
      </c>
      <c r="H69" s="1" t="s">
        <v>1333</v>
      </c>
      <c r="I69" s="1" t="s">
        <v>1200</v>
      </c>
      <c r="J69" s="1" t="str">
        <f>IFERROR(__xludf.DUMMYFUNCTION("GOOGLETRANSLATE(I:I, ""en"", ""te"")"),"కాడ్రాన్")</f>
        <v>కాడ్రాన్</v>
      </c>
      <c r="K69" s="4" t="s">
        <v>1201</v>
      </c>
      <c r="L69" s="1" t="s">
        <v>1202</v>
      </c>
      <c r="M69" s="2" t="str">
        <f>IFERROR(__xludf.DUMMYFUNCTION("GOOGLETRANSLATE(L:L, ""en"", ""te"")"),"పాల్ డెవిల్లే")</f>
        <v>పాల్ డెవిల్లే</v>
      </c>
      <c r="R69" s="1" t="s">
        <v>1138</v>
      </c>
      <c r="S69" s="1" t="s">
        <v>1334</v>
      </c>
      <c r="T69" s="1" t="s">
        <v>1335</v>
      </c>
      <c r="U69" s="1" t="s">
        <v>1336</v>
      </c>
      <c r="V69" s="1" t="s">
        <v>1337</v>
      </c>
      <c r="W69" s="1" t="s">
        <v>806</v>
      </c>
      <c r="X69" s="1" t="s">
        <v>1338</v>
      </c>
      <c r="Z69" s="1" t="s">
        <v>1339</v>
      </c>
      <c r="AF69" s="1" t="s">
        <v>465</v>
      </c>
      <c r="AG69" s="4" t="s">
        <v>466</v>
      </c>
      <c r="AI69" s="1" t="s">
        <v>1340</v>
      </c>
      <c r="AK69" s="1" t="s">
        <v>1341</v>
      </c>
      <c r="AL69" s="1" t="s">
        <v>387</v>
      </c>
      <c r="AO69" s="1">
        <v>1920.0</v>
      </c>
      <c r="AR69" s="1" t="s">
        <v>372</v>
      </c>
      <c r="AV69" s="1" t="s">
        <v>1342</v>
      </c>
    </row>
    <row r="70">
      <c r="A70" s="1" t="s">
        <v>1343</v>
      </c>
      <c r="B70" s="1" t="str">
        <f>IFERROR(__xludf.DUMMYFUNCTION("GOOGLETRANSLATE(A:A, ""en"", ""te"")"),"కాడ్రాన్ c.74")</f>
        <v>కాడ్రాన్ c.74</v>
      </c>
      <c r="C70" s="1" t="s">
        <v>1344</v>
      </c>
      <c r="D70" s="2" t="str">
        <f>IFERROR(__xludf.DUMMYFUNCTION("GOOGLETRANSLATE(C:C, ""en"", ""te"")"),"కాడ్రాన్ C.74 1922 లో ఫ్రాన్స్‌లో నిర్మించిన పది సీట్ల, నాలుగు ఇంజిన్ ప్యాసింజర్ బైప్‌లేన్. ఇది వాగ్దానాన్ని చూపించింది, కాని ఏకైక ప్రోటోటైప్ ఒక పోటీలో ఘోరంగా క్రాష్ అయ్యింది మరియు ఇకపై పూర్తి కాలేదు. C.74 ఒక పెద్ద బైప్‌లేన్, ఇది నాలుగు 224 kW (300 HP) హి"&amp;"స్పానో-సుయిజా 8FB వాటర్-కూల్డ్, నిటారుగా ఉన్న V-8 ఇంజన్లు రెండు జతలలో అమర్చబడి ఉంటుంది, ప్రతి జత ట్రాక్టర్ కాన్ఫిగరేషన్‌లో ఒక ఇంజిన్‌తో మరియు మరొకటి పషర్‌గా . ఇది కలప మరియు ఉక్కు నుండి నిర్మించబడింది మరియు ప్లైవుడ్ మరియు ఫాబ్రిక్‌లో కప్పబడి ఉంది. [1] పరివ"&amp;"ేష్టిత క్యాబిన్ పది మంది ప్రయాణీకులకు వసతి కల్పిస్తుంది. [2] C.74 లో దీర్ఘచతురస్రాకార ప్రణాళిక రెక్కలు ఉన్నాయి, ఎగువ విమానం దిగువ కంటే కొంచెం ఎక్కువ. ఇది అస్థిరంగా లేని మూడు బే బైప్‌లేన్, రెండు సెట్ల సమాంతర, నిలువు ఇంటర్‌ప్లేన్ స్ట్రట్స్ అవుట్‌బోర్డ్ మరియ"&amp;"ు ప్రతి రెక్కపై రెండు సెట్ల వాలుగా ఉన్న సమాంతర స్ట్రట్‌లను కలిగి ఉంటుంది. తరువాతి దిగువ రెక్కపై కలుసుకుంది కాని ఇరుకైన V లో పైకి మళ్లించబడింది, ఇంజిన్ జత కోసం d యల ఏర్పడింది. కాబేన్ స్ట్రట్స్ వింగ్ సెంటర్ విభాగంలో ఎగువ ఫ్యూజ్‌లేజ్ లాంగన్స్‌కు చేరింది. [1]"&amp;" విమానంలో ఒక ఫ్లాట్ సైడెడ్ ఫ్యూజ్‌లేజ్ ఉంది, ఇది సిబ్బందికి రెండు ఓపెన్ కాక్‌పిట్‌లతో, రెక్కల ప్రముఖ అంచు కంటే ఒకటి మరియు మరొకటి వెనుకబడి, రెక్క కింద ఉంది. క్యాబిన్ ఐదు ఫ్లాట్ సైడ్ కిటికీలను కలిగి ఉంది, కాక్‌పిట్స్ ముందు ముగ్గురు సమూహంలో మరియు రెండు వెనుక"&amp;", ప్లస్ స్థూపాకార ముక్కులో వంగిన విండో. చివరి విండో యొక్క వెనుక పోర్ట్ సైడ్ క్యాబిన్ ఎంట్రీ డోర్ ఉంది. వెనుక భాగంలో, C.74 యొక్క ఫిన్ త్రిభుజాకార మరియు విశాలమైనది, నిలువుగా అంచుగల సమతుల్య చుక్కానిని మోసుకెళ్ళి, అది కీల్‌కు చేరుకుంది. టెయిల్‌ప్లేన్ ఫ్యూజ్‌ల"&amp;"ేజ్ పైన అమర్చబడింది మరియు ఎలివేటర్లకు చుక్కాని కదలికకు కటౌట్ అవసరం. [1] దీని ల్యాండింగ్ గేర్ తప్పనిసరిగా టెయిల్‌స్కిడ్ రకానికి చెందినది. ప్రతి వైపు, దిగువ ఫ్యూజ్‌లేజ్ లాంగన్స్ నుండి మరియు రెండు ఇంజిన్ సపోర్ట్ స్ట్రట్స్ యొక్క సమావేశ పాయింట్ల క్రింద నుండి న"&amp;"ిలువు V- రూప కాళ్ళు ఇరువైపులా మెయిన్‌వీల్‌తో ఒకే ఇరుసును తీసుకువెళ్ళాయి. అదనంగా, మూడవ ఇరుసు, అదేవిధంగా ఫ్యూజ్‌లేజ్ నుండి అమర్చబడి, రెక్కల ముందుకు, ముక్కు-ఓవర్లను నివారించడానికి ఉద్దేశించిన కొంచెం చిన్న చక్రాలను తీసుకువెళ్ళింది. ప్రతి దిగువ రెక్కలో ఒక జత వ"&amp;"ెనుకబడిన వెనుకంజలో ఉన్న సన్నని స్కిడ్లు, రెండు వెనుక అవుట్‌బోర్డ్ ఇంటర్‌ప్లేన్ స్ట్రట్‌లలో ప్రతిదాని క్రింద జతచేయబడి, వెనుకంజలో ఉన్న అంచు నుండి తేలికగా కలుపుతారు, ఇది ప్రమాదవశాత్తు గ్రౌండ్ కాంటాక్ట్ నుండి రక్షణను ఇస్తుంది. [1] C.74 మొట్టమొదట 1922 లో ఎగురవ"&amp;"ేయబడింది మరియు బాగా అమ్ముడైంది. నవంబర్ 1922 ప్రారంభంలో జరిగిన లే గ్రాండ్ ప్రిక్స్ డెస్ ఏవియన్స్ డెస్ ట్రాన్స్పోర్ట్స్ (ట్రాన్స్‌పోర్ట్ ఎయిర్‌క్రాఫ్ట్ కోసం గొప్ప బహుమతి) పోటీలో ప్రవేశించారు, దీనిని జ్యూరీ బాగా పరిగణించింది. నవంబర్ 14 న, లే బౌర్గెట్ నుండి బ"&amp;"యలుదేరినప్పుడు, బోల్ట్స్ ప్రొపెల్లర్లలో ఒకరిని భద్రపరిచారు మరియు C.74 కు క్రాష్ అయ్యారు, ముగ్గురు సిబ్బంది, పైలట్ ఆల్ఫోన్స్ పోయిరీ మరియు మెకానిక్స్ కోర్సీ మరియు బోవిల్లియర్. ఇక నిర్మించబడలేదు. [1] హావెట్ నుండి డేటా (2001) పే .175 [1] సాధారణ లక్షణాల పనితీర"&amp;"ు")</f>
        <v>కాడ్రాన్ C.74 1922 లో ఫ్రాన్స్‌లో నిర్మించిన పది సీట్ల, నాలుగు ఇంజిన్ ప్యాసింజర్ బైప్‌లేన్. ఇది వాగ్దానాన్ని చూపించింది, కాని ఏకైక ప్రోటోటైప్ ఒక పోటీలో ఘోరంగా క్రాష్ అయ్యింది మరియు ఇకపై పూర్తి కాలేదు. C.74 ఒక పెద్ద బైప్‌లేన్, ఇది నాలుగు 224 kW (300 HP) హిస్పానో-సుయిజా 8FB వాటర్-కూల్డ్, నిటారుగా ఉన్న V-8 ఇంజన్లు రెండు జతలలో అమర్చబడి ఉంటుంది, ప్రతి జత ట్రాక్టర్ కాన్ఫిగరేషన్‌లో ఒక ఇంజిన్‌తో మరియు మరొకటి పషర్‌గా . ఇది కలప మరియు ఉక్కు నుండి నిర్మించబడింది మరియు ప్లైవుడ్ మరియు ఫాబ్రిక్‌లో కప్పబడి ఉంది. [1] పరివేష్టిత క్యాబిన్ పది మంది ప్రయాణీకులకు వసతి కల్పిస్తుంది. [2] C.74 లో దీర్ఘచతురస్రాకార ప్రణాళిక రెక్కలు ఉన్నాయి, ఎగువ విమానం దిగువ కంటే కొంచెం ఎక్కువ. ఇది అస్థిరంగా లేని మూడు బే బైప్‌లేన్, రెండు సెట్ల సమాంతర, నిలువు ఇంటర్‌ప్లేన్ స్ట్రట్స్ అవుట్‌బోర్డ్ మరియు ప్రతి రెక్కపై రెండు సెట్ల వాలుగా ఉన్న సమాంతర స్ట్రట్‌లను కలిగి ఉంటుంది. తరువాతి దిగువ రెక్కపై కలుసుకుంది కాని ఇరుకైన V లో పైకి మళ్లించబడింది, ఇంజిన్ జత కోసం d యల ఏర్పడింది. కాబేన్ స్ట్రట్స్ వింగ్ సెంటర్ విభాగంలో ఎగువ ఫ్యూజ్‌లేజ్ లాంగన్స్‌కు చేరింది. [1] విమానంలో ఒక ఫ్లాట్ సైడెడ్ ఫ్యూజ్‌లేజ్ ఉంది, ఇది సిబ్బందికి రెండు ఓపెన్ కాక్‌పిట్‌లతో, రెక్కల ప్రముఖ అంచు కంటే ఒకటి మరియు మరొకటి వెనుకబడి, రెక్క కింద ఉంది. క్యాబిన్ ఐదు ఫ్లాట్ సైడ్ కిటికీలను కలిగి ఉంది, కాక్‌పిట్స్ ముందు ముగ్గురు సమూహంలో మరియు రెండు వెనుక, ప్లస్ స్థూపాకార ముక్కులో వంగిన విండో. చివరి విండో యొక్క వెనుక పోర్ట్ సైడ్ క్యాబిన్ ఎంట్రీ డోర్ ఉంది. వెనుక భాగంలో, C.74 యొక్క ఫిన్ త్రిభుజాకార మరియు విశాలమైనది, నిలువుగా అంచుగల సమతుల్య చుక్కానిని మోసుకెళ్ళి, అది కీల్‌కు చేరుకుంది. టెయిల్‌ప్లేన్ ఫ్యూజ్‌లేజ్ పైన అమర్చబడింది మరియు ఎలివేటర్లకు చుక్కాని కదలికకు కటౌట్ అవసరం. [1] దీని ల్యాండింగ్ గేర్ తప్పనిసరిగా టెయిల్‌స్కిడ్ రకానికి చెందినది. ప్రతి వైపు, దిగువ ఫ్యూజ్‌లేజ్ లాంగన్స్ నుండి మరియు రెండు ఇంజిన్ సపోర్ట్ స్ట్రట్స్ యొక్క సమావేశ పాయింట్ల క్రింద నుండి నిలువు V- రూప కాళ్ళు ఇరువైపులా మెయిన్‌వీల్‌తో ఒకే ఇరుసును తీసుకువెళ్ళాయి. అదనంగా, మూడవ ఇరుసు, అదేవిధంగా ఫ్యూజ్‌లేజ్ నుండి అమర్చబడి, రెక్కల ముందుకు, ముక్కు-ఓవర్లను నివారించడానికి ఉద్దేశించిన కొంచెం చిన్న చక్రాలను తీసుకువెళ్ళింది. ప్రతి దిగువ రెక్కలో ఒక జత వెనుకబడిన వెనుకంజలో ఉన్న సన్నని స్కిడ్లు, రెండు వెనుక అవుట్‌బోర్డ్ ఇంటర్‌ప్లేన్ స్ట్రట్‌లలో ప్రతిదాని క్రింద జతచేయబడి, వెనుకంజలో ఉన్న అంచు నుండి తేలికగా కలుపుతారు, ఇది ప్రమాదవశాత్తు గ్రౌండ్ కాంటాక్ట్ నుండి రక్షణను ఇస్తుంది. [1] C.74 మొట్టమొదట 1922 లో ఎగురవేయబడింది మరియు బాగా అమ్ముడైంది. నవంబర్ 1922 ప్రారంభంలో జరిగిన లే గ్రాండ్ ప్రిక్స్ డెస్ ఏవియన్స్ డెస్ ట్రాన్స్పోర్ట్స్ (ట్రాన్స్‌పోర్ట్ ఎయిర్‌క్రాఫ్ట్ కోసం గొప్ప బహుమతి) పోటీలో ప్రవేశించారు, దీనిని జ్యూరీ బాగా పరిగణించింది. నవంబర్ 14 న, లే బౌర్గెట్ నుండి బయలుదేరినప్పుడు, బోల్ట్స్ ప్రొపెల్లర్లలో ఒకరిని భద్రపరిచారు మరియు C.74 కు క్రాష్ అయ్యారు, ముగ్గురు సిబ్బంది, పైలట్ ఆల్ఫోన్స్ పోయిరీ మరియు మెకానిక్స్ కోర్సీ మరియు బోవిల్లియర్. ఇక నిర్మించబడలేదు. [1] హావెట్ నుండి డేటా (2001) పే .175 [1] సాధారణ లక్షణాల పనితీరు</v>
      </c>
      <c r="E70" s="1" t="s">
        <v>1345</v>
      </c>
      <c r="F70" s="1" t="s">
        <v>1346</v>
      </c>
      <c r="G70" s="1" t="str">
        <f>IFERROR(__xludf.DUMMYFUNCTION("GOOGLETRANSLATE(F:F, ""en"", ""te"")"),"పది సీట్ల విమానాలు")</f>
        <v>పది సీట్ల విమానాలు</v>
      </c>
      <c r="H70" s="1" t="s">
        <v>1347</v>
      </c>
      <c r="I70" s="1" t="s">
        <v>1200</v>
      </c>
      <c r="J70" s="1" t="str">
        <f>IFERROR(__xludf.DUMMYFUNCTION("GOOGLETRANSLATE(I:I, ""en"", ""te"")"),"కాడ్రాన్")</f>
        <v>కాడ్రాన్</v>
      </c>
      <c r="K70" s="4" t="s">
        <v>1201</v>
      </c>
      <c r="L70" s="1" t="s">
        <v>1202</v>
      </c>
      <c r="M70" s="2" t="str">
        <f>IFERROR(__xludf.DUMMYFUNCTION("GOOGLETRANSLATE(L:L, ""en"", ""te"")"),"పాల్ డెవిల్లే")</f>
        <v>పాల్ డెవిల్లే</v>
      </c>
      <c r="O70" s="1">
        <v>1.0</v>
      </c>
      <c r="S70" s="1" t="s">
        <v>1348</v>
      </c>
      <c r="T70" s="1" t="s">
        <v>1349</v>
      </c>
      <c r="V70" s="1" t="s">
        <v>1350</v>
      </c>
      <c r="W70" s="1" t="s">
        <v>1351</v>
      </c>
      <c r="X70" s="1" t="s">
        <v>1352</v>
      </c>
      <c r="Z70" s="1" t="s">
        <v>1353</v>
      </c>
      <c r="AF70" s="1" t="s">
        <v>465</v>
      </c>
      <c r="AG70" s="4" t="s">
        <v>466</v>
      </c>
      <c r="AI70" s="1" t="s">
        <v>1354</v>
      </c>
      <c r="AK70" s="1" t="s">
        <v>740</v>
      </c>
      <c r="AL70" s="1" t="s">
        <v>165</v>
      </c>
      <c r="AO70" s="1">
        <v>1922.0</v>
      </c>
      <c r="AR70" s="1" t="s">
        <v>372</v>
      </c>
      <c r="BA70" s="1" t="s">
        <v>1206</v>
      </c>
      <c r="BB70" s="1" t="s">
        <v>1355</v>
      </c>
    </row>
    <row r="71">
      <c r="A71" s="1" t="s">
        <v>1356</v>
      </c>
      <c r="B71" s="1" t="str">
        <f>IFERROR(__xludf.DUMMYFUNCTION("GOOGLETRANSLATE(A:A, ""en"", ""te"")"),"కాడ్రాన్ రకం f")</f>
        <v>కాడ్రాన్ రకం f</v>
      </c>
      <c r="C71" s="1" t="s">
        <v>1357</v>
      </c>
      <c r="D71" s="2" t="str">
        <f>IFERROR(__xludf.DUMMYFUNCTION("GOOGLETRANSLATE(C:C, ""en"", ""te"")"),"కాడ్రాన్ టైప్ ఎఫ్ ప్రపంచ యుద్ధానికి ముందు ఉత్పత్తి చేయబడిన ఒక ఫ్రెంచ్ సింగిల్ సీట్ బిప్‌లేన్. డజనును చైనా మరియు కనీసం రెండు ఇతర ఉదాహరణలు, వేర్వేరు ఇంజిన్‌లతో, 1913 లో పోటీ పడ్డాయి, క్రాస్ యొక్క బైప్‌లేన్ విభాగంలో మొదటి మరియు రెండవ స్థానంలో నిలిచాయి రీమ్స్"&amp;" వద్ద కంట్రీ రేస్. పియరీ చాంటెలోప్ చేత ఎగిరింది, ఒకటి లూప్-ది-లూప్ యొక్క మొదటి బిప్లేన్. టైప్ ఎఫ్ అనేది ఒకే సీటు బైప్‌లేన్, అదే లేఅవుట్, దాని ముందు అన్ని ఇతర కాడ్రాన్ ల్యాండ్ బేస్డ్ బైప్లేన్ల మాదిరిగానే ఉంటుంది, టైప్ బి మల్టిప్లేస్ కాకుండా. అవన్నీ చిన్న స"&amp;"ెంట్రల్ నాసెల్లె మరియు ట్విన్ రెక్కలతో జంట బూమ్ ట్రాక్టర్ కాన్ఫిగరేషన్ విమానం. టైప్ E శ్రేణికి టైప్ టైక్‌తో పోలిస్తే, f రకం నాసెల్లె డిజైన్ మరియు నిలువు తోక ఆకారంలో చాలా భిన్నంగా ఉంటుంది. 1913 నాటికి, ఎఫ్ రకం కనిపించినప్పుడు, మునుపటి రకాల్లో కనీసం ఒకటి సమ"&amp;"ాన స్పాన్ బిప్‌లేన్ నుండి సెస్క్విప్లేన్‌కు సవరించబడింది; E రకం వలె, f రకం మొదటి నుండి సెస్క్విప్లేన్. [1] [2] ఈ మునుపటి కాడ్రాన్ల మాదిరిగానే, ఎఫ్ టైప్ ఒక వైర్, రెండు బే బైప్లేన్, రెండు స్పార్ ఫాబ్రిక్ కప్పబడిన రెక్కలతో కోణీయ చిట్కాలతో పాటు ఒకే దీర్ఘచతురస"&amp;"్రాకార ప్రణాళికను కలిగి ఉంటుంది. ఎగువ మరియు దిగువ స్పాన్‌లు 1.8 నిష్పత్తిలో ఉన్నాయి. అస్థిరత లేదు, కాబట్టి సమాంతర ఇంటర్‌ప్లేన్ స్ట్రట్‌ల యొక్క రెండు సెట్లు సమాంతరంగా మరియు నిలువుగా ఉన్నాయి. ఎగువ రెక్కల యొక్క బయటి విభాగాలకు దిగువ రెక్క యొక్క కొన వద్ద, బయటి"&amp;" ఇంటర్‌ప్లేన్ స్ట్రట్స్ యొక్క స్థావరాల నుండి బాహ్య సన్నని స్ట్రట్‌ల సమాంతర జతల ద్వారా మద్దతు ఉంది. వెనుక స్పార్ మధ్య తీగ కంటే ముందుంది, పక్కటెముకలను రెక్క యొక్క వెనుక భాగంలో వదిలివేసి, వింగ్ వార్పింగ్ ద్వారా రోల్ నియంత్రణను అనుమతిస్తుంది. [2] నాసెల్లె మున"&amp;"ుపటి సరళమైన, ఫ్లాట్ సైడెడ్ నిర్మాణాల అభివృద్ధి, కానీ ఇకపై దాని వైపులా ఇంజిన్‌కు ప్రొఫైల్‌లో పైకి వంగదు. బదులుగా, ఈ నిర్మాణం యొక్క ఎగువ అంచులు సూటిగా ఉన్నాయి, వంగిన డెక్కింగ్, ఇది ముందుకు నడిచింది, 37 కిలోవాట్ల (50 హెచ్‌పి) గ్నోమ్ ఒమేగా ఏడు సిలిండర్ రేడియల"&amp;"్ ఇంజిన్ చుట్టూ కౌలింగ్‌లోకి వచ్చింది. మునుపటి మోడళ్ల కంటే కౌలింగ్ చాలా పూర్తయింది, అయినప్పటికీ సమయం ఉన్న పద్ధతిలో దిగువన ఒక అంతరం ఉంది, కోల్పోయిన నూనె తప్పించుకోవడానికి అనుమతించింది. కనీసం ఒక రకం F లో అన్‌జానీ 10-సిలిండర్ రేడియల్ ఇంజన్ ఉంది. కాక్‌పిట్ యొ"&amp;"క్క ఫార్వర్డ్ రిమ్ పెంచబడింది, ఇది మరింత పరివేష్టిత మరియు బాగా నిర్వచించబడింది; మునుపటిలాగా D2 మరియు టైప్ E. టైప్ EX లో ఇలాంటి రక్షణ ప్రవేశపెట్టబడింది, నాసెల్లెకు దిగువ రెక్క పైన మరో రెండు జతల ఇంటర్‌ప్లేన్ స్ట్రట్‌లపై మద్దతు ఉంది; D. రకంలో ఉన్నట్లుగా, వీట"&amp;"ిని నాసెల్లె జతచేయారు. [2] ఎఫ్ రకం యొక్క సామ్రాజ్యం ప్రణాళికలో ఒకదానికొకటి సమాంతరంగా ఏర్పాటు చేసిన ఒక జత గిర్డర్లకు మద్దతు ఇవ్వబడింది. ఎగువ గిర్డర్ సభ్యులు లోపలి ఇంటర్‌ప్లేన్ స్ట్రట్‌ల పైభాగంలో ఉన్న ఎగువ వింగ్ స్పార్‌లకు జతచేయబడ్డారు మరియు దిగువ వాటిని ది"&amp;"గువ రెక్క కింద నడిచి, లోపలి ఇంటర్‌ప్లేన్ జతల దిగువ నుండి విలోమ W- ఫార్మ్ స్ట్రట్‌లపై అమర్చారు. ఈ దిగువ సభ్యులు, భూమిపై ఉన్న విమానానికి స్కిడ్లుగా మద్దతు ఇచ్చారు, ప్రతి ఒక్కరూ జంట, రబ్బరు మొలకెత్తిన ల్యాండింగ్ చక్రాలను తీసుకువెళ్లారు. రెక్క వెనుక ఎగువ మరియ"&amp;"ు దిగువ సభ్యులు వెనుక భాగంలో కలుసుకున్నారు, దిగువ సభ్యులపై లాగడం ల్యాండింగ్ పరుగును తగ్గిస్తుంది. ప్రతి గిర్డర్‌లో మూడు నిలువు క్రాస్ కలుపులు ఉన్నాయి, కాని వైర్ బ్రేసింగ్ ఉన్నప్పటికీ, పార్శ్వ అంతర్-అమ్మాయి క్రాస్-సభ్యులు తోక దగ్గర మాత్రమే ఉన్నాయి. విస్తృత"&amp;" తీగ, సుమారు దీర్ఘచతురస్రాకార, వార్పింగ్ టెయిల్‌ప్లేన్ ఎగువ గిర్డర్ సభ్యునికి కొంచెం దిగువన అమర్చబడింది. దాని పైన మరియు మునుపటి దీర్ఘచతురస్రాకార రడ్డర్లకు బదులుగా ఒక చిన్న త్రిభుజాకార రెక్కలు ఉన్నాయి, ప్రతి ఒక్కటి విస్తృత చుక్కానిని సున్నితంగా గుండ్రని ప్"&amp;"రముఖ అంచులు మరియు నిటారుగా, నిలువు వెనుకబడి ఉన్న అంచుతో అమర్చారు. రెక్కలు టెయిల్‌ప్లేన్ వ్యవధిలో మూడింట ఒక వంతు ద్వారా వేరు చేయబడ్డాయి. [2] 1913 లో కాడ్రాన్ అప్పటికే మునుపటి రెండు సీట్ల రకం డిఎస్‌లో కనీసం రెండు చైనాకు విక్రయించాడు [3] మరియు 1913 ప్రారంభంల"&amp;"ో వారు సింగిల్ సీట్ రకం ఎఫ్‌ఎస్‌లో పన్నెండు కోసం ఒక ఆర్డర్‌ను పొందారు. కాడ్రాన్ నుండి ఎమిలే ఓబ్రే, మరియు ఫ్రెంచ్ వలస దళాల నుండి బాన్, విమానయాన కేంద్రాన్ని నిర్వహించడానికి బీజింగ్ వెళ్ళాడు. [4] సెప్టెంబర్ 1913 చివరిలో జరిగిన రీమ్స్ సమావేశంలో రెండు రకం ఎఫ్ఎ"&amp;"స్ పోటీ పడింది, ఒకటి అంజని గాస్టన్ కాడ్రాన్ చేత శక్తితో మరియు ఎగిరింది మరియు మరొకటి గ్నోమ్ శక్తితో అతని సోదరుడు రెనే ఎగిరింది. క్రాస్ కంట్రీ ఈవెంట్ యొక్క బిప్‌లేన్ విభాగంలో రెనే మొదటి బహుమతిని గెలుచుకుంది, సగటు వేగంతో 94 కిమీ/గం (58 ఎమ్‌పిహెచ్) మరియు మరొక"&amp;"టి వేగవంతమైన ల్యాప్ సమయాన్ని సెట్ చేయడానికి. అతని సోదరుడు గంటకు 94 కిమీ (58 ఎమ్‌పిహెచ్) వేగంతో రెండవ స్థానంలో నిలిచాడు. [2] [5] 21 నవంబర్ 1913 న, గ్నోమ్ పవర్డ్ టైప్ ఎఫ్ లోని పియరీ చాంటెలోప్ ఒక బిప్‌లేన్‌లో మొదటి కమాండ్ లూప్‌లను, అలాగే ఇతర ఏరోబాటిక్ విన్యా"&amp;"సాలను, ఇస్సీ-లెస్-మౌలినాక్స్ వద్ద ప్రదర్శించారు. [2] [6] హావెట్ నుండి డేటా (2001) p.62-4 [2] సాధారణ లక్షణాల పనితీరు")</f>
        <v>కాడ్రాన్ టైప్ ఎఫ్ ప్రపంచ యుద్ధానికి ముందు ఉత్పత్తి చేయబడిన ఒక ఫ్రెంచ్ సింగిల్ సీట్ బిప్‌లేన్. డజనును చైనా మరియు కనీసం రెండు ఇతర ఉదాహరణలు, వేర్వేరు ఇంజిన్‌లతో, 1913 లో పోటీ పడ్డాయి, క్రాస్ యొక్క బైప్‌లేన్ విభాగంలో మొదటి మరియు రెండవ స్థానంలో నిలిచాయి రీమ్స్ వద్ద కంట్రీ రేస్. పియరీ చాంటెలోప్ చేత ఎగిరింది, ఒకటి లూప్-ది-లూప్ యొక్క మొదటి బిప్లేన్. టైప్ ఎఫ్ అనేది ఒకే సీటు బైప్‌లేన్, అదే లేఅవుట్, దాని ముందు అన్ని ఇతర కాడ్రాన్ ల్యాండ్ బేస్డ్ బైప్లేన్ల మాదిరిగానే ఉంటుంది, టైప్ బి మల్టిప్లేస్ కాకుండా. అవన్నీ చిన్న సెంట్రల్ నాసెల్లె మరియు ట్విన్ రెక్కలతో జంట బూమ్ ట్రాక్టర్ కాన్ఫిగరేషన్ విమానం. టైప్ E శ్రేణికి టైప్ టైక్‌తో పోలిస్తే, f రకం నాసెల్లె డిజైన్ మరియు నిలువు తోక ఆకారంలో చాలా భిన్నంగా ఉంటుంది. 1913 నాటికి, ఎఫ్ రకం కనిపించినప్పుడు, మునుపటి రకాల్లో కనీసం ఒకటి సమాన స్పాన్ బిప్‌లేన్ నుండి సెస్క్విప్లేన్‌కు సవరించబడింది; E రకం వలె, f రకం మొదటి నుండి సెస్క్విప్లేన్. [1] [2] ఈ మునుపటి కాడ్రాన్ల మాదిరిగానే, ఎఫ్ టైప్ ఒక వైర్, రెండు బే బైప్లేన్, రెండు స్పార్ ఫాబ్రిక్ కప్పబడిన రెక్కలతో కోణీయ చిట్కాలతో పాటు ఒకే దీర్ఘచతురస్రాకార ప్రణాళికను కలిగి ఉంటుంది. ఎగువ మరియు దిగువ స్పాన్‌లు 1.8 నిష్పత్తిలో ఉన్నాయి. అస్థిరత లేదు, కాబట్టి సమాంతర ఇంటర్‌ప్లేన్ స్ట్రట్‌ల యొక్క రెండు సెట్లు సమాంతరంగా మరియు నిలువుగా ఉన్నాయి. ఎగువ రెక్కల యొక్క బయటి విభాగాలకు దిగువ రెక్క యొక్క కొన వద్ద, బయటి ఇంటర్‌ప్లేన్ స్ట్రట్స్ యొక్క స్థావరాల నుండి బాహ్య సన్నని స్ట్రట్‌ల సమాంతర జతల ద్వారా మద్దతు ఉంది. వెనుక స్పార్ మధ్య తీగ కంటే ముందుంది, పక్కటెముకలను రెక్క యొక్క వెనుక భాగంలో వదిలివేసి, వింగ్ వార్పింగ్ ద్వారా రోల్ నియంత్రణను అనుమతిస్తుంది. [2] నాసెల్లె మునుపటి సరళమైన, ఫ్లాట్ సైడెడ్ నిర్మాణాల అభివృద్ధి, కానీ ఇకపై దాని వైపులా ఇంజిన్‌కు ప్రొఫైల్‌లో పైకి వంగదు. బదులుగా, ఈ నిర్మాణం యొక్క ఎగువ అంచులు సూటిగా ఉన్నాయి, వంగిన డెక్కింగ్, ఇది ముందుకు నడిచింది, 37 కిలోవాట్ల (50 హెచ్‌పి) గ్నోమ్ ఒమేగా ఏడు సిలిండర్ రేడియల్ ఇంజిన్ చుట్టూ కౌలింగ్‌లోకి వచ్చింది. మునుపటి మోడళ్ల కంటే కౌలింగ్ చాలా పూర్తయింది, అయినప్పటికీ సమయం ఉన్న పద్ధతిలో దిగువన ఒక అంతరం ఉంది, కోల్పోయిన నూనె తప్పించుకోవడానికి అనుమతించింది. కనీసం ఒక రకం F లో అన్‌జానీ 10-సిలిండర్ రేడియల్ ఇంజన్ ఉంది. కాక్‌పిట్ యొక్క ఫార్వర్డ్ రిమ్ పెంచబడింది, ఇది మరింత పరివేష్టిత మరియు బాగా నిర్వచించబడింది; మునుపటిలాగా D2 మరియు టైప్ E. టైప్ EX లో ఇలాంటి రక్షణ ప్రవేశపెట్టబడింది, నాసెల్లెకు దిగువ రెక్క పైన మరో రెండు జతల ఇంటర్‌ప్లేన్ స్ట్రట్‌లపై మద్దతు ఉంది; D. రకంలో ఉన్నట్లుగా, వీటిని నాసెల్లె జతచేయారు. [2] ఎఫ్ రకం యొక్క సామ్రాజ్యం ప్రణాళికలో ఒకదానికొకటి సమాంతరంగా ఏర్పాటు చేసిన ఒక జత గిర్డర్లకు మద్దతు ఇవ్వబడింది. ఎగువ గిర్డర్ సభ్యులు లోపలి ఇంటర్‌ప్లేన్ స్ట్రట్‌ల పైభాగంలో ఉన్న ఎగువ వింగ్ స్పార్‌లకు జతచేయబడ్డారు మరియు దిగువ వాటిని దిగువ రెక్క కింద నడిచి, లోపలి ఇంటర్‌ప్లేన్ జతల దిగువ నుండి విలోమ W- ఫార్మ్ స్ట్రట్‌లపై అమర్చారు. ఈ దిగువ సభ్యులు, భూమిపై ఉన్న విమానానికి స్కిడ్లుగా మద్దతు ఇచ్చారు, ప్రతి ఒక్కరూ జంట, రబ్బరు మొలకెత్తిన ల్యాండింగ్ చక్రాలను తీసుకువెళ్లారు. రెక్క వెనుక ఎగువ మరియు దిగువ సభ్యులు వెనుక భాగంలో కలుసుకున్నారు, దిగువ సభ్యులపై లాగడం ల్యాండింగ్ పరుగును తగ్గిస్తుంది. ప్రతి గిర్డర్‌లో మూడు నిలువు క్రాస్ కలుపులు ఉన్నాయి, కాని వైర్ బ్రేసింగ్ ఉన్నప్పటికీ, పార్శ్వ అంతర్-అమ్మాయి క్రాస్-సభ్యులు తోక దగ్గర మాత్రమే ఉన్నాయి. విస్తృత తీగ, సుమారు దీర్ఘచతురస్రాకార, వార్పింగ్ టెయిల్‌ప్లేన్ ఎగువ గిర్డర్ సభ్యునికి కొంచెం దిగువన అమర్చబడింది. దాని పైన మరియు మునుపటి దీర్ఘచతురస్రాకార రడ్డర్లకు బదులుగా ఒక చిన్న త్రిభుజాకార రెక్కలు ఉన్నాయి, ప్రతి ఒక్కటి విస్తృత చుక్కానిని సున్నితంగా గుండ్రని ప్రముఖ అంచులు మరియు నిటారుగా, నిలువు వెనుకబడి ఉన్న అంచుతో అమర్చారు. రెక్కలు టెయిల్‌ప్లేన్ వ్యవధిలో మూడింట ఒక వంతు ద్వారా వేరు చేయబడ్డాయి. [2] 1913 లో కాడ్రాన్ అప్పటికే మునుపటి రెండు సీట్ల రకం డిఎస్‌లో కనీసం రెండు చైనాకు విక్రయించాడు [3] మరియు 1913 ప్రారంభంలో వారు సింగిల్ సీట్ రకం ఎఫ్‌ఎస్‌లో పన్నెండు కోసం ఒక ఆర్డర్‌ను పొందారు. కాడ్రాన్ నుండి ఎమిలే ఓబ్రే, మరియు ఫ్రెంచ్ వలస దళాల నుండి బాన్, విమానయాన కేంద్రాన్ని నిర్వహించడానికి బీజింగ్ వెళ్ళాడు. [4] సెప్టెంబర్ 1913 చివరిలో జరిగిన రీమ్స్ సమావేశంలో రెండు రకం ఎఫ్ఎస్ పోటీ పడింది, ఒకటి అంజని గాస్టన్ కాడ్రాన్ చేత శక్తితో మరియు ఎగిరింది మరియు మరొకటి గ్నోమ్ శక్తితో అతని సోదరుడు రెనే ఎగిరింది. క్రాస్ కంట్రీ ఈవెంట్ యొక్క బిప్‌లేన్ విభాగంలో రెనే మొదటి బహుమతిని గెలుచుకుంది, సగటు వేగంతో 94 కిమీ/గం (58 ఎమ్‌పిహెచ్) మరియు మరొకటి వేగవంతమైన ల్యాప్ సమయాన్ని సెట్ చేయడానికి. అతని సోదరుడు గంటకు 94 కిమీ (58 ఎమ్‌పిహెచ్) వేగంతో రెండవ స్థానంలో నిలిచాడు. [2] [5] 21 నవంబర్ 1913 న, గ్నోమ్ పవర్డ్ టైప్ ఎఫ్ లోని పియరీ చాంటెలోప్ ఒక బిప్‌లేన్‌లో మొదటి కమాండ్ లూప్‌లను, అలాగే ఇతర ఏరోబాటిక్ విన్యాసాలను, ఇస్సీ-లెస్-మౌలినాక్స్ వద్ద ప్రదర్శించారు. [2] [6] హావెట్ నుండి డేటా (2001) p.62-4 [2] సాధారణ లక్షణాల పనితీరు</v>
      </c>
      <c r="E71" s="1" t="s">
        <v>1358</v>
      </c>
      <c r="F71" s="1" t="s">
        <v>1359</v>
      </c>
      <c r="G71" s="1" t="str">
        <f>IFERROR(__xludf.DUMMYFUNCTION("GOOGLETRANSLATE(F:F, ""en"", ""te"")"),"సింగిల్ సీట్ ట్రాక్టర్ కాన్ఫిగరేషన్ బిప్లేన్")</f>
        <v>సింగిల్ సీట్ ట్రాక్టర్ కాన్ఫిగరేషన్ బిప్లేన్</v>
      </c>
      <c r="H71" s="1" t="s">
        <v>1360</v>
      </c>
      <c r="I71" s="1" t="s">
        <v>1200</v>
      </c>
      <c r="J71" s="1" t="str">
        <f>IFERROR(__xludf.DUMMYFUNCTION("GOOGLETRANSLATE(I:I, ""en"", ""te"")"),"కాడ్రాన్")</f>
        <v>కాడ్రాన్</v>
      </c>
      <c r="K71" s="4" t="s">
        <v>1201</v>
      </c>
      <c r="M71" s="2"/>
      <c r="P71" s="1" t="s">
        <v>1361</v>
      </c>
      <c r="Q71" s="1" t="s">
        <v>1362</v>
      </c>
      <c r="R71" s="1" t="s">
        <v>222</v>
      </c>
      <c r="T71" s="1" t="s">
        <v>1363</v>
      </c>
      <c r="V71" s="1" t="s">
        <v>1364</v>
      </c>
      <c r="W71" s="1" t="s">
        <v>517</v>
      </c>
      <c r="Z71" s="1" t="s">
        <v>1365</v>
      </c>
      <c r="AF71" s="1" t="s">
        <v>465</v>
      </c>
      <c r="AG71" s="4" t="s">
        <v>466</v>
      </c>
      <c r="AI71" s="1" t="s">
        <v>1366</v>
      </c>
      <c r="AL71" s="1" t="s">
        <v>566</v>
      </c>
      <c r="AO71" s="1" t="s">
        <v>1367</v>
      </c>
      <c r="AR71" s="1" t="s">
        <v>372</v>
      </c>
      <c r="AV71" s="1" t="s">
        <v>1368</v>
      </c>
      <c r="AY71" s="1" t="s">
        <v>1369</v>
      </c>
      <c r="AZ71" s="1" t="s">
        <v>1370</v>
      </c>
      <c r="BA71" s="1" t="s">
        <v>500</v>
      </c>
      <c r="BB71" s="1" t="s">
        <v>1371</v>
      </c>
      <c r="BC71" s="1" t="s">
        <v>1372</v>
      </c>
      <c r="CH71" s="1" t="s">
        <v>1373</v>
      </c>
    </row>
    <row r="72">
      <c r="A72" s="1" t="s">
        <v>1374</v>
      </c>
      <c r="B72" s="1" t="str">
        <f>IFERROR(__xludf.DUMMYFUNCTION("GOOGLETRANSLATE(A:A, ""en"", ""te"")"),"కాడ్రాన్ రకాలు m మరియు n")</f>
        <v>కాడ్రాన్ రకాలు m మరియు n</v>
      </c>
      <c r="C72" s="1" t="s">
        <v>1375</v>
      </c>
      <c r="D72" s="2" t="str">
        <f>IFERROR(__xludf.DUMMYFUNCTION("GOOGLETRANSLATE(C:C, ""en"", ""te"")"),"కాడ్రాన్ రకాలు M మరియు N చిన్నవి, వేగవంతమైన ఫ్రెంచ్ స్పోర్ట్స్ మోనోప్లేన్స్, 1911-13 విస్తృత శ్రేణి ఇంజిన్ శక్తుల క్రింద ప్రయాణించాయి. సైనిక వెర్షన్ కూడా ఉంది. 1908 లో వారి మొదటి ప్రయత్నాల నుండి ఇరవై సంవత్సరాలలో కాడ్రాన్ బ్రదర్స్ రూపొందించిన దాదాపు అన్ని "&amp;"విమానాలు బైప్‌లాన్‌లు అయినప్పటికీ, వారు 1911-2 లో మూడు మోనోప్లేన్ రకాలను ఉత్పత్తి చేశారు. ఇవి సింగిల్ సీట్ రేసింగ్ రకాలు M మరియు N మరియు సంబంధిత కానీ కొంత పెద్ద రకం M2 మిలిటరీ వెర్షన్. [1] M మరియు N రకాలు చాలా పోలి ఉంటాయి మరియు, హోదా సమకాలీన ఖాతాలలో కొన్న"&amp;"ి వివరాలతో కలిసి నివేదించబడినప్పటికీ, ఉదాహరణకు 1912 లో L'Ayrofile లో, [2] ఆధునిక చరిత్రకారులకు వాటిని వేరు చేయడం కష్టమని నిరూపించబడింది. [1] వారు ఒకే ఫ్యూజ్‌లేజ్‌ను పంచుకున్నారు మరియు రెండూ వివిధ రకాల ఇంజిన్‌లను ఉపయోగించాయి, కాని వివిధ సమకాలీన మూలాల నుండి"&amp;" డేటాను పోల్చడం వల్ల రకం ఎన్ రకం కంటే పెద్ద రెక్కను కలిగి ఉందని సూచిస్తుంది. కొంత చెల్లాచెదరు ఉన్నప్పటికీ, టైప్ M కి దగ్గరగా ఉంది 8.7 మీ (28 అడుగుల 7 అంగుళాలు) మరియు N నుండి 8.0 మీ (26 అడుగుల 3 అంగుళాలు). దీనికి విరుద్ధంగా, వింగ్ ప్రాంతం రకాల్లో మారుతూ ఉం"&amp;"టుంది. [1] ఈ సమయంలో, వోయిసిన్ మరియు ఫార్మాన్ వంటి వివిధ ఫ్రెంచ్ తయారీదారులు పక్షుల మాదిరిగానే పాక్షికంగా సరళమైన రెక్కలను ఉపయోగించడం ద్వారా గస్ట్ లకు వ్యతిరేకంగా విమానాల స్థిరత్వాన్ని మెరుగుపరుస్తారని ఆశించారు [2] మరియు కాడ్రాన్ రకాలు M మరియు N కూడా ఈ లక్ష"&amp;"ణాన్ని కలిగి ఉన్నాయి. ప్రతి రెక్కలో రెండు స్టీల్ ట్యూబ్, కలప నిండిన స్పార్స్, ఒకటి ప్రముఖ అంచు వద్ద మరియు మరొకటి 500 మిమీ (19.7 అంగుళాలు) [2] వెనుక, మూడవ మూడవ తీగ వెనుక, బూడిద పక్కటెముకలు మరియు వైర్ బ్రేసింగ్‌తో. పక్కటెముకల సంఖ్య 10, 11 మరియు 12 మధ్య మారు"&amp;"తూ ఉంటుంది మరియు అవి సాంప్రదాయకంగా స్పార్స్ మధ్య దృ g ంగా ఉన్నాయి. వెనుక స్పార్ వెనుక ప్రతి పక్కటెముక యొక్క ఎగువ భాగం కూడా దృ g ంగా ఉంది, ఇది సుమారు 70% తీగతో ముగుస్తుంది; దిగువ భాగం సన్నని, సౌకర్యవంతమైన పొడిగింపు స్ట్రిప్ ద్వారా 60% తీగతో పూర్తయింది. రెక"&amp;"్కలు అప్పుడు ఫాబ్రిక్ కప్పబడి ఉన్నాయి, అయినప్పటికీ సౌకర్యవంతమైన భాగం ఎగువ భాగంలో మాత్రమే కప్పబడి ఉంది. [1] [3] రెక్కలకు పై నుండి ఫ్యూజ్‌లేజ్ పైన నాలుగు కాళ్ల పైలాన్ నుండి వైర్లు ల్యాండింగ్ చేయడం ద్వారా మరియు క్రింద ఉన్న మరొకటి నుండి వైర్లను ఎత్తడం ద్వారా,"&amp;" టైప్ ఎం కంటే తక్కువ ఎం. అండర్ క్యారేజ్ ఫ్రేమ్ మధ్యలో క్షితిజ సమాంతర, రేఖాంశ స్ట్రట్. వింగ్ వార్పింగ్ ద్వారా పార్శ్వ నియంత్రణ. [1] M మరియు N రకాలు యొక్క నిర్మాణాత్మక ఫ్యూజ్‌లేజ్ ఒక దీర్ఘచతురస్రాకార విభాగం, వైర్ ఫ్రేమ్డ్ లాటిస్ గిర్డర్ వైర్ క్రాస్ బ్రేసింగ"&amp;"్‌తో. పోప్లర్ ఫార్మర్లు మరియు స్ట్రింగర్లు మరింత గుండ్రని, ఫాబ్రిక్ కవర్ విభాగాన్ని ఉత్పత్తి చేశాయి. పైలట్ రెక్కపై మరియు ఎగువ పైలాన్ వెనుక ఓపెన్ కాక్‌పిట్‌లో బాగా కూర్చున్నాడు. [3] 35 హెచ్‌పి (26 కిలోవాట్ల) అంజాని త్రీ సిలిండర్ విలోమ వై రేడియల్ ఇంజిన్, 45"&amp;" హెచ్‌పి (34 కిలోవాట్) అంజాని 6-సిలిండర్ రెండు వరుస రేడియల్ మరియు 50 హెచ్‌పి (37 కిలోవాట్ల) గ్నోమ్‌తో సహా విస్తృత శ్రేణి ఇంజన్లు అమర్చబడ్డాయి. చివరిది, రోటరీ ఇంజిన్, సాధారణంగా ఆయిల్ స్ప్రే నుండి పైలట్‌ను పరీక్షించడానికి ఎగువ భాగంలో కప్పబడి ఉంటుంది; అంజాని"&amp;"స్ అన్‌కౌల్ చేయబడ్డారు. వారంతా పెద్ద, విస్తృత తీగ ప్రొపెల్లర్లను నడిపారు. చాలా విస్తృత తీగ, తక్కువ కారక నిష్పత్తి టెయిల్‌ప్లేన్ వింగ్ లాగా స్థిరత్వాన్ని మెరుగుపరచడానికి సౌకర్యవంతమైన వెనుక ఉపరితలంతో పనిచేస్తుంది మరియు వార్పింగ్ ద్వారా సాంప్రదాయిక ఎలివేటర్ల"&amp;" వలె పనిచేస్తుంది, దాని వెనుకంజలో ఉన్న అంచు ఫ్యూజ్‌లేజ్ ముగింపుకు మించి విస్తరించి ఉంది. ఒక చిన్న, దీర్ఘచతురస్రాకార దగ్గర, ఒక ముక్క, దృ fin మైన ఫిన్ విపరీతమైన తోక నుండి దాని ప్రముఖ అంచు దగ్గర పైవట్ చేయబడింది. [1] M మరియు N రకాలు టెయిల్‌స్కిడ్ అండర్ క్యారే"&amp;"జ్ కలిగి ఉన్నాయి. ప్రతి చివరన ఒక విలోమ స్టీల్ బార్ దిగువ ఫ్యూజ్‌లేజ్ నుండి బూడిద V- స్ట్రట్‌కు పరిష్కరించబడింది మరియు దాని మధ్య నుండి ఉక్కు V- స్ట్రట్‌తో మరింత కలుపుతారు. ఒక జత ఇరుసులు, బార్ మధ్యలో అతుక్కొని, మెయిన్‌వీల్స్‌తో రబ్బరు షాక్ అబ్జార్బర్స్ ద్వా"&amp;"రా బూడిద స్ట్రట్‌ల శీర్షాల గుండా వెళుతున్నాయి, కొద్దిగా మరియు 1.4 మీ (4 అడుగుల 7 అంగుళాలు) [2] వేరుగా ఉంటాయి. 3] అండర్ క్యారేజ్ యొక్క ప్రారంభ సంస్కరణలు స్ప్లిట్ ఒకటి కాకుండా ఒకే ఇరుసును ఉపయోగించాయి. [1] పొడవైన టెయిల్‌ప్లేన్‌ను భూమి నుండి స్పష్టంగా ఉంచడాని"&amp;"కి వెనుక భాగంలో అసాధారణంగా పొడవైన, వంగిన, పొడవైన తోక తోలు ఉంది. [1] [3] లారోఫైల్ [2] లో ప్రాథమిక స్పెసిఫికేషన్ (కొలతలు, బరువులు మరియు వేగం) మరియు జేన్ యొక్క ఆల్ ది వరల్డ్ విమానాలు 1913 కాకుండా, [4] M2 రకం యొక్క రికార్డులు ప్రస్తుతం తెలియదు. [1] మొదటి విమా"&amp;"న తేదీలు ప్రస్తుతం తెలియదు, లేదా ఏ రకం మొదట ఎగిరింది, కాని టైప్ ఎన్ యొక్క నివేదికలు ఉన్నాయి, రెనీ కాడ్రాన్ చేత పైలట్ చేయబడింది, 23 డిసెంబర్ 1911 న ఎగురుతుంది. 35 హెచ్‌పి (26 కిలోవాట్ కాడ్రాన్ యొక్క లే క్రోటోయ్ బేస్ నుండి 100 కిమీ/గం (62 mph) వద్ద పాయింట్-"&amp;"సెయింట్-క్వెంటిన్‌కు అవుట్ మరియు రిటర్న్ ఫ్లైట్. రెండు రోజుల తరువాత ఇది 1911 పారిస్ సెలూన్లో ప్రదర్శనలో ఉంది. ఇది ఒక ఆంగ్ల యజమాని, E.W. ఎవెన్ కోసం 45 HP (34 kW) అంజానితో తిరిగి ఇంజిన్ చేయబడింది, అతను 2 మే 1912 న ఇంగ్లీష్ ఛానల్ మీదుగా ఇంటికి వెళ్లిపోయాడు. "&amp;"[1] మారిస్ గిల్లాక్స్ చేత వినిపించినది జూన్ 1912 లో హెండన్ నుండి ప్రారంభించి, లండన్ రేసులో ఒక సర్క్యూట్లో పాల్గొంది, కాని అది విజేతగా కనిపించినప్పుడు ముగిసేలోపు ఇంధనం లేకపోవడం నుండి రిటైర్ అయ్యింది. [1] [5] అనేక మార్పుల తరువాత ఇది ఫిబ్రవరి 1913 లో ఒలింపియ"&amp;"ా షోలో ప్రదర్శనలో ఉంది. [1] సెప్టెంబర్ 1913 లో ఎఫ్. గుడ్‌డెన్ దీనిని హెండన్ వద్ద ఏరియల్ డెర్బీని ప్రదర్శించాడు, దీనిని 35 హెచ్‌పి (26 కిలోవాట్) అంజానితో నడిచారు; ఇది 45 హెచ్‌పి (34 కిలోవాట్) ఇంజిన్‌తో రేసు కోసం నమోదు చేయబడింది కాని పోటీ చేయలేదు. [5] [6] ఈ"&amp;" విమానం యొక్క 8.4 m2 (90 చదరపు అడుగులు) రెక్కల ప్రాంతం [3], బహుశా N మాత్రమే రకం N, [1] సాధారణంగా కోట్ చేయబడిన దానికంటే చాలా చిన్నది (10 m2 (108 చదరపు అడుగులు)). దాని వ్యవధి 230 మిమీ (9.1 అంగుళాలు) 8 మీ (26 అడుగుల 3 అంగుళాలు) కంటే తక్కువ, ఒక రకం N ను సూచిస"&amp;"్తుందని మరియు ఎల్'అరోఫైల్ లో మూడు-వీక్షణలో చూపినప్పటికీ, ప్రధాన కారణం ఇరుకైన తీగ (1.2 మీ (1.2 మీ ( 4 అడుగుల 0 in)) [3] ఫ్రెంచ్ సూచనలలో కనుగొనబడిన 1.4–1.5 మీ (4 అడుగులు 7 అంగుళాలు - 4 అడుగులు - - 4 అడుగులు) [1] [2] తో పోలిస్తే. ఎమిలే ఓబ్రే 1912 ప్రారంభంలో "&amp;"ఒక రకం M తో అనేక ప్రదర్శన విమానాలను ప్రయాణించారు, ఇది 50 HP (37 kW) గ్నోమ్ ఇంజిన్‌తో శక్తినిచ్చింది. అతను ఫ్రాన్స్ ప్రధాన భూభాగం మరియు కార్సికా, సార్డినియా మరియు ఉత్తర ఆఫ్రికాలోని ఫ్రెంచ్ కాలనీలలో ప్రయాణించాడు, ట్యూనిస్ మరియు కార్తేజ్ సందర్శించాడు, అక్కడ "&amp;"విమానం ప్రమాదంలో దెబ్బతింది. కనీసం మూడు రకం MS నిర్మించబడ్డాయి. [1] హావెట్ (2001) నుండి డేటా [1] సాధారణ లక్షణాల పనితీరు")</f>
        <v>కాడ్రాన్ రకాలు M మరియు N చిన్నవి, వేగవంతమైన ఫ్రెంచ్ స్పోర్ట్స్ మోనోప్లేన్స్, 1911-13 విస్తృత శ్రేణి ఇంజిన్ శక్తుల క్రింద ప్రయాణించాయి. సైనిక వెర్షన్ కూడా ఉంది. 1908 లో వారి మొదటి ప్రయత్నాల నుండి ఇరవై సంవత్సరాలలో కాడ్రాన్ బ్రదర్స్ రూపొందించిన దాదాపు అన్ని విమానాలు బైప్‌లాన్‌లు అయినప్పటికీ, వారు 1911-2 లో మూడు మోనోప్లేన్ రకాలను ఉత్పత్తి చేశారు. ఇవి సింగిల్ సీట్ రేసింగ్ రకాలు M మరియు N మరియు సంబంధిత కానీ కొంత పెద్ద రకం M2 మిలిటరీ వెర్షన్. [1] M మరియు N రకాలు చాలా పోలి ఉంటాయి మరియు, హోదా సమకాలీన ఖాతాలలో కొన్ని వివరాలతో కలిసి నివేదించబడినప్పటికీ, ఉదాహరణకు 1912 లో L'Ayrofile లో, [2] ఆధునిక చరిత్రకారులకు వాటిని వేరు చేయడం కష్టమని నిరూపించబడింది. [1] వారు ఒకే ఫ్యూజ్‌లేజ్‌ను పంచుకున్నారు మరియు రెండూ వివిధ రకాల ఇంజిన్‌లను ఉపయోగించాయి, కాని వివిధ సమకాలీన మూలాల నుండి డేటాను పోల్చడం వల్ల రకం ఎన్ రకం కంటే పెద్ద రెక్కను కలిగి ఉందని సూచిస్తుంది. కొంత చెల్లాచెదరు ఉన్నప్పటికీ, టైప్ M కి దగ్గరగా ఉంది 8.7 మీ (28 అడుగుల 7 అంగుళాలు) మరియు N నుండి 8.0 మీ (26 అడుగుల 3 అంగుళాలు). దీనికి విరుద్ధంగా, వింగ్ ప్రాంతం రకాల్లో మారుతూ ఉంటుంది. [1] ఈ సమయంలో, వోయిసిన్ మరియు ఫార్మాన్ వంటి వివిధ ఫ్రెంచ్ తయారీదారులు పక్షుల మాదిరిగానే పాక్షికంగా సరళమైన రెక్కలను ఉపయోగించడం ద్వారా గస్ట్ లకు వ్యతిరేకంగా విమానాల స్థిరత్వాన్ని మెరుగుపరుస్తారని ఆశించారు [2] మరియు కాడ్రాన్ రకాలు M మరియు N కూడా ఈ లక్షణాన్ని కలిగి ఉన్నాయి. ప్రతి రెక్కలో రెండు స్టీల్ ట్యూబ్, కలప నిండిన స్పార్స్, ఒకటి ప్రముఖ అంచు వద్ద మరియు మరొకటి 500 మిమీ (19.7 అంగుళాలు) [2] వెనుక, మూడవ మూడవ తీగ వెనుక, బూడిద పక్కటెముకలు మరియు వైర్ బ్రేసింగ్‌తో. పక్కటెముకల సంఖ్య 10, 11 మరియు 12 మధ్య మారుతూ ఉంటుంది మరియు అవి సాంప్రదాయకంగా స్పార్స్ మధ్య దృ g ంగా ఉన్నాయి. వెనుక స్పార్ వెనుక ప్రతి పక్కటెముక యొక్క ఎగువ భాగం కూడా దృ g ంగా ఉంది, ఇది సుమారు 70% తీగతో ముగుస్తుంది; దిగువ భాగం సన్నని, సౌకర్యవంతమైన పొడిగింపు స్ట్రిప్ ద్వారా 60% తీగతో పూర్తయింది. రెక్కలు అప్పుడు ఫాబ్రిక్ కప్పబడి ఉన్నాయి, అయినప్పటికీ సౌకర్యవంతమైన భాగం ఎగువ భాగంలో మాత్రమే కప్పబడి ఉంది. [1] [3] రెక్కలకు పై నుండి ఫ్యూజ్‌లేజ్ పైన నాలుగు కాళ్ల పైలాన్ నుండి వైర్లు ల్యాండింగ్ చేయడం ద్వారా మరియు క్రింద ఉన్న మరొకటి నుండి వైర్లను ఎత్తడం ద్వారా, టైప్ ఎం కంటే తక్కువ ఎం. అండర్ క్యారేజ్ ఫ్రేమ్ మధ్యలో క్షితిజ సమాంతర, రేఖాంశ స్ట్రట్. వింగ్ వార్పింగ్ ద్వారా పార్శ్వ నియంత్రణ. [1] M మరియు N రకాలు యొక్క నిర్మాణాత్మక ఫ్యూజ్‌లేజ్ ఒక దీర్ఘచతురస్రాకార విభాగం, వైర్ ఫ్రేమ్డ్ లాటిస్ గిర్డర్ వైర్ క్రాస్ బ్రేసింగ్‌తో. పోప్లర్ ఫార్మర్లు మరియు స్ట్రింగర్లు మరింత గుండ్రని, ఫాబ్రిక్ కవర్ విభాగాన్ని ఉత్పత్తి చేశాయి. పైలట్ రెక్కపై మరియు ఎగువ పైలాన్ వెనుక ఓపెన్ కాక్‌పిట్‌లో బాగా కూర్చున్నాడు. [3] 35 హెచ్‌పి (26 కిలోవాట్ల) అంజాని త్రీ సిలిండర్ విలోమ వై రేడియల్ ఇంజిన్, 45 హెచ్‌పి (34 కిలోవాట్) అంజాని 6-సిలిండర్ రెండు వరుస రేడియల్ మరియు 50 హెచ్‌పి (37 కిలోవాట్ల) గ్నోమ్‌తో సహా విస్తృత శ్రేణి ఇంజన్లు అమర్చబడ్డాయి. చివరిది, రోటరీ ఇంజిన్, సాధారణంగా ఆయిల్ స్ప్రే నుండి పైలట్‌ను పరీక్షించడానికి ఎగువ భాగంలో కప్పబడి ఉంటుంది; అంజానిస్ అన్‌కౌల్ చేయబడ్డారు. వారంతా పెద్ద, విస్తృత తీగ ప్రొపెల్లర్లను నడిపారు. చాలా విస్తృత తీగ, తక్కువ కారక నిష్పత్తి టెయిల్‌ప్లేన్ వింగ్ లాగా స్థిరత్వాన్ని మెరుగుపరచడానికి సౌకర్యవంతమైన వెనుక ఉపరితలంతో పనిచేస్తుంది మరియు వార్పింగ్ ద్వారా సాంప్రదాయిక ఎలివేటర్ల వలె పనిచేస్తుంది, దాని వెనుకంజలో ఉన్న అంచు ఫ్యూజ్‌లేజ్ ముగింపుకు మించి విస్తరించి ఉంది. ఒక చిన్న, దీర్ఘచతురస్రాకార దగ్గర, ఒక ముక్క, దృ fin మైన ఫిన్ విపరీతమైన తోక నుండి దాని ప్రముఖ అంచు దగ్గర పైవట్ చేయబడింది. [1] M మరియు N రకాలు టెయిల్‌స్కిడ్ అండర్ క్యారేజ్ కలిగి ఉన్నాయి. ప్రతి చివరన ఒక విలోమ స్టీల్ బార్ దిగువ ఫ్యూజ్‌లేజ్ నుండి బూడిద V- స్ట్రట్‌కు పరిష్కరించబడింది మరియు దాని మధ్య నుండి ఉక్కు V- స్ట్రట్‌తో మరింత కలుపుతారు. ఒక జత ఇరుసులు, బార్ మధ్యలో అతుక్కొని, మెయిన్‌వీల్స్‌తో రబ్బరు షాక్ అబ్జార్బర్స్ ద్వారా బూడిద స్ట్రట్‌ల శీర్షాల గుండా వెళుతున్నాయి, కొద్దిగా మరియు 1.4 మీ (4 అడుగుల 7 అంగుళాలు) [2] వేరుగా ఉంటాయి. 3] అండర్ క్యారేజ్ యొక్క ప్రారంభ సంస్కరణలు స్ప్లిట్ ఒకటి కాకుండా ఒకే ఇరుసును ఉపయోగించాయి. [1] పొడవైన టెయిల్‌ప్లేన్‌ను భూమి నుండి స్పష్టంగా ఉంచడానికి వెనుక భాగంలో అసాధారణంగా పొడవైన, వంగిన, పొడవైన తోక తోలు ఉంది. [1] [3] లారోఫైల్ [2] లో ప్రాథమిక స్పెసిఫికేషన్ (కొలతలు, బరువులు మరియు వేగం) మరియు జేన్ యొక్క ఆల్ ది వరల్డ్ విమానాలు 1913 కాకుండా, [4] M2 రకం యొక్క రికార్డులు ప్రస్తుతం తెలియదు. [1] మొదటి విమాన తేదీలు ప్రస్తుతం తెలియదు, లేదా ఏ రకం మొదట ఎగిరింది, కాని టైప్ ఎన్ యొక్క నివేదికలు ఉన్నాయి, రెనీ కాడ్రాన్ చేత పైలట్ చేయబడింది, 23 డిసెంబర్ 1911 న ఎగురుతుంది. 35 హెచ్‌పి (26 కిలోవాట్ కాడ్రాన్ యొక్క లే క్రోటోయ్ బేస్ నుండి 100 కిమీ/గం (62 mph) వద్ద పాయింట్-సెయింట్-క్వెంటిన్‌కు అవుట్ మరియు రిటర్న్ ఫ్లైట్. రెండు రోజుల తరువాత ఇది 1911 పారిస్ సెలూన్లో ప్రదర్శనలో ఉంది. ఇది ఒక ఆంగ్ల యజమాని, E.W. ఎవెన్ కోసం 45 HP (34 kW) అంజానితో తిరిగి ఇంజిన్ చేయబడింది, అతను 2 మే 1912 న ఇంగ్లీష్ ఛానల్ మీదుగా ఇంటికి వెళ్లిపోయాడు. [1] మారిస్ గిల్లాక్స్ చేత వినిపించినది జూన్ 1912 లో హెండన్ నుండి ప్రారంభించి, లండన్ రేసులో ఒక సర్క్యూట్లో పాల్గొంది, కాని అది విజేతగా కనిపించినప్పుడు ముగిసేలోపు ఇంధనం లేకపోవడం నుండి రిటైర్ అయ్యింది. [1] [5] అనేక మార్పుల తరువాత ఇది ఫిబ్రవరి 1913 లో ఒలింపియా షోలో ప్రదర్శనలో ఉంది. [1] సెప్టెంబర్ 1913 లో ఎఫ్. గుడ్‌డెన్ దీనిని హెండన్ వద్ద ఏరియల్ డెర్బీని ప్రదర్శించాడు, దీనిని 35 హెచ్‌పి (26 కిలోవాట్) అంజానితో నడిచారు; ఇది 45 హెచ్‌పి (34 కిలోవాట్) ఇంజిన్‌తో రేసు కోసం నమోదు చేయబడింది కాని పోటీ చేయలేదు. [5] [6] ఈ విమానం యొక్క 8.4 m2 (90 చదరపు అడుగులు) రెక్కల ప్రాంతం [3], బహుశా N మాత్రమే రకం N, [1] సాధారణంగా కోట్ చేయబడిన దానికంటే చాలా చిన్నది (10 m2 (108 చదరపు అడుగులు)). దాని వ్యవధి 230 మిమీ (9.1 అంగుళాలు) 8 మీ (26 అడుగుల 3 అంగుళాలు) కంటే తక్కువ, ఒక రకం N ను సూచిస్తుందని మరియు ఎల్'అరోఫైల్ లో మూడు-వీక్షణలో చూపినప్పటికీ, ప్రధాన కారణం ఇరుకైన తీగ (1.2 మీ (1.2 మీ ( 4 అడుగుల 0 in)) [3] ఫ్రెంచ్ సూచనలలో కనుగొనబడిన 1.4–1.5 మీ (4 అడుగులు 7 అంగుళాలు - 4 అడుగులు - - 4 అడుగులు) [1] [2] తో పోలిస్తే. ఎమిలే ఓబ్రే 1912 ప్రారంభంలో ఒక రకం M తో అనేక ప్రదర్శన విమానాలను ప్రయాణించారు, ఇది 50 HP (37 kW) గ్నోమ్ ఇంజిన్‌తో శక్తినిచ్చింది. అతను ఫ్రాన్స్ ప్రధాన భూభాగం మరియు కార్సికా, సార్డినియా మరియు ఉత్తర ఆఫ్రికాలోని ఫ్రెంచ్ కాలనీలలో ప్రయాణించాడు, ట్యూనిస్ మరియు కార్తేజ్ సందర్శించాడు, అక్కడ విమానం ప్రమాదంలో దెబ్బతింది. కనీసం మూడు రకం MS నిర్మించబడ్డాయి. [1] హావెట్ (2001) నుండి డేటా [1] సాధారణ లక్షణాల పనితీరు</v>
      </c>
      <c r="E72" s="1" t="s">
        <v>1376</v>
      </c>
      <c r="F72" s="1" t="s">
        <v>363</v>
      </c>
      <c r="G72" s="1" t="str">
        <f>IFERROR(__xludf.DUMMYFUNCTION("GOOGLETRANSLATE(F:F, ""en"", ""te"")"),"రేసింగ్ విమానం")</f>
        <v>రేసింగ్ విమానం</v>
      </c>
      <c r="H72" s="1" t="s">
        <v>364</v>
      </c>
      <c r="I72" s="1" t="s">
        <v>1200</v>
      </c>
      <c r="J72" s="1" t="str">
        <f>IFERROR(__xludf.DUMMYFUNCTION("GOOGLETRANSLATE(I:I, ""en"", ""te"")"),"కాడ్రాన్")</f>
        <v>కాడ్రాన్</v>
      </c>
      <c r="K72" s="4" t="s">
        <v>1201</v>
      </c>
      <c r="M72" s="2"/>
      <c r="O72" s="1" t="s">
        <v>1377</v>
      </c>
      <c r="R72" s="1" t="s">
        <v>550</v>
      </c>
      <c r="T72" s="1" t="s">
        <v>1378</v>
      </c>
      <c r="U72" s="1" t="s">
        <v>1379</v>
      </c>
      <c r="V72" s="1" t="s">
        <v>1380</v>
      </c>
      <c r="W72" s="1" t="s">
        <v>1381</v>
      </c>
      <c r="X72" s="1" t="s">
        <v>1382</v>
      </c>
      <c r="Z72" s="1" t="s">
        <v>1383</v>
      </c>
      <c r="AF72" s="1" t="s">
        <v>465</v>
      </c>
      <c r="AG72" s="4" t="s">
        <v>466</v>
      </c>
      <c r="AH72" s="1" t="s">
        <v>1384</v>
      </c>
      <c r="AI72" s="1" t="s">
        <v>1385</v>
      </c>
      <c r="AL72" s="1" t="s">
        <v>1386</v>
      </c>
      <c r="AO72" s="1" t="s">
        <v>1387</v>
      </c>
      <c r="AR72" s="1" t="s">
        <v>1388</v>
      </c>
    </row>
    <row r="73">
      <c r="A73" s="1" t="s">
        <v>1389</v>
      </c>
      <c r="B73" s="1" t="str">
        <f>IFERROR(__xludf.DUMMYFUNCTION("GOOGLETRANSLATE(A:A, ""en"", ""te"")"),"కాడ్రాన్ C.220")</f>
        <v>కాడ్రాన్ C.220</v>
      </c>
      <c r="C73" s="1" t="s">
        <v>1390</v>
      </c>
      <c r="D73" s="2" t="str">
        <f>IFERROR(__xludf.DUMMYFUNCTION("GOOGLETRANSLATE(C:C, ""en"", ""te"")"),"కాడ్రాన్ C.220 రెండు సీట్ల ఫ్రెంచ్ బిప్‌లేన్ ట్రైనర్. వేర్వేరు ఇంజిన్లను ఉపయోగించి రెండు మాత్రమే నిర్మించబడ్డాయి. కాడ్రాన్ C.220 బేసిక్ ట్రైనర్ అనేది ఒకే బే బిప్‌లేన్, ఇది వైర్ బ్రేసింగ్ మరియు రెండు జతల సమాంతర ఇంటర్‌ప్లేన్ స్ట్రట్‌లతో మరియు ఎగువ వింగ్ మరి"&amp;"యు ఎగువ ఫ్యూజ్‌లేజ్ లాన్స్‌ల మధ్య రెండు జతల సమాంతర కాబేన్ స్ట్రట్‌లను కలిగి ఉంది. రెక్కలు ప్రణాళికలో దీర్ఘచతురస్రాకారంగా ఉన్నాయి మరియు ఇలాంటి తీగతో ఉన్నాయి, అయితే ఎగువ వ్యవధి 3% ఎక్కువ. రెక్కలు స్ప్రూస్ మరియు ఫాబ్రిక్ నుండి నిర్మించబడ్డాయి. ఐలెరాన్‌లను ది"&amp;"గువ రెక్కపై మాత్రమే తీసుకువెళ్లారు. [1] C.220 ను 71 kW (95 HP) సాల్మ్సన్ 7AC ఏడు సిలిండర్ రేడియల్ ఇంజిన్ ఒక లోహాన్ని, రెండు బ్లేడ్ ప్రొపెల్లర్ నడుపుతుంది. ఒక ఛాయాచిత్రం రెండవ విమానం, 75 kW (100 HP) లోరైన్ 5 పి ఐదు సిలిండర్ రేడియల్ కలిగి ఉన్న సి. ఇరుకైన తీ"&amp;"గ టౌనెండ్ రింగ్ రకం కౌలింగ్. ఇంజిన్ వెనుక ఫ్యూజ్‌లేజ్ ప్లైవుడ్‌లో కప్పబడిన బాక్స్ గిర్డర్ నిర్మాణం ఉంది, అయినప్పటికీ ఎగువ డెక్కింగ్ గుండ్రంగా ఉంది. రెండు ఓపెన్ టెన్డం కాక్‌పిట్‌ల ఫార్వర్డ్ మిడ్ టౌన్ వద్ద రెక్కల మధ్య ఉంచారు, వెనుక సీటు వెనుకభాగం వెనుక ఉంది"&amp;". C.220 లో త్రిభుజాకార ఫిన్ మరియు నిటారుగా, సమాంతర వైపు మరియు గుండ్రని పై మరియు దిగువ భాగంలో అసమతుల్య చుక్కాని కలిగి ఉంది. క్షితిజ సమాంతర తోక ఎగువ ఫ్యూజ్‌లేజ్ కోసం పరిష్కరించబడింది. స్థిర, తోక చక్రం అండర్ క్యారేజ్ ఉంది. [1] C.220 మొదట 1929 లో ఎగిరింది. [1"&amp;"] జూలై 1931 లో, విల్లాకౌబ్లేలోని మిలిటరీ టెస్టింగ్ సెంటర్‌లో దీనిని విజయవంతంగా ప్రదర్శించారు, మరో ఇద్దరు ఇంటర్మీడియట్ ట్రైనర్ అభ్యర్థులు, మోనోప్లేన్లు, విజయవంతమైన హాన్రియోట్ LH.10 మరియు మొరాన్-సాల్నియర్ Ms.311. [2] హావెట్ నుండి డేటా (2001) pp.214-5 [1] సా"&amp;"ధారణ లక్షణాల పనితీరు")</f>
        <v>కాడ్రాన్ C.220 రెండు సీట్ల ఫ్రెంచ్ బిప్‌లేన్ ట్రైనర్. వేర్వేరు ఇంజిన్లను ఉపయోగించి రెండు మాత్రమే నిర్మించబడ్డాయి. కాడ్రాన్ C.220 బేసిక్ ట్రైనర్ అనేది ఒకే బే బిప్‌లేన్, ఇది వైర్ బ్రేసింగ్ మరియు రెండు జతల సమాంతర ఇంటర్‌ప్లేన్ స్ట్రట్‌లతో మరియు ఎగువ వింగ్ మరియు ఎగువ ఫ్యూజ్‌లేజ్ లాన్స్‌ల మధ్య రెండు జతల సమాంతర కాబేన్ స్ట్రట్‌లను కలిగి ఉంది. రెక్కలు ప్రణాళికలో దీర్ఘచతురస్రాకారంగా ఉన్నాయి మరియు ఇలాంటి తీగతో ఉన్నాయి, అయితే ఎగువ వ్యవధి 3% ఎక్కువ. రెక్కలు స్ప్రూస్ మరియు ఫాబ్రిక్ నుండి నిర్మించబడ్డాయి. ఐలెరాన్‌లను దిగువ రెక్కపై మాత్రమే తీసుకువెళ్లారు. [1] C.220 ను 71 kW (95 HP) సాల్మ్సన్ 7AC ఏడు సిలిండర్ రేడియల్ ఇంజిన్ ఒక లోహాన్ని, రెండు బ్లేడ్ ప్రొపెల్లర్ నడుపుతుంది. ఒక ఛాయాచిత్రం రెండవ విమానం, 75 kW (100 HP) లోరైన్ 5 పి ఐదు సిలిండర్ రేడియల్ కలిగి ఉన్న సి. ఇరుకైన తీగ టౌనెండ్ రింగ్ రకం కౌలింగ్. ఇంజిన్ వెనుక ఫ్యూజ్‌లేజ్ ప్లైవుడ్‌లో కప్పబడిన బాక్స్ గిర్డర్ నిర్మాణం ఉంది, అయినప్పటికీ ఎగువ డెక్కింగ్ గుండ్రంగా ఉంది. రెండు ఓపెన్ టెన్డం కాక్‌పిట్‌ల ఫార్వర్డ్ మిడ్ టౌన్ వద్ద రెక్కల మధ్య ఉంచారు, వెనుక సీటు వెనుకభాగం వెనుక ఉంది. C.220 లో త్రిభుజాకార ఫిన్ మరియు నిటారుగా, సమాంతర వైపు మరియు గుండ్రని పై మరియు దిగువ భాగంలో అసమతుల్య చుక్కాని కలిగి ఉంది. క్షితిజ సమాంతర తోక ఎగువ ఫ్యూజ్‌లేజ్ కోసం పరిష్కరించబడింది. స్థిర, తోక చక్రం అండర్ క్యారేజ్ ఉంది. [1] C.220 మొదట 1929 లో ఎగిరింది. [1] జూలై 1931 లో, విల్లాకౌబ్లేలోని మిలిటరీ టెస్టింగ్ సెంటర్‌లో దీనిని విజయవంతంగా ప్రదర్శించారు, మరో ఇద్దరు ఇంటర్మీడియట్ ట్రైనర్ అభ్యర్థులు, మోనోప్లేన్లు, విజయవంతమైన హాన్రియోట్ LH.10 మరియు మొరాన్-సాల్నియర్ Ms.311. [2] హావెట్ నుండి డేటా (2001) pp.214-5 [1] సాధారణ లక్షణాల పనితీరు</v>
      </c>
      <c r="F73" s="1" t="s">
        <v>1135</v>
      </c>
      <c r="G73" s="1" t="str">
        <f>IFERROR(__xludf.DUMMYFUNCTION("GOOGLETRANSLATE(F:F, ""en"", ""te"")"),"ట్రైనర్ విమానం")</f>
        <v>ట్రైనర్ విమానం</v>
      </c>
      <c r="H73" s="1" t="s">
        <v>1136</v>
      </c>
      <c r="I73" s="1" t="s">
        <v>1200</v>
      </c>
      <c r="J73" s="1" t="str">
        <f>IFERROR(__xludf.DUMMYFUNCTION("GOOGLETRANSLATE(I:I, ""en"", ""te"")"),"కాడ్రాన్")</f>
        <v>కాడ్రాన్</v>
      </c>
      <c r="K73" s="4" t="s">
        <v>1201</v>
      </c>
      <c r="L73" s="1" t="s">
        <v>1202</v>
      </c>
      <c r="M73" s="2" t="str">
        <f>IFERROR(__xludf.DUMMYFUNCTION("GOOGLETRANSLATE(L:L, ""en"", ""te"")"),"పాల్ డెవిల్లే")</f>
        <v>పాల్ డెవిల్లే</v>
      </c>
      <c r="O73" s="1">
        <v>2.0</v>
      </c>
      <c r="R73" s="1" t="s">
        <v>1391</v>
      </c>
      <c r="T73" s="1" t="s">
        <v>1392</v>
      </c>
      <c r="V73" s="1" t="s">
        <v>1393</v>
      </c>
      <c r="X73" s="1" t="s">
        <v>1394</v>
      </c>
      <c r="Z73" s="1" t="s">
        <v>1395</v>
      </c>
      <c r="AB73" s="1" t="s">
        <v>1396</v>
      </c>
      <c r="AF73" s="1" t="s">
        <v>465</v>
      </c>
      <c r="AG73" s="4" t="s">
        <v>466</v>
      </c>
      <c r="AH73" s="1" t="s">
        <v>261</v>
      </c>
      <c r="AI73" s="1" t="s">
        <v>1324</v>
      </c>
      <c r="AK73" s="1" t="s">
        <v>1397</v>
      </c>
      <c r="AL73" s="1" t="s">
        <v>1398</v>
      </c>
      <c r="AO73" s="1">
        <v>1929.0</v>
      </c>
      <c r="AR73" s="1" t="s">
        <v>1399</v>
      </c>
      <c r="BA73" s="1" t="s">
        <v>1400</v>
      </c>
      <c r="BB73" s="1" t="s">
        <v>1401</v>
      </c>
      <c r="BC73" s="1" t="s">
        <v>1402</v>
      </c>
      <c r="CJ73" s="1" t="s">
        <v>1403</v>
      </c>
      <c r="CK73" s="1" t="s">
        <v>1404</v>
      </c>
    </row>
    <row r="74">
      <c r="A74" s="1" t="s">
        <v>1405</v>
      </c>
      <c r="B74" s="1" t="str">
        <f>IFERROR(__xludf.DUMMYFUNCTION("GOOGLETRANSLATE(A:A, ""en"", ""te"")"),"కాడ్రాన్ C.43")</f>
        <v>కాడ్రాన్ C.43</v>
      </c>
      <c r="C74" s="1" t="s">
        <v>1406</v>
      </c>
      <c r="D74" s="2" t="str">
        <f>IFERROR(__xludf.DUMMYFUNCTION("GOOGLETRANSLATE(C:C, ""en"", ""te"")"),"కాడ్రాన్ C.43 మొట్టమొదటి ఫ్రెంచ్ ఐదు ఇంజిన్ విమానం, ఇది ప్రయాణీకుల రవాణా లేదా సైనిక వినియోగం కోసం ఉద్దేశించిన బైప్‌లేన్ మరియు భద్రత కోసం బహుళ ఇంజిన్. మూడు ఇంజిన్ కాడ్రాన్ C.39 యొక్క అభివృద్ధి, ఇది ముక్కులో ఒక ట్రాక్టర్ కాన్ఫిగరేషన్ ఇంజిన్ మరియు రెక్కల మధ్"&amp;"య రెండు పుష్-పుల్ జతలను కలిగి ఉంది. ఇది ఎనిమిది మంది ప్రయాణికులను మోయగలదు కాని అభివృద్ధి చేయబడలేదు. దాని ఇంజిన్ కాన్ఫిగరేషన్ కాకుండా, C.43 సాంప్రదాయంగా ఉంది మరియు దాని ఎయిర్ఫ్రేమ్‌ను మూడు ఇంజిన్ చేసిన C.39 తో పంచుకుంది. [1] ఫ్రాన్స్‌లో నిర్మించిన మొదటి ఐద"&amp;"ు ఇంజిన్ విమానం, [1] ఇది ఫాబ్రిక్-కప్పబడిన, దీర్ఘచతురస్రాకార-ప్లాన్ రెక్కలతో కూడిన మూడు బే బైప్‌లేన్. [2] [3] దిగువ వింగ్ ఇంజిన్ల డైహెడ్రల్ అవుట్‌బోర్డ్‌ను కలిగి ఉంది, పెద్ద ఇంటర్‌వింగ్ అంతరాన్ని 2.80 మీ (9 అడుగుల 2 అంగుళాలు) ఇన్‌బోర్డ్ నుండి 2.50 మీ (8 అ"&amp;"డుగుల 2 అంగుళాలు) అవుట్‌బోర్డ్‌కు తగ్గిస్తుంది. వాటి స్పాన్‌లు సమానంగా ఉన్నప్పటికీ (c.39 లో, ఎగువ వ్యవధి 20.92 మీ (68 అడుగుల 8 అంగుళాలు) మరియు దిగువ ఒకటి 19.52 మీ (64 అడుగులు 1 అంగుళాలు)) లేదా ఎగువలో 93%) [4] ప్రాంతం ఇరుకైన తీగ కారణంగా దిగువ రెక్కలో ఎగువ "&amp;"కంటే 76% మాత్రమే ఉంది. [2] రెక్కలు నిలువు జతల ఇంటర్‌ప్లేన్ స్ట్రట్‌లతో చేరారు, ఫార్వర్డ్ సభ్యులు ప్రముఖ అంచుల దగ్గర జతచేయబడ్డారు, మరియు సెంటర్ విభాగానికి ఎగువ ఫ్యూజ్‌లేజ్ నుండి ఇలాంటి, తక్కువ క్యాబన్ స్ట్రట్‌లు మద్దతు ఇచ్చాయి. లోపలి బేను రెండు దగ్గరి జతల "&amp;"ఇంటర్‌ప్లేన్ స్ట్రట్‌ల ద్వారా నిర్వచించారు, వాటి మధ్య 60 కిలోవాట్ల (80 హెచ్‌పి) లే రోన్ 9 సి తొమ్మిది సిలిండర్ రోటరీ ఇంజిన్ల పుష్-పుల్ జతలకు రెక్కల మధ్య సగం వరకు మద్దతు ఇచ్చింది. ప్రతి జత పొడవైన, స్థూపాకార కౌలింగ్‌లో అమర్చబడింది. [3] దాని ఐలెరాన్లు, ఎగువ "&amp;"వింగ్‌లో మాత్రమే, చిట్కాలకు మించి పొడిగింపులను అధిగమించడం ద్వారా ఏరోడైనమిక్‌గా సమతుల్యతను కలిగి ఉన్నాయి, C.39 లో వలె. [4] ఐదవ ఇంజిన్, మరొక కౌల్డ్ రోన్, 9 ముక్కులో ఉంది; దాని వెనుక ఫ్యూజ్‌లేజ్‌లో 1.5 మీ (4 అడుగుల 11 అంగుళాలు) వైపులా చదరపు విభాగం ఉంది. పైలట"&amp;"్ మరియు ఇంజనీర్ చాలా పెద్ద, ఓపెన్ కాక్‌పిట్‌ను కలిగి ఉన్నారు, ఐదు ఇంజిన్‌లను నియంత్రించే లివర్‌ల యొక్క అద్భుతమైన శ్రేణి ఉంటుంది. [2] రెక్కల వెనుక ఫ్యూజ్‌లేజ్ విస్తృత, త్రిభుజాకార ఫిన్‌కు మెల్లగా దెబ్బతింది, ఇది నిలువు అంచుగల అసమతుల్య చుక్కాడిని తీసుకువెళ్"&amp;"ళింది, అది కీల్‌కు చేరుకుంది. ఫ్యూజ్‌లేజ్ పైన టెయిల్‌ప్లేన్ అమర్చబడినప్పుడు, దాని ఎలివేటర్లు చుక్కాని ఉద్యమానికి ఒక గీతను కలిగి ఉన్నాయి. [3] C.43 లో స్థిర టెయిల్‌స్కిడ్ అండర్ క్యారేజ్ ఉంది. చిన్న V- స్ట్రట్స్‌లో ఇంజిన్ కింద ఉంచిన రేఖాంశ బార్‌కు అనుసంధానిం"&amp;"చబడిన సింగిల్ ఇరుసులపై మెయిన్‌వీల్స్ జతలు ఉన్నాయి. ముక్కు-ఓవర్లను నివారించడానికి, ముక్కు కింద ఐదవ చక్రం అమర్చబడి ఉంది. [3] [4] చక్రాలను ఫ్లాట్ సైడెడ్ ఫ్లోట్ల ద్వారా భర్తీ చేయవచ్చు, ప్రతి ఒక్కటి ఫ్యూజ్‌లేజ్‌కు రెండు జతల విలోమ వి-స్ట్రట్‌లతో పరిష్కరించబడుతు"&amp;"ంది, ఫ్లోట్ యొక్క ప్రతి వైపు ఒకటి. ఫ్లోట్‌ప్లేన్ కాన్ఫిగరేషన్‌లో C.43 నీటిపై SAT స్థాయిని కలిగి ఉన్నప్పటికీ, తోకను ఒక చిన్న, స్థూపాకార ఫ్లోట్ చేర్చుకుంది. ఐదు ఇంజన్లు ఉండటానికి ప్రధాన కారణం భద్రత. [2] అదనంగా, C.43, మొత్తం 298 kW (400 HP) శక్తితో, 580 కిలో"&amp;"ల (1,279 lb) యొక్క ఉపయోగకరమైన లోడ్‌ను ఎత్తివేయగలదు [1] ఇది ఎనిమిది మంది ప్రయాణీకులను [2] లేదా సరుకు రవాణా లేదా చేతులను తీసుకువెళ్ళవచ్చు. [[పట్టు కుములి సమకాలీన వనరులలో [1] [2] ప్రయాణీకుల వసతి లేదా ఆయుధాలు ఎప్పుడూ అమర్చబడిందని ఎటువంటి ఆధారాలు లేవు. C.43, C"&amp;".39 తో పాటు మరియు మరొకటి పోటీదారులు మినహా అందరూ 1920 వసంతకాలంలో జరిగిన సీప్లాన్స్ కోసం మొనాకో గ్రాండ్ ప్రిక్స్ వద్ద విజయవంతం కాలేదు. [5] మల్టీ-ఇంజిన్డ్ విమానాల యొక్క పరికరం మరియు నియంత్రణ అవసరాలను పరిశోధించడానికి ఏకైక ఉదాహరణను టెక్నిక్ డి ఎల్'అరోన్యుటిక్ "&amp;"(S.T.Aé.) సెక్షన్ టెక్నిక్ ద్వారా కొనుగోలు చేసింది. [2] L'Anneee des aéronauctique (1920–1) నుండి డేటా [1] సాధారణ లక్షణాల పనితీరు")</f>
        <v>కాడ్రాన్ C.43 మొట్టమొదటి ఫ్రెంచ్ ఐదు ఇంజిన్ విమానం, ఇది ప్రయాణీకుల రవాణా లేదా సైనిక వినియోగం కోసం ఉద్దేశించిన బైప్‌లేన్ మరియు భద్రత కోసం బహుళ ఇంజిన్. మూడు ఇంజిన్ కాడ్రాన్ C.39 యొక్క అభివృద్ధి, ఇది ముక్కులో ఒక ట్రాక్టర్ కాన్ఫిగరేషన్ ఇంజిన్ మరియు రెక్కల మధ్య రెండు పుష్-పుల్ జతలను కలిగి ఉంది. ఇది ఎనిమిది మంది ప్రయాణికులను మోయగలదు కాని అభివృద్ధి చేయబడలేదు. దాని ఇంజిన్ కాన్ఫిగరేషన్ కాకుండా, C.43 సాంప్రదాయంగా ఉంది మరియు దాని ఎయిర్ఫ్రేమ్‌ను మూడు ఇంజిన్ చేసిన C.39 తో పంచుకుంది. [1] ఫ్రాన్స్‌లో నిర్మించిన మొదటి ఐదు ఇంజిన్ విమానం, [1] ఇది ఫాబ్రిక్-కప్పబడిన, దీర్ఘచతురస్రాకార-ప్లాన్ రెక్కలతో కూడిన మూడు బే బైప్‌లేన్. [2] [3] దిగువ వింగ్ ఇంజిన్ల డైహెడ్రల్ అవుట్‌బోర్డ్‌ను కలిగి ఉంది, పెద్ద ఇంటర్‌వింగ్ అంతరాన్ని 2.80 మీ (9 అడుగుల 2 అంగుళాలు) ఇన్‌బోర్డ్ నుండి 2.50 మీ (8 అడుగుల 2 అంగుళాలు) అవుట్‌బోర్డ్‌కు తగ్గిస్తుంది. వాటి స్పాన్‌లు సమానంగా ఉన్నప్పటికీ (c.39 లో, ఎగువ వ్యవధి 20.92 మీ (68 అడుగుల 8 అంగుళాలు) మరియు దిగువ ఒకటి 19.52 మీ (64 అడుగులు 1 అంగుళాలు)) లేదా ఎగువలో 93%) [4] ప్రాంతం ఇరుకైన తీగ కారణంగా దిగువ రెక్కలో ఎగువ కంటే 76% మాత్రమే ఉంది. [2] రెక్కలు నిలువు జతల ఇంటర్‌ప్లేన్ స్ట్రట్‌లతో చేరారు, ఫార్వర్డ్ సభ్యులు ప్రముఖ అంచుల దగ్గర జతచేయబడ్డారు, మరియు సెంటర్ విభాగానికి ఎగువ ఫ్యూజ్‌లేజ్ నుండి ఇలాంటి, తక్కువ క్యాబన్ స్ట్రట్‌లు మద్దతు ఇచ్చాయి. లోపలి బేను రెండు దగ్గరి జతల ఇంటర్‌ప్లేన్ స్ట్రట్‌ల ద్వారా నిర్వచించారు, వాటి మధ్య 60 కిలోవాట్ల (80 హెచ్‌పి) లే రోన్ 9 సి తొమ్మిది సిలిండర్ రోటరీ ఇంజిన్ల పుష్-పుల్ జతలకు రెక్కల మధ్య సగం వరకు మద్దతు ఇచ్చింది. ప్రతి జత పొడవైన, స్థూపాకార కౌలింగ్‌లో అమర్చబడింది. [3] దాని ఐలెరాన్లు, ఎగువ వింగ్‌లో మాత్రమే, చిట్కాలకు మించి పొడిగింపులను అధిగమించడం ద్వారా ఏరోడైనమిక్‌గా సమతుల్యతను కలిగి ఉన్నాయి, C.39 లో వలె. [4] ఐదవ ఇంజిన్, మరొక కౌల్డ్ రోన్, 9 ముక్కులో ఉంది; దాని వెనుక ఫ్యూజ్‌లేజ్‌లో 1.5 మీ (4 అడుగుల 11 అంగుళాలు) వైపులా చదరపు విభాగం ఉంది. పైలట్ మరియు ఇంజనీర్ చాలా పెద్ద, ఓపెన్ కాక్‌పిట్‌ను కలిగి ఉన్నారు, ఐదు ఇంజిన్‌లను నియంత్రించే లివర్‌ల యొక్క అద్భుతమైన శ్రేణి ఉంటుంది. [2] రెక్కల వెనుక ఫ్యూజ్‌లేజ్ విస్తృత, త్రిభుజాకార ఫిన్‌కు మెల్లగా దెబ్బతింది, ఇది నిలువు అంచుగల అసమతుల్య చుక్కాడిని తీసుకువెళ్ళింది, అది కీల్‌కు చేరుకుంది. ఫ్యూజ్‌లేజ్ పైన టెయిల్‌ప్లేన్ అమర్చబడినప్పుడు, దాని ఎలివేటర్లు చుక్కాని ఉద్యమానికి ఒక గీతను కలిగి ఉన్నాయి. [3] C.43 లో స్థిర టెయిల్‌స్కిడ్ అండర్ క్యారేజ్ ఉంది. చిన్న V- స్ట్రట్స్‌లో ఇంజిన్ కింద ఉంచిన రేఖాంశ బార్‌కు అనుసంధానించబడిన సింగిల్ ఇరుసులపై మెయిన్‌వీల్స్ జతలు ఉన్నాయి. ముక్కు-ఓవర్లను నివారించడానికి, ముక్కు కింద ఐదవ చక్రం అమర్చబడి ఉంది. [3] [4] చక్రాలను ఫ్లాట్ సైడెడ్ ఫ్లోట్ల ద్వారా భర్తీ చేయవచ్చు, ప్రతి ఒక్కటి ఫ్యూజ్‌లేజ్‌కు రెండు జతల విలోమ వి-స్ట్రట్‌లతో పరిష్కరించబడుతుంది, ఫ్లోట్ యొక్క ప్రతి వైపు ఒకటి. ఫ్లోట్‌ప్లేన్ కాన్ఫిగరేషన్‌లో C.43 నీటిపై SAT స్థాయిని కలిగి ఉన్నప్పటికీ, తోకను ఒక చిన్న, స్థూపాకార ఫ్లోట్ చేర్చుకుంది. ఐదు ఇంజన్లు ఉండటానికి ప్రధాన కారణం భద్రత. [2] అదనంగా, C.43, మొత్తం 298 kW (400 HP) శక్తితో, 580 కిలోల (1,279 lb) యొక్క ఉపయోగకరమైన లోడ్‌ను ఎత్తివేయగలదు [1] ఇది ఎనిమిది మంది ప్రయాణీకులను [2] లేదా సరుకు రవాణా లేదా చేతులను తీసుకువెళ్ళవచ్చు. [[పట్టు కుములి సమకాలీన వనరులలో [1] [2] ప్రయాణీకుల వసతి లేదా ఆయుధాలు ఎప్పుడూ అమర్చబడిందని ఎటువంటి ఆధారాలు లేవు. C.43, C.39 తో పాటు మరియు మరొకటి పోటీదారులు మినహా అందరూ 1920 వసంతకాలంలో జరిగిన సీప్లాన్స్ కోసం మొనాకో గ్రాండ్ ప్రిక్స్ వద్ద విజయవంతం కాలేదు. [5] మల్టీ-ఇంజిన్డ్ విమానాల యొక్క పరికరం మరియు నియంత్రణ అవసరాలను పరిశోధించడానికి ఏకైక ఉదాహరణను టెక్నిక్ డి ఎల్'అరోన్యుటిక్ (S.T.Aé.) సెక్షన్ టెక్నిక్ ద్వారా కొనుగోలు చేసింది. [2] L'Anneee des aéronauctique (1920–1) నుండి డేటా [1] సాధారణ లక్షణాల పనితీరు</v>
      </c>
      <c r="E74" s="1" t="s">
        <v>1407</v>
      </c>
      <c r="F74" s="1" t="s">
        <v>1408</v>
      </c>
      <c r="G74" s="1" t="str">
        <f>IFERROR(__xludf.DUMMYFUNCTION("GOOGLETRANSLATE(F:F, ""en"", ""te"")"),"ఐదు ఇంజిన్ విమాన లేదా సైనిక విమానాలు.")</f>
        <v>ఐదు ఇంజిన్ విమాన లేదా సైనిక విమానాలు.</v>
      </c>
      <c r="H74" s="1" t="s">
        <v>1409</v>
      </c>
      <c r="I74" s="1" t="s">
        <v>1200</v>
      </c>
      <c r="J74" s="1" t="str">
        <f>IFERROR(__xludf.DUMMYFUNCTION("GOOGLETRANSLATE(I:I, ""en"", ""te"")"),"కాడ్రాన్")</f>
        <v>కాడ్రాన్</v>
      </c>
      <c r="K74" s="4" t="s">
        <v>1201</v>
      </c>
      <c r="L74" s="1" t="s">
        <v>1202</v>
      </c>
      <c r="M74" s="2" t="str">
        <f>IFERROR(__xludf.DUMMYFUNCTION("GOOGLETRANSLATE(L:L, ""en"", ""te"")"),"పాల్ డెవిల్లే")</f>
        <v>పాల్ డెవిల్లే</v>
      </c>
      <c r="N74" s="1" t="s">
        <v>1316</v>
      </c>
      <c r="O74" s="1">
        <v>1.0</v>
      </c>
      <c r="P74" s="1" t="s">
        <v>1410</v>
      </c>
      <c r="Q74" s="1" t="s">
        <v>1411</v>
      </c>
      <c r="R74" s="1" t="s">
        <v>1138</v>
      </c>
      <c r="T74" s="1" t="s">
        <v>1412</v>
      </c>
      <c r="U74" s="1" t="s">
        <v>1413</v>
      </c>
      <c r="V74" s="1" t="s">
        <v>1414</v>
      </c>
      <c r="W74" s="1" t="s">
        <v>1415</v>
      </c>
      <c r="X74" s="1" t="s">
        <v>1416</v>
      </c>
      <c r="Z74" s="1" t="s">
        <v>1417</v>
      </c>
      <c r="AA74" s="1" t="s">
        <v>333</v>
      </c>
      <c r="AF74" s="1" t="s">
        <v>465</v>
      </c>
      <c r="AG74" s="4" t="s">
        <v>466</v>
      </c>
      <c r="AI74" s="1" t="s">
        <v>1418</v>
      </c>
      <c r="AK74" s="1" t="s">
        <v>1419</v>
      </c>
      <c r="AL74" s="1" t="s">
        <v>1420</v>
      </c>
      <c r="AO74" s="1" t="s">
        <v>1421</v>
      </c>
      <c r="AR74" s="1" t="s">
        <v>372</v>
      </c>
      <c r="BC74" s="1" t="s">
        <v>1422</v>
      </c>
    </row>
    <row r="75">
      <c r="A75" s="1" t="s">
        <v>1423</v>
      </c>
      <c r="B75" s="1" t="str">
        <f>IFERROR(__xludf.DUMMYFUNCTION("GOOGLETRANSLATE(A:A, ""en"", ""te"")"),"కాడ్రాన్ C.97")</f>
        <v>కాడ్రాన్ C.97</v>
      </c>
      <c r="C75" s="1" t="s">
        <v>1424</v>
      </c>
      <c r="D75" s="2" t="str">
        <f>IFERROR(__xludf.DUMMYFUNCTION("GOOGLETRANSLATE(C:C, ""en"", ""te"")"),"కాడ్రాన్ C.97 అనేది 1924 లో ఫ్రాన్స్‌లో రూపొందించిన మరియు నిర్మించిన రెండు సీట్ల బిప్‌లేన్ ట్రైనర్. ఈ సంఖ్యను బొలీవియన్ వైమానిక దళం ఉపయోగించారు. C.97 లో తక్కువ సమాచారం మనుగడలో ఉంది. [1] ఇది కాడ్రాన్ C.59 కు చాలా పోలి ఉంది మరియు అదే ఇంజిన్‌ను ఉపయోగించినప్ప"&amp;"టికీ, ఇది ఎనిమిది ఇతర కాడ్రాన్ డిజైన్ల జాబితాలో లేదు, ఇది తరువాతి ఎయిర్‌ఫ్రేమ్‌ను పంచుకుంది. [2] C.97 అస్థిరంగా మరియు సమాంతర ఇంటర్‌ప్లేన్ స్ట్రట్స్ మరియు కాబేన్ స్ట్రట్‌ల జతలతో రెండు బే బైప్‌లేన్. దాని ఫాబ్రిక్ కప్పబడిన, అసమాన స్పాన్ రెక్కలు వెనుక కాక్‌పి"&amp;"ట్ నుండి పైకి దృష్టిని మెరుగుపరచడానికి ఫ్యూజ్‌లేజ్‌పై పెద్ద సెంట్రల్ కటౌట్ కాకుండా ప్రణాళికలో దీర్ఘచతురస్రాకారంగా ఉన్నాయి. ఐలెరాన్లు ఎగువ వింగ్‌కు అమర్చబడ్డాయి. [1] దాని ఫ్యూజ్‌లేజ్ ఫ్లాట్ సైడెడ్. నిటారుగా, నీటి-చల్లబడిన హిస్పానో-సుజా 8AB V-8 ఇంజిన్, మొదట"&amp;"ి ప్రపంచ యుద్ధంలో అభివృద్ధి చెందిన అధిక కుదింపు ఇంజిన్, విమానం అధిక ఎత్తుకు ఎగిరింది [3] మరియు బొలీవియా యొక్క అధిక ఆండియన్ ఎయిర్‌ఫీల్డ్‌లను ఎదుర్కోగలుగుతుంది, అధికంగా ఉంది ఫ్యూజ్‌లేజ్‌తో ముక్కు దాని క్రింద మరియు ఫ్లాట్ ఫ్రంటెడ్, ప్రొపెల్లర్ షాఫ్ట్ పైన కోల"&amp;"ాలు గల కౌలింగ్‌తో. రెండు వేర్వేరు రేడియేటర్లు ఉపయోగించబడ్డాయి, ఒకటి స్థూపాకార లాంబ్లిన్ రకం ఫ్యూజ్‌లేజ్ క్రింద అమర్చబడి, మరొకటి అండర్ సైడ్‌లో నిస్సారమైన కానీ విశాలమైన దీర్ఘచతురస్రాకార ఒకటి. ఫార్వర్డ్ ఓపెన్ కాక్‌పిట్ ఇంజిన్ వెనుక మరియు రెక్క కింద ఉంది, బోధ"&amp;"కుడి స్థానం కొంచెం వెనుకబడి ఉంది. వెనుక భాగంలో ఫిన్ త్రిభుజాకారంగా మరియు విశాలంగా ఉంది, నేరుగా అంచుగల చుక్కానితో కీల్ వరకు చేరుకుంది. ఫ్యూజ్‌లేజ్ పైన టెయిల్‌ప్లేన్ అమర్చబడినందున, ఎలివేటర్లు చుక్కాని కదలిక కోసం పెద్ద కటౌట్ కలిగి ఉన్నాయి. [1] C.97 ఒక స్థిర "&amp;"తోక స్కిడ్ అండర్ క్యారేజీని కలిగి ఉంది, దాని మెయిన్‌వీల్స్‌తో ఒకే ఇరుసుపై V- రూపం స్ట్రట్‌ల నుండి దిగువ ఫ్యూజ్‌లేజ్ లాంగన్స్‌కు పుట్టుకొచ్చింది. [1] మొదటి ఫ్లైట్ బహుశా 1924 ప్రారంభంలో తయారు చేయబడింది, ఎందుకంటే ఆ సంవత్సరం ఏప్రిల్‌లో ప్రోటోటైప్ ఎఫ్-ఎగ్బ్హెచ"&amp;"్ రిజిస్టర్ చేయబడింది. [4] మొదటి బొలీవియన్ వైమానిక దళ యంత్రం 1 ఆగస్టు 1925 న పంపిణీ చేయబడింది. [1] కొనుగోలు చేసిన సంఖ్య తెలియదు; 1927 లో ఎల్'అన్రోన్యుటిక్ కేవలం ఒకటి [5] గురించి ప్రస్తావించింది, కాని 1928 లో ఫ్లైట్ ""ఒక సంఖ్య"" అని చెప్పింది. [6] ఒక c.97 "&amp;"ను 1926 మధ్య నుండి ఫ్రెంచ్-సౌత్ అమెరికన్ కంపెనీ ఉపయోగించారు, అర్జెంటీనాలోని బ్యూనస్ ఎయిర్స్ కేంద్రంగా ఉంది. [7] ప్రైవేటు యాజమాన్యంలోని ఎఫ్-ఎగ్బ్ 1926 వరకు ఫ్రాన్స్‌లో ప్రయాణించారు, 1924 కాంకోర్స్ ఏవియేషన్ డి టూరిస్మే డి ఎల్ ఎరో-క్లబ్ డి ఫ్రాన్స్ (ఫ్రెంచ్ "&amp;"అరో-క్లబ్ యొక్క ఏవియేషన్ టూరింగ్ పోటీ) వంటి పోటీలలో పాల్గొన్నారు. [4] [8] ఇది అర్జెంటీనాకు ఎగుమతి చేయబడిన 1930 వరకు కాంపాగ్నీ ఫ్రాంకైస్ డి ఏవియేషన్ యాజమాన్యంలో ఉంది. [4] హావెట్ నుండి డేటా (2001) పే .186 [1] సాధారణ లక్షణాల పనితీరు")</f>
        <v>కాడ్రాన్ C.97 అనేది 1924 లో ఫ్రాన్స్‌లో రూపొందించిన మరియు నిర్మించిన రెండు సీట్ల బిప్‌లేన్ ట్రైనర్. ఈ సంఖ్యను బొలీవియన్ వైమానిక దళం ఉపయోగించారు. C.97 లో తక్కువ సమాచారం మనుగడలో ఉంది. [1] ఇది కాడ్రాన్ C.59 కు చాలా పోలి ఉంది మరియు అదే ఇంజిన్‌ను ఉపయోగించినప్పటికీ, ఇది ఎనిమిది ఇతర కాడ్రాన్ డిజైన్ల జాబితాలో లేదు, ఇది తరువాతి ఎయిర్‌ఫ్రేమ్‌ను పంచుకుంది. [2] C.97 అస్థిరంగా మరియు సమాంతర ఇంటర్‌ప్లేన్ స్ట్రట్స్ మరియు కాబేన్ స్ట్రట్‌ల జతలతో రెండు బే బైప్‌లేన్. దాని ఫాబ్రిక్ కప్పబడిన, అసమాన స్పాన్ రెక్కలు వెనుక కాక్‌పిట్ నుండి పైకి దృష్టిని మెరుగుపరచడానికి ఫ్యూజ్‌లేజ్‌పై పెద్ద సెంట్రల్ కటౌట్ కాకుండా ప్రణాళికలో దీర్ఘచతురస్రాకారంగా ఉన్నాయి. ఐలెరాన్లు ఎగువ వింగ్‌కు అమర్చబడ్డాయి. [1] దాని ఫ్యూజ్‌లేజ్ ఫ్లాట్ సైడెడ్. నిటారుగా, నీటి-చల్లబడిన హిస్పానో-సుజా 8AB V-8 ఇంజిన్, మొదటి ప్రపంచ యుద్ధంలో అభివృద్ధి చెందిన అధిక కుదింపు ఇంజిన్, విమానం అధిక ఎత్తుకు ఎగిరింది [3] మరియు బొలీవియా యొక్క అధిక ఆండియన్ ఎయిర్‌ఫీల్డ్‌లను ఎదుర్కోగలుగుతుంది, అధికంగా ఉంది ఫ్యూజ్‌లేజ్‌తో ముక్కు దాని క్రింద మరియు ఫ్లాట్ ఫ్రంటెడ్, ప్రొపెల్లర్ షాఫ్ట్ పైన కోలాలు గల కౌలింగ్‌తో. రెండు వేర్వేరు రేడియేటర్లు ఉపయోగించబడ్డాయి, ఒకటి స్థూపాకార లాంబ్లిన్ రకం ఫ్యూజ్‌లేజ్ క్రింద అమర్చబడి, మరొకటి అండర్ సైడ్‌లో నిస్సారమైన కానీ విశాలమైన దీర్ఘచతురస్రాకార ఒకటి. ఫార్వర్డ్ ఓపెన్ కాక్‌పిట్ ఇంజిన్ వెనుక మరియు రెక్క కింద ఉంది, బోధకుడి స్థానం కొంచెం వెనుకబడి ఉంది. వెనుక భాగంలో ఫిన్ త్రిభుజాకారంగా మరియు విశాలంగా ఉంది, నేరుగా అంచుగల చుక్కానితో కీల్ వరకు చేరుకుంది. ఫ్యూజ్‌లేజ్ పైన టెయిల్‌ప్లేన్ అమర్చబడినందున, ఎలివేటర్లు చుక్కాని కదలిక కోసం పెద్ద కటౌట్ కలిగి ఉన్నాయి. [1] C.97 ఒక స్థిర తోక స్కిడ్ అండర్ క్యారేజీని కలిగి ఉంది, దాని మెయిన్‌వీల్స్‌తో ఒకే ఇరుసుపై V- రూపం స్ట్రట్‌ల నుండి దిగువ ఫ్యూజ్‌లేజ్ లాంగన్స్‌కు పుట్టుకొచ్చింది. [1] మొదటి ఫ్లైట్ బహుశా 1924 ప్రారంభంలో తయారు చేయబడింది, ఎందుకంటే ఆ సంవత్సరం ఏప్రిల్‌లో ప్రోటోటైప్ ఎఫ్-ఎగ్బ్హెచ్ రిజిస్టర్ చేయబడింది. [4] మొదటి బొలీవియన్ వైమానిక దళ యంత్రం 1 ఆగస్టు 1925 న పంపిణీ చేయబడింది. [1] కొనుగోలు చేసిన సంఖ్య తెలియదు; 1927 లో ఎల్'అన్రోన్యుటిక్ కేవలం ఒకటి [5] గురించి ప్రస్తావించింది, కాని 1928 లో ఫ్లైట్ "ఒక సంఖ్య" అని చెప్పింది. [6] ఒక c.97 ను 1926 మధ్య నుండి ఫ్రెంచ్-సౌత్ అమెరికన్ కంపెనీ ఉపయోగించారు, అర్జెంటీనాలోని బ్యూనస్ ఎయిర్స్ కేంద్రంగా ఉంది. [7] ప్రైవేటు యాజమాన్యంలోని ఎఫ్-ఎగ్బ్ 1926 వరకు ఫ్రాన్స్‌లో ప్రయాణించారు, 1924 కాంకోర్స్ ఏవియేషన్ డి టూరిస్మే డి ఎల్ ఎరో-క్లబ్ డి ఫ్రాన్స్ (ఫ్రెంచ్ అరో-క్లబ్ యొక్క ఏవియేషన్ టూరింగ్ పోటీ) వంటి పోటీలలో పాల్గొన్నారు. [4] [8] ఇది అర్జెంటీనాకు ఎగుమతి చేయబడిన 1930 వరకు కాంపాగ్నీ ఫ్రాంకైస్ డి ఏవియేషన్ యాజమాన్యంలో ఉంది. [4] హావెట్ నుండి డేటా (2001) పే .186 [1] సాధారణ లక్షణాల పనితీరు</v>
      </c>
      <c r="F75" s="1" t="s">
        <v>1425</v>
      </c>
      <c r="G75" s="1" t="str">
        <f>IFERROR(__xludf.DUMMYFUNCTION("GOOGLETRANSLATE(F:F, ""en"", ""te"")"),"శిక్షకుడు")</f>
        <v>శిక్షకుడు</v>
      </c>
      <c r="H75" s="4" t="s">
        <v>1426</v>
      </c>
      <c r="I75" s="1" t="s">
        <v>1200</v>
      </c>
      <c r="J75" s="1" t="str">
        <f>IFERROR(__xludf.DUMMYFUNCTION("GOOGLETRANSLATE(I:I, ""en"", ""te"")"),"కాడ్రాన్")</f>
        <v>కాడ్రాన్</v>
      </c>
      <c r="K75" s="4" t="s">
        <v>1201</v>
      </c>
      <c r="M75" s="2"/>
      <c r="R75" s="1" t="s">
        <v>1138</v>
      </c>
      <c r="Z75" s="1" t="s">
        <v>1427</v>
      </c>
      <c r="AC75" s="1" t="s">
        <v>1428</v>
      </c>
      <c r="AF75" s="1" t="s">
        <v>465</v>
      </c>
      <c r="AG75" s="4" t="s">
        <v>466</v>
      </c>
      <c r="AN75" s="1" t="s">
        <v>1429</v>
      </c>
      <c r="AO75" s="1" t="s">
        <v>1430</v>
      </c>
      <c r="AR75" s="1" t="s">
        <v>372</v>
      </c>
    </row>
    <row r="76">
      <c r="A76" s="1" t="s">
        <v>1431</v>
      </c>
      <c r="B76" s="1" t="str">
        <f>IFERROR(__xludf.DUMMYFUNCTION("GOOGLETRANSLATE(A:A, ""en"", ""te"")"),"కాడ్రాన్ C.99")</f>
        <v>కాడ్రాన్ C.99</v>
      </c>
      <c r="C76" s="1" t="s">
        <v>1432</v>
      </c>
      <c r="D76" s="2" t="str">
        <f>IFERROR(__xludf.DUMMYFUNCTION("GOOGLETRANSLATE(C:C, ""en"", ""te"")"),"కాడ్రాన్ C.99 ఒక ఫ్రెంచ్ లైట్ బాంబర్ మరియు నిఘా విమానం. ఏకైక ఉదాహరణ 1920 ల మధ్యలో వేర్వేరు ఇంజిన్‌లతో ప్రయాణించింది. 1924 లో ఫ్లైట్ 18 వ పారిస్ సెలూన్లో ప్రదర్శనలో ఉన్న C.99 ను వివరించినప్పటికీ, [1] ఒక పోరాట యోధుడు, సమకాలీన [2] మరియు ఆధునిక ఫ్రెంచ్ మూలాలు"&amp;" [3] ఇది ఒక పరిశీలన మరియు దీర్ఘ శ్రేణి నిఘా విమానం. ఇది సాంప్రదాయిక సింగిల్ ఇంజిన్ ట్రాక్టర్ బిప్‌లేన్, రెండు ఓపెన్ కాక్‌పిట్‌లతో సమిష్టి. దాని అసమాన స్పాన్ రెక్కలు ప్రణాళికలో దీర్ఘచతురస్రాకారంగా ఉన్నాయి మరియు అవి అస్థిరంగా లేకుండా అమర్చబడి, ప్రతి వైపు రె"&amp;"ండు బేలుగా రెండు జతల సమాంతర ఇంటర్‌ప్లేన్ స్ట్రట్‌లతో విభజించబడ్డాయి. కాబనే స్ట్రట్స్ ఫ్యూజ్‌లేజ్ మీద ఎగువ వింగ్‌కు మద్దతు ఇచ్చాయి. [3] C.99 లో ముక్కులో స్టీల్ ఫ్రేమ్ ఇంజిన్ మౌంటు ఉంది, ఇది వివిధ రకాల ఇంజిన్లను అంగీకరించడానికి రూపొందించబడింది. 1924 సెలూన్ల"&amp;"ో దీనికి 450 హెచ్‌పి (336 కిలోవాట్ 400 హెచ్‌పి (298 కిలోవాట్) లోరైన్-డైట్రిచ్ మరొక అవకాశం. [4] ఫార్వర్డ్ సీటు వింగ్ వెనుకంజలో ఉన్న అంచు వెనుక మరియు రెండవది వెనుక ఉంది. ఒక త్రిభుజాకార ఫిన్ ఉంది, ఇది నిటారుగా మరియు నిటారుగా ఉన్న అంచుతో చుక్కానిని తీసుకువెళ్"&amp;"ళింది. ఇది కీల్‌కు విస్తరించింది, కాబట్టి ఫ్యూజ్‌లేజ్ పైన అమర్చిన టెయిల్‌ప్లేన్‌కు జతచేయబడిన ఎలివేటర్లకు కదలిక కోసం కేంద్ర కటౌట్ అవసరం. C.99 దాని మెయిన్‌వీల్స్‌తో ఒక స్థిరమైన అండర్ క్యారేజీని కలిగి ఉంది, ఫ్యూజ్‌లేజ్ యొక్క ప్రతి వైపు నుండి V- స్ట్రట్‌లపై అ"&amp;"మర్చిన ఒకే ఇరుసుపై. [3] బాంబర్‌గా, c.99 పన్నెండు 10 కిలోల (22 ఎల్బి) బాంబులను తీసుకెళ్లగలదు. [2] సెలూన్లో దీనికి నాలుగు మెషిన్ గన్‌లతో అమర్చారు, ఒకటి పైలట్‌కు స్థిరమైన మరియు ఫార్వర్డ్-ఫైరింగ్ మరియు వెనుక కాక్‌పిట్‌లో పరిశీలకుడికి ఒక స్కార్ఫ్ రింగ్‌లో రెండ"&amp;"ు మరియు రెండు, నాల్గవ, వెనుక కాల్పులు, అతని అంతస్తులో తుపాకీ కూడా ఉన్నాయి. [1 ] హావెట్ (2001) నుండి డేటా, పే .187 జనరల్ లక్షణాల పనితీరు")</f>
        <v>కాడ్రాన్ C.99 ఒక ఫ్రెంచ్ లైట్ బాంబర్ మరియు నిఘా విమానం. ఏకైక ఉదాహరణ 1920 ల మధ్యలో వేర్వేరు ఇంజిన్‌లతో ప్రయాణించింది. 1924 లో ఫ్లైట్ 18 వ పారిస్ సెలూన్లో ప్రదర్శనలో ఉన్న C.99 ను వివరించినప్పటికీ, [1] ఒక పోరాట యోధుడు, సమకాలీన [2] మరియు ఆధునిక ఫ్రెంచ్ మూలాలు [3] ఇది ఒక పరిశీలన మరియు దీర్ఘ శ్రేణి నిఘా విమానం. ఇది సాంప్రదాయిక సింగిల్ ఇంజిన్ ట్రాక్టర్ బిప్‌లేన్, రెండు ఓపెన్ కాక్‌పిట్‌లతో సమిష్టి. దాని అసమాన స్పాన్ రెక్కలు ప్రణాళికలో దీర్ఘచతురస్రాకారంగా ఉన్నాయి మరియు అవి అస్థిరంగా లేకుండా అమర్చబడి, ప్రతి వైపు రెండు బేలుగా రెండు జతల సమాంతర ఇంటర్‌ప్లేన్ స్ట్రట్‌లతో విభజించబడ్డాయి. కాబనే స్ట్రట్స్ ఫ్యూజ్‌లేజ్ మీద ఎగువ వింగ్‌కు మద్దతు ఇచ్చాయి. [3] C.99 లో ముక్కులో స్టీల్ ఫ్రేమ్ ఇంజిన్ మౌంటు ఉంది, ఇది వివిధ రకాల ఇంజిన్లను అంగీకరించడానికి రూపొందించబడింది. 1924 సెలూన్లో దీనికి 450 హెచ్‌పి (336 కిలోవాట్ 400 హెచ్‌పి (298 కిలోవాట్) లోరైన్-డైట్రిచ్ మరొక అవకాశం. [4] ఫార్వర్డ్ సీటు వింగ్ వెనుకంజలో ఉన్న అంచు వెనుక మరియు రెండవది వెనుక ఉంది. ఒక త్రిభుజాకార ఫిన్ ఉంది, ఇది నిటారుగా మరియు నిటారుగా ఉన్న అంచుతో చుక్కానిని తీసుకువెళ్ళింది. ఇది కీల్‌కు విస్తరించింది, కాబట్టి ఫ్యూజ్‌లేజ్ పైన అమర్చిన టెయిల్‌ప్లేన్‌కు జతచేయబడిన ఎలివేటర్లకు కదలిక కోసం కేంద్ర కటౌట్ అవసరం. C.99 దాని మెయిన్‌వీల్స్‌తో ఒక స్థిరమైన అండర్ క్యారేజీని కలిగి ఉంది, ఫ్యూజ్‌లేజ్ యొక్క ప్రతి వైపు నుండి V- స్ట్రట్‌లపై అమర్చిన ఒకే ఇరుసుపై. [3] బాంబర్‌గా, c.99 పన్నెండు 10 కిలోల (22 ఎల్బి) బాంబులను తీసుకెళ్లగలదు. [2] సెలూన్లో దీనికి నాలుగు మెషిన్ గన్‌లతో అమర్చారు, ఒకటి పైలట్‌కు స్థిరమైన మరియు ఫార్వర్డ్-ఫైరింగ్ మరియు వెనుక కాక్‌పిట్‌లో పరిశీలకుడికి ఒక స్కార్ఫ్ రింగ్‌లో రెండు మరియు రెండు, నాల్గవ, వెనుక కాల్పులు, అతని అంతస్తులో తుపాకీ కూడా ఉన్నాయి. [1 ] హావెట్ (2001) నుండి డేటా, పే .187 జనరల్ లక్షణాల పనితీరు</v>
      </c>
      <c r="F76" s="1" t="s">
        <v>179</v>
      </c>
      <c r="G76" s="1" t="str">
        <f>IFERROR(__xludf.DUMMYFUNCTION("GOOGLETRANSLATE(F:F, ""en"", ""te"")"),"నిఘా విమానం")</f>
        <v>నిఘా విమానం</v>
      </c>
      <c r="H76" s="1" t="s">
        <v>1433</v>
      </c>
      <c r="I76" s="1" t="s">
        <v>1200</v>
      </c>
      <c r="J76" s="1" t="str">
        <f>IFERROR(__xludf.DUMMYFUNCTION("GOOGLETRANSLATE(I:I, ""en"", ""te"")"),"కాడ్రాన్")</f>
        <v>కాడ్రాన్</v>
      </c>
      <c r="K76" s="4" t="s">
        <v>1201</v>
      </c>
      <c r="L76" s="1" t="s">
        <v>1434</v>
      </c>
      <c r="M76" s="2" t="str">
        <f>IFERROR(__xludf.DUMMYFUNCTION("GOOGLETRANSLATE(L:L, ""en"", ""te"")"),"బ్రూనెట్")</f>
        <v>బ్రూనెట్</v>
      </c>
      <c r="O76" s="1">
        <v>1.0</v>
      </c>
      <c r="R76" s="1" t="s">
        <v>1138</v>
      </c>
      <c r="T76" s="1" t="s">
        <v>1435</v>
      </c>
      <c r="V76" s="1" t="s">
        <v>1436</v>
      </c>
      <c r="W76" s="1" t="s">
        <v>1437</v>
      </c>
      <c r="X76" s="1" t="s">
        <v>1438</v>
      </c>
      <c r="Z76" s="1" t="s">
        <v>1439</v>
      </c>
      <c r="AF76" s="1" t="s">
        <v>465</v>
      </c>
      <c r="AG76" s="4" t="s">
        <v>466</v>
      </c>
      <c r="AI76" s="1" t="s">
        <v>1440</v>
      </c>
      <c r="AK76" s="1" t="s">
        <v>1441</v>
      </c>
      <c r="AL76" s="1" t="s">
        <v>1442</v>
      </c>
      <c r="AO76" s="1" t="s">
        <v>1443</v>
      </c>
      <c r="AR76" s="1" t="s">
        <v>372</v>
      </c>
      <c r="AV76" s="1" t="s">
        <v>1444</v>
      </c>
      <c r="BA76" s="1" t="s">
        <v>1445</v>
      </c>
      <c r="BB76" s="1" t="s">
        <v>1446</v>
      </c>
    </row>
    <row r="77">
      <c r="A77" s="1" t="s">
        <v>1361</v>
      </c>
      <c r="B77" s="1" t="str">
        <f>IFERROR(__xludf.DUMMYFUNCTION("GOOGLETRANSLATE(A:A, ""en"", ""te"")"),"కాడ్రాన్ రకం ఇ")</f>
        <v>కాడ్రాన్ రకం ఇ</v>
      </c>
      <c r="C77" s="1" t="s">
        <v>1447</v>
      </c>
      <c r="D77" s="2" t="str">
        <f>IFERROR(__xludf.DUMMYFUNCTION("GOOGLETRANSLATE(C:C, ""en"", ""te"")"),"కాడ్రాన్ టైప్ ఇ టూ సీట్ ట్రైనర్ టైప్ సి యొక్క పెద్ద మరియు శక్తివంతమైన అభివృద్ధి. మొదటి నుండి మరియు మొదటి ప్రపంచ యుద్ధానికి అన్ని కాడ్రాన్ బిప్‌లేన్ ల్యాండ్‌ప్లేన్లు ఒకే లేఅవుట్‌ను అనుసరించాయి: ట్రాక్టర్ కాన్ఫిగరేషన్, షార్ట్ నాసెల్స్, ట్విన్ బూమ్స్, పెద్ద "&amp;"టెయిల్‌ప్లాన్లు మరియు ట్విన్ రెక్కలు. టైప్ A నుండి G.3 రకం వరకు, అన్నీ సింగిల్ ఇంజిన్ చేయబడ్డాయి. అన్ని రకాలు సెస్క్విప్లేన్ ఉదాహరణలు; ప్రారంభ రకాలు సమాన స్పాన్ బైప్లేన్ల నుండి సవరించబడ్డాయి మరియు తరువాత వాటి నుండి E నుండి, ప్రారంభం నుండి SESQUIPLANES. దా"&amp;"ని తక్షణ పూర్వీకులకు విరుద్ధంగా, సి మరియు టైప్ డి టైప్, టై రకం రెండు-సీటర్లు, పెద్దది మరియు శక్తివంతమైనది. ఇది సైనిక శిక్షణా విమానంగా రూపొందించబడింది. [1] రెండు స్పార్ ఫాబ్రిక్ కప్పబడిన రెక్కలు కోణాల చిట్కాలతో పాటు ఒకే దీర్ఘచతురస్రాకార ప్రణాళికను కలిగి ఉన"&amp;"్నాయి మరియు ఎగువ నుండి తక్కువ స్పాన్ నిష్పత్తిని 1.5 కి దగ్గరగా కలిగి ఉన్నాయి. ప్రతి వైపు రెండు వైర్ బ్రేస్డ్ బేలు ఉన్నాయి, అయితే లోపలి భాగం బయటి వెడల్పులో సగం మాత్రమే. అస్థిరత లేదు, కాబట్టి ఇంటర్‌ప్లేన్ స్ట్రట్స్ సమాంతరంగా మరియు నిలువుగా ఉండేవి. ఎగువ విం"&amp;"గ్ యొక్క ఓవర్‌హాంగ్‌కు బాహ్య ఇంటర్‌ప్లేన్ స్ట్రట్స్ యొక్క స్థావరాల నుండి సమాంతర, బాహ్యంగా వాలుతున్న స్ట్రట్‌లు మద్దతు ఇచ్చాయి. వెనుక స్పార్ మధ్య తీగ కంటే ముందుంది, పక్కటెముకలను రెక్క యొక్క వెనుక భాగంలో వదిలివేసి, వింగ్ వార్పింగ్ ద్వారా రోల్ నియంత్రణను అను"&amp;"మతిస్తుంది. [1] రెండు సీట్ల నాసెల్లె టైప్ బి యొక్క మునుపటి సరళమైన, ఫ్లాట్ సైడెడ్ స్ట్రక్చర్ నుండి అభివృద్ధి చేయబడింది, దిగువ రెక్క పైన మరో రెండు జత బాహ్య ఇంటర్‌ప్లేన్ స్ట్రట్‌లపై మద్దతు ఉంది. [1] ఇద్దరు యజమానులు మరియు సైనిక పరికరాలకు ఎక్కువ స్థలం ఉన్న ఇది"&amp;" పెద్దది. [2] పైలట్ వెనుక భాగంలో రెండవ సీటు ముందుకు ఉంది; కాక్‌పిట్ ముందు ఎగువ ఫ్యూజ్‌లేజ్ పెంచబడింది, యజమానులు తక్కువ బహిర్గతం అయ్యారు. 52 కిలోవాట్ల (70 హెచ్‌పి) గ్నోమ్ లాంబ్డా రోటరీ ఇంజిన్ ముందు భాగంలో సెమీ వృత్తాకార కౌలింగ్ కింద చమురు స్ప్రేని విక్షేపం"&amp;" చేయడానికి ఉద్దేశించబడింది. [1] [2] E రకం యొక్క సామ్రాజ్యం ప్రణాళికలో ఒకదానికొకటి సమాంతరంగా ఏర్పాటు చేసిన ఒక జత గిర్డర్లకు మద్దతు ఇవ్వబడింది. ఎగువ గిర్డర్ సభ్యులు లోపలి ఇంటర్‌ప్లేన్ స్ట్రట్‌ల పైభాగంలో ఎగువ వింగ్ స్పార్‌లకు జతచేయబడ్డారు మరియు దిగువ వాటిని "&amp;"దిగువ వింగ్ కింద నడిచి, లోపలి ఇంటర్‌ప్లేన్ స్ట్రట్‌ల దిగువ పొడిగింపులపై అమర్చారు. మౌంటు ప్రతి వైపు రెండు వికర్ణ స్ట్రట్‌లతో బలోపేతం చేయబడింది, ఒకటి ఫార్వర్డ్ ఇంటర్‌ప్లేన్ స్ట్రట్ యొక్క బేస్ నుండి దిగువ సభ్యుడి యొక్క పైకి మరియు మరొకటి వెనుక ఇంటర్‌ప్లేన్ స్"&amp;"ట్రట్ నుండి దిగువ సభ్యుల జంక్షన్ మరియు దాని మొదటి నిలువు క్రాస్ సభ్యుడు . ఈ దిగువ సభ్యులలో ప్రతి ఒక్కరూ, భూమిపై ఉన్న విమానానికి స్కిడ్లుగా మద్దతు ఇచ్చారు, జంట, రబ్బరు మొలకెత్తిన ల్యాండింగ్ చక్రాలను తీసుకువెళ్లారు. రెక్క వెనుక ఎగువ మరియు దిగువ సభ్యులు వెను"&amp;"క వైపుకు కలుస్తారు; దిగువ సభ్యులపై లాగడం ల్యాండింగ్ పరుగును తగ్గించింది. [1] E రకం యొక్క రెక్కలు C [1] రకం కంటే 0.5 m (1.6 ft) ఎక్కువ, లోపలి బే వెడల్పు యొక్క పెరుగుదలతో ఇది విజృంభణను మరింత వేరుగా ఉంచి, అండర్ క్యారేజ్ ట్రాక్‌ను 2.4 నుండి 3.0 మీ (8 నుండి పె"&amp;"ంచింది (8 నుండి 10 అడుగులు), ల్యాండింగ్లను సులభతరం చేస్తుంది. [2] ప్రతి గిర్డర్‌లో మూడు నిలువు క్రాస్ కలుపులు ఉన్నాయి, కాని వైర్ బ్రేసింగ్ ఉన్నప్పటికీ, పార్శ్వ అంతర్-అమ్మాయి క్రాస్-సభ్యులు తోక దగ్గర మాత్రమే ఉన్నాయి. విస్తృత తీగ, సుమారు దీర్ఘచతురస్రాకార, వ"&amp;"ార్పింగ్ టెయిల్‌ప్లేన్ ఎగువ గిర్డర్ సభ్యునికి కొంచెం దిగువన అమర్చబడింది. దాని పైన, ఒక జత మొద్దుబారిన, దీర్ఘచతురస్రాకార రడ్డర్లు టెయిల్‌ప్లేన్ వ్యవధిలో మూడింట ఒక వంతు ద్వారా వేరు చేయబడ్డాయి. [1] ఫ్రెంచ్ ప్రభుత్వం రెండు రకం ES ను అందుకుంది, మొదటిది సెప్టెంబ"&amp;"ర్ 1912 లో మరియు రెండవది ఒక నెల తరువాత. మరో రెండు నిర్మించబడ్డాయి, కాని అమ్మడం కష్టమని నిరూపించబడింది, బహుశా ఉన్నతమైన కాడ్రాన్ రకం G అందుబాటులోకి వచ్చినందున. ES రకం కోసం చైనీస్ ఆర్డర్ క్రొత్త రకానికి అనుకూలంగా మార్చబడింది. [1] ఒకటి రాయల్ నేవీకి విక్రయించబ"&amp;"డింది [1] అయినప్పటికీ దాని అంగీకారం 29 జూన్ 1914 వరకు ఆలస్యం అయింది. [3] [గమనికలు 1] నాల్గవ మరియు చివరి రకం E యొక్క విధి అనిశ్చితంగా ఉంది, అయినప్పటికీ ఇది మొదటి స్థానంలో నిలిచింది మే 1913 లో నష్టం తరువాత ఫ్రెంచ్ ప్రభుత్వ యంత్రం. అలా అయితే, ఇది FYPE లో ప్ర"&amp;"వేశపెట్టిన మరియు అన్ని G రకాల్లో ఉపయోగించబడిన సూటిగా, గుండ్రని అంచు రూపంతో ఆధునీకరించబడింది. [1] హావెట్ (2001) నుండి డేటా [1] సాధారణ లక్షణాల పనితీరు")</f>
        <v>కాడ్రాన్ టైప్ ఇ టూ సీట్ ట్రైనర్ టైప్ సి యొక్క పెద్ద మరియు శక్తివంతమైన అభివృద్ధి. మొదటి నుండి మరియు మొదటి ప్రపంచ యుద్ధానికి అన్ని కాడ్రాన్ బిప్‌లేన్ ల్యాండ్‌ప్లేన్లు ఒకే లేఅవుట్‌ను అనుసరించాయి: ట్రాక్టర్ కాన్ఫిగరేషన్, షార్ట్ నాసెల్స్, ట్విన్ బూమ్స్, పెద్ద టెయిల్‌ప్లాన్లు మరియు ట్విన్ రెక్కలు. టైప్ A నుండి G.3 రకం వరకు, అన్నీ సింగిల్ ఇంజిన్ చేయబడ్డాయి. అన్ని రకాలు సెస్క్విప్లేన్ ఉదాహరణలు; ప్రారంభ రకాలు సమాన స్పాన్ బైప్లేన్ల నుండి సవరించబడ్డాయి మరియు తరువాత వాటి నుండి E నుండి, ప్రారంభం నుండి SESQUIPLANES. దాని తక్షణ పూర్వీకులకు విరుద్ధంగా, సి మరియు టైప్ డి టైప్, టై రకం రెండు-సీటర్లు, పెద్దది మరియు శక్తివంతమైనది. ఇది సైనిక శిక్షణా విమానంగా రూపొందించబడింది. [1] రెండు స్పార్ ఫాబ్రిక్ కప్పబడిన రెక్కలు కోణాల చిట్కాలతో పాటు ఒకే దీర్ఘచతురస్రాకార ప్రణాళికను కలిగి ఉన్నాయి మరియు ఎగువ నుండి తక్కువ స్పాన్ నిష్పత్తిని 1.5 కి దగ్గరగా కలిగి ఉన్నాయి. ప్రతి వైపు రెండు వైర్ బ్రేస్డ్ బేలు ఉన్నాయి, అయితే లోపలి భాగం బయటి వెడల్పులో సగం మాత్రమే. అస్థిరత లేదు, కాబట్టి ఇంటర్‌ప్లేన్ స్ట్రట్స్ సమాంతరంగా మరియు నిలువుగా ఉండేవి. ఎగువ వింగ్ యొక్క ఓవర్‌హాంగ్‌కు బాహ్య ఇంటర్‌ప్లేన్ స్ట్రట్స్ యొక్క స్థావరాల నుండి సమాంతర, బాహ్యంగా వాలుతున్న స్ట్రట్‌లు మద్దతు ఇచ్చాయి. వెనుక స్పార్ మధ్య తీగ కంటే ముందుంది, పక్కటెముకలను రెక్క యొక్క వెనుక భాగంలో వదిలివేసి, వింగ్ వార్పింగ్ ద్వారా రోల్ నియంత్రణను అనుమతిస్తుంది. [1] రెండు సీట్ల నాసెల్లె టైప్ బి యొక్క మునుపటి సరళమైన, ఫ్లాట్ సైడెడ్ స్ట్రక్చర్ నుండి అభివృద్ధి చేయబడింది, దిగువ రెక్క పైన మరో రెండు జత బాహ్య ఇంటర్‌ప్లేన్ స్ట్రట్‌లపై మద్దతు ఉంది. [1] ఇద్దరు యజమానులు మరియు సైనిక పరికరాలకు ఎక్కువ స్థలం ఉన్న ఇది పెద్దది. [2] పైలట్ వెనుక భాగంలో రెండవ సీటు ముందుకు ఉంది; కాక్‌పిట్ ముందు ఎగువ ఫ్యూజ్‌లేజ్ పెంచబడింది, యజమానులు తక్కువ బహిర్గతం అయ్యారు. 52 కిలోవాట్ల (70 హెచ్‌పి) గ్నోమ్ లాంబ్డా రోటరీ ఇంజిన్ ముందు భాగంలో సెమీ వృత్తాకార కౌలింగ్ కింద చమురు స్ప్రేని విక్షేపం చేయడానికి ఉద్దేశించబడింది. [1] [2] E రకం యొక్క సామ్రాజ్యం ప్రణాళికలో ఒకదానికొకటి సమాంతరంగా ఏర్పాటు చేసిన ఒక జత గిర్డర్లకు మద్దతు ఇవ్వబడింది. ఎగువ గిర్డర్ సభ్యులు లోపలి ఇంటర్‌ప్లేన్ స్ట్రట్‌ల పైభాగంలో ఎగువ వింగ్ స్పార్‌లకు జతచేయబడ్డారు మరియు దిగువ వాటిని దిగువ వింగ్ కింద నడిచి, లోపలి ఇంటర్‌ప్లేన్ స్ట్రట్‌ల దిగువ పొడిగింపులపై అమర్చారు. మౌంటు ప్రతి వైపు రెండు వికర్ణ స్ట్రట్‌లతో బలోపేతం చేయబడింది, ఒకటి ఫార్వర్డ్ ఇంటర్‌ప్లేన్ స్ట్రట్ యొక్క బేస్ నుండి దిగువ సభ్యుడి యొక్క పైకి మరియు మరొకటి వెనుక ఇంటర్‌ప్లేన్ స్ట్రట్ నుండి దిగువ సభ్యుల జంక్షన్ మరియు దాని మొదటి నిలువు క్రాస్ సభ్యుడు . ఈ దిగువ సభ్యులలో ప్రతి ఒక్కరూ, భూమిపై ఉన్న విమానానికి స్కిడ్లుగా మద్దతు ఇచ్చారు, జంట, రబ్బరు మొలకెత్తిన ల్యాండింగ్ చక్రాలను తీసుకువెళ్లారు. రెక్క వెనుక ఎగువ మరియు దిగువ సభ్యులు వెనుక వైపుకు కలుస్తారు; దిగువ సభ్యులపై లాగడం ల్యాండింగ్ పరుగును తగ్గించింది. [1] E రకం యొక్క రెక్కలు C [1] రకం కంటే 0.5 m (1.6 ft) ఎక్కువ, లోపలి బే వెడల్పు యొక్క పెరుగుదలతో ఇది విజృంభణను మరింత వేరుగా ఉంచి, అండర్ క్యారేజ్ ట్రాక్‌ను 2.4 నుండి 3.0 మీ (8 నుండి పెంచింది (8 నుండి 10 అడుగులు), ల్యాండింగ్లను సులభతరం చేస్తుంది. [2] ప్రతి గిర్డర్‌లో మూడు నిలువు క్రాస్ కలుపులు ఉన్నాయి, కాని వైర్ బ్రేసింగ్ ఉన్నప్పటికీ, పార్శ్వ అంతర్-అమ్మాయి క్రాస్-సభ్యులు తోక దగ్గర మాత్రమే ఉన్నాయి. విస్తృత తీగ, సుమారు దీర్ఘచతురస్రాకార, వార్పింగ్ టెయిల్‌ప్లేన్ ఎగువ గిర్డర్ సభ్యునికి కొంచెం దిగువన అమర్చబడింది. దాని పైన, ఒక జత మొద్దుబారిన, దీర్ఘచతురస్రాకార రడ్డర్లు టెయిల్‌ప్లేన్ వ్యవధిలో మూడింట ఒక వంతు ద్వారా వేరు చేయబడ్డాయి. [1] ఫ్రెంచ్ ప్రభుత్వం రెండు రకం ES ను అందుకుంది, మొదటిది సెప్టెంబర్ 1912 లో మరియు రెండవది ఒక నెల తరువాత. మరో రెండు నిర్మించబడ్డాయి, కాని అమ్మడం కష్టమని నిరూపించబడింది, బహుశా ఉన్నతమైన కాడ్రాన్ రకం G అందుబాటులోకి వచ్చినందున. ES రకం కోసం చైనీస్ ఆర్డర్ క్రొత్త రకానికి అనుకూలంగా మార్చబడింది. [1] ఒకటి రాయల్ నేవీకి విక్రయించబడింది [1] అయినప్పటికీ దాని అంగీకారం 29 జూన్ 1914 వరకు ఆలస్యం అయింది. [3] [గమనికలు 1] నాల్గవ మరియు చివరి రకం E యొక్క విధి అనిశ్చితంగా ఉంది, అయినప్పటికీ ఇది మొదటి స్థానంలో నిలిచింది మే 1913 లో నష్టం తరువాత ఫ్రెంచ్ ప్రభుత్వ యంత్రం. అలా అయితే, ఇది FYPE లో ప్రవేశపెట్టిన మరియు అన్ని G రకాల్లో ఉపయోగించబడిన సూటిగా, గుండ్రని అంచు రూపంతో ఆధునీకరించబడింది. [1] హావెట్ (2001) నుండి డేటా [1] సాధారణ లక్షణాల పనితీరు</v>
      </c>
      <c r="F77" s="1" t="s">
        <v>1448</v>
      </c>
      <c r="G77" s="1" t="str">
        <f>IFERROR(__xludf.DUMMYFUNCTION("GOOGLETRANSLATE(F:F, ""en"", ""te"")"),"రెండు సీట్ ట్రైనర్ బిప్లేన్")</f>
        <v>రెండు సీట్ ట్రైనర్ బిప్లేన్</v>
      </c>
      <c r="H77" s="1" t="s">
        <v>1449</v>
      </c>
      <c r="I77" s="1" t="s">
        <v>1200</v>
      </c>
      <c r="J77" s="1" t="str">
        <f>IFERROR(__xludf.DUMMYFUNCTION("GOOGLETRANSLATE(I:I, ""en"", ""te"")"),"కాడ్రాన్")</f>
        <v>కాడ్రాన్</v>
      </c>
      <c r="K77" s="4" t="s">
        <v>1201</v>
      </c>
      <c r="M77" s="2"/>
      <c r="O77" s="1">
        <v>4.0</v>
      </c>
      <c r="P77" s="1" t="s">
        <v>1450</v>
      </c>
      <c r="Q77" s="1" t="s">
        <v>1451</v>
      </c>
      <c r="R77" s="1" t="s">
        <v>129</v>
      </c>
      <c r="S77" s="1" t="s">
        <v>250</v>
      </c>
      <c r="T77" s="1" t="s">
        <v>1452</v>
      </c>
      <c r="V77" s="1" t="s">
        <v>1453</v>
      </c>
      <c r="W77" s="1" t="s">
        <v>351</v>
      </c>
      <c r="X77" s="1" t="s">
        <v>1454</v>
      </c>
      <c r="Z77" s="1" t="s">
        <v>1455</v>
      </c>
      <c r="AF77" s="1" t="s">
        <v>465</v>
      </c>
      <c r="AG77" s="4" t="s">
        <v>466</v>
      </c>
      <c r="AL77" s="1" t="s">
        <v>1456</v>
      </c>
      <c r="AO77" s="1" t="s">
        <v>1457</v>
      </c>
      <c r="AR77" s="1" t="s">
        <v>372</v>
      </c>
      <c r="BA77" s="1" t="s">
        <v>1458</v>
      </c>
      <c r="BB77" s="1" t="s">
        <v>1459</v>
      </c>
      <c r="BC77" s="1" t="s">
        <v>1460</v>
      </c>
    </row>
    <row r="78">
      <c r="A78" s="1" t="s">
        <v>1461</v>
      </c>
      <c r="B78" s="1" t="str">
        <f>IFERROR(__xludf.DUMMYFUNCTION("GOOGLETRANSLATE(A:A, ""en"", ""te"")"),"కాడ్రాన్ రకం k")</f>
        <v>కాడ్రాన్ రకం k</v>
      </c>
      <c r="C78" s="1" t="s">
        <v>1462</v>
      </c>
      <c r="D78" s="2" t="str">
        <f>IFERROR(__xludf.DUMMYFUNCTION("GOOGLETRANSLATE(C:C, ""en"", ""te"")"),"కాడ్రాన్ రకం K ఒక ఫ్రెంచ్ ఫ్లోట్‌ప్లేన్, ఇది చాలా శక్తివంతమైన, ఇరవై సిలిండర్ రేడియల్ ఇంజిన్‌తో పషర్ కాన్ఫిగరేషన్‌లో ఉంది. ఇది 1913 లో ఫ్రెంచ్ సీప్లేన్ పోటీలో పాల్గొంది, కాని పోటీలో టేకాఫ్ ప్రమాదంలో ఓడిపోయింది. K కాడ్రాన్ రకం ముందు రెండు పషర్ ఫ్లోట్‌ప్లేన్"&amp;"‌లను నిర్మించారు, సింగిల్ సీట్ కాడ్రాన్-ఫాబ్రే ఉభయచరాలు మరియు క్లాడ్ గ్రాహం-వైట్ కోసం దాని యొక్క రెండు-సీట్ల వెర్షన్. రెండు సీట్ల రకం K రెండు కాకుండా మూడు బే రెక్కలతో కూడిన పెద్ద విమానం మరియు మునుపటి కంటే చాలా శక్తివంతమైన అంజని ఇంజిన్. ఏదేమైనా, ఇది ప్రారం"&amp;"భ కాడ్రాన్ డిజైన్ల యొక్క అనేక లక్షణాలను, అసమాన విస్తరణ, రెండు స్పార్ రెక్కలు మరియు ట్విన్ రెక్కలు మరియు రడ్డర్లను కలిగి ఉన్న ఓపెన్ ఫ్రేమ్ ఫ్యూజ్‌లేజ్‌లతో పంచుకుంది. [1] K రకం కొద్దిగా కోణ చిట్కాలతో దీర్ఘచతురస్రాకార ప్రణాళిక రెక్కలను కలిగి ఉంది. ఎగువ రెక్క"&amp;"ల వ్యవధి దిగువ కంటే 45% ఎక్కువ; ప్రతి వైపు ఎగువ మరియు దిగువ రెక్కలు మూడు సెట్ల నిలువు, సమాంతర ఇంటర్‌ప్లేన్ స్ట్రట్‌లు మరియు మరొక సమాంతర జత ఎగువ వింగ్ యొక్క బయటి భాగాలను బ్రేస్ చేయడానికి బయటికి మరియు పైకి వంగిపోయాయి. 150 కిలోవాట్ల (200 హెచ్‌పి), ఇరవై సిలిం"&amp;"డర్, నాలుగు-వరుస ఎయిర్-కూల్డ్ అంజాని 20 రేడియల్ ఇంజిన్ రెక్కల మధ్య కేంద్రంగా పషర్ కాన్ఫిగరేషన్‌లో అమర్చబడి, జంట టైల్‌బూమ్‌ల మధ్య ప్రొపెల్లర్‌ను నడుపుతుంది. ఒక స్థూపాకార పెట్రోల్ ట్యాంక్ ఇంజిన్ కంటే పార్శ్వంగా మరియు వింగ్ లీడింగ్ ఎడ్జ్ మీదుగా, ఒక చిన్న ఫ్య"&amp;"ూజ్‌లేజ్ పాడ్ వెనుక భాగంలో అమర్చబడింది, దీనిలో ఇద్దరు సిబ్బంది ఓపెన్ కాక్‌పిట్‌లో పక్కపక్కనే కూర్చున్నారు. ఇది ఫ్లాట్ సైడెడ్ స్ట్రక్చర్, దాని ఎగువ ఉపరితల వక్రత తీవ్రంగా క్రిందికి వంగడం. [1] K యొక్క ఫ్యూజ్‌లేజ్ రకం వెనుక భాగం రెండు గిర్డర్లతో కూడిన బహిరంగ "&amp;"నిర్మాణం, ప్రతి నిలువుగా క్రాస్ బ్రేస్డ్ మరియు ప్రొఫైల్‌లో కలుస్తుంది, ప్రణాళికలో ఒకదానికొకటి సమాంతరంగా మరియు తోక వద్ద అడ్డంగా క్రాస్-లింక్ చేయబడుతుంది. ఈ కాలం యొక్క కాడ్రాన్ యొక్క ఇది చాలా ప్రామాణికమైనది, కాని దిగువ రెక్క నుండి పైకి మరొక పొడవైన జత సభ్యుల"&amp;"చే K రకంలో వివరించబడింది; ఇవి క్వాడ్రాంటల్ చిట్కాలతో పొడవైన, ఇరుకైన జత స్థిరమైన తీగ రడ్డర్ల పోస్ట్‌లను పొందాయి. టెయిల్‌ప్లేన్, ప్రణాళికలో సుమారు దీర్ఘచతురస్రాకారంలో కానీ చుక్కాని కదలిక కోసం కత్తిరించబడింది, ఎగువ తోక గిర్డర్లపై ఉంచబడింది. [1] K రకం స్వచ్ఛమ"&amp;"ైన ఫ్లోట్ ప్లేన్, శాశ్వత భూమి చక్రాలు లేకుండా. ఫ్లోట్లు 5.20 మీ (17 అడుగుల 1 అంగుళాలు) పొడవు (ఫ్యూజ్‌లేజ్ పొడవు సగం కంటే ఎక్కువ), విభాగంలో ఒకే అడుగు మరియు దీర్ఘచతురస్రాకార, 500 మిమీ (19.7 అంగుళాలు) వెడల్పు మరియు 800 మిమీ (31.5 అంగుళాలు) లోతుగా ఉన్నాయి. [1"&amp;"] 1913 లో ఫ్రెంచ్ ఏరో క్లబ్ ఒక సీప్లేన్ పోటీని నిర్వహించింది. ఇది డ్యూవిల్లెలో ఆగస్టు 24 మరియు 31 మధ్య జరిగింది మరియు పది వేర్వేరు ఫ్రెంచ్ తయారీదారుల నుండి విమానాలను ఆకర్షించింది. కొందరు ఒకటి కంటే ఎక్కువ మోడల్‌ను పంపారు, ఉదాహరణకు, కాడ్రాన్ రకాలు J మరియు K"&amp;". [2] రెనే కాడ్రాన్ తరువాతి పైలట్ చేసాడు మరియు అతని ఇంజనీర్ దాని కొత్త ఇంజిన్ అలెశాండ్రో అంజానీ యొక్క డిజైనర్. ఉభయచరం కాకపోయినా, ఏవియన్ డి బోర్డ్ అని వర్గీకరించబడిన K రకం, ఒక జత విస్మరించదగిన బోగీలను ఉపయోగించి చెక్క రన్‌వే నుండి తీసుకోవచ్చు మరియు ఇది 35 మ"&amp;"ీ (115 అడుగులు) రన్ తర్వాత 6,000 ఫ్రాంక్‌ల బహుమతిని గెలుచుకుంది. . [[ ఆగస్టు 26 న బయలుదేరినప్పుడు, K రకం పెద్ద తరంగాన్ని తాకినప్పుడు ఫ్లోట్ అటాచ్మెంట్ విఫలమైంది, దీనివల్ల విమానం క్యాప్సైజ్ అవుతుంది. గాస్టన్ కాడ్రాన్, J రకాన్ని ఎగురుతూ, సిబ్బందిని రక్షించడ"&amp;"ానికి విజయవంతంగా నీటిపై ఉంచండి. [1] [2] హావెట్ నుండి డేటా (2001) p.51 [1] సాధారణ లక్షణాల పనితీరు")</f>
        <v>కాడ్రాన్ రకం K ఒక ఫ్రెంచ్ ఫ్లోట్‌ప్లేన్, ఇది చాలా శక్తివంతమైన, ఇరవై సిలిండర్ రేడియల్ ఇంజిన్‌తో పషర్ కాన్ఫిగరేషన్‌లో ఉంది. ఇది 1913 లో ఫ్రెంచ్ సీప్లేన్ పోటీలో పాల్గొంది, కాని పోటీలో టేకాఫ్ ప్రమాదంలో ఓడిపోయింది. K కాడ్రాన్ రకం ముందు రెండు పషర్ ఫ్లోట్‌ప్లేన్‌లను నిర్మించారు, సింగిల్ సీట్ కాడ్రాన్-ఫాబ్రే ఉభయచరాలు మరియు క్లాడ్ గ్రాహం-వైట్ కోసం దాని యొక్క రెండు-సీట్ల వెర్షన్. రెండు సీట్ల రకం K రెండు కాకుండా మూడు బే రెక్కలతో కూడిన పెద్ద విమానం మరియు మునుపటి కంటే చాలా శక్తివంతమైన అంజని ఇంజిన్. ఏదేమైనా, ఇది ప్రారంభ కాడ్రాన్ డిజైన్ల యొక్క అనేక లక్షణాలను, అసమాన విస్తరణ, రెండు స్పార్ రెక్కలు మరియు ట్విన్ రెక్కలు మరియు రడ్డర్లను కలిగి ఉన్న ఓపెన్ ఫ్రేమ్ ఫ్యూజ్‌లేజ్‌లతో పంచుకుంది. [1] K రకం కొద్దిగా కోణ చిట్కాలతో దీర్ఘచతురస్రాకార ప్రణాళిక రెక్కలను కలిగి ఉంది. ఎగువ రెక్కల వ్యవధి దిగువ కంటే 45% ఎక్కువ; ప్రతి వైపు ఎగువ మరియు దిగువ రెక్కలు మూడు సెట్ల నిలువు, సమాంతర ఇంటర్‌ప్లేన్ స్ట్రట్‌లు మరియు మరొక సమాంతర జత ఎగువ వింగ్ యొక్క బయటి భాగాలను బ్రేస్ చేయడానికి బయటికి మరియు పైకి వంగిపోయాయి. 150 కిలోవాట్ల (200 హెచ్‌పి), ఇరవై సిలిండర్, నాలుగు-వరుస ఎయిర్-కూల్డ్ అంజాని 20 రేడియల్ ఇంజిన్ రెక్కల మధ్య కేంద్రంగా పషర్ కాన్ఫిగరేషన్‌లో అమర్చబడి, జంట టైల్‌బూమ్‌ల మధ్య ప్రొపెల్లర్‌ను నడుపుతుంది. ఒక స్థూపాకార పెట్రోల్ ట్యాంక్ ఇంజిన్ కంటే పార్శ్వంగా మరియు వింగ్ లీడింగ్ ఎడ్జ్ మీదుగా, ఒక చిన్న ఫ్యూజ్‌లేజ్ పాడ్ వెనుక భాగంలో అమర్చబడింది, దీనిలో ఇద్దరు సిబ్బంది ఓపెన్ కాక్‌పిట్‌లో పక్కపక్కనే కూర్చున్నారు. ఇది ఫ్లాట్ సైడెడ్ స్ట్రక్చర్, దాని ఎగువ ఉపరితల వక్రత తీవ్రంగా క్రిందికి వంగడం. [1] K యొక్క ఫ్యూజ్‌లేజ్ రకం వెనుక భాగం రెండు గిర్డర్లతో కూడిన బహిరంగ నిర్మాణం, ప్రతి నిలువుగా క్రాస్ బ్రేస్డ్ మరియు ప్రొఫైల్‌లో కలుస్తుంది, ప్రణాళికలో ఒకదానికొకటి సమాంతరంగా మరియు తోక వద్ద అడ్డంగా క్రాస్-లింక్ చేయబడుతుంది. ఈ కాలం యొక్క కాడ్రాన్ యొక్క ఇది చాలా ప్రామాణికమైనది, కాని దిగువ రెక్క నుండి పైకి మరొక పొడవైన జత సభ్యులచే K రకంలో వివరించబడింది; ఇవి క్వాడ్రాంటల్ చిట్కాలతో పొడవైన, ఇరుకైన జత స్థిరమైన తీగ రడ్డర్ల పోస్ట్‌లను పొందాయి. టెయిల్‌ప్లేన్, ప్రణాళికలో సుమారు దీర్ఘచతురస్రాకారంలో కానీ చుక్కాని కదలిక కోసం కత్తిరించబడింది, ఎగువ తోక గిర్డర్లపై ఉంచబడింది. [1] K రకం స్వచ్ఛమైన ఫ్లోట్ ప్లేన్, శాశ్వత భూమి చక్రాలు లేకుండా. ఫ్లోట్లు 5.20 మీ (17 అడుగుల 1 అంగుళాలు) పొడవు (ఫ్యూజ్‌లేజ్ పొడవు సగం కంటే ఎక్కువ), విభాగంలో ఒకే అడుగు మరియు దీర్ఘచతురస్రాకార, 500 మిమీ (19.7 అంగుళాలు) వెడల్పు మరియు 800 మిమీ (31.5 అంగుళాలు) లోతుగా ఉన్నాయి. [1] 1913 లో ఫ్రెంచ్ ఏరో క్లబ్ ఒక సీప్లేన్ పోటీని నిర్వహించింది. ఇది డ్యూవిల్లెలో ఆగస్టు 24 మరియు 31 మధ్య జరిగింది మరియు పది వేర్వేరు ఫ్రెంచ్ తయారీదారుల నుండి విమానాలను ఆకర్షించింది. కొందరు ఒకటి కంటే ఎక్కువ మోడల్‌ను పంపారు, ఉదాహరణకు, కాడ్రాన్ రకాలు J మరియు K. [2] రెనే కాడ్రాన్ తరువాతి పైలట్ చేసాడు మరియు అతని ఇంజనీర్ దాని కొత్త ఇంజిన్ అలెశాండ్రో అంజానీ యొక్క డిజైనర్. ఉభయచరం కాకపోయినా, ఏవియన్ డి బోర్డ్ అని వర్గీకరించబడిన K రకం, ఒక జత విస్మరించదగిన బోగీలను ఉపయోగించి చెక్క రన్‌వే నుండి తీసుకోవచ్చు మరియు ఇది 35 మీ (115 అడుగులు) రన్ తర్వాత 6,000 ఫ్రాంక్‌ల బహుమతిని గెలుచుకుంది. . [[ ఆగస్టు 26 న బయలుదేరినప్పుడు, K రకం పెద్ద తరంగాన్ని తాకినప్పుడు ఫ్లోట్ అటాచ్మెంట్ విఫలమైంది, దీనివల్ల విమానం క్యాప్సైజ్ అవుతుంది. గాస్టన్ కాడ్రాన్, J రకాన్ని ఎగురుతూ, సిబ్బందిని రక్షించడానికి విజయవంతంగా నీటిపై ఉంచండి. [1] [2] హావెట్ నుండి డేటా (2001) p.51 [1] సాధారణ లక్షణాల పనితీరు</v>
      </c>
      <c r="F78" s="1" t="s">
        <v>1463</v>
      </c>
      <c r="G78" s="1" t="str">
        <f>IFERROR(__xludf.DUMMYFUNCTION("GOOGLETRANSLATE(F:F, ""en"", ""te"")"),"రెండు సీట్ల ఫ్లోట్ ప్లేన్")</f>
        <v>రెండు సీట్ల ఫ్లోట్ ప్లేన్</v>
      </c>
      <c r="H78" s="1" t="s">
        <v>1464</v>
      </c>
      <c r="I78" s="1" t="s">
        <v>1200</v>
      </c>
      <c r="J78" s="1" t="str">
        <f>IFERROR(__xludf.DUMMYFUNCTION("GOOGLETRANSLATE(I:I, ""en"", ""te"")"),"కాడ్రాన్")</f>
        <v>కాడ్రాన్</v>
      </c>
      <c r="K78" s="4" t="s">
        <v>1201</v>
      </c>
      <c r="M78" s="2"/>
      <c r="O78" s="1">
        <v>1.0</v>
      </c>
      <c r="R78" s="1" t="s">
        <v>1465</v>
      </c>
      <c r="T78" s="1" t="s">
        <v>328</v>
      </c>
      <c r="V78" s="1" t="s">
        <v>1466</v>
      </c>
      <c r="W78" s="1" t="s">
        <v>1467</v>
      </c>
      <c r="X78" s="1" t="s">
        <v>1468</v>
      </c>
      <c r="Z78" s="1" t="s">
        <v>1469</v>
      </c>
      <c r="AF78" s="1" t="s">
        <v>465</v>
      </c>
      <c r="AG78" s="4" t="s">
        <v>466</v>
      </c>
      <c r="AL78" s="1" t="s">
        <v>190</v>
      </c>
      <c r="AO78" s="1">
        <v>1913.0</v>
      </c>
      <c r="AR78" s="1" t="s">
        <v>1470</v>
      </c>
      <c r="BA78" s="1" t="s">
        <v>1471</v>
      </c>
      <c r="BB78" s="1" t="s">
        <v>1472</v>
      </c>
      <c r="BC78" s="1" t="s">
        <v>1460</v>
      </c>
    </row>
    <row r="79">
      <c r="A79" s="1" t="s">
        <v>1473</v>
      </c>
      <c r="B79" s="1" t="str">
        <f>IFERROR(__xludf.DUMMYFUNCTION("GOOGLETRANSLATE(A:A, ""en"", ""te"")"),"ఐలర్ హైడ్రో-ట్రిప్లేన్")</f>
        <v>ఐలర్ హైడ్రో-ట్రిప్లేన్</v>
      </c>
      <c r="C79" s="1" t="s">
        <v>1474</v>
      </c>
      <c r="D79" s="2" t="str">
        <f>IFERROR(__xludf.DUMMYFUNCTION("GOOGLETRANSLATE(C:C, ""en"", ""te"")"),"ఐలర్ హైడ్రో-ట్రిప్లేన్ ఒక అసాధారణమైన పషర్ కాన్ఫిగరేషన్ ఉభయచర ట్రిప్లేన్ ఫ్లయింగ్ బోట్, ఇది 1913 లో జర్మనీలో నిర్మించబడింది. ఫ్రెంచ్ పత్రిక యొక్క ఏప్రిల్ 1913 లో ఎల్'అరోఫైల్ యొక్క సంచికలో ఒక యులర్ ట్రిప్లేన్ సీక్‌ప్లేన్ కు క్లుప్త, అసంబద్ధమైన సూచన [1] ఉంది"&amp;", ఇది శక్తితో ఉంది 70 హెచ్‌పి (52 కిలోవాట్ల) గ్నోమ్ ఇంజిన్, హైడ్రో-ట్రిప్లేన్ యొక్క సాపేక్ష బంధువు తరువాతి సంవత్సరం ప్రారంభంలో విమానంలో వివరంగా నివేదించాడు. ఫ్లైట్ దీనిని ""మా జ్ఞానం మేరకు, నిర్మించిన మొట్టమొదటి విజయవంతమైన హైడ్రో-ట్రిప్లేన్"" గా అభివర్ణిం"&amp;"చింది. , ఎగువ వింగ్స్పాన్ 14 మీ (45 అడుగులు 11 అంగుళాలు) తో. దాని రెక్కలన్నీ తప్పనిసరిగా దీర్ఘచతురస్రాకార ప్రణాళికను కలిగి ఉన్నాయి, అయితే వెనుకంజలో ఉన్న అంచు కటౌట్‌లు ఉన్నాయి. దిగువ రెండు రెక్కలు వరుసగా 2 మీ (6 అడుగుల 7 అంగుళాలు) తక్కువగా ఉన్నాయి. ఎగువ జత"&amp;" మూడు బే నిర్మాణాన్ని ఏర్పడింది, జత సమాంతర ఇంటర్‌ప్లేన్ స్ట్రట్‌లు మరియు అప్పర్ వింగ్ ఓవర్‌హాంగ్‌లు బాహ్యంగా లీనింగ్ సమాంతర జతలచే మద్దతు ఇస్తున్నాయి. సెంట్రల్ మరియు దిగువ రెక్కలు ఇలాంటి కానీ రెండు బే నిర్మాణాన్ని ఏర్పరుస్తాయి. బలమైన అస్థిరత ఉంది, ఇంటర్‌ప్"&amp;"లేన్ స్ట్రట్‌లతో సుమారు 30 at వద్ద రెక్క సాధారణం. గ్నోమ్ ఇంజిన్ సెంట్రల్ వింగ్ పైన, మౌంట్, అన్‌కౌల్డ్ మరియు పషర్ కాన్ఫిగరేషన్‌లో ఉంది. అస్థిరత కారణంగా ఇంజిన్ స్ప్రే నుండి దిగువ రెక్క ద్వారా కవచం చేయబడింది. ఎగువ మరియు దిగువ రెక్కలపై ఐలెరన్లు ఉన్నాయి. [2] ద"&amp;"ిగువ రెక్కలు ఫ్లాట్ బాటమ్డ్, సింగిల్-స్టెప్డ్ హల్ పైభాగంలో ఫ్లాట్ వైపులా అమర్చబడ్డాయి, ఇది వెనుక వైపు ప్రొఫైల్‌లో దెబ్బతింది. ముక్కు నుండి సెంటర్ వింగ్ లీడింగ్ ఎడ్జ్ వరకు ఒక జత స్ట్రట్స్ ద్వారా రెక్కలు మరింత పొట్టుకు కట్టుబడి ఉన్నాయి. ముక్కు కూడా పైలట్ యొ"&amp;"క్క డెక్కింగ్ రక్షించడాన్ని పెంచింది, అతను ఓపెన్ కాక్‌పిట్ ముందు భాగంలో అతని వెనుక ప్రయాణీకుల సీటుతో కూర్చున్నాడు. [2] హైడ్రో-ట్రిప్లేన్ యొక్క సామ్రాజ్యం ఒక జత లాటిస్ గిర్డర్లపై మద్దతు ఇచ్చింది, ప్రణాళికలో సమాంతరంగా మరియు ప్రతి ఒక్కటి లోపలి భాగంలో నిర్మిం"&amp;"చిన ఒక క్షితిజ సమాంతర సభ్యుడి నుండి లోపలి ఇంటర్‌ప్లేన్ స్ట్రట్స్ పైభాగంలో ఉన్న ఎగువ వింగ్‌కు మరియు దాని క్రింద ఉన్న సభ్యుడు దిగువ నుండి పైకి వాలుగా తోక వద్ద ఎగువ భాగాన్ని కలవడానికి వింగ్. మూడు వాలుగా ఉన్న క్రాస్ కలుపులు ప్రతి గిర్డర్‌ను పూర్తి చేశాయి. ఎలి"&amp;"వేటర్లతో అమర్చిన దీర్ఘచతురస్రాకార టెయిల్‌ప్లేన్, గిర్డర్‌ల చివర్లలో ఉంచబడింది, దాని ప్రముఖ అంచు ఒక కేంద్ర, నిలువు స్ట్రట్ చేత పొట్టుకు చేరుకుంది, ఇది ఎగువ మరియు దిగువ వాలుగా ఉన్న స్ట్రట్‌లపై పొట్టుకు మించి చుక్కాని పోస్ట్‌కు మద్దతు ఇచ్చింది. ట్రాపెజోయిడల్"&amp;" చుక్కాని క్షితిజ సమాంతర తోకకు కొంచెం విస్తరించింది, దాని కదలికను ఉంచడానికి లోతైన V- ఆకారపు కటౌట్ ఉంది. [2] ఐలర్ హైడ్రో-ట్రిప్లేన్ నిజమైన ఉభయచరాలు, ఎగువ మరియు దిగువ జతల స్ట్రట్‌లపై జంట మెయిన్‌వీల్స్‌తో కూడిన నిజమైన ఉభయచరాలు, పూర్వ రబ్బరు మొలకెత్తారు. గ్రౌ"&amp;"ండ్ క్లియరెన్స్ తక్కువగా ఉంది. చక్రాలను పైలట్ ఒక భూమిపై నీటి విమానంలో ప్రయాణించవచ్చు మరియు రివర్స్ ప్రయాణం చివరిలో తగ్గించవచ్చు. [2] ఐలర్ హైడ్రో-ట్రిప్లేన్ ""విజయవంతమైనది"" అని ఫ్లైట్ యొక్క వర్ణన జనవరి 1914 నాటికి ఎగిరిపోయిందని సూచిస్తుంది. ఆ పత్రికలో 191"&amp;"4 అక్టోబర్ వరకు, మొదటి ప్రపంచ యుద్ధం ప్రారంభమైన తరువాత, అది వాటిలో ఉన్నప్పుడు మళ్ళీ ప్రస్తావించబడలేదు. ""మేడ్ ఇన్ జర్మనీ"" విమానం మిత్రదేశాలకు వ్యతిరేకంగా ఉపయోగించబడుతుంది; [3] ఇది ఎప్పుడూ ఆయుధాలు కలిగి ఉందని సూచనలు లేవు. ఫ్లైట్ నుండి డేటా 24 జనవరి 1914 p"&amp;".95 [2] సాధారణ లక్షణాలు")</f>
        <v>ఐలర్ హైడ్రో-ట్రిప్లేన్ ఒక అసాధారణమైన పషర్ కాన్ఫిగరేషన్ ఉభయచర ట్రిప్లేన్ ఫ్లయింగ్ బోట్, ఇది 1913 లో జర్మనీలో నిర్మించబడింది. ఫ్రెంచ్ పత్రిక యొక్క ఏప్రిల్ 1913 లో ఎల్'అరోఫైల్ యొక్క సంచికలో ఒక యులర్ ట్రిప్లేన్ సీక్‌ప్లేన్ కు క్లుప్త, అసంబద్ధమైన సూచన [1] ఉంది, ఇది శక్తితో ఉంది 70 హెచ్‌పి (52 కిలోవాట్ల) గ్నోమ్ ఇంజిన్, హైడ్రో-ట్రిప్లేన్ యొక్క సాపేక్ష బంధువు తరువాతి సంవత్సరం ప్రారంభంలో విమానంలో వివరంగా నివేదించాడు. ఫ్లైట్ దీనిని "మా జ్ఞానం మేరకు, నిర్మించిన మొట్టమొదటి విజయవంతమైన హైడ్రో-ట్రిప్లేన్" గా అభివర్ణించింది. , ఎగువ వింగ్స్పాన్ 14 మీ (45 అడుగులు 11 అంగుళాలు) తో. దాని రెక్కలన్నీ తప్పనిసరిగా దీర్ఘచతురస్రాకార ప్రణాళికను కలిగి ఉన్నాయి, అయితే వెనుకంజలో ఉన్న అంచు కటౌట్‌లు ఉన్నాయి. దిగువ రెండు రెక్కలు వరుసగా 2 మీ (6 అడుగుల 7 అంగుళాలు) తక్కువగా ఉన్నాయి. ఎగువ జత మూడు బే నిర్మాణాన్ని ఏర్పడింది, జత సమాంతర ఇంటర్‌ప్లేన్ స్ట్రట్‌లు మరియు అప్పర్ వింగ్ ఓవర్‌హాంగ్‌లు బాహ్యంగా లీనింగ్ సమాంతర జతలచే మద్దతు ఇస్తున్నాయి. సెంట్రల్ మరియు దిగువ రెక్కలు ఇలాంటి కానీ రెండు బే నిర్మాణాన్ని ఏర్పరుస్తాయి. బలమైన అస్థిరత ఉంది, ఇంటర్‌ప్లేన్ స్ట్రట్‌లతో సుమారు 30 at వద్ద రెక్క సాధారణం. గ్నోమ్ ఇంజిన్ సెంట్రల్ వింగ్ పైన, మౌంట్, అన్‌కౌల్డ్ మరియు పషర్ కాన్ఫిగరేషన్‌లో ఉంది. అస్థిరత కారణంగా ఇంజిన్ స్ప్రే నుండి దిగువ రెక్క ద్వారా కవచం చేయబడింది. ఎగువ మరియు దిగువ రెక్కలపై ఐలెరన్లు ఉన్నాయి. [2] దిగువ రెక్కలు ఫ్లాట్ బాటమ్డ్, సింగిల్-స్టెప్డ్ హల్ పైభాగంలో ఫ్లాట్ వైపులా అమర్చబడ్డాయి, ఇది వెనుక వైపు ప్రొఫైల్‌లో దెబ్బతింది. ముక్కు నుండి సెంటర్ వింగ్ లీడింగ్ ఎడ్జ్ వరకు ఒక జత స్ట్రట్స్ ద్వారా రెక్కలు మరింత పొట్టుకు కట్టుబడి ఉన్నాయి. ముక్కు కూడా పైలట్ యొక్క డెక్కింగ్ రక్షించడాన్ని పెంచింది, అతను ఓపెన్ కాక్‌పిట్ ముందు భాగంలో అతని వెనుక ప్రయాణీకుల సీటుతో కూర్చున్నాడు. [2] హైడ్రో-ట్రిప్లేన్ యొక్క సామ్రాజ్యం ఒక జత లాటిస్ గిర్డర్లపై మద్దతు ఇచ్చింది, ప్రణాళికలో సమాంతరంగా మరియు ప్రతి ఒక్కటి లోపలి భాగంలో నిర్మించిన ఒక క్షితిజ సమాంతర సభ్యుడి నుండి లోపలి ఇంటర్‌ప్లేన్ స్ట్రట్స్ పైభాగంలో ఉన్న ఎగువ వింగ్‌కు మరియు దాని క్రింద ఉన్న సభ్యుడు దిగువ నుండి పైకి వాలుగా తోక వద్ద ఎగువ భాగాన్ని కలవడానికి వింగ్. మూడు వాలుగా ఉన్న క్రాస్ కలుపులు ప్రతి గిర్డర్‌ను పూర్తి చేశాయి. ఎలివేటర్లతో అమర్చిన దీర్ఘచతురస్రాకార టెయిల్‌ప్లేన్, గిర్డర్‌ల చివర్లలో ఉంచబడింది, దాని ప్రముఖ అంచు ఒక కేంద్ర, నిలువు స్ట్రట్ చేత పొట్టుకు చేరుకుంది, ఇది ఎగువ మరియు దిగువ వాలుగా ఉన్న స్ట్రట్‌లపై పొట్టుకు మించి చుక్కాని పోస్ట్‌కు మద్దతు ఇచ్చింది. ట్రాపెజోయిడల్ చుక్కాని క్షితిజ సమాంతర తోకకు కొంచెం విస్తరించింది, దాని కదలికను ఉంచడానికి లోతైన V- ఆకారపు కటౌట్ ఉంది. [2] ఐలర్ హైడ్రో-ట్రిప్లేన్ నిజమైన ఉభయచరాలు, ఎగువ మరియు దిగువ జతల స్ట్రట్‌లపై జంట మెయిన్‌వీల్స్‌తో కూడిన నిజమైన ఉభయచరాలు, పూర్వ రబ్బరు మొలకెత్తారు. గ్రౌండ్ క్లియరెన్స్ తక్కువగా ఉంది. చక్రాలను పైలట్ ఒక భూమిపై నీటి విమానంలో ప్రయాణించవచ్చు మరియు రివర్స్ ప్రయాణం చివరిలో తగ్గించవచ్చు. [2] ఐలర్ హైడ్రో-ట్రిప్లేన్ "విజయవంతమైనది" అని ఫ్లైట్ యొక్క వర్ణన జనవరి 1914 నాటికి ఎగిరిపోయిందని సూచిస్తుంది. ఆ పత్రికలో 1914 అక్టోబర్ వరకు, మొదటి ప్రపంచ యుద్ధం ప్రారంభమైన తరువాత, అది వాటిలో ఉన్నప్పుడు మళ్ళీ ప్రస్తావించబడలేదు. "మేడ్ ఇన్ జర్మనీ" విమానం మిత్రదేశాలకు వ్యతిరేకంగా ఉపయోగించబడుతుంది; [3] ఇది ఎప్పుడూ ఆయుధాలు కలిగి ఉందని సూచనలు లేవు. ఫ్లైట్ నుండి డేటా 24 జనవరి 1914 p.95 [2] సాధారణ లక్షణాలు</v>
      </c>
      <c r="E79" s="1" t="s">
        <v>1475</v>
      </c>
      <c r="F79" s="1" t="s">
        <v>1476</v>
      </c>
      <c r="G79" s="1" t="str">
        <f>IFERROR(__xludf.DUMMYFUNCTION("GOOGLETRANSLATE(F:F, ""en"", ""te"")"),"ఉభయచర ట్రిప్లేన్ ఫ్లయింగ్ బోట్")</f>
        <v>ఉభయచర ట్రిప్లేన్ ఫ్లయింగ్ బోట్</v>
      </c>
      <c r="H79" s="1" t="s">
        <v>1477</v>
      </c>
      <c r="I79" s="1" t="s">
        <v>1478</v>
      </c>
      <c r="J79" s="1" t="str">
        <f>IFERROR(__xludf.DUMMYFUNCTION("GOOGLETRANSLATE(I:I, ""en"", ""te"")"),"ఐలర్-వెర్కే")</f>
        <v>ఐలర్-వెర్కే</v>
      </c>
      <c r="K79" s="4" t="s">
        <v>1479</v>
      </c>
      <c r="L79" s="1" t="s">
        <v>1480</v>
      </c>
      <c r="M79" s="2" t="str">
        <f>IFERROR(__xludf.DUMMYFUNCTION("GOOGLETRANSLATE(L:L, ""en"", ""te"")"),"ఆగస్టు ఐలర్")</f>
        <v>ఆగస్టు ఐలర్</v>
      </c>
      <c r="N79" s="1" t="s">
        <v>1481</v>
      </c>
      <c r="O79" s="1">
        <v>1.0</v>
      </c>
      <c r="R79" s="1" t="s">
        <v>1138</v>
      </c>
      <c r="T79" s="1" t="s">
        <v>1482</v>
      </c>
      <c r="Z79" s="1" t="s">
        <v>1483</v>
      </c>
      <c r="AF79" s="1" t="s">
        <v>335</v>
      </c>
      <c r="AG79" s="4" t="s">
        <v>336</v>
      </c>
      <c r="AR79" s="1" t="s">
        <v>372</v>
      </c>
      <c r="BA79" s="1" t="s">
        <v>1484</v>
      </c>
      <c r="BB79" s="1" t="s">
        <v>716</v>
      </c>
      <c r="CL79" s="1" t="s">
        <v>457</v>
      </c>
    </row>
    <row r="80">
      <c r="A80" s="1" t="s">
        <v>1410</v>
      </c>
      <c r="B80" s="1" t="str">
        <f>IFERROR(__xludf.DUMMYFUNCTION("GOOGLETRANSLATE(A:A, ""en"", ""te"")"),"కాడ్రాన్ C.39")</f>
        <v>కాడ్రాన్ C.39</v>
      </c>
      <c r="C80" s="1" t="s">
        <v>1485</v>
      </c>
      <c r="D80" s="2" t="str">
        <f>IFERROR(__xludf.DUMMYFUNCTION("GOOGLETRANSLATE(C:C, ""en"", ""te"")"),"కాడ్రాన్ C.39 ఒక ఫ్రెంచ్ మూడు-ఇంజిన్ బిప్‌లేన్, ఆరుగురు ప్రయాణికులకు క్యాబిన్ ఉంది, ఈ విమానం ల్యాండ్‌ప్లేన్‌గా లేదా ఫ్లోట్స్‌లో ఉన్నప్పుడు నలుగురు ప్రయాణీకులుగా అమర్చారు. ఇది 1920 మరియు 1921 లలో పోటీలలో కొంత విజయంతో ఎగురవేయబడింది. 1919 మరియు 1922 మధ్య, కా"&amp;"డ్రాన్ సారూప్య రూపకల్పన యొక్క బహుళ ఇంజిన్ సివిల్ ప్యాసింజర్ ట్రాన్స్పోర్ట్ బైప్లేన్ల శ్రేణిని నిర్మించింది, కానీ పెరుగుతున్న పరిమాణం మరియు ఇంజిన్ శక్తి, c.33, c.37, సి .39, c.43 మరియు c.61. [1] C.39 మరియు C.43 అదే ఎయిర్‌ఫ్రేమ్‌ను పంచుకున్నాయి, కాని వరుసగా"&amp;" మూడు మరియు ఐదు ఇంజన్లు ఉన్నాయి. [2] C.39 అనేది మూడు-బే బైప్‌లేన్, ఇది ఫాబ్రిక్-కప్పబడిన, దీర్ఘచతురస్రాకార-ప్లాన్ రెక్కలతో అస్థిరంగా ఉంటుంది. దిగువ వింగ్ ఇంజిన్ల డైహెడ్రల్ అవుట్‌బోర్డ్‌ను కలిగి ఉంది; ఇది ఎగువ కంటే చిన్న వ్యవధిని కలిగి ఉంది, ఇది ఐలెరాన్‌లన"&amp;"ు కలిగి ఉంది, చిట్కాలకు మించి పొడిగింపులను అధిగమించడం ద్వారా ఏరోడైనమిక్‌గా సమతుల్యం. రెక్కలు నిలువు జతల ఇంటర్‌ప్లేన్ స్ట్రట్‌లతో చేరారు, ఫార్వర్డ్ సభ్యులు ప్రముఖ అంచుల దగ్గర జతచేయబడ్డారు, మరియు సెంటర్ విభాగానికి ఎగువ ఫ్యూజ్‌లేజ్ నుండి ఇలాంటి, తక్కువ క్యాబ"&amp;"న్ స్ట్రట్‌లు మద్దతు ఇచ్చాయి. లోపలి బేను రెండు దగ్గరి జతల లీనింగ్ ఇంటర్‌ప్లేన్ స్ట్రట్‌ల ద్వారా నిర్వచించారు, 97 కిలోవాట్ల (130 హెచ్‌పి) క్లెగెట్ 9 బి తొమ్మిది సిలిండర్ రోటరీ ఇంజన్లు రెక్కల మధ్య సగం వరకు ఉన్నాయి. ప్రతి రెక్క-మౌంటెడ్ ఇంజిన్ పొడవైన, స్థూపాక"&amp;"ార కౌలింగ్‌లో ఉంది, వెనుక భాగంలో తెరిచి ఉంది. [3] [4] మూడవ ఇంజిన్, మరొక కౌల్డ్ మతాధికారి 9, ముక్కులో ఉంది; దాని వెనుక ఫ్యూజ్‌లేజ్‌లో చదరపు విభాగం ఉంది. పైలట్ మరియు ఇంజనీర్ దాని విండ్‌స్క్రీన్‌తో ఓపెన్ కాక్‌పిట్‌ను వింగ్ లీడింగ్ ఎడ్జ్ కింద వెంటనే కలిగి ఉన్"&amp;"నారు. [3] ప్రయాణీకుల క్యాబిన్, 2.40 మీ (7 అడుగుల 10 అంగుళాలు) పొడవు, 1.30 మీ (4 అడుగుల 3 అంగుళాలు) వెడల్పు మరియు 1.45 మీ (4 అడుగులు 9 అంగుళాలు) ఎత్తు, ప్రతి వైపు ఆరు చిన్న కిటికీల ద్వారా వెలిగిపోయారు మరియు స్టార్‌బోర్డ్ ద్వారా యాక్సెస్ చేయబడింది- సైడ్ డోర"&amp;"్. రెక్కల వెనుక ఫ్యూజ్‌లేజ్ విస్తృత, త్రిభుజాకార ఫిన్‌కు మెల్లగా దెబ్బతింది, ఇది నిలువు-అంచుగల అసమతుల్య చుక్కానిని తీసుకువెళ్ళింది, అది కీల్‌కు చేరుకుంది. ఫాబ్రిక్-కప్పబడిన టెయిల్‌ప్లేన్ కోణాల చిట్కాలతో నేరుగా ప్రముఖ అంచుని కలిగి ఉంది మరియు ఫ్యూజ్‌లేజ్ పై"&amp;"న అమర్చబడింది, తద్వారా దాని ఎలివేటర్లు చుక్కాని కదలికకు ఒక గీతను కలిగి ఉన్నాయి. [3] [4] ల్యాండ్‌ప్లేన్ కాన్ఫిగరేషన్‌లో C.39 లో స్థిర టెయిల్‌స్కిడ్ అండర్ క్యారేజ్ ఉంది. చిన్న, ఫార్వర్డ్-ర్యాక్డ్ వి-స్ట్రట్స్‌లో ప్రతి చివర ఇంజిన్ కింద ఉన్న ఒక రేఖాంశ బార్‌కు"&amp;" వాటి మధ్యలో జతచేయబడిన సింగిల్ ఇరుసులపై ప్రధాన చక్రాల జతలు ఉన్నాయి. ముక్కు-ఓవర్లను నివారించడానికి, ముక్కు కింద ఐదవ చక్రం అమర్చబడింది. చక్రాలను ఫ్లాట్-బాటమ్డ్ ఫ్లోట్ల ద్వారా భర్తీ చేయవచ్చు, ప్రతి ఒక్కటి రెండు జతల విలోమ W- స్ట్రట్‌ల ద్వారా ఫ్యూజ్‌లేజ్‌కు పర"&amp;"ిష్కరించబడుతుంది, ఫ్లోట్ యొక్క ప్రతి వైపు ఒకటి, లోపలి అంచు నుండి వింగ్ రూట్ వరకు విలోమ V- స్ట్రట్ ద్వారా సహాయపడుతుంది. ఫ్లోట్‌ప్లేన్ కాన్ఫిగరేషన్‌లో C.43 నీటిపై SAT స్థాయి ఉన్నప్పటికీ, టేక్-ఆఫ్ వద్ద తోకను రక్షించడానికి టెయిల్‌స్కిడ్ ఒక చిన్న, స్థూపాకార ఫ్"&amp;"లోట్ ద్వారా చేరింది. కాన్ఫిగరేషన్‌లో అండర్ క్యారేజ్ ట్రాక్ 5.0 మీ (16 అడుగుల 5 అంగుళాలు). [3] [4] ల్యాండ్‌ప్లేన్ కాన్ఫిగరేషన్‌లో తయారు చేయబడిన మొదటి విమాన తేదీ తేదీ, [3] తెలియదు. 1920 వసంతకాలం నాటికి ఇది ఫ్లోట్స్‌తో ఎగురుతోంది, ఎందుకంటే ఇది సి .33, సి. . "&amp;"[[ పోటీ సమయంలో మాకాన్ దానిని మొనాకో నుండి అజాసియోకు మరియు 8 గంటలు 10 నిమిషాల్లోకి ఎగిరింది, [3] కానీ C.39 లో పాల్గొనే ఇతర పౌర విమానాల మాదిరిగానే తొలగించబడింది. [2] C.39 మరుసటి సంవత్సరం ఏప్రిల్‌లో అదే పోటీకి తిరిగి వచ్చింది మరియు మరింత విజయవంతమైంది. మాకాన్"&amp;" చేత మళ్ళీ వినిపించిన ఇది 1920 లో దాదాపు అదే సమయంలో 492 కిమీ (306 మైళ్ళు) మొనాకో-అజాకో-మోనాకో సర్క్యూట్లో మొదటి బహుమతిని గెలుచుకుంది. ఇది తక్కువ మొనాకో-కాన్స్-సాన్ రెమో మరియు రిటర్న్ కోర్సుపై కూడా గెలిచింది, ఈ సమయంలో ఇది 200 కిలోల (440 ఎల్బి) బ్యాలస్ట్ మో"&amp;"స్తున్న 45 నిమిషాల్లో 2,000 మీ (6,560 అడుగులు) ఎత్తుకు చేరుకుంది. [3] [5] స్పీడ్ ట్రయల్‌లో వారి ప్రయత్నం అగ్నిప్రమాదంతో తగ్గించబడింది. కాక్‌పిట్లో పొగతో మాకాన్ నియంత్రణ కోల్పోయి, సెయింట్-రాఫాల్ సమీపంలో సముద్రంలోకి వచ్చింది. ఎవరూ గాయపడలేదు మరియు C.39 ను తీ"&amp;"వ్రంగా దెబ్బతీసినప్పటికీ. [3] [6] జూన్ 1921 నాటికి ఇది మళ్ళీ ల్యాండ్‌ప్లేన్ మరియు గ్రాండ్ ప్రిక్స్ డి'అరో-క్లబ్ డి ఫ్రాన్స్‌లో పోటీ పడింది. పైలట్ మాకాన్ మరియు ఫ్లైట్ ఇంజనీర్ కోర్సీ ఇంజిన్ సమస్యతో బోర్డియక్స్ సమీపంలో దిగవలసి వచ్చింది. అది మరమ్మతులు చేయబడిన"&amp;" తరువాత, పొడవైన గడ్డి వారి టేకాఫ్‌ను నిరోధించింది మరియు వారు పదవీ విరమణ చేశారు, అయినప్పటికీ ఎల్'అరోఫైల్ ""అద్భుతమైన అరంగేట్రం"" గా అభివర్ణించిన తరువాత మాత్రమే. [7] [8] ఎల్'అఫిల్ 29 (సప్లిమెంట్), జూన్ 1924, పి.ఎక్స్విఐఐ [4] సాధారణ లక్షణాల పనితీరు నుండి డేట"&amp;"ా")</f>
        <v>కాడ్రాన్ C.39 ఒక ఫ్రెంచ్ మూడు-ఇంజిన్ బిప్‌లేన్, ఆరుగురు ప్రయాణికులకు క్యాబిన్ ఉంది, ఈ విమానం ల్యాండ్‌ప్లేన్‌గా లేదా ఫ్లోట్స్‌లో ఉన్నప్పుడు నలుగురు ప్రయాణీకులుగా అమర్చారు. ఇది 1920 మరియు 1921 లలో పోటీలలో కొంత విజయంతో ఎగురవేయబడింది. 1919 మరియు 1922 మధ్య, కాడ్రాన్ సారూప్య రూపకల్పన యొక్క బహుళ ఇంజిన్ సివిల్ ప్యాసింజర్ ట్రాన్స్పోర్ట్ బైప్లేన్ల శ్రేణిని నిర్మించింది, కానీ పెరుగుతున్న పరిమాణం మరియు ఇంజిన్ శక్తి, c.33, c.37, సి .39, c.43 మరియు c.61. [1] C.39 మరియు C.43 అదే ఎయిర్‌ఫ్రేమ్‌ను పంచుకున్నాయి, కాని వరుసగా మూడు మరియు ఐదు ఇంజన్లు ఉన్నాయి. [2] C.39 అనేది మూడు-బే బైప్‌లేన్, ఇది ఫాబ్రిక్-కప్పబడిన, దీర్ఘచతురస్రాకార-ప్లాన్ రెక్కలతో అస్థిరంగా ఉంటుంది. దిగువ వింగ్ ఇంజిన్ల డైహెడ్రల్ అవుట్‌బోర్డ్‌ను కలిగి ఉంది; ఇది ఎగువ కంటే చిన్న వ్యవధిని కలిగి ఉంది, ఇది ఐలెరాన్‌లను కలిగి ఉంది, చిట్కాలకు మించి పొడిగింపులను అధిగమించడం ద్వారా ఏరోడైనమిక్‌గా సమతుల్యం. రెక్కలు నిలువు జతల ఇంటర్‌ప్లేన్ స్ట్రట్‌లతో చేరారు, ఫార్వర్డ్ సభ్యులు ప్రముఖ అంచుల దగ్గర జతచేయబడ్డారు, మరియు సెంటర్ విభాగానికి ఎగువ ఫ్యూజ్‌లేజ్ నుండి ఇలాంటి, తక్కువ క్యాబన్ స్ట్రట్‌లు మద్దతు ఇచ్చాయి. లోపలి బేను రెండు దగ్గరి జతల లీనింగ్ ఇంటర్‌ప్లేన్ స్ట్రట్‌ల ద్వారా నిర్వచించారు, 97 కిలోవాట్ల (130 హెచ్‌పి) క్లెగెట్ 9 బి తొమ్మిది సిలిండర్ రోటరీ ఇంజన్లు రెక్కల మధ్య సగం వరకు ఉన్నాయి. ప్రతి రెక్క-మౌంటెడ్ ఇంజిన్ పొడవైన, స్థూపాకార కౌలింగ్‌లో ఉంది, వెనుక భాగంలో తెరిచి ఉంది. [3] [4] మూడవ ఇంజిన్, మరొక కౌల్డ్ మతాధికారి 9, ముక్కులో ఉంది; దాని వెనుక ఫ్యూజ్‌లేజ్‌లో చదరపు విభాగం ఉంది. పైలట్ మరియు ఇంజనీర్ దాని విండ్‌స్క్రీన్‌తో ఓపెన్ కాక్‌పిట్‌ను వింగ్ లీడింగ్ ఎడ్జ్ కింద వెంటనే కలిగి ఉన్నారు. [3] ప్రయాణీకుల క్యాబిన్, 2.40 మీ (7 అడుగుల 10 అంగుళాలు) పొడవు, 1.30 మీ (4 అడుగుల 3 అంగుళాలు) వెడల్పు మరియు 1.45 మీ (4 అడుగులు 9 అంగుళాలు) ఎత్తు, ప్రతి వైపు ఆరు చిన్న కిటికీల ద్వారా వెలిగిపోయారు మరియు స్టార్‌బోర్డ్ ద్వారా యాక్సెస్ చేయబడింది- సైడ్ డోర్. రెక్కల వెనుక ఫ్యూజ్‌లేజ్ విస్తృత, త్రిభుజాకార ఫిన్‌కు మెల్లగా దెబ్బతింది, ఇది నిలువు-అంచుగల అసమతుల్య చుక్కానిని తీసుకువెళ్ళింది, అది కీల్‌కు చేరుకుంది. ఫాబ్రిక్-కప్పబడిన టెయిల్‌ప్లేన్ కోణాల చిట్కాలతో నేరుగా ప్రముఖ అంచుని కలిగి ఉంది మరియు ఫ్యూజ్‌లేజ్ పైన అమర్చబడింది, తద్వారా దాని ఎలివేటర్లు చుక్కాని కదలికకు ఒక గీతను కలిగి ఉన్నాయి. [3] [4] ల్యాండ్‌ప్లేన్ కాన్ఫిగరేషన్‌లో C.39 లో స్థిర టెయిల్‌స్కిడ్ అండర్ క్యారేజ్ ఉంది. చిన్న, ఫార్వర్డ్-ర్యాక్డ్ వి-స్ట్రట్స్‌లో ప్రతి చివర ఇంజిన్ కింద ఉన్న ఒక రేఖాంశ బార్‌కు వాటి మధ్యలో జతచేయబడిన సింగిల్ ఇరుసులపై ప్రధాన చక్రాల జతలు ఉన్నాయి. ముక్కు-ఓవర్లను నివారించడానికి, ముక్కు కింద ఐదవ చక్రం అమర్చబడింది. చక్రాలను ఫ్లాట్-బాటమ్డ్ ఫ్లోట్ల ద్వారా భర్తీ చేయవచ్చు, ప్రతి ఒక్కటి రెండు జతల విలోమ W- స్ట్రట్‌ల ద్వారా ఫ్యూజ్‌లేజ్‌కు పరిష్కరించబడుతుంది, ఫ్లోట్ యొక్క ప్రతి వైపు ఒకటి, లోపలి అంచు నుండి వింగ్ రూట్ వరకు విలోమ V- స్ట్రట్ ద్వారా సహాయపడుతుంది. ఫ్లోట్‌ప్లేన్ కాన్ఫిగరేషన్‌లో C.43 నీటిపై SAT స్థాయి ఉన్నప్పటికీ, టేక్-ఆఫ్ వద్ద తోకను రక్షించడానికి టెయిల్‌స్కిడ్ ఒక చిన్న, స్థూపాకార ఫ్లోట్ ద్వారా చేరింది. కాన్ఫిగరేషన్‌లో అండర్ క్యారేజ్ ట్రాక్ 5.0 మీ (16 అడుగుల 5 అంగుళాలు). [3] [4] ల్యాండ్‌ప్లేన్ కాన్ఫిగరేషన్‌లో తయారు చేయబడిన మొదటి విమాన తేదీ తేదీ, [3] తెలియదు. 1920 వసంతకాలం నాటికి ఇది ఫ్లోట్స్‌తో ఎగురుతోంది, ఎందుకంటే ఇది సి .33, సి. . [[ పోటీ సమయంలో మాకాన్ దానిని మొనాకో నుండి అజాసియోకు మరియు 8 గంటలు 10 నిమిషాల్లోకి ఎగిరింది, [3] కానీ C.39 లో పాల్గొనే ఇతర పౌర విమానాల మాదిరిగానే తొలగించబడింది. [2] C.39 మరుసటి సంవత్సరం ఏప్రిల్‌లో అదే పోటీకి తిరిగి వచ్చింది మరియు మరింత విజయవంతమైంది. మాకాన్ చేత మళ్ళీ వినిపించిన ఇది 1920 లో దాదాపు అదే సమయంలో 492 కిమీ (306 మైళ్ళు) మొనాకో-అజాకో-మోనాకో సర్క్యూట్లో మొదటి బహుమతిని గెలుచుకుంది. ఇది తక్కువ మొనాకో-కాన్స్-సాన్ రెమో మరియు రిటర్న్ కోర్సుపై కూడా గెలిచింది, ఈ సమయంలో ఇది 200 కిలోల (440 ఎల్బి) బ్యాలస్ట్ మోస్తున్న 45 నిమిషాల్లో 2,000 మీ (6,560 అడుగులు) ఎత్తుకు చేరుకుంది. [3] [5] స్పీడ్ ట్రయల్‌లో వారి ప్రయత్నం అగ్నిప్రమాదంతో తగ్గించబడింది. కాక్‌పిట్లో పొగతో మాకాన్ నియంత్రణ కోల్పోయి, సెయింట్-రాఫాల్ సమీపంలో సముద్రంలోకి వచ్చింది. ఎవరూ గాయపడలేదు మరియు C.39 ను తీవ్రంగా దెబ్బతీసినప్పటికీ. [3] [6] జూన్ 1921 నాటికి ఇది మళ్ళీ ల్యాండ్‌ప్లేన్ మరియు గ్రాండ్ ప్రిక్స్ డి'అరో-క్లబ్ డి ఫ్రాన్స్‌లో పోటీ పడింది. పైలట్ మాకాన్ మరియు ఫ్లైట్ ఇంజనీర్ కోర్సీ ఇంజిన్ సమస్యతో బోర్డియక్స్ సమీపంలో దిగవలసి వచ్చింది. అది మరమ్మతులు చేయబడిన తరువాత, పొడవైన గడ్డి వారి టేకాఫ్‌ను నిరోధించింది మరియు వారు పదవీ విరమణ చేశారు, అయినప్పటికీ ఎల్'అరోఫైల్ "అద్భుతమైన అరంగేట్రం" గా అభివర్ణించిన తరువాత మాత్రమే. [7] [8] ఎల్'అఫిల్ 29 (సప్లిమెంట్), జూన్ 1924, పి.ఎక్స్విఐఐ [4] సాధారణ లక్షణాల పనితీరు నుండి డేటా</v>
      </c>
      <c r="E80" s="1" t="s">
        <v>1486</v>
      </c>
      <c r="F80" s="1" t="s">
        <v>1487</v>
      </c>
      <c r="G80" s="1" t="str">
        <f>IFERROR(__xludf.DUMMYFUNCTION("GOOGLETRANSLATE(F:F, ""en"", ""te"")"),"విమానాల")</f>
        <v>విమానాల</v>
      </c>
      <c r="H80" s="4" t="s">
        <v>1488</v>
      </c>
      <c r="I80" s="1" t="s">
        <v>1200</v>
      </c>
      <c r="J80" s="1" t="str">
        <f>IFERROR(__xludf.DUMMYFUNCTION("GOOGLETRANSLATE(I:I, ""en"", ""te"")"),"కాడ్రాన్")</f>
        <v>కాడ్రాన్</v>
      </c>
      <c r="K80" s="4" t="s">
        <v>1201</v>
      </c>
      <c r="L80" s="1" t="s">
        <v>1489</v>
      </c>
      <c r="M80" s="2" t="str">
        <f>IFERROR(__xludf.DUMMYFUNCTION("GOOGLETRANSLATE(L:L, ""en"", ""te"")"),"ఫిలిప్ డెవిల్లే")</f>
        <v>ఫిలిప్ డెవిల్లే</v>
      </c>
      <c r="R80" s="1" t="s">
        <v>1490</v>
      </c>
      <c r="S80" s="1" t="s">
        <v>1491</v>
      </c>
      <c r="T80" s="1" t="s">
        <v>1492</v>
      </c>
      <c r="V80" s="1" t="s">
        <v>1414</v>
      </c>
      <c r="W80" s="1" t="s">
        <v>1493</v>
      </c>
      <c r="X80" s="1" t="s">
        <v>1494</v>
      </c>
      <c r="Z80" s="1" t="s">
        <v>1495</v>
      </c>
      <c r="AF80" s="1" t="s">
        <v>465</v>
      </c>
      <c r="AG80" s="4" t="s">
        <v>466</v>
      </c>
      <c r="AH80" s="1" t="s">
        <v>261</v>
      </c>
      <c r="AI80" s="1" t="s">
        <v>1496</v>
      </c>
      <c r="AK80" s="1" t="s">
        <v>1023</v>
      </c>
      <c r="AL80" s="1" t="s">
        <v>1497</v>
      </c>
      <c r="AO80" s="1">
        <v>1920.0</v>
      </c>
      <c r="AR80" s="1" t="s">
        <v>1498</v>
      </c>
      <c r="AV80" s="1" t="s">
        <v>1499</v>
      </c>
      <c r="BA80" s="1" t="s">
        <v>1413</v>
      </c>
      <c r="BB80" s="1" t="s">
        <v>1500</v>
      </c>
      <c r="BD80" s="1" t="s">
        <v>1501</v>
      </c>
      <c r="CI80" s="1" t="s">
        <v>1023</v>
      </c>
    </row>
    <row r="81">
      <c r="A81" s="1" t="s">
        <v>1502</v>
      </c>
      <c r="B81" s="1" t="str">
        <f>IFERROR(__xludf.DUMMYFUNCTION("GOOGLETRANSLATE(A:A, ""en"", ""te"")"),"కాడ్రాన్ రకం d")</f>
        <v>కాడ్రాన్ రకం d</v>
      </c>
      <c r="C81" s="1" t="s">
        <v>1503</v>
      </c>
      <c r="D81" s="2" t="str">
        <f>IFERROR(__xludf.DUMMYFUNCTION("GOOGLETRANSLATE(C:C, ""en"", ""te"")"),"కాడ్రాన్ రకం D ఒక ఫ్రెంచ్ ప్రీ-వరల్డ్ వార్ I సింగిల్ సీట్, ట్విన్-బూమ్ ట్రాక్టర్ బిప్‌లేన్, రెండు సీట్ల కాడ్రాన్ టైప్ సి యొక్క దగ్గరి కానీ కొంచెం చిన్న బంధువు. డజనుకు పైగా పూర్తయింది, ఒకటి యునైటెడ్ కింగ్‌డమ్‌కు ఎగుమతి చేయబడింది, అవి లైసెన్స్ నిర్మించబడి ఉ"&amp;"ండవచ్చు మరియు చైనాకు మూడు. 1911 చివరలో W.H. యు.కె.లో కాడ్రాన్ విమానాలను సరఫరా చేసే హక్కును ఎవెన్ కొనుగోలు చేశాడు మరియు ఎవెన్ ఏవియేషన్ యొక్క 1913 కేటలాగ్‌లో సింగిల్ సీట్ రకం డి టైప్ సి లేబుల్ చేసిన పేజీలో కనిపిస్తుంది; రెండోది రెండు సీటర్లు అయినప్పటికీ, రె"&amp;"ండు రకాలు దగ్గరి సంబంధం కలిగి ఉన్నట్లు కనిపిస్తాయి. రెండూ జంట బూమ్, ట్రాక్టర్ బిప్లేన్లు, ఇవి సమాన ఎగువ మరియు దిగువ స్పాన్‌లతో ప్రారంభమయ్యాయి, కాని తరువాత అవి సెస్క్విప్లేన్‌లుగా సవరించబడ్డాయి. రెండూ సింగిల్-సీటర్లు, ఇంజిన్ మరియు పైలట్ ఇంటర్‌వింగ్ నాసెల్ల"&amp;"ెలో ఉన్నాయి. సి రకానికి విరుద్ధంగా, D రకం కొంచెం చిన్నది మరియు తేలికైనది మరియు దాని ప్రారంభ నెలల్లో తక్కువ శక్తితో (26 kW (35 HP)) 3-సిలిండర్ అంజని రేడియల్ ఇంజిన్ ద్వారా శక్తినిస్తుంది. SESQUIPLANE కి సవరించిన తరువాత, రకం D యొక్క ఎగువ నుండి తక్కువ స్పాన్ "&amp;"నిష్పత్తి. రకం C. [1] కంటే చిన్నది టైప్ డి రెండు బే బైప్‌లేన్, లోపలి బేతో బయటి వెడల్పులో సగం మాత్రమే. రెండు స్పార్ ఫాబ్రిక్ కప్పబడిన రెక్కలు కోణీయ చిట్కాలతో పాటు దీర్ఘచతురస్రాకార ప్రణాళికలను కలిగి ఉన్నాయి. అస్థిరత లేదు, కాబట్టి సమాంతర ఇంటర్‌ప్లేన్ స్ట్రట్"&amp;"‌ల యొక్క రెండు సెట్లు సమాంతరంగా మరియు నిలువుగా ఉన్నాయి. సెస్క్విప్లేన్ సవరణ ద్వారా ఉత్పత్తి చేయబడిన ఎగువ వింగ్ ఓవర్‌హాంగ్ అదనపు సమాంతర జతల బాహ్య లీనింగ్ ఇంటర్‌ప్లేన్ స్ట్రట్‌ల ద్వారా మద్దతు ఇచ్చింది. వైర్ బ్రేసింగ్ నిర్మాణాన్ని పూర్తి చేసింది. వెనుక స్పార"&amp;"్ మధ్య తీగ కంటే ముందుంది, పక్కటెముకలను రెక్క యొక్క వెనుక భాగంలో వదిలివేసి, వింగ్ వార్పింగ్ ద్వారా రోల్ నియంత్రణను అనుమతిస్తుంది. [1] నాసెల్ ఒక సరళమైన, చిన్న, ఫ్లాట్ సైడెడ్ నిర్మాణం. నాసెల్లె లోపల ప్రయాణించిన మరో రెండు జతల ఇంటర్‌ప్లేన్ స్ట్రట్‌లపై దిగువ రె"&amp;"క్క పైన దీనికి మద్దతు ఉంది. అంజాని ఇంజిన్ ముందు భాగంలో అన్‌కౌల్ చేయబడింది, పైలట్ వెనుకంజలో ఉన్న అంచు కింద కూర్చున్నాడు. [1] టైప్ డి యొక్క సామ్రాజ్యం ప్రణాళికలో ఒకదానికొకటి సమాంతరంగా ఏర్పాటు చేసిన ఒక జత గిర్డర్లకు మద్దతు ఇవ్వబడింది. ఎగువ గిర్డర్ సభ్యులు లో"&amp;"పలి ఇంటర్‌ప్లేన్ స్ట్రట్‌ల పైభాగంలో ఎగువ వింగ్ స్పార్‌లకు జతచేయబడ్డారు మరియు దిగువ వాటిని దిగువ వింగ్ కింద నడిచి, లోపలి ఇంటర్‌ప్లేన్ స్ట్రట్‌ల దిగువ పొడిగింపులపై అమర్చారు. మౌంటు ప్రతి వైపు రెండు వికర్ణ స్ట్రట్‌లతో బలోపేతం చేయబడింది, ఒకటి ఫార్వర్డ్ ఇంటర్‌ప"&amp;"్లేన్ స్ట్రట్ యొక్క బేస్ నుండి దిగువ సభ్యుడి యొక్క పైకి మరియు మరొకటి వెనుక ఇంటర్‌ప్లేన్ స్ట్రట్ నుండి దిగువ సభ్యుల జంక్షన్ మరియు దాని మొదటి నిలువు క్రాస్ సభ్యుడు . ఈ దిగువ సభ్యులలో ప్రతి ఒక్కరూ, భూమిపై ఉన్న విమానానికి స్కిడ్లుగా మద్దతు ఇచ్చారు, జంట, రబ్బర"&amp;"ు మొలకెత్తిన ల్యాండింగ్ చక్రాలను తీసుకువెళ్లారు. రెక్క వెనుక ఎగువ మరియు దిగువ సభ్యులు వెనుక వైపుకు కలుస్తారు; దిగువ సభ్యులపై లాగడం ల్యాండింగ్ పరుగును తగ్గించింది. ప్రతి గిర్డర్‌లో మూడు నిలువు క్రాస్ కలుపులు ఉన్నాయి, కాని వైర్ బ్రేసింగ్ ఉన్నప్పటికీ, పార్శ్"&amp;"వ అంతర్-అమ్మాయి క్రాస్-సభ్యులు తోక దగ్గర మాత్రమే ఉన్నాయి. విస్తృత తీగ టెయిల్‌ప్లేన్ ఎగువ గిర్డర్ సభ్యునికి కొంచెం దిగువన అమర్చబడింది, దాని పైన ఒక రౌండ్-కార్నర్డ్ దీర్ఘచతురస్రాకార రడ్డర్లు. [1] డి టైప్ మొదట డిసెంబర్ 1911 లో కనిపించింది మరియు మొత్తం పదమూడుల"&amp;"ో నిర్మించబడింది. వీటిలో, ఒకటి ఇంగ్లాండ్‌లో మరియు మరో ముగ్గురు చైనాకు విక్రయించబడింది, అన్ని సెస్క్విప్లేన్లు; చైనీస్ విమానం మరింత శక్తివంతమైన 34 కిలోవాట్ (45 హెచ్‌పి) 6-సిలిండర్ అంజాని రేడియల్ ఇంజిన్‌ను కలిగి ఉంది. ఈ ఇంజిన్ మళ్ళీ అన్‌కౌల్ చేయబడింది, దాని"&amp;" లక్షణ రింగ్ ఎగ్జాస్ట్‌ను చూపిస్తుంది. ఒక విమానం, వాస్తవానికి ABIS రకం, ఒక రకం D గా సవరించబడింది, దాని 37 kW (50 HP) గ్నోమ్ ఒమేగా 7-సిలిండర్ రోటరీ ఇంజిన్‌ను చమురు-విక్షేపం చేసే కౌలింగ్‌తో ఎగువ భాగంలో, ముందు ఫ్యూజ్‌లేజ్ మీదుగా వెనుకకు విస్తరించింది. [1 1 ]"&amp;" 45 కిలోవాట్ల (60 హెచ్‌పి) ను ఉత్పత్తి చేసే పెద్ద స్థానభ్రంశం 6-సిలిండర్ అంజానితో నడిచే రకం డి పారిస్ నుండి 21 జూన్ 1912 న గిల్లాక్స్ చేత లండన్లోని మిస్టర్ రామ్సేకు పంపిణీ చేయబడింది. ఇది రెండు నాసెల్లెను కలిగి ఉంది, ఇది రెండు వక్రంగా ఉంది, కాక్‌పిట్ కంటే "&amp;"వెంటనే డెక్కింగ్‌ను పెంచింది మరియు లోపలి ఇంటర్‌ప్లేన్ స్ట్రట్‌ల మధ్య సస్పెండ్ చేయబడింది, సి. కాడ్రాన్ ఈ వెర్షన్‌ను డి 2 టైప్ అని సూచించిన రకం కాకుండా బి టైప్ బి వంటిది. 125 L (27 IMP GAL; 33 US GAL) కోసం ట్యాంకులతో దీనికి 3 గంటలు ఓర్పు ఉంది. ఫిలిప్ మార్టి"&amp;" కోసం రెండవ రకం D2 నిర్మించబడింది. [1] యుకెలో ఎవెన్ ఏవియేషన్ లేదా దాని వారసుడు బ్రిటిష్ కాడ్రాన్ లేదా నిర్మించిన ప్రత్యేక రకాలు ఎన్ని విమానాలను నిర్మించాయో తెలియదు, అయినప్పటికీ ఒకటి 30-35 హెచ్‌పి అంజాని చేత శక్తిని పొందింది మరియు ఎవెన్ యొక్క ఫ్లయింగ్ స్కూ"&amp;"ల్‌లో ఉపయోగించబడింది. చిన్న స్ట్రెయిట్ హాప్స్ చేయడానికి ఇది ఎక్కువగా ప్రారంభకులకు ఎగిరింది. [2] పనితీరు బొమ్మలు 37 kW (50 HP) గ్నోమ్ రోటరీ ఇంజిన్ వేరియంట్ కోసం. హావెట్ నుండి డేటా (2001) p.28 [1] సాధారణ లక్షణాల పనితీరు")</f>
        <v>కాడ్రాన్ రకం D ఒక ఫ్రెంచ్ ప్రీ-వరల్డ్ వార్ I సింగిల్ సీట్, ట్విన్-బూమ్ ట్రాక్టర్ బిప్‌లేన్, రెండు సీట్ల కాడ్రాన్ టైప్ సి యొక్క దగ్గరి కానీ కొంచెం చిన్న బంధువు. డజనుకు పైగా పూర్తయింది, ఒకటి యునైటెడ్ కింగ్‌డమ్‌కు ఎగుమతి చేయబడింది, అవి లైసెన్స్ నిర్మించబడి ఉండవచ్చు మరియు చైనాకు మూడు. 1911 చివరలో W.H. యు.కె.లో కాడ్రాన్ విమానాలను సరఫరా చేసే హక్కును ఎవెన్ కొనుగోలు చేశాడు మరియు ఎవెన్ ఏవియేషన్ యొక్క 1913 కేటలాగ్‌లో సింగిల్ సీట్ రకం డి టైప్ సి లేబుల్ చేసిన పేజీలో కనిపిస్తుంది; రెండోది రెండు సీటర్లు అయినప్పటికీ, రెండు రకాలు దగ్గరి సంబంధం కలిగి ఉన్నట్లు కనిపిస్తాయి. రెండూ జంట బూమ్, ట్రాక్టర్ బిప్లేన్లు, ఇవి సమాన ఎగువ మరియు దిగువ స్పాన్‌లతో ప్రారంభమయ్యాయి, కాని తరువాత అవి సెస్క్విప్లేన్‌లుగా సవరించబడ్డాయి. రెండూ సింగిల్-సీటర్లు, ఇంజిన్ మరియు పైలట్ ఇంటర్‌వింగ్ నాసెల్లెలో ఉన్నాయి. సి రకానికి విరుద్ధంగా, D రకం కొంచెం చిన్నది మరియు తేలికైనది మరియు దాని ప్రారంభ నెలల్లో తక్కువ శక్తితో (26 kW (35 HP)) 3-సిలిండర్ అంజని రేడియల్ ఇంజిన్ ద్వారా శక్తినిస్తుంది. SESQUIPLANE కి సవరించిన తరువాత, రకం D యొక్క ఎగువ నుండి తక్కువ స్పాన్ నిష్పత్తి. రకం C. [1] కంటే చిన్నది టైప్ డి రెండు బే బైప్‌లేన్, లోపలి బేతో బయటి వెడల్పులో సగం మాత్రమే. రెండు స్పార్ ఫాబ్రిక్ కప్పబడిన రెక్కలు కోణీయ చిట్కాలతో పాటు దీర్ఘచతురస్రాకార ప్రణాళికలను కలిగి ఉన్నాయి. అస్థిరత లేదు, కాబట్టి సమాంతర ఇంటర్‌ప్లేన్ స్ట్రట్‌ల యొక్క రెండు సెట్లు సమాంతరంగా మరియు నిలువుగా ఉన్నాయి. సెస్క్విప్లేన్ సవరణ ద్వారా ఉత్పత్తి చేయబడిన ఎగువ వింగ్ ఓవర్‌హాంగ్ అదనపు సమాంతర జతల బాహ్య లీనింగ్ ఇంటర్‌ప్లేన్ స్ట్రట్‌ల ద్వారా మద్దతు ఇచ్చింది. వైర్ బ్రేసింగ్ నిర్మాణాన్ని పూర్తి చేసింది. వెనుక స్పార్ మధ్య తీగ కంటే ముందుంది, పక్కటెముకలను రెక్క యొక్క వెనుక భాగంలో వదిలివేసి, వింగ్ వార్పింగ్ ద్వారా రోల్ నియంత్రణను అనుమతిస్తుంది. [1] నాసెల్ ఒక సరళమైన, చిన్న, ఫ్లాట్ సైడెడ్ నిర్మాణం. నాసెల్లె లోపల ప్రయాణించిన మరో రెండు జతల ఇంటర్‌ప్లేన్ స్ట్రట్‌లపై దిగువ రెక్క పైన దీనికి మద్దతు ఉంది. అంజాని ఇంజిన్ ముందు భాగంలో అన్‌కౌల్ చేయబడింది, పైలట్ వెనుకంజలో ఉన్న అంచు కింద కూర్చున్నాడు. [1] టైప్ డి యొక్క సామ్రాజ్యం ప్రణాళికలో ఒకదానికొకటి సమాంతరంగా ఏర్పాటు చేసిన ఒక జత గిర్డర్లకు మద్దతు ఇవ్వబడింది. ఎగువ గిర్డర్ సభ్యులు లోపలి ఇంటర్‌ప్లేన్ స్ట్రట్‌ల పైభాగంలో ఎగువ వింగ్ స్పార్‌లకు జతచేయబడ్డారు మరియు దిగువ వాటిని దిగువ వింగ్ కింద నడిచి, లోపలి ఇంటర్‌ప్లేన్ స్ట్రట్‌ల దిగువ పొడిగింపులపై అమర్చారు. మౌంటు ప్రతి వైపు రెండు వికర్ణ స్ట్రట్‌లతో బలోపేతం చేయబడింది, ఒకటి ఫార్వర్డ్ ఇంటర్‌ప్లేన్ స్ట్రట్ యొక్క బేస్ నుండి దిగువ సభ్యుడి యొక్క పైకి మరియు మరొకటి వెనుక ఇంటర్‌ప్లేన్ స్ట్రట్ నుండి దిగువ సభ్యుల జంక్షన్ మరియు దాని మొదటి నిలువు క్రాస్ సభ్యుడు . ఈ దిగువ సభ్యులలో ప్రతి ఒక్కరూ, భూమిపై ఉన్న విమానానికి స్కిడ్లుగా మద్దతు ఇచ్చారు, జంట, రబ్బరు మొలకెత్తిన ల్యాండింగ్ చక్రాలను తీసుకువెళ్లారు. రెక్క వెనుక ఎగువ మరియు దిగువ సభ్యులు వెనుక వైపుకు కలుస్తారు; దిగువ సభ్యులపై లాగడం ల్యాండింగ్ పరుగును తగ్గించింది. ప్రతి గిర్డర్‌లో మూడు నిలువు క్రాస్ కలుపులు ఉన్నాయి, కాని వైర్ బ్రేసింగ్ ఉన్నప్పటికీ, పార్శ్వ అంతర్-అమ్మాయి క్రాస్-సభ్యులు తోక దగ్గర మాత్రమే ఉన్నాయి. విస్తృత తీగ టెయిల్‌ప్లేన్ ఎగువ గిర్డర్ సభ్యునికి కొంచెం దిగువన అమర్చబడింది, దాని పైన ఒక రౌండ్-కార్నర్డ్ దీర్ఘచతురస్రాకార రడ్డర్లు. [1] డి టైప్ మొదట డిసెంబర్ 1911 లో కనిపించింది మరియు మొత్తం పదమూడులో నిర్మించబడింది. వీటిలో, ఒకటి ఇంగ్లాండ్‌లో మరియు మరో ముగ్గురు చైనాకు విక్రయించబడింది, అన్ని సెస్క్విప్లేన్లు; చైనీస్ విమానం మరింత శక్తివంతమైన 34 కిలోవాట్ (45 హెచ్‌పి) 6-సిలిండర్ అంజాని రేడియల్ ఇంజిన్‌ను కలిగి ఉంది. ఈ ఇంజిన్ మళ్ళీ అన్‌కౌల్ చేయబడింది, దాని లక్షణ రింగ్ ఎగ్జాస్ట్‌ను చూపిస్తుంది. ఒక విమానం, వాస్తవానికి ABIS రకం, ఒక రకం D గా సవరించబడింది, దాని 37 kW (50 HP) గ్నోమ్ ఒమేగా 7-సిలిండర్ రోటరీ ఇంజిన్‌ను చమురు-విక్షేపం చేసే కౌలింగ్‌తో ఎగువ భాగంలో, ముందు ఫ్యూజ్‌లేజ్ మీదుగా వెనుకకు విస్తరించింది. [1 1 ] 45 కిలోవాట్ల (60 హెచ్‌పి) ను ఉత్పత్తి చేసే పెద్ద స్థానభ్రంశం 6-సిలిండర్ అంజానితో నడిచే రకం డి పారిస్ నుండి 21 జూన్ 1912 న గిల్లాక్స్ చేత లండన్లోని మిస్టర్ రామ్సేకు పంపిణీ చేయబడింది. ఇది రెండు నాసెల్లెను కలిగి ఉంది, ఇది రెండు వక్రంగా ఉంది, కాక్‌పిట్ కంటే వెంటనే డెక్కింగ్‌ను పెంచింది మరియు లోపలి ఇంటర్‌ప్లేన్ స్ట్రట్‌ల మధ్య సస్పెండ్ చేయబడింది, సి. కాడ్రాన్ ఈ వెర్షన్‌ను డి 2 టైప్ అని సూచించిన రకం కాకుండా బి టైప్ బి వంటిది. 125 L (27 IMP GAL; 33 US GAL) కోసం ట్యాంకులతో దీనికి 3 గంటలు ఓర్పు ఉంది. ఫిలిప్ మార్టి కోసం రెండవ రకం D2 నిర్మించబడింది. [1] యుకెలో ఎవెన్ ఏవియేషన్ లేదా దాని వారసుడు బ్రిటిష్ కాడ్రాన్ లేదా నిర్మించిన ప్రత్యేక రకాలు ఎన్ని విమానాలను నిర్మించాయో తెలియదు, అయినప్పటికీ ఒకటి 30-35 హెచ్‌పి అంజాని చేత శక్తిని పొందింది మరియు ఎవెన్ యొక్క ఫ్లయింగ్ స్కూల్‌లో ఉపయోగించబడింది. చిన్న స్ట్రెయిట్ హాప్స్ చేయడానికి ఇది ఎక్కువగా ప్రారంభకులకు ఎగిరింది. [2] పనితీరు బొమ్మలు 37 kW (50 HP) గ్నోమ్ రోటరీ ఇంజిన్ వేరియంట్ కోసం. హావెట్ నుండి డేటా (2001) p.28 [1] సాధారణ లక్షణాల పనితీరు</v>
      </c>
      <c r="E81" s="1" t="s">
        <v>1504</v>
      </c>
      <c r="F81" s="1" t="s">
        <v>1505</v>
      </c>
      <c r="G81" s="1" t="str">
        <f>IFERROR(__xludf.DUMMYFUNCTION("GOOGLETRANSLATE(F:F, ""en"", ""te"")"),"సింగిల్ సీట్ బిప్‌లేన్")</f>
        <v>సింగిల్ సీట్ బిప్‌లేన్</v>
      </c>
      <c r="H81" s="1" t="s">
        <v>1506</v>
      </c>
      <c r="I81" s="1" t="s">
        <v>1200</v>
      </c>
      <c r="J81" s="1" t="str">
        <f>IFERROR(__xludf.DUMMYFUNCTION("GOOGLETRANSLATE(I:I, ""en"", ""te"")"),"కాడ్రాన్")</f>
        <v>కాడ్రాన్</v>
      </c>
      <c r="K81" s="4" t="s">
        <v>1201</v>
      </c>
      <c r="M81" s="2"/>
      <c r="O81" s="1" t="s">
        <v>1507</v>
      </c>
      <c r="P81" s="1" t="s">
        <v>1450</v>
      </c>
      <c r="Q81" s="1" t="s">
        <v>1451</v>
      </c>
      <c r="R81" s="1" t="s">
        <v>222</v>
      </c>
      <c r="T81" s="1" t="s">
        <v>1508</v>
      </c>
      <c r="V81" s="1" t="s">
        <v>1509</v>
      </c>
      <c r="W81" s="1" t="s">
        <v>1510</v>
      </c>
      <c r="X81" s="1" t="s">
        <v>1341</v>
      </c>
      <c r="Z81" s="1" t="s">
        <v>1511</v>
      </c>
      <c r="AF81" s="1" t="s">
        <v>465</v>
      </c>
      <c r="AG81" s="4" t="s">
        <v>466</v>
      </c>
      <c r="AL81" s="1" t="s">
        <v>1456</v>
      </c>
      <c r="AO81" s="6">
        <v>4353.0</v>
      </c>
      <c r="AR81" s="1" t="s">
        <v>372</v>
      </c>
      <c r="BA81" s="1" t="s">
        <v>1512</v>
      </c>
      <c r="BB81" s="1" t="s">
        <v>1459</v>
      </c>
      <c r="BC81" s="1" t="s">
        <v>1460</v>
      </c>
    </row>
    <row r="82">
      <c r="A82" s="1" t="s">
        <v>1513</v>
      </c>
      <c r="B82" s="1" t="str">
        <f>IFERROR(__xludf.DUMMYFUNCTION("GOOGLETRANSLATE(A:A, ""en"", ""te"")"),"కాడ్రాన్ C.101")</f>
        <v>కాడ్రాన్ C.101</v>
      </c>
      <c r="C82" s="1" t="s">
        <v>1514</v>
      </c>
      <c r="D82" s="2" t="str">
        <f>IFERROR(__xludf.DUMMYFUNCTION("GOOGLETRANSLATE(C:C, ""en"", ""te"")"),"కాడ్రాన్ C.101 మరియు దాని వైవిధ్యాలు, C.103, C.104 మరియు C.107 ఫ్రెంచ్ రెండు సీట్ల నిఘా విమానం 1925 నుండి ఎగిరింది, ఇది వారి ఇంజిన్లలో విభిన్నంగా ఉంది. C.101 సమకాలీన యోధుల పనితీరుతో లోతైన నిఘా విమానం వలె రూపొందించబడింది మరియు కొన్ని ప్రమాదకర ఆయుధాలను మోయగ"&amp;"లదు. సైనిక వర్గీకరణ గ్రాండెస్ దాడులు (జి.ఆర్.) (ఇంగ్లీష్: ప్రధాన విమానాలు). ఇది చెక్క సింగిల్ బే సెస్క్విప్లేన్, గట్టిగా బాహ్యంగా లీనింగ్ ఇంటర్‌ప్లేన్ స్ట్రట్‌లతో. విలోమ v-రూపం క్యాబన్ స్ట్రట్స్ యొక్క టెన్డం జత ఫ్యూజ్‌లేజ్ మీదుగా పై వింగ్‌కు మద్దతు ఇచ్చిం"&amp;"ది. ప్రణాళికలో ఎగువ మరియు దిగువ ఫాబ్రిక్ కప్పబడిన రెక్కలు కోణీయ చిట్కాలు కాకుండా దీర్ఘచతురస్రాకారంగా ఉన్నాయి మరియు పైలట్ యొక్క పైకి వీక్షణను మెరుగుపరచడానికి ఎగువ వెనుకంజలో ఉన్న అంచులో సెమీ వృత్తాకార కటౌట్. దిగువ రెక్కలు దాదాపు 63% స్కేల్డ్ కాపీ, అదే కారక "&amp;"నిష్పత్తితో. ఎగువ రెక్కలపై మాత్రమే ఐలెరాన్లు ఉన్నాయి. [1] [2] నాలుగు వేర్వేరు వెర్షన్లలో మూడు వేర్వేరు కాన్ఫిగరేషన్లు, రెండు వాటర్-కూల్డ్ వి -12 ఇంజన్లు మరియు రెండు రేడియల్ ఇంజన్లు, ఒకటి ఒకే వరుస తొమ్మిది సిలిండర్, ఎయిర్-కూల్డ్ యూనిట్ మరియు మరొకటి పద్దెని"&amp;"మిది సిలిండర్, వాటర్-కూల్డ్ ఇన్-లైన్ రేడియల్ ఇంజిన్. అవన్నీ 313–373 కిలోవాట్ల (420–500 హెచ్‌పి) శక్తి పరిధిలో ఉన్నప్పటికీ, వాటి లేఅవుట్‌లకు చాలా భిన్నమైన కౌనింగ్‌లు అవసరమయ్యాయి మరియు ఫలితంగా పొడవు ఏర్పడింది. లేకపోతే C.101-7 వేరియంట్లు అన్నీ ఒకే కొలతలు కలి"&amp;"గి ఉన్నాయి, అయినప్పటికీ బరువులు వైవిధ్యంగా ఉన్నాయి. అవన్నీ రెండు మార్గాల రేడియోతో అమర్చబడ్డాయి మరియు మంచి శ్రేణికి ఉదార ​​ఇంధన సామర్థ్యాన్ని కలిగి ఉన్నాయి; [1] C.103 యొక్క ట్యాంక్ కనీసం అత్యవసర పరిస్థితుల్లో విడుదల చేయవచ్చు. పైలట్ యొక్క ఓపెన్ కాక్‌పిట్ వి"&amp;"ంగ్ కటౌట్ కింద ఉంది; స్కార్ఫ్ రింగ్ టైప్ మౌంటుపై ట్విన్ మెషిన్ గన్‌లతో కూడిన కాక్‌పిట్‌లో పరిశీలకుడు వెనుక కూర్చున్నాడు. C.101 యొక్క ఫిన్ త్రిభుజాకార మరియు విస్తృత తీగ మరియు చుక్కాని నిటారుగా, నిలువు అంచుని కలిగి ఉంది, ఇది కీల్ వరకు విస్తరించింది. దీర్ఘచత"&amp;"ురస్రాకార ప్రణాళిక టెయిల్ ప్లేన్ ఫ్యూజ్‌లేజ్ పైన అమర్చబడినప్పుడు, సమతుల్య, ఓవర్‌హంగ్ ఎలివేటర్లు చుక్కాని కదలికకు కటౌట్ కలిగి ఉన్నాయి. C.101 లో స్థిర టెయిల్‌వీల్ అండర్ క్యారేజ్ ఉంది, దాని మెయిన్‌వీల్స్ ఒకే ఇరుసుపై V- రూపం స్ట్రట్‌ల నుండి పుట్టుకొచ్చాయి. [1"&amp;"] [2] కాడ్రాన్ C.101 బహుశా మొదట 1925 మొదటి భాగంలో టెస్ట్ పైలట్ బెచెలర్ ఆ ఆగస్టులో తన అధికారిక పరీక్షను పూర్తి చేసింది. ఈ సమితిలో అత్యంత శక్తివంతమైన సాల్మ్సన్ ఇంజిన్ యొక్క అవుట్పుట్ గ్నోమ్-రోన్ కంటే 19% ఎక్కువ అయినప్పటికీ, C.107 యొక్క భూ స్థాయిలో గరిష్ట వే"&amp;"గం C. కంటే 4% ఎక్కువ మాత్రమే ఉంది. 104. C.101 మరియు C.103 లోని రెండు 336 kW (450 HP) V-12 ఇంజన్లు వరుసగా 227 km/h (141 mph) మరియు 218 km/h (135 mph) వేగాన్ని ఉత్పత్తి చేశాయి, మునుపటిది మరింత శక్తివంతమైనది C.107 మరియు తరువాతి అతి తక్కువ శక్తితో కూడిన C.104"&amp;" కన్నా కొంచెం వేగంగా ఉంటుంది. [1] కాడ్రాన్ C.104 డిసెంబర్ 1926 లో 10 వ పారిస్ సెలూన్లో ప్రదర్శించబడింది. [4] [5] C.101, C.104 మరియు C.107 యొక్క డ్రాయింగ్లలో కనిపించే పరిశీలకుడి తుపాకులతో పాటు, మరో రెండు మెషిన్ గన్ స్థానాలు గుర్తించబడ్డాయి: ఒకటి స్థిర, ఫార"&amp;"్వర్డ్ ఫైరింగ్ సింక్రొనైజ్డ్ జత మరియు మరొక సింగిల్ గన్ తన కాక్‌పిట్ అంతస్తు ద్వారా పరిశీలకుడు లక్ష్యంగా పెట్టుకున్నాడు. పన్నెండు 10 కిలోల (22 ఎల్బి) బాంబులకు అంతర్గత సదుపాయం ఉంది. [4] ఈ ఆయుధాలు సైనిక స్పెసిఫికేషన్ ద్వారా అవసరం కాబట్టి, [4] అవి బహుశా ఇతర వ"&amp;"ైవిధ్యాలచే భాగస్వామ్యం చేయబడ్డాయి. నిర్మించిన ఎయిర్ఫ్రేమ్‌ల సంఖ్య ఖచ్చితంగా లేదు; C.101 మరియు C.104 [1] యొక్క ఫోటోగ్రాఫిక్ ఆధారాలు మాత్రమే ఉన్నాయి మరియు ఇవి అదే ఎయిర్‌ఫ్రేమ్‌ను పంచుకున్నాయి. ఫ్రెంచ్ సివిల్ ఎయిర్క్రాఫ్ట్ రిజిస్టర్‌లో C.101 మాత్రమే F-ESAI గ"&amp;"ా కనిపించింది. [6] [7] హాట్ (2001) పేజీలు 194–5 [1] హావెట్ (2001) పేజీలు .194-5 [1] సాధారణ లక్షణాల పనితీరు")</f>
        <v>కాడ్రాన్ C.101 మరియు దాని వైవిధ్యాలు, C.103, C.104 మరియు C.107 ఫ్రెంచ్ రెండు సీట్ల నిఘా విమానం 1925 నుండి ఎగిరింది, ఇది వారి ఇంజిన్లలో విభిన్నంగా ఉంది. C.101 సమకాలీన యోధుల పనితీరుతో లోతైన నిఘా విమానం వలె రూపొందించబడింది మరియు కొన్ని ప్రమాదకర ఆయుధాలను మోయగలదు. సైనిక వర్గీకరణ గ్రాండెస్ దాడులు (జి.ఆర్.) (ఇంగ్లీష్: ప్రధాన విమానాలు). ఇది చెక్క సింగిల్ బే సెస్క్విప్లేన్, గట్టిగా బాహ్యంగా లీనింగ్ ఇంటర్‌ప్లేన్ స్ట్రట్‌లతో. విలోమ v-రూపం క్యాబన్ స్ట్రట్స్ యొక్క టెన్డం జత ఫ్యూజ్‌లేజ్ మీదుగా పై వింగ్‌కు మద్దతు ఇచ్చింది. ప్రణాళికలో ఎగువ మరియు దిగువ ఫాబ్రిక్ కప్పబడిన రెక్కలు కోణీయ చిట్కాలు కాకుండా దీర్ఘచతురస్రాకారంగా ఉన్నాయి మరియు పైలట్ యొక్క పైకి వీక్షణను మెరుగుపరచడానికి ఎగువ వెనుకంజలో ఉన్న అంచులో సెమీ వృత్తాకార కటౌట్. దిగువ రెక్కలు దాదాపు 63% స్కేల్డ్ కాపీ, అదే కారక నిష్పత్తితో. ఎగువ రెక్కలపై మాత్రమే ఐలెరాన్లు ఉన్నాయి. [1] [2] నాలుగు వేర్వేరు వెర్షన్లలో మూడు వేర్వేరు కాన్ఫిగరేషన్లు, రెండు వాటర్-కూల్డ్ వి -12 ఇంజన్లు మరియు రెండు రేడియల్ ఇంజన్లు, ఒకటి ఒకే వరుస తొమ్మిది సిలిండర్, ఎయిర్-కూల్డ్ యూనిట్ మరియు మరొకటి పద్దెనిమిది సిలిండర్, వాటర్-కూల్డ్ ఇన్-లైన్ రేడియల్ ఇంజిన్. అవన్నీ 313–373 కిలోవాట్ల (420–500 హెచ్‌పి) శక్తి పరిధిలో ఉన్నప్పటికీ, వాటి లేఅవుట్‌లకు చాలా భిన్నమైన కౌనింగ్‌లు అవసరమయ్యాయి మరియు ఫలితంగా పొడవు ఏర్పడింది. లేకపోతే C.101-7 వేరియంట్లు అన్నీ ఒకే కొలతలు కలిగి ఉన్నాయి, అయినప్పటికీ బరువులు వైవిధ్యంగా ఉన్నాయి. అవన్నీ రెండు మార్గాల రేడియోతో అమర్చబడ్డాయి మరియు మంచి శ్రేణికి ఉదార ​​ఇంధన సామర్థ్యాన్ని కలిగి ఉన్నాయి; [1] C.103 యొక్క ట్యాంక్ కనీసం అత్యవసర పరిస్థితుల్లో విడుదల చేయవచ్చు. పైలట్ యొక్క ఓపెన్ కాక్‌పిట్ వింగ్ కటౌట్ కింద ఉంది; స్కార్ఫ్ రింగ్ టైప్ మౌంటుపై ట్విన్ మెషిన్ గన్‌లతో కూడిన కాక్‌పిట్‌లో పరిశీలకుడు వెనుక కూర్చున్నాడు. C.101 యొక్క ఫిన్ త్రిభుజాకార మరియు విస్తృత తీగ మరియు చుక్కాని నిటారుగా, నిలువు అంచుని కలిగి ఉంది, ఇది కీల్ వరకు విస్తరించింది. దీర్ఘచతురస్రాకార ప్రణాళిక టెయిల్ ప్లేన్ ఫ్యూజ్‌లేజ్ పైన అమర్చబడినప్పుడు, సమతుల్య, ఓవర్‌హంగ్ ఎలివేటర్లు చుక్కాని కదలికకు కటౌట్ కలిగి ఉన్నాయి. C.101 లో స్థిర టెయిల్‌వీల్ అండర్ క్యారేజ్ ఉంది, దాని మెయిన్‌వీల్స్ ఒకే ఇరుసుపై V- రూపం స్ట్రట్‌ల నుండి పుట్టుకొచ్చాయి. [1] [2] కాడ్రాన్ C.101 బహుశా మొదట 1925 మొదటి భాగంలో టెస్ట్ పైలట్ బెచెలర్ ఆ ఆగస్టులో తన అధికారిక పరీక్షను పూర్తి చేసింది. ఈ సమితిలో అత్యంత శక్తివంతమైన సాల్మ్సన్ ఇంజిన్ యొక్క అవుట్పుట్ గ్నోమ్-రోన్ కంటే 19% ఎక్కువ అయినప్పటికీ, C.107 యొక్క భూ స్థాయిలో గరిష్ట వేగం C. కంటే 4% ఎక్కువ మాత్రమే ఉంది. 104. C.101 మరియు C.103 లోని రెండు 336 kW (450 HP) V-12 ఇంజన్లు వరుసగా 227 km/h (141 mph) మరియు 218 km/h (135 mph) వేగాన్ని ఉత్పత్తి చేశాయి, మునుపటిది మరింత శక్తివంతమైనది C.107 మరియు తరువాతి అతి తక్కువ శక్తితో కూడిన C.104 కన్నా కొంచెం వేగంగా ఉంటుంది. [1] కాడ్రాన్ C.104 డిసెంబర్ 1926 లో 10 వ పారిస్ సెలూన్లో ప్రదర్శించబడింది. [4] [5] C.101, C.104 మరియు C.107 యొక్క డ్రాయింగ్లలో కనిపించే పరిశీలకుడి తుపాకులతో పాటు, మరో రెండు మెషిన్ గన్ స్థానాలు గుర్తించబడ్డాయి: ఒకటి స్థిర, ఫార్వర్డ్ ఫైరింగ్ సింక్రొనైజ్డ్ జత మరియు మరొక సింగిల్ గన్ తన కాక్‌పిట్ అంతస్తు ద్వారా పరిశీలకుడు లక్ష్యంగా పెట్టుకున్నాడు. పన్నెండు 10 కిలోల (22 ఎల్బి) బాంబులకు అంతర్గత సదుపాయం ఉంది. [4] ఈ ఆయుధాలు సైనిక స్పెసిఫికేషన్ ద్వారా అవసరం కాబట్టి, [4] అవి బహుశా ఇతర వైవిధ్యాలచే భాగస్వామ్యం చేయబడ్డాయి. నిర్మించిన ఎయిర్ఫ్రేమ్‌ల సంఖ్య ఖచ్చితంగా లేదు; C.101 మరియు C.104 [1] యొక్క ఫోటోగ్రాఫిక్ ఆధారాలు మాత్రమే ఉన్నాయి మరియు ఇవి అదే ఎయిర్‌ఫ్రేమ్‌ను పంచుకున్నాయి. ఫ్రెంచ్ సివిల్ ఎయిర్క్రాఫ్ట్ రిజిస్టర్‌లో C.101 మాత్రమే F-ESAI గా కనిపించింది. [6] [7] హాట్ (2001) పేజీలు 194–5 [1] హావెట్ (2001) పేజీలు .194-5 [1] సాధారణ లక్షణాల పనితీరు</v>
      </c>
      <c r="E82" s="1" t="s">
        <v>1515</v>
      </c>
      <c r="F82" s="1" t="s">
        <v>179</v>
      </c>
      <c r="G82" s="1" t="str">
        <f>IFERROR(__xludf.DUMMYFUNCTION("GOOGLETRANSLATE(F:F, ""en"", ""te"")"),"నిఘా విమానం")</f>
        <v>నిఘా విమానం</v>
      </c>
      <c r="H82" s="1" t="s">
        <v>1433</v>
      </c>
      <c r="I82" s="1" t="s">
        <v>1200</v>
      </c>
      <c r="J82" s="1" t="str">
        <f>IFERROR(__xludf.DUMMYFUNCTION("GOOGLETRANSLATE(I:I, ""en"", ""te"")"),"కాడ్రాన్")</f>
        <v>కాడ్రాన్</v>
      </c>
      <c r="K82" s="4" t="s">
        <v>1201</v>
      </c>
      <c r="L82" s="1" t="s">
        <v>1516</v>
      </c>
      <c r="M82" s="2" t="str">
        <f>IFERROR(__xludf.DUMMYFUNCTION("GOOGLETRANSLATE(L:L, ""en"", ""te"")"),"ఆండ్రే బ్రూనెట్")</f>
        <v>ఆండ్రే బ్రూనెట్</v>
      </c>
      <c r="R82" s="1" t="s">
        <v>1138</v>
      </c>
      <c r="T82" s="1" t="s">
        <v>1517</v>
      </c>
      <c r="V82" s="1" t="s">
        <v>1282</v>
      </c>
      <c r="W82" s="1" t="s">
        <v>1518</v>
      </c>
      <c r="X82" s="1" t="s">
        <v>1519</v>
      </c>
      <c r="Z82" s="1" t="s">
        <v>1520</v>
      </c>
      <c r="AC82" s="1" t="s">
        <v>1521</v>
      </c>
      <c r="AF82" s="1" t="s">
        <v>465</v>
      </c>
      <c r="AG82" s="4" t="s">
        <v>466</v>
      </c>
      <c r="AH82" s="1" t="s">
        <v>1522</v>
      </c>
      <c r="AI82" s="1" t="s">
        <v>1302</v>
      </c>
      <c r="AL82" s="1" t="s">
        <v>1523</v>
      </c>
      <c r="AN82" s="1" t="s">
        <v>1524</v>
      </c>
      <c r="AO82" s="1">
        <v>1925.0</v>
      </c>
      <c r="AR82" s="1" t="s">
        <v>372</v>
      </c>
      <c r="BA82" s="1" t="s">
        <v>1525</v>
      </c>
      <c r="BC82" s="1" t="s">
        <v>1526</v>
      </c>
    </row>
    <row r="83">
      <c r="A83" s="1" t="s">
        <v>1527</v>
      </c>
      <c r="B83" s="1" t="str">
        <f>IFERROR(__xludf.DUMMYFUNCTION("GOOGLETRANSLATE(A:A, ""en"", ""te"")"),"కాడ్రాన్ C.21")</f>
        <v>కాడ్రాన్ C.21</v>
      </c>
      <c r="C83" s="1" t="s">
        <v>1528</v>
      </c>
      <c r="D83" s="2" t="str">
        <f>IFERROR(__xludf.DUMMYFUNCTION("GOOGLETRANSLATE(C:C, ""en"", ""te"")"),"కాడ్రాన్ C.21 అనేది ఒక ఫ్రెంచ్ ట్విన్ ఇంజిన్ బిప్‌లేన్, ఇది మొదటి ప్రపంచ యుద్ధం తరువాత నిర్మించబడింది, ముగ్గురు ప్రయాణీకులను ఓపెన్ కాక్‌పిట్‌లో తీసుకెళ్లగలదు. 1917 లో పాల్ డెవిల్లే ఒక ట్విన్ ఇంజిన్ పరిశీలన విమానాన్ని అభివృద్ధి చేస్తున్నాడు, అది బలహీనంగా ఉ"&amp;"ందని స్పష్టమైంది మరియు అందువల్ల ఇది మొదటి ప్రపంచ యుద్ధంలో నిర్మించబడలేదు. యుద్ధం తరువాత, ఇప్పుడు C.21 అని పిలువబడే డిజైన్ నాలుగు సీటుగా పూర్తయింది ప్రయాణీకుల విమానం. [1] ఇది మూడు బే బిప్‌లేన్, ఫాబ్రిక్ కప్పబడిన, స్థిరమైన తీగ, కోణ చిట్కాల వద్ద విడదీసే రెక్"&amp;"కలు. ఐలెరాన్లను తీసుకువెళ్ళిన అప్పర్ వింగ్ 8% ఎక్కువ వ్యవధి మరియు చిన్న తీగను కలిగి ఉంది. అస్థిరత లేదు, కాబట్టి సమాంతర ఇంటర్‌ప్లేన్ స్ట్రట్‌ల సెట్లు నిలువుగా ఉన్నాయి; ఫ్లయింగ్ వైర్లు ప్రతి బేను బంధిస్తాయి. వి-ఫార్మ్ ఇంజిన్ స్ట్రట్స్ యొక్క జత, దిగువ రెక్క "&amp;"పైన రెండు 60 కిలోవాట్ల (80 హెచ్‌పి) లే రోన్ 9 సి రోటరీ ఇంజన్లకు మద్దతు ఇస్తుంది, లోపలి రెండు బేలను నిర్వచించింది. ఎగువ ఫ్యూజ్‌లేజ్ నుండి చిన్న, సమాంతర కాబేన్ స్ట్రట్‌లు ఉన్నాయి. [1] C.21 యొక్క ఫ్యూజ్‌లేజ్ దాదాపు ఫ్లాట్ సైడ్‌లో ఉంది, చిన్న ముక్కు వద్ద నిలు"&amp;"వు కత్తి అంచు ఉంటుంది. ఇది విపరీతమైన ముక్కులో ప్రారంభమై ఓపెన్ కాక్‌పిట్‌ను కలిగి ఉంది మరియు ముగ్గురు ప్రయాణీకులను సమిష్టిగా కూర్చుంది; పైలట్ యొక్క కాక్‌పిట్ వెనుకంజలో ఉన్న అంచు క్రింద ఉంది, మంచి పైకి దృష్టి కోసం లోతైన కటౌట్ ఉంది. వెనుక భాగంలో నేరుగా అంచుగ"&amp;"ల, పొడవైన మరియు తక్కువ ఫిన్ నేరుగా అంచుగల, సమతుల్య చుక్కానిని తీసుకువెళ్ళాడు, అది కీల్‌కు విస్తరించింది. ఫ్యూజ్‌లేజ్ పైన అమర్చిన ఒక కోణ టెయిల్‌ప్లేన్ చుక్కాని కదలిక కోసం కటౌట్‌తో ఎలివేటర్లను కలిగి ఉంది మరియు ఇది టెయిల్‌స్కిడ్ అండర్ క్యారేజీని కలిగి ఉంది, "&amp;"ఎన్-ఫార్మ్ స్ట్రట్‌లలో ఇంజిన్ల క్రింద స్థిరంగా ఉన్న రేఖాంశ బార్‌లతో జతచేయబడిన ఇరుసులపై మెయిన్‌వీల్స్ జత ఉన్నాయి. [1] C.21 యొక్క మొట్టమొదటి ఫ్లైట్ యొక్క తేదీ అనిశ్చితంగా ఉంది, కానీ అది ఫిబ్రవరి 1919 కి ముందు. ఫిబ్రవరి 10-11 తేదీలలో ఇది పారిస్ మరియు బ్రస్సె"&amp;"ల్స్ మధ్య నాలుగు విమానాలతో ప్రచారం పొందింది, 310 కిమీ (193 మై) దూరం సుమారు 140 నిమిషాలతో కప్పబడి ఉంది. కాడ్రాన్ C.23 నుండి ప్రయాణీకులను తిరిగి పొందడానికి డిజైనర్ డెవిల్లెతో కలిసి చాంటెలోప్ చేత ఎగురవేయబడింది, ఇది ప్రయాణీకుల రవాణాలో సవరించబడింది, ఇది బ్రస్స"&amp;"ెల్స్ వద్ద తోక స్కిడ్ విరిగింది. [2] C.21 ను కాడ్రాన్ కేటలాగ్‌లో FF 30,000 ధర వద్ద ప్రచారం చేశారు. [1] ఇది ఒక ఉదాహరణ మాత్రమే నిర్మించినట్లు అనిపిస్తుంది, కాని దాని లేఅవుట్ కాడ్రాన్ యొక్క వరుసగా పెద్ద మరియు శక్తివంతమైన C.22 మరియు C.23 రాత్రి బాంబర్లలో పునర"&amp;"ావృతమైంది. హావెట్ (2001) నుండి డేటా [1] సాధారణ లక్షణాల పనితీరు")</f>
        <v>కాడ్రాన్ C.21 అనేది ఒక ఫ్రెంచ్ ట్విన్ ఇంజిన్ బిప్‌లేన్, ఇది మొదటి ప్రపంచ యుద్ధం తరువాత నిర్మించబడింది, ముగ్గురు ప్రయాణీకులను ఓపెన్ కాక్‌పిట్‌లో తీసుకెళ్లగలదు. 1917 లో పాల్ డెవిల్లే ఒక ట్విన్ ఇంజిన్ పరిశీలన విమానాన్ని అభివృద్ధి చేస్తున్నాడు, అది బలహీనంగా ఉందని స్పష్టమైంది మరియు అందువల్ల ఇది మొదటి ప్రపంచ యుద్ధంలో నిర్మించబడలేదు. యుద్ధం తరువాత, ఇప్పుడు C.21 అని పిలువబడే డిజైన్ నాలుగు సీటుగా పూర్తయింది ప్రయాణీకుల విమానం. [1] ఇది మూడు బే బిప్‌లేన్, ఫాబ్రిక్ కప్పబడిన, స్థిరమైన తీగ, కోణ చిట్కాల వద్ద విడదీసే రెక్కలు. ఐలెరాన్లను తీసుకువెళ్ళిన అప్పర్ వింగ్ 8% ఎక్కువ వ్యవధి మరియు చిన్న తీగను కలిగి ఉంది. అస్థిరత లేదు, కాబట్టి సమాంతర ఇంటర్‌ప్లేన్ స్ట్రట్‌ల సెట్లు నిలువుగా ఉన్నాయి; ఫ్లయింగ్ వైర్లు ప్రతి బేను బంధిస్తాయి. వి-ఫార్మ్ ఇంజిన్ స్ట్రట్స్ యొక్క జత, దిగువ రెక్క పైన రెండు 60 కిలోవాట్ల (80 హెచ్‌పి) లే రోన్ 9 సి రోటరీ ఇంజన్లకు మద్దతు ఇస్తుంది, లోపలి రెండు బేలను నిర్వచించింది. ఎగువ ఫ్యూజ్‌లేజ్ నుండి చిన్న, సమాంతర కాబేన్ స్ట్రట్‌లు ఉన్నాయి. [1] C.21 యొక్క ఫ్యూజ్‌లేజ్ దాదాపు ఫ్లాట్ సైడ్‌లో ఉంది, చిన్న ముక్కు వద్ద నిలువు కత్తి అంచు ఉంటుంది. ఇది విపరీతమైన ముక్కులో ప్రారంభమై ఓపెన్ కాక్‌పిట్‌ను కలిగి ఉంది మరియు ముగ్గురు ప్రయాణీకులను సమిష్టిగా కూర్చుంది; పైలట్ యొక్క కాక్‌పిట్ వెనుకంజలో ఉన్న అంచు క్రింద ఉంది, మంచి పైకి దృష్టి కోసం లోతైన కటౌట్ ఉంది. వెనుక భాగంలో నేరుగా అంచుగల, పొడవైన మరియు తక్కువ ఫిన్ నేరుగా అంచుగల, సమతుల్య చుక్కానిని తీసుకువెళ్ళాడు, అది కీల్‌కు విస్తరించింది. ఫ్యూజ్‌లేజ్ పైన అమర్చిన ఒక కోణ టెయిల్‌ప్లేన్ చుక్కాని కదలిక కోసం కటౌట్‌తో ఎలివేటర్లను కలిగి ఉంది మరియు ఇది టెయిల్‌స్కిడ్ అండర్ క్యారేజీని కలిగి ఉంది, ఎన్-ఫార్మ్ స్ట్రట్‌లలో ఇంజిన్ల క్రింద స్థిరంగా ఉన్న రేఖాంశ బార్‌లతో జతచేయబడిన ఇరుసులపై మెయిన్‌వీల్స్ జత ఉన్నాయి. [1] C.21 యొక్క మొట్టమొదటి ఫ్లైట్ యొక్క తేదీ అనిశ్చితంగా ఉంది, కానీ అది ఫిబ్రవరి 1919 కి ముందు. ఫిబ్రవరి 10-11 తేదీలలో ఇది పారిస్ మరియు బ్రస్సెల్స్ మధ్య నాలుగు విమానాలతో ప్రచారం పొందింది, 310 కిమీ (193 మై) దూరం సుమారు 140 నిమిషాలతో కప్పబడి ఉంది. కాడ్రాన్ C.23 నుండి ప్రయాణీకులను తిరిగి పొందడానికి డిజైనర్ డెవిల్లెతో కలిసి చాంటెలోప్ చేత ఎగురవేయబడింది, ఇది ప్రయాణీకుల రవాణాలో సవరించబడింది, ఇది బ్రస్సెల్స్ వద్ద తోక స్కిడ్ విరిగింది. [2] C.21 ను కాడ్రాన్ కేటలాగ్‌లో FF 30,000 ధర వద్ద ప్రచారం చేశారు. [1] ఇది ఒక ఉదాహరణ మాత్రమే నిర్మించినట్లు అనిపిస్తుంది, కాని దాని లేఅవుట్ కాడ్రాన్ యొక్క వరుసగా పెద్ద మరియు శక్తివంతమైన C.22 మరియు C.23 రాత్రి బాంబర్లలో పునరావృతమైంది. హావెట్ (2001) నుండి డేటా [1] సాధారణ లక్షణాల పనితీరు</v>
      </c>
      <c r="F83" s="1" t="s">
        <v>1529</v>
      </c>
      <c r="G83" s="1" t="str">
        <f>IFERROR(__xludf.DUMMYFUNCTION("GOOGLETRANSLATE(F:F, ""en"", ""te"")"),"4-సీట్ల టూరింగ్ విమానం")</f>
        <v>4-సీట్ల టూరింగ్ విమానం</v>
      </c>
      <c r="I83" s="1" t="s">
        <v>1200</v>
      </c>
      <c r="J83" s="1" t="str">
        <f>IFERROR(__xludf.DUMMYFUNCTION("GOOGLETRANSLATE(I:I, ""en"", ""te"")"),"కాడ్రాన్")</f>
        <v>కాడ్రాన్</v>
      </c>
      <c r="K83" s="4" t="s">
        <v>1201</v>
      </c>
      <c r="L83" s="1" t="s">
        <v>1202</v>
      </c>
      <c r="M83" s="2" t="str">
        <f>IFERROR(__xludf.DUMMYFUNCTION("GOOGLETRANSLATE(L:L, ""en"", ""te"")"),"పాల్ డెవిల్లే")</f>
        <v>పాల్ డెవిల్లే</v>
      </c>
      <c r="N83" s="1" t="s">
        <v>1316</v>
      </c>
      <c r="O83" s="1">
        <v>1.0</v>
      </c>
      <c r="R83" s="1" t="s">
        <v>550</v>
      </c>
      <c r="S83" s="1" t="s">
        <v>1220</v>
      </c>
      <c r="T83" s="1" t="s">
        <v>1530</v>
      </c>
      <c r="V83" s="1" t="s">
        <v>1531</v>
      </c>
      <c r="W83" s="1" t="s">
        <v>1532</v>
      </c>
      <c r="Z83" s="1" t="s">
        <v>1533</v>
      </c>
      <c r="AF83" s="1" t="s">
        <v>465</v>
      </c>
      <c r="AG83" s="4" t="s">
        <v>466</v>
      </c>
      <c r="AL83" s="1" t="s">
        <v>1534</v>
      </c>
      <c r="AO83" s="1" t="s">
        <v>1535</v>
      </c>
      <c r="AR83" s="1" t="s">
        <v>372</v>
      </c>
      <c r="AV83" s="1" t="s">
        <v>1536</v>
      </c>
      <c r="BA83" s="1" t="s">
        <v>1537</v>
      </c>
      <c r="BB83" s="1" t="s">
        <v>1538</v>
      </c>
      <c r="BC83" s="1" t="s">
        <v>1539</v>
      </c>
    </row>
    <row r="84">
      <c r="A84" s="1" t="s">
        <v>1540</v>
      </c>
      <c r="B84" s="1" t="str">
        <f>IFERROR(__xludf.DUMMYFUNCTION("GOOGLETRANSLATE(A:A, ""en"", ""te"")"),"కాడ్రాన్ C.68")</f>
        <v>కాడ్రాన్ C.68</v>
      </c>
      <c r="C84" s="1" t="s">
        <v>1541</v>
      </c>
      <c r="D84" s="2" t="str">
        <f>IFERROR(__xludf.DUMMYFUNCTION("GOOGLETRANSLATE(C:C, ""en"", ""te"")"),"కాడ్రాన్ C.68 రెండు సీట్ల ఫ్రెంచ్ శిక్షణ మరియు పర్యటన విమానాలు, ఇది 1920 ల ప్రారంభంలో నిర్మించబడింది, ఇది సరళమైన మరియు వేగవంతమైన వింగ్ మడత ఏర్పాట్ కారణంగా ఆ సమయంలో ఆసక్తిని ఆకర్షించింది. కొన్ని మాత్రమే ఉత్పత్తి చేయబడ్డాయి. దాని మడత రెక్కలు కాకుండా, C.68 అ"&amp;"నేది సాంప్రదాయిక సింగిల్ బే బైప్‌లేన్, ఇది ఇలాంటి స్పాన్ యొక్క దీర్ఘచతురస్రాకార ప్రణాళిక రెక్కలతో, అస్థిరంగా ఉంటుంది. ఐలెరాన్‌లను ఎగువ రెక్కలపై మాత్రమే అమర్చారు. బాహ్య ఇంటర్‌ప్లేన్ స్ట్రట్‌లు సమాంతర జతలలో ఉన్నాయి మరియు నాలుగు నిటారుగా ఉన్న క్యాబనే స్ట్రట్"&amp;"‌లలో ఫ్యూజ్‌లేజ్‌పై అప్పర్ వింగ్‌కు మద్దతు ఉంది. వీటిలో ఫార్వర్డ్ జత తక్కువ ఫ్యూజ్‌లేజ్ కోసం మరియు నిలువుగా విభజించడంలో అసాధారణమైనది; లోపలి భాగాలు సెంటర్ విభాగం మరియు ఫ్యూజ్‌లేజ్‌ను అనుసంధానించాయి మరియు బయటి భాగాలు అదనపు ఇంటర్‌ప్లేన్ స్ట్రట్‌లు. రెక్కలను "&amp;"మడవటానికి, సెంటర్ విభాగం వెనుకంజలో ఉన్న ఒక చిన్న విభాగం దాని కీలు యొక్క ఎగువ వింగ్ వెనుక భాగంలో మరియు దిగువ, బయటి, సాధారణంగా క్యాబనే/ఇంటర్‌ప్లేన్ స్ట్రట్ యొక్క భాగాన్ని దాని స్లాట్ నుండి బయటకు తీయడానికి వెనుకకు మడవబడింది. ఫ్యూజ్‌లేజ్‌లో. దిగువ వింగ్ యొక్క"&amp;" వెనుక భాగం ఫ్యూజ్‌లేజ్ అండర్‌సైడ్‌ను క్లియర్ చేసింది. ఐలెరాన్ కేబుల్స్ రెక్కలో నడిచాయి మరియు వైర్లకు కృతజ్ఞతలు తెలుపుతూ డిస్‌కనెక్ట్ చేయవలసిన అవసరం లేదు. [1] [2] C.68 37 kW (50 HP) అంజాని 6-సిలిండర్ రెండు వరుస రేడియల్ ఇంజిన్ ద్వారా శక్తిని పొందింది, కౌలి"&amp;"ంగ్ లేకుండా అమర్చబడి రెండు బ్లేడ్ ప్రొపెల్లర్‌ను నడుపుతుంది. ఇంజిన్ వెనుక ఫ్యూజ్‌లేజ్ ఫ్లాట్ సైడెడ్, అయితే అండర్ సైడ్ వక్ర ప్రొఫైల్ కలిగి ఉంది మరియు వక్ర ఎగువ డెక్కింగ్ ఉంది. ఇది రెండు ఓపెన్ కాక్‌పిట్‌లను కలిగి ఉంది, ఒకటి రెక్క కింద మరియు రెండవది వెనుకంజల"&amp;"ో ఉన్న అంచు యొక్క వెనుక. C.68 యొక్క FIN త్రిభుజాకార మరియు విశాలమైనది, నిలువు అంచుగల అసమతుల్య చుక్కను మోసుకెళ్ళింది, ఇది కీల్ వరకు విస్తరించింది. దాని టెయిల్‌ప్లేన్ ఫ్యూజ్‌లేజ్ పైన అమర్చబడింది, దాని ఎలివేటర్లు చుక్కాని కదలికను అనుమతించాయి. ఇది ఒక 1.40 మీ ("&amp;"4 అడుగుల 7 అంగుళాలు) పొడవైన ఇరుసుపై దాని మెయిన్‌వీల్స్‌తో టెయిల్‌స్కిడ్ అండర్ క్యారేజీని కలిగి ఉంది. రెక్కలను మడవటం మరియు అమలు చేయడం సూటిగా మరియు వేగంగా ఉంటుంది, నాలుగు నిమిషాల కన్నా తక్కువ సమయం పడుతుంది. దిగువ రెక్కలను భూమి నుండి దూరంగా ఉంచడానికి టెయిల్‌"&amp;"స్కిడ్ పొడిగింపుపై పిన్ చేయడం ద్వారా మడత ప్రారంభమైంది. ఈ పొడిగింపు వెళ్ళుట కోసం కారు వెనుక ముడుచుకున్న c.68 ను కూడా అనుసంధానించవచ్చు. C.68 యొక్క ముడుచుకున్న వెడల్పు దాని 2.4 మీ (7 అడుగుల 10 అంగుళాలు) ఎత్తు కంటే తక్కువ. [1] [2] C.68 మొట్టమొదట 1922 లో ఎగురవ"&amp;"ేయబడింది [1] మరియు 1922 పారిస్ సెలూన్లో ప్రదర్శనలో ఉంది, ఇది డిసెంబర్ 15 న ప్రారంభమైంది. [2] మరో c.68 ను బెచెలర్ పారిస్‌కు తరలించారు, అతను దానిని గ్రాండ్ పలైస్ ముందు 16 డిసెంబర్ 1922 న దిగి, తరువాత దాని మడత రెక్కల ప్రదర్శన ఇచ్చారు. [1] [3] ఫ్రెంచ్ సివిల్ "&amp;"రిజిస్టర్‌లో నాలుగు c.68 లు కనిపించాయి. [4] మొత్తం ఆరు C.68 లు నిర్మించబడ్డాయి, వీటిలో ఒకే ఉదాహరణ AD నుండి బయటపడుతుంది. [5] హావెట్ నుండి డేటా (2001) pp.172-3 [1] సాధారణ లక్షణాల పనితీరు")</f>
        <v>కాడ్రాన్ C.68 రెండు సీట్ల ఫ్రెంచ్ శిక్షణ మరియు పర్యటన విమానాలు, ఇది 1920 ల ప్రారంభంలో నిర్మించబడింది, ఇది సరళమైన మరియు వేగవంతమైన వింగ్ మడత ఏర్పాట్ కారణంగా ఆ సమయంలో ఆసక్తిని ఆకర్షించింది. కొన్ని మాత్రమే ఉత్పత్తి చేయబడ్డాయి. దాని మడత రెక్కలు కాకుండా, C.68 అనేది సాంప్రదాయిక సింగిల్ బే బైప్‌లేన్, ఇది ఇలాంటి స్పాన్ యొక్క దీర్ఘచతురస్రాకార ప్రణాళిక రెక్కలతో, అస్థిరంగా ఉంటుంది. ఐలెరాన్‌లను ఎగువ రెక్కలపై మాత్రమే అమర్చారు. బాహ్య ఇంటర్‌ప్లేన్ స్ట్రట్‌లు సమాంతర జతలలో ఉన్నాయి మరియు నాలుగు నిటారుగా ఉన్న క్యాబనే స్ట్రట్‌లలో ఫ్యూజ్‌లేజ్‌పై అప్పర్ వింగ్‌కు మద్దతు ఉంది. వీటిలో ఫార్వర్డ్ జత తక్కువ ఫ్యూజ్‌లేజ్ కోసం మరియు నిలువుగా విభజించడంలో అసాధారణమైనది; లోపలి భాగాలు సెంటర్ విభాగం మరియు ఫ్యూజ్‌లేజ్‌ను అనుసంధానించాయి మరియు బయటి భాగాలు అదనపు ఇంటర్‌ప్లేన్ స్ట్రట్‌లు. రెక్కలను మడవటానికి, సెంటర్ విభాగం వెనుకంజలో ఉన్న ఒక చిన్న విభాగం దాని కీలు యొక్క ఎగువ వింగ్ వెనుక భాగంలో మరియు దిగువ, బయటి, సాధారణంగా క్యాబనే/ఇంటర్‌ప్లేన్ స్ట్రట్ యొక్క భాగాన్ని దాని స్లాట్ నుండి బయటకు తీయడానికి వెనుకకు మడవబడింది. ఫ్యూజ్‌లేజ్‌లో. దిగువ వింగ్ యొక్క వెనుక భాగం ఫ్యూజ్‌లేజ్ అండర్‌సైడ్‌ను క్లియర్ చేసింది. ఐలెరాన్ కేబుల్స్ రెక్కలో నడిచాయి మరియు వైర్లకు కృతజ్ఞతలు తెలుపుతూ డిస్‌కనెక్ట్ చేయవలసిన అవసరం లేదు. [1] [2] C.68 37 kW (50 HP) అంజాని 6-సిలిండర్ రెండు వరుస రేడియల్ ఇంజిన్ ద్వారా శక్తిని పొందింది, కౌలింగ్ లేకుండా అమర్చబడి రెండు బ్లేడ్ ప్రొపెల్లర్‌ను నడుపుతుంది. ఇంజిన్ వెనుక ఫ్యూజ్‌లేజ్ ఫ్లాట్ సైడెడ్, అయితే అండర్ సైడ్ వక్ర ప్రొఫైల్ కలిగి ఉంది మరియు వక్ర ఎగువ డెక్కింగ్ ఉంది. ఇది రెండు ఓపెన్ కాక్‌పిట్‌లను కలిగి ఉంది, ఒకటి రెక్క కింద మరియు రెండవది వెనుకంజలో ఉన్న అంచు యొక్క వెనుక. C.68 యొక్క FIN త్రిభుజాకార మరియు విశాలమైనది, నిలువు అంచుగల అసమతుల్య చుక్కను మోసుకెళ్ళింది, ఇది కీల్ వరకు విస్తరించింది. దాని టెయిల్‌ప్లేన్ ఫ్యూజ్‌లేజ్ పైన అమర్చబడింది, దాని ఎలివేటర్లు చుక్కాని కదలికను అనుమతించాయి. ఇది ఒక 1.40 మీ (4 అడుగుల 7 అంగుళాలు) పొడవైన ఇరుసుపై దాని మెయిన్‌వీల్స్‌తో టెయిల్‌స్కిడ్ అండర్ క్యారేజీని కలిగి ఉంది. రెక్కలను మడవటం మరియు అమలు చేయడం సూటిగా మరియు వేగంగా ఉంటుంది, నాలుగు నిమిషాల కన్నా తక్కువ సమయం పడుతుంది. దిగువ రెక్కలను భూమి నుండి దూరంగా ఉంచడానికి టెయిల్‌స్కిడ్ పొడిగింపుపై పిన్ చేయడం ద్వారా మడత ప్రారంభమైంది. ఈ పొడిగింపు వెళ్ళుట కోసం కారు వెనుక ముడుచుకున్న c.68 ను కూడా అనుసంధానించవచ్చు. C.68 యొక్క ముడుచుకున్న వెడల్పు దాని 2.4 మీ (7 అడుగుల 10 అంగుళాలు) ఎత్తు కంటే తక్కువ. [1] [2] C.68 మొట్టమొదట 1922 లో ఎగురవేయబడింది [1] మరియు 1922 పారిస్ సెలూన్లో ప్రదర్శనలో ఉంది, ఇది డిసెంబర్ 15 న ప్రారంభమైంది. [2] మరో c.68 ను బెచెలర్ పారిస్‌కు తరలించారు, అతను దానిని గ్రాండ్ పలైస్ ముందు 16 డిసెంబర్ 1922 న దిగి, తరువాత దాని మడత రెక్కల ప్రదర్శన ఇచ్చారు. [1] [3] ఫ్రెంచ్ సివిల్ రిజిస్టర్‌లో నాలుగు c.68 లు కనిపించాయి. [4] మొత్తం ఆరు C.68 లు నిర్మించబడ్డాయి, వీటిలో ఒకే ఉదాహరణ AD నుండి బయటపడుతుంది. [5] హావెట్ నుండి డేటా (2001) pp.172-3 [1] సాధారణ లక్షణాల పనితీరు</v>
      </c>
      <c r="E84" s="1" t="s">
        <v>1542</v>
      </c>
      <c r="F84" s="1" t="s">
        <v>1543</v>
      </c>
      <c r="G84" s="1" t="str">
        <f>IFERROR(__xludf.DUMMYFUNCTION("GOOGLETRANSLATE(F:F, ""en"", ""te"")"),"పర్యటన మరియు క్రీడా విమానాలు")</f>
        <v>పర్యటన మరియు క్రీడా విమానాలు</v>
      </c>
      <c r="I84" s="1" t="s">
        <v>1200</v>
      </c>
      <c r="J84" s="1" t="str">
        <f>IFERROR(__xludf.DUMMYFUNCTION("GOOGLETRANSLATE(I:I, ""en"", ""te"")"),"కాడ్రాన్")</f>
        <v>కాడ్రాన్</v>
      </c>
      <c r="K84" s="4" t="s">
        <v>1201</v>
      </c>
      <c r="L84" s="1" t="s">
        <v>1202</v>
      </c>
      <c r="M84" s="2" t="str">
        <f>IFERROR(__xludf.DUMMYFUNCTION("GOOGLETRANSLATE(L:L, ""en"", ""te"")"),"పాల్ డెవిల్లే")</f>
        <v>పాల్ డెవిల్లే</v>
      </c>
      <c r="O84" s="1">
        <v>6.0</v>
      </c>
      <c r="P84" s="1" t="s">
        <v>1233</v>
      </c>
      <c r="Q84" s="1" t="s">
        <v>1544</v>
      </c>
      <c r="R84" s="1" t="s">
        <v>1138</v>
      </c>
      <c r="T84" s="1" t="s">
        <v>1237</v>
      </c>
      <c r="U84" s="1" t="s">
        <v>1545</v>
      </c>
      <c r="V84" s="1" t="s">
        <v>1546</v>
      </c>
      <c r="W84" s="1" t="s">
        <v>1284</v>
      </c>
      <c r="X84" s="1" t="s">
        <v>1547</v>
      </c>
      <c r="Z84" s="1" t="s">
        <v>1548</v>
      </c>
      <c r="AF84" s="1" t="s">
        <v>465</v>
      </c>
      <c r="AG84" s="4" t="s">
        <v>466</v>
      </c>
      <c r="AI84" s="1" t="s">
        <v>1243</v>
      </c>
      <c r="AK84" s="1" t="s">
        <v>1549</v>
      </c>
      <c r="AL84" s="1" t="s">
        <v>1550</v>
      </c>
      <c r="AO84" s="1">
        <v>1922.0</v>
      </c>
      <c r="AR84" s="1" t="s">
        <v>372</v>
      </c>
    </row>
    <row r="85">
      <c r="A85" s="1" t="s">
        <v>1551</v>
      </c>
      <c r="B85" s="1" t="str">
        <f>IFERROR(__xludf.DUMMYFUNCTION("GOOGLETRANSLATE(A:A, ""en"", ""te"")"),"కాడ్రాన్ C.91")</f>
        <v>కాడ్రాన్ C.91</v>
      </c>
      <c r="C85" s="1" t="s">
        <v>1552</v>
      </c>
      <c r="D85" s="2" t="str">
        <f>IFERROR(__xludf.DUMMYFUNCTION("GOOGLETRANSLATE(C:C, ""en"", ""te"")"),"కాడ్రాన్ C.91 ఒక ఫ్రెంచ్ సింగిల్ ఇంజిన్ బిప్‌లేన్, ఇది పరివేష్టిత ప్రయాణీకుల క్యాబిన్ సీటింగ్ నాలుగు. ఇది మొదట 1923 లో ప్రయాణించింది. C.91 ఒక సాంప్రదాయిక సింగిల్ ఇంజిన్ రెండు బే బిప్‌లేన్, ఇది చెక్క నిర్మాణం మరియు ఫాబ్రిక్ కవరింగ్. బేలను సమాంతర ఇంటర్‌ప్లే"&amp;"న్ స్ట్రట్‌ల జతల ద్వారా నిర్వచించారు; క్యాబనే స్ట్రట్స్ యొక్క సారూప్య కానీ తక్కువ జతల ఎగువ ఫ్యూజ్‌లేజ్ నుండి అప్పర్ వింగ్ సెంటర్ విభాగానికి నడిచింది. ప్రణాళికలో దాని రెక్కలు దీర్ఘచతురస్రాకారంగా ఉన్నాయి, ఐలెరాన్‌లు పై రెక్కపై మాత్రమే ఉన్నాయి. [1] [2] 1923 "&amp;"చివరలో తయారు చేయబడిన దాని మొదటి విమానాల కోసం, C.91 ను 224 kW (300 HP) రెనాల్ట్ 12F వాటర్-కూల్డ్ నిటారుగా ఉన్న V-12 ఇంజిన్ [2] తో నడిచింది, ప్రొపెల్లర్ వెనుక ఉన్న విపరీతమైన ముక్కులో దీర్ఘచతురస్రాకార రేడియేటర్‌తో, పరివేష్టితమైంది ఫ్లాట్ సైడెడ్, స్లాట్డ్ కౌల"&amp;"ింగ్‌లో. మిగిలిన ఫ్యూజ్‌లేజ్ కూడా ఫ్లాట్ సైడెడ్. పైలట్ రెక్క కింద ఓపెన్ కాక్‌పిట్ కలిగి ఉన్నాడు మరియు అతని వెనుక నలుగురు ప్రయాణీకులు నాలుగు కిటికీలతో పరివేష్టిత క్యాబిన్‌లో కూర్చున్నారు. ప్రయాణీకుల సౌకర్యం ఒక ప్రాధాన్యత మరియు 100 కిలోల (220 పౌండ్లు) సామాన"&amp;"ు పట్టులో ఉంచవచ్చు. వెనుక భాగంలో ఫిన్ త్రిభుజాకారంగా మరియు విశాలంగా ఉంది, సమతుల్య చుక్కానిని మోసుకెళ్ళి, ఇది కీల్‌కు విస్తరించింది. ఫ్యూజ్‌లేజ్ పైన టెయిల్‌ప్లేన్ మరియు ఎలివేటర్లు అమర్చబడ్డాయి. C.91 లో టెయిల్‌వీల్ అండర్ క్యారేజీని కలిగి ఉంది, దాని మెయిన్‌వ"&amp;"ీల్స్‌తో ఫ్యూజ్‌లేజ్ వెడల్పు కంటే ఎక్కువ పొడవు, ఒక జత V- స్ట్రట్‌లకు దిగువ ఫ్యూజ్‌లేజ్ లాంగన్స్‌కు పుట్టుకొచ్చింది. [1] C.91 యొక్క కార్యకలాపాల గురించి చాలా తక్కువగా తెలుసు, కాని ఇది 1925 కూపే డి ఏవియేషన్ జెనిత్ (జెనిత్ ఏవియేషన్ కప్) లో పోటీపడింది, ఇది ఇంధ"&amp;"న-ఆర్థిక లోడ్ మోసేటప్పుడు ప్రదానం చేయబడింది. ఇది జూలై 1925 ప్రారంభంలో జరిగింది, ఆ సమయానికి రెనాల్ట్ ఇంజిన్ స్థానంలో మరింత శక్తివంతమైన 276 కిలోవాట్ (370 హెచ్‌పి) లోరైన్ 12 డి వాటర్-కూల్డ్ వి -12 తో భర్తీ చేయబడింది. చెడు వాతావరణం చాలా మంది పోటీదారులను ఉంచిం"&amp;"ది, బెచెలెట్ యొక్క C.91, గ్రౌన్దేడ్ మరియు ఈవెంట్ 1926 లో తిరిగి ప్రారంభమైంది. [3] హావెట్ నుండి డేటా (2001) పే .185 [1] సాధారణ లక్షణాల పనితీరు")</f>
        <v>కాడ్రాన్ C.91 ఒక ఫ్రెంచ్ సింగిల్ ఇంజిన్ బిప్‌లేన్, ఇది పరివేష్టిత ప్రయాణీకుల క్యాబిన్ సీటింగ్ నాలుగు. ఇది మొదట 1923 లో ప్రయాణించింది. C.91 ఒక సాంప్రదాయిక సింగిల్ ఇంజిన్ రెండు బే బిప్‌లేన్, ఇది చెక్క నిర్మాణం మరియు ఫాబ్రిక్ కవరింగ్. బేలను సమాంతర ఇంటర్‌ప్లేన్ స్ట్రట్‌ల జతల ద్వారా నిర్వచించారు; క్యాబనే స్ట్రట్స్ యొక్క సారూప్య కానీ తక్కువ జతల ఎగువ ఫ్యూజ్‌లేజ్ నుండి అప్పర్ వింగ్ సెంటర్ విభాగానికి నడిచింది. ప్రణాళికలో దాని రెక్కలు దీర్ఘచతురస్రాకారంగా ఉన్నాయి, ఐలెరాన్‌లు పై రెక్కపై మాత్రమే ఉన్నాయి. [1] [2] 1923 చివరలో తయారు చేయబడిన దాని మొదటి విమానాల కోసం, C.91 ను 224 kW (300 HP) రెనాల్ట్ 12F వాటర్-కూల్డ్ నిటారుగా ఉన్న V-12 ఇంజిన్ [2] తో నడిచింది, ప్రొపెల్లర్ వెనుక ఉన్న విపరీతమైన ముక్కులో దీర్ఘచతురస్రాకార రేడియేటర్‌తో, పరివేష్టితమైంది ఫ్లాట్ సైడెడ్, స్లాట్డ్ కౌలింగ్‌లో. మిగిలిన ఫ్యూజ్‌లేజ్ కూడా ఫ్లాట్ సైడెడ్. పైలట్ రెక్క కింద ఓపెన్ కాక్‌పిట్ కలిగి ఉన్నాడు మరియు అతని వెనుక నలుగురు ప్రయాణీకులు నాలుగు కిటికీలతో పరివేష్టిత క్యాబిన్‌లో కూర్చున్నారు. ప్రయాణీకుల సౌకర్యం ఒక ప్రాధాన్యత మరియు 100 కిలోల (220 పౌండ్లు) సామాను పట్టులో ఉంచవచ్చు. వెనుక భాగంలో ఫిన్ త్రిభుజాకారంగా మరియు విశాలంగా ఉంది, సమతుల్య చుక్కానిని మోసుకెళ్ళి, ఇది కీల్‌కు విస్తరించింది. ఫ్యూజ్‌లేజ్ పైన టెయిల్‌ప్లేన్ మరియు ఎలివేటర్లు అమర్చబడ్డాయి. C.91 లో టెయిల్‌వీల్ అండర్ క్యారేజీని కలిగి ఉంది, దాని మెయిన్‌వీల్స్‌తో ఫ్యూజ్‌లేజ్ వెడల్పు కంటే ఎక్కువ పొడవు, ఒక జత V- స్ట్రట్‌లకు దిగువ ఫ్యూజ్‌లేజ్ లాంగన్స్‌కు పుట్టుకొచ్చింది. [1] C.91 యొక్క కార్యకలాపాల గురించి చాలా తక్కువగా తెలుసు, కాని ఇది 1925 కూపే డి ఏవియేషన్ జెనిత్ (జెనిత్ ఏవియేషన్ కప్) లో పోటీపడింది, ఇది ఇంధన-ఆర్థిక లోడ్ మోసేటప్పుడు ప్రదానం చేయబడింది. ఇది జూలై 1925 ప్రారంభంలో జరిగింది, ఆ సమయానికి రెనాల్ట్ ఇంజిన్ స్థానంలో మరింత శక్తివంతమైన 276 కిలోవాట్ (370 హెచ్‌పి) లోరైన్ 12 డి వాటర్-కూల్డ్ వి -12 తో భర్తీ చేయబడింది. చెడు వాతావరణం చాలా మంది పోటీదారులను ఉంచింది, బెచెలెట్ యొక్క C.91, గ్రౌన్దేడ్ మరియు ఈవెంట్ 1926 లో తిరిగి ప్రారంభమైంది. [3] హావెట్ నుండి డేటా (2001) పే .185 [1] సాధారణ లక్షణాల పనితీరు</v>
      </c>
      <c r="F85" s="1" t="s">
        <v>1553</v>
      </c>
      <c r="G85" s="1" t="str">
        <f>IFERROR(__xludf.DUMMYFUNCTION("GOOGLETRANSLATE(F:F, ""en"", ""te"")"),"నాలుగు సీట్ల ప్రయాణీకుల విమానం")</f>
        <v>నాలుగు సీట్ల ప్రయాణీకుల విమానం</v>
      </c>
      <c r="H85" s="1" t="s">
        <v>1554</v>
      </c>
      <c r="I85" s="1" t="s">
        <v>1200</v>
      </c>
      <c r="J85" s="1" t="str">
        <f>IFERROR(__xludf.DUMMYFUNCTION("GOOGLETRANSLATE(I:I, ""en"", ""te"")"),"కాడ్రాన్")</f>
        <v>కాడ్రాన్</v>
      </c>
      <c r="K85" s="4" t="s">
        <v>1201</v>
      </c>
      <c r="L85" s="1" t="s">
        <v>1516</v>
      </c>
      <c r="M85" s="2" t="str">
        <f>IFERROR(__xludf.DUMMYFUNCTION("GOOGLETRANSLATE(L:L, ""en"", ""te"")"),"ఆండ్రే బ్రూనెట్")</f>
        <v>ఆండ్రే బ్రూనెట్</v>
      </c>
      <c r="S85" s="1" t="s">
        <v>1555</v>
      </c>
      <c r="V85" s="1" t="s">
        <v>1337</v>
      </c>
      <c r="X85" s="1" t="s">
        <v>1556</v>
      </c>
      <c r="Z85" s="1" t="s">
        <v>1557</v>
      </c>
      <c r="AF85" s="1" t="s">
        <v>465</v>
      </c>
      <c r="AG85" s="4" t="s">
        <v>466</v>
      </c>
      <c r="AL85" s="1" t="s">
        <v>1558</v>
      </c>
      <c r="AO85" s="1" t="s">
        <v>1559</v>
      </c>
      <c r="AR85" s="1" t="s">
        <v>372</v>
      </c>
      <c r="AU85" s="1" t="s">
        <v>1560</v>
      </c>
      <c r="BC85" s="1" t="s">
        <v>1561</v>
      </c>
    </row>
    <row r="86">
      <c r="A86" s="1" t="s">
        <v>1562</v>
      </c>
      <c r="B86" s="1" t="str">
        <f>IFERROR(__xludf.DUMMYFUNCTION("GOOGLETRANSLATE(A:A, ""en"", ""te"")"),"కాడ్రాన్ రకం B మల్టీప్లేస్")</f>
        <v>కాడ్రాన్ రకం B మల్టీప్లేస్</v>
      </c>
      <c r="C86" s="1" t="s">
        <v>1563</v>
      </c>
      <c r="D86" s="2" t="str">
        <f>IFERROR(__xludf.DUMMYFUNCTION("GOOGLETRANSLATE(C:C, ""en"", ""te"")"),"కాడ్రాన్ టైప్ బి మల్టిప్లేస్ అనేది 1912 నాటి క్రాస్ కంట్రీ టైమ్ ట్రయల్‌లో ఐదుగురు ప్రయాణీకులను తీసుకువెళ్ళడానికి రూపొందించిన ఒక పెద్ద ఫ్రెంచ్ బిప్‌లేన్. ఇది ఈ సంఘటన ప్రారంభంలో నాశనం చేయబడింది. ఆ సంవత్సరం జూన్ మధ్యలో గ్రాండ్ ప్రిక్స్ డి'అవియేషన్ డి ఎల్ ఎరో"&amp;"-క్లబ్ డి ఫ్రాన్స్ పోటీలో భాగంగా జరగబోయే అంజౌ టైమ్ ట్రయల్ యొక్క సర్క్యూట్ కోసం ఏప్రిల్ 1912 లో ప్రచురణ తరువాత, కాడ్రాన్ బ్రదర్స్ ప్రారంభమైంది నలుగురు లేదా ఐదుగురు ప్రయాణీకులను తీసుకువెళ్ళగల పోటీదారుడి రూపకల్పన. ప్రయాణీకుల మోసే సామర్థ్యానికి ప్రాధాన్యత ఇవ్"&amp;"వబడింది నిబంధనల ద్వారా నిర్ణయించబడుతుంది: 75 కిలోల (165 ఎల్బి) కంటే ఎక్కువ బరువున్న ప్రతి ప్రయాణీకులకు, 163 కిమీ (101 మై) కోర్సు యొక్క అవసరమైన ఏడు సర్క్యూట్ల విమాన సమయం .mw-పార్సర్- ద్వారా తగ్గించబడుతుంది. అవుట్పుట్ .ఫ్రాక్ {వైట్-స్పేస్: nowrap} .mw-Parse"&amp;"r-output .frac .num, .mw-Parser-output .frac .den {font-size: 80%; లైన్-హైట్: 0; నిలువు-అమరిక: సూపర్ } .mw-Parser-output .frac .den {vertical-align: sub} .mw-Parser-output .sr- మాత్రమే {సరిహద్దు: 0; క్లిప్: రెక్ట్ (0,0,0,0); ఎత్తు: 1px; మార్జిన్: -1px; ఓవ"&amp;"ర్‌ఫ్లో: దాచిన; పాడింగ్: 0; స్థానం: సంపూర్ణ; వెడల్పు: 1px} 1⁄6. ఐదుగురు ప్రయాణీకుల పోటీ సమయాలు విమాన సమయాల్లో 40% కు సగానికి తగ్గట్టుగా ఉంటాయి. ఎక్కువ బరువుకు ఎక్కువ శక్తి అవసరం మరియు నియమాలు ఇంజిన్ స్థానభ్రంశాన్ని 12 ఎల్ (730 క్యూ ఇన్) కు పరిమితం చేశాయి."&amp;" ప్రారంభ కాడ్రాన్ విమానం, టైప్ ఎ వంటి అంజని ఇంజిన్లను ఉపయోగించింది, మరియు కొత్త 10.69 ఎల్ (652 క్యూ ఇన్), 75 కిలోవాట్ ఎంపిక చేయబడింది. [1] [2] ప్రయాణీకుల లోడ్‌కు మల్టిప్లేస్ వారి మునుపటి విమానాల కంటే పెద్ద వింగ్ ప్రాంతాన్ని కలిగి ఉండాలి, అయినప్పటికీ రెక్క"&amp;" గతంలో స్థాపించబడిన సాధారణ లక్షణాలను కొనసాగించింది. ఎగువ మరియు దిగువ రెక్కలు రెండూ ఒకే ప్రణాళికను కలిగి ఉన్నాయి, వాటి చిట్కాలు కాకుండా దీర్ఘచతురస్రాకారంలో, ఎగువ వ్యవధి దిగువ కంటే 27% ఎక్కువ. అవి ఫాబ్రిక్ కప్పబడి, జంట స్పార్‌ల చుట్టూ నిర్మించబడ్డాయి, ఈ రెం"&amp;"డూ మధ్య తీగ కంటే ముందు ఉన్నాయి, ప్రతి పక్కటెముక యొక్క పొడవును చాలావరకు మద్దతు ఇవ్వలేదు మరియు రోల్ కంట్రోల్ కోసం వార్ప్ చేయడానికి ఉచితం. పెద్ద వ్యవధి కారణంగా అవి మూడు బే రెక్కలు, బేలు మూడు జతల సమాంతర, నిలువు ఇంటర్‌ప్లేన్ స్ట్రట్‌లతో వేరు చేయబడతాయి; అస్థిరత"&amp;" లేదు. ప్రతి రెక్కలో మరొక జత సమాంతర మాస్ట్‌లు బయటి ఇంటర్‌ప్లేన్ స్ట్రట్స్ యొక్క స్థావరాల నుండి బయటికి వస్తాయి, ఎగువ వింగ్ యొక్క ఓవర్‌హాంగ్‌కు మద్దతుగా మరియు వింగ్ మూలాల వద్ద మరో రెండు జతల నిలువు ఇంటర్‌ప్లేన్ స్ట్రట్‌లు వింగ్ సెంటర్ విభాగం మరియు దిగువకు పై"&amp;"న ఉన్నాయి వింగ్, ఫ్యూజ్‌లేజ్, టైప్ బి యొక్క చిన్న నాసెల్లెకు మద్దతు ఇవ్వడానికి కూడా ఉపయోగించే అమరిక. [1] నాసెల్లె మరియు బి టైప్ బిపై ఎంపెనేజ్‌కు మద్దతు ఇచ్చే జంట బూమ్‌లకు బదులుగా, మల్టీప్లేస్‌లో దీర్ఘచతురస్రాకార విభాగం ఉంది, ముక్కులోని ఇంజిన్‌తో పూర్తి పొ"&amp;"డవు ఫ్యూజ్‌లేజ్, నాలుగు లాంగన్స్ మరియు ఫాబ్రిక్ చుట్టూ నిర్మించబడింది. ప్రయాణీకులు మరియు పైలట్ కోసం పొడవైన, ఓపెన్ కాక్‌పిట్ ఉంది, రెండోది మంచి పైకి దృష్టి కోసం రెక్క వెనుకంజలో ఉన్న ఎడ్జ్‌లో కొద్దిగా కటౌట్ కింద వెనుక భాగంలో కూర్చుంది. సింగిల్, సుమారు దీర్ఘ"&amp;"చతురస్రాకార చుక్కాని పూర్తిగా ఫ్యూజ్‌లేజ్ పైన ఉంది మరియు దాని దిగువ భాగంలో కత్తిరించబడింది, క్షితిజ సమాంతర తోక యొక్క వెనుకంజలో ఉన్న అంచుని విక్షేపం చేస్తుంది. ఫ్యూజ్‌లేజ్ పైన టెయిల్‌ప్లేన్ అమర్చబడింది. మల్టిప్లేస్ రెండు జతల మెయిన్‌వీల్స్ కలిగి ఉంది; ప్రతి"&amp;" జత పొడవైన స్కిడ్‌లో పైకి లేచిన ముక్కుతో అమర్చబడింది, ఇది రెక్కకు మించి ముందుకు మరియు వెనుకకు విస్తరించింది. ఇవి విమానాన్ని మైదానంలో టేకాఫ్ వైఖరికి దగ్గరగా ఉంచాయి మరియు ఈ విధంగా ఇతర కాడ్రాన్ రకాల సమయం మీద ఉపయోగించే టెయిల్‌బూమ్‌ల యొక్క దిగువ సభ్యులను భర్తీ"&amp;" చేశారు. వెనుక ఫ్యూజ్‌లేజ్ చాలా పొడవైన టెయిల్‌స్కిడ్ ద్వారా రక్షించబడింది. అండర్‌వింగ్‌స్కిడ్‌లు లోపలి ఇంటర్‌ప్లేన్ స్ట్రట్‌ల యొక్క రేఖాంశంగా స్ప్లేడ్ పొడిగింపులపై ఉంచబడ్డాయి మరియు సెంటర్ సెక్షన్ స్ట్రట్‌ల స్థావరాలకు తేలికైన స్ట్రట్‌ల ద్వారా విలోమంగా కలుప"&amp;"ుతారు. [1] పోటీ ప్రారంభించడానికి కొద్ది రోజుల ముందు మాత్రమే మల్టీప్లేస్ పూర్తయింది, పరీక్ష కోసం తక్కువ సమయం మిగిలి ఉంది. ఇది నలుగురు ప్రయాణీకులతో అంజౌకు వెళ్లింది. మొదటి రోజు చెడు వాతావరణం ఉద్దేశించిన కార్యక్రమాన్ని అసాధ్యం చేసింది, కాని మరుసటి రోజు (17 జ"&amp;"ూన్) కొంతవరకు మెరుగ్గా ఉంది మరియు నిర్వాహకులు ఒక రోజు ఈవెంట్‌ను మెరుగుపరిచారు. రెనే కాడ్రాన్ పాల్గొనాలని నిర్ణయించుకున్నాడు, అయినప్పటికీ ముగ్గురు ప్రయాణీకులను మల్టీప్లేస్‌లో మాత్రమే మోసుకెళ్ళారు. అలార్డ్ చేత ఎగురవేయబడింది మరియు ఇంజిన్ సుమారుగా నడుస్తున్నప"&amp;"్పుడు, విమానం ఇంతకు ముందు 12 మీ (39 అడుగులు) కు ఎక్కింది, ఒక చూపరుడు వివరించినట్లుగా, ""పెంపకం"" (సే కోబ్రా), వేగంగా తిరగడం, నేలమీద ఒక వింగ్టిప్ పట్టుకుని, నోసివింగ్. ఆక్రమణదారులలో ముగ్గురు పెద్ద గాయం లేకుండా తప్పించుకున్నారు, కాని ఒకరు, కాడ్రాన్ మెకానిక్"&amp;", ఒక కాలు విరిగింది. మల్టిప్లేస్ పునర్నిర్మించబడలేదు మరియు కాడ్రాన్ పద్నాలుగు సిలిండర్ అంజాని ఇంజిన్‌ను మళ్లీ ఉపయోగించలేదు, అయినప్పటికీ అవి ఇతర మోడళ్లను తరచుగా ఉపయోగించాయి. [1] [3] హావెట్ నుండి డేటా (2001) pp.24-5 [1] సాధారణ లక్షణాలు")</f>
        <v>కాడ్రాన్ టైప్ బి మల్టిప్లేస్ అనేది 1912 నాటి క్రాస్ కంట్రీ టైమ్ ట్రయల్‌లో ఐదుగురు ప్రయాణీకులను తీసుకువెళ్ళడానికి రూపొందించిన ఒక పెద్ద ఫ్రెంచ్ బిప్‌లేన్. ఇది ఈ సంఘటన ప్రారంభంలో నాశనం చేయబడింది. ఆ సంవత్సరం జూన్ మధ్యలో గ్రాండ్ ప్రిక్స్ డి'అవియేషన్ డి ఎల్ ఎరో-క్లబ్ డి ఫ్రాన్స్ పోటీలో భాగంగా జరగబోయే అంజౌ టైమ్ ట్రయల్ యొక్క సర్క్యూట్ కోసం ఏప్రిల్ 1912 లో ప్రచురణ తరువాత, కాడ్రాన్ బ్రదర్స్ ప్రారంభమైంది నలుగురు లేదా ఐదుగురు ప్రయాణీకులను తీసుకువెళ్ళగల పోటీదారుడి రూపకల్పన. ప్రయాణీకుల మోసే సామర్థ్యానికి ప్రాధాన్యత ఇవ్వబడింది నిబంధనల ద్వారా నిర్ణయించబడుతుంది: 75 కిలోల (165 ఎల్బి) కంటే ఎక్కువ బరువున్న ప్రతి ప్రయాణీకులకు, 163 కిమీ (101 మై) కోర్సు యొక్క అవసరమైన ఏడు సర్క్యూట్ల విమాన సమయం .mw-పార్సర్- ద్వారా తగ్గించబడుతుంది. అవుట్పుట్ .ఫ్రాక్ {వైట్-స్పేస్: nowrap} .mw-Parser-output .frac .num, .mw-Parser-output .frac .den {font-size: 80%; లైన్-హైట్: 0; నిలువు-అమరిక: సూపర్ } .mw-Parser-output .frac .den {vertical-align: sub} .mw-Parser-output .sr- మాత్రమే {సరిహద్దు: 0; క్లిప్: రెక్ట్ (0,0,0,0); ఎత్తు: 1px; మార్జిన్: -1px; ఓవర్‌ఫ్లో: దాచిన; పాడింగ్: 0; స్థానం: సంపూర్ణ; వెడల్పు: 1px} 1⁄6. ఐదుగురు ప్రయాణీకుల పోటీ సమయాలు విమాన సమయాల్లో 40% కు సగానికి తగ్గట్టుగా ఉంటాయి. ఎక్కువ బరువుకు ఎక్కువ శక్తి అవసరం మరియు నియమాలు ఇంజిన్ స్థానభ్రంశాన్ని 12 ఎల్ (730 క్యూ ఇన్) కు పరిమితం చేశాయి. ప్రారంభ కాడ్రాన్ విమానం, టైప్ ఎ వంటి అంజని ఇంజిన్లను ఉపయోగించింది, మరియు కొత్త 10.69 ఎల్ (652 క్యూ ఇన్), 75 కిలోవాట్ ఎంపిక చేయబడింది. [1] [2] ప్రయాణీకుల లోడ్‌కు మల్టిప్లేస్ వారి మునుపటి విమానాల కంటే పెద్ద వింగ్ ప్రాంతాన్ని కలిగి ఉండాలి, అయినప్పటికీ రెక్క గతంలో స్థాపించబడిన సాధారణ లక్షణాలను కొనసాగించింది. ఎగువ మరియు దిగువ రెక్కలు రెండూ ఒకే ప్రణాళికను కలిగి ఉన్నాయి, వాటి చిట్కాలు కాకుండా దీర్ఘచతురస్రాకారంలో, ఎగువ వ్యవధి దిగువ కంటే 27% ఎక్కువ. అవి ఫాబ్రిక్ కప్పబడి, జంట స్పార్‌ల చుట్టూ నిర్మించబడ్డాయి, ఈ రెండూ మధ్య తీగ కంటే ముందు ఉన్నాయి, ప్రతి పక్కటెముక యొక్క పొడవును చాలావరకు మద్దతు ఇవ్వలేదు మరియు రోల్ కంట్రోల్ కోసం వార్ప్ చేయడానికి ఉచితం. పెద్ద వ్యవధి కారణంగా అవి మూడు బే రెక్కలు, బేలు మూడు జతల సమాంతర, నిలువు ఇంటర్‌ప్లేన్ స్ట్రట్‌లతో వేరు చేయబడతాయి; అస్థిరత లేదు. ప్రతి రెక్కలో మరొక జత సమాంతర మాస్ట్‌లు బయటి ఇంటర్‌ప్లేన్ స్ట్రట్స్ యొక్క స్థావరాల నుండి బయటికి వస్తాయి, ఎగువ వింగ్ యొక్క ఓవర్‌హాంగ్‌కు మద్దతుగా మరియు వింగ్ మూలాల వద్ద మరో రెండు జతల నిలువు ఇంటర్‌ప్లేన్ స్ట్రట్‌లు వింగ్ సెంటర్ విభాగం మరియు దిగువకు పైన ఉన్నాయి వింగ్, ఫ్యూజ్‌లేజ్, టైప్ బి యొక్క చిన్న నాసెల్లెకు మద్దతు ఇవ్వడానికి కూడా ఉపయోగించే అమరిక. [1] నాసెల్లె మరియు బి టైప్ బిపై ఎంపెనేజ్‌కు మద్దతు ఇచ్చే జంట బూమ్‌లకు బదులుగా, మల్టీప్లేస్‌లో దీర్ఘచతురస్రాకార విభాగం ఉంది, ముక్కులోని ఇంజిన్‌తో పూర్తి పొడవు ఫ్యూజ్‌లేజ్, నాలుగు లాంగన్స్ మరియు ఫాబ్రిక్ చుట్టూ నిర్మించబడింది. ప్రయాణీకులు మరియు పైలట్ కోసం పొడవైన, ఓపెన్ కాక్‌పిట్ ఉంది, రెండోది మంచి పైకి దృష్టి కోసం రెక్క వెనుకంజలో ఉన్న ఎడ్జ్‌లో కొద్దిగా కటౌట్ కింద వెనుక భాగంలో కూర్చుంది. సింగిల్, సుమారు దీర్ఘచతురస్రాకార చుక్కాని పూర్తిగా ఫ్యూజ్‌లేజ్ పైన ఉంది మరియు దాని దిగువ భాగంలో కత్తిరించబడింది, క్షితిజ సమాంతర తోక యొక్క వెనుకంజలో ఉన్న అంచుని విక్షేపం చేస్తుంది. ఫ్యూజ్‌లేజ్ పైన టెయిల్‌ప్లేన్ అమర్చబడింది. మల్టిప్లేస్ రెండు జతల మెయిన్‌వీల్స్ కలిగి ఉంది; ప్రతి జత పొడవైన స్కిడ్‌లో పైకి లేచిన ముక్కుతో అమర్చబడింది, ఇది రెక్కకు మించి ముందుకు మరియు వెనుకకు విస్తరించింది. ఇవి విమానాన్ని మైదానంలో టేకాఫ్ వైఖరికి దగ్గరగా ఉంచాయి మరియు ఈ విధంగా ఇతర కాడ్రాన్ రకాల సమయం మీద ఉపయోగించే టెయిల్‌బూమ్‌ల యొక్క దిగువ సభ్యులను భర్తీ చేశారు. వెనుక ఫ్యూజ్‌లేజ్ చాలా పొడవైన టెయిల్‌స్కిడ్ ద్వారా రక్షించబడింది. అండర్‌వింగ్‌స్కిడ్‌లు లోపలి ఇంటర్‌ప్లేన్ స్ట్రట్‌ల యొక్క రేఖాంశంగా స్ప్లేడ్ పొడిగింపులపై ఉంచబడ్డాయి మరియు సెంటర్ సెక్షన్ స్ట్రట్‌ల స్థావరాలకు తేలికైన స్ట్రట్‌ల ద్వారా విలోమంగా కలుపుతారు. [1] పోటీ ప్రారంభించడానికి కొద్ది రోజుల ముందు మాత్రమే మల్టీప్లేస్ పూర్తయింది, పరీక్ష కోసం తక్కువ సమయం మిగిలి ఉంది. ఇది నలుగురు ప్రయాణీకులతో అంజౌకు వెళ్లింది. మొదటి రోజు చెడు వాతావరణం ఉద్దేశించిన కార్యక్రమాన్ని అసాధ్యం చేసింది, కాని మరుసటి రోజు (17 జూన్) కొంతవరకు మెరుగ్గా ఉంది మరియు నిర్వాహకులు ఒక రోజు ఈవెంట్‌ను మెరుగుపరిచారు. రెనే కాడ్రాన్ పాల్గొనాలని నిర్ణయించుకున్నాడు, అయినప్పటికీ ముగ్గురు ప్రయాణీకులను మల్టీప్లేస్‌లో మాత్రమే మోసుకెళ్ళారు. అలార్డ్ చేత ఎగురవేయబడింది మరియు ఇంజిన్ సుమారుగా నడుస్తున్నప్పుడు, విమానం ఇంతకు ముందు 12 మీ (39 అడుగులు) కు ఎక్కింది, ఒక చూపరుడు వివరించినట్లుగా, "పెంపకం" (సే కోబ్రా), వేగంగా తిరగడం, నేలమీద ఒక వింగ్టిప్ పట్టుకుని, నోసివింగ్. ఆక్రమణదారులలో ముగ్గురు పెద్ద గాయం లేకుండా తప్పించుకున్నారు, కాని ఒకరు, కాడ్రాన్ మెకానిక్, ఒక కాలు విరిగింది. మల్టిప్లేస్ పునర్నిర్మించబడలేదు మరియు కాడ్రాన్ పద్నాలుగు సిలిండర్ అంజాని ఇంజిన్‌ను మళ్లీ ఉపయోగించలేదు, అయినప్పటికీ అవి ఇతర మోడళ్లను తరచుగా ఉపయోగించాయి. [1] [3] హావెట్ నుండి డేటా (2001) pp.24-5 [1] సాధారణ లక్షణాలు</v>
      </c>
      <c r="F86" s="1" t="s">
        <v>1564</v>
      </c>
      <c r="G86" s="1" t="str">
        <f>IFERROR(__xludf.DUMMYFUNCTION("GOOGLETRANSLATE(F:F, ""en"", ""te"")"),"మల్టీ-సీట్ల బిప్‌లేన్")</f>
        <v>మల్టీ-సీట్ల బిప్‌లేన్</v>
      </c>
      <c r="H86" s="1" t="s">
        <v>1565</v>
      </c>
      <c r="I86" s="1" t="s">
        <v>1200</v>
      </c>
      <c r="J86" s="1" t="str">
        <f>IFERROR(__xludf.DUMMYFUNCTION("GOOGLETRANSLATE(I:I, ""en"", ""te"")"),"కాడ్రాన్")</f>
        <v>కాడ్రాన్</v>
      </c>
      <c r="K86" s="4" t="s">
        <v>1201</v>
      </c>
      <c r="M86" s="2"/>
      <c r="O86" s="1">
        <v>1.0</v>
      </c>
      <c r="R86" s="1" t="s">
        <v>129</v>
      </c>
      <c r="S86" s="1" t="s">
        <v>1566</v>
      </c>
      <c r="T86" s="1" t="s">
        <v>1318</v>
      </c>
      <c r="V86" s="1" t="s">
        <v>1282</v>
      </c>
      <c r="W86" s="1" t="s">
        <v>1567</v>
      </c>
      <c r="X86" s="1" t="s">
        <v>1568</v>
      </c>
      <c r="Z86" s="1" t="s">
        <v>1569</v>
      </c>
      <c r="AC86" s="1" t="s">
        <v>1570</v>
      </c>
      <c r="AF86" s="1" t="s">
        <v>465</v>
      </c>
      <c r="AG86" s="4" t="s">
        <v>466</v>
      </c>
      <c r="AK86" s="1" t="s">
        <v>1571</v>
      </c>
      <c r="AO86" s="1" t="s">
        <v>1572</v>
      </c>
      <c r="AR86" s="1" t="s">
        <v>372</v>
      </c>
      <c r="BA86" s="1" t="s">
        <v>1573</v>
      </c>
      <c r="BB86" s="1" t="s">
        <v>1574</v>
      </c>
    </row>
    <row r="87">
      <c r="A87" s="1" t="s">
        <v>1575</v>
      </c>
      <c r="B87" s="1" t="str">
        <f>IFERROR(__xludf.DUMMYFUNCTION("GOOGLETRANSLATE(A:A, ""en"", ""te"")"),"కాడ్రాన్ రకం o")</f>
        <v>కాడ్రాన్ రకం o</v>
      </c>
      <c r="C87" s="1" t="s">
        <v>1576</v>
      </c>
      <c r="D87" s="2" t="str">
        <f>IFERROR(__xludf.DUMMYFUNCTION("GOOGLETRANSLATE(C:C, ""en"", ""te"")"),"కాడ్రాన్ రకం O అనేది ఫ్రెంచ్ సింగిల్ సీట్ ఎయిర్ రేసింగ్ బిప్‌లేన్, ఇది మొదట 1914 లో ఎగిరింది. టై రకం ఒకే బే బైప్‌లేన్. రెండు రెక్కలు రెండు చెక్క స్పార్లు కలిగి ఉన్నాయి మరియు ఫాబ్రిక్ కప్పబడి ఉన్నాయి. ప్రతి వైపు రెండు జతల సమాంతర ఇంటర్‌ప్లేన్ స్ట్రట్‌లు స్ప"&amp;"ార్స్‌లో చేరాయి, ఒకటి అవుట్‌బోర్డ్ మరియు మరొకటి సెంటర్ విభాగాల మధ్య ఫ్యూజ్‌లేజ్ గుండా వెళుతుంది. ఇవి ఎగువ వింగ్‌ను ఫ్యూజ్‌లేజ్ పైన మరియు దిగువ ఒకటి దాని క్రింద కొంచెం క్రింద ఉంచాయి. ఎగిరే వైర్ల యొక్క సాధారణ క్రాస్డ్ వికర్ణ జతలు బేలను కలుపుతాయి. పార్శ్వ ని"&amp;"యంత్రణ కోసం ఐలెరాన్స్ కాకుండా వింగ్ వార్పింగ్ అనే రకం. [1] ఇది మొదట 1914 ప్రారంభ వారాల్లో ప్రయాణించినప్పుడు, ఇది సెమీ కోల్డ్ అంజని 6-సిలిండర్ రేడియల్ చేత శక్తిని పొందింది. [2] వేర్వేరు స్థానభ్రంశాలతో ఈ ఇంజిన్ యొక్క రెండు వెర్షన్లు ఉన్నాయి; ఎల్'అరోఫైల్ 45 "&amp;"హెచ్‌పి (34 కిలోవాట్) యొక్క విద్యుత్ ఉత్పత్తిని పేర్కొంది, [1] చిన్న సంస్కరణకు అనుగుణంగా ఉంటుంది, అయితే హాట్ 50-60 హెచ్‌పి (37–45 కిలోవాట్), [2] పెద్ద ఇంజిన్ యొక్క కోట్ చేస్తుంది. మే 1914 నాటికి ఇది 100 హెచ్‌పి (75 కిలోవాట్) అంజాని 10-సిలిండర్ రేడియల్‌తో "&amp;"ఎగురుతోంది. [2] ఫ్యూజ్‌లేజ్ కాడ్రాన్ యొక్క మునుపటి మోనోప్లేన్లలో ఒకటి, చాలా సారూప్య రకాలు M మరియు N నుండి రీసైకిల్ చేయబడింది మరియు చదరపు విభాగం యొక్క బూడిద లాటిస్ గిర్డర్ చుట్టూ నిర్మించబడింది, ఇది వెనుక వైపుకు దెబ్బతింది. స్ట్రింగర్స్, గిర్డర్ నుండి నిలబ"&amp;"డి, ఫాబ్రిక్ కవర్ ఫ్యూజ్‌లేజ్‌కు మరింత గుండ్రని క్రాస్ సెక్షన్ ఇచ్చారు. ఓపెన్, సింగిల్ సీట్ కాక్‌పిట్ రెక్క వెనుకంజలో ఉంచారు. [1] ఇది మొదట ఎగిరినప్పుడు O రకం దాదాపు చదరపు, నిటారుగా ఉన్న నిలువు తోకను కలిగి ఉంది లేదా తక్కువ లేదా ఫిన్ మరియు పెద్ద చుక్కాని కీ"&amp;"ల్‌కు చేరుకుంటుంది. క్షితిజ సమాంతర తోక, ఇరుకైనది మరియు సూటిగా, అన్‌వెప్ట్ లీడింగ్ ఎడ్జ్ ఫ్యూజ్‌లేజ్ పైన అమర్చబడింది, తద్వారా చుక్కాని ఎలివేటర్ కటౌట్‌లో పనిచేస్తుంది. సంవత్సరం తరువాత, ఈ విమానం, ఇప్పుడు 100 హెచ్‌పి అంజాని మరియు సవరించిన ఎగువ ఫార్వర్డ్ ఫ్యూజ"&amp;"్‌లేజ్‌తో, చాలా భిన్నమైన తోకను కలిగి ఉంది, ఇది ఒక పెద్ద ఫిన్‌తో పొడవైన, వంగిన ప్రముఖ అంచుని కలిగి ఉంది, దాని ఆకృతి విస్తృత, లోతైన చుక్కానితో కొనసాగుతోంది . రెక్కల మార్పులు కూడా ఉండవచ్చు; ఎల్'అరోప్లేన్ ఎగువ మరియు దిగువ రెక్కలను ఒకే వ్యవధిని కలిగి ఉన్నట్లు "&amp;"వివరిస్తుంది, అయితే హాట్ యొక్క ఖాతాలో ఎగువ వింగ్ యొక్క వ్యవధి ఎక్కువ. [2] టైప్ O లో ఆల్-స్టీల్ టెయిల్‌స్కిడ్ అండర్ క్యారేజ్ ఉంది, స్ప్లిట్ ఇరుసులపై ఒక జత స్పోక్డ్ మెయిన్‌వీల్స్ నాలుగు రేఖాంశ V- స్ట్రట్‌లపై అమర్చిన విలోమ రాడ్ మధ్యలో నుండి అతుక్కొని, లోపలి,"&amp;" అండర్-ఫ్యూజ్‌లేజ్ స్ట్రట్‌ల నుండి విలోమంగా అమర్చబడి ఉంటాయి. . రబ్బరు స్ప్రింగ్స్ ల్యాండింగ్‌లో బయటి చివరలు మరియు చక్రాల కదలికను తగ్గించాయి. [1] దాని జీవితంలో ప్రారంభంలో O రకం ""ది సోప్ బాక్స్"" యొక్క మారుపేరును సంపాదించింది. మే 1914 లో, తిరిగి ఇంజిన్ చేయ"&amp;"బడింది మరియు దాని కొత్త తోకతో, దీనిని బోయిస్ డి బౌలోగ్నే వద్ద ఒక రేసులో చాంటెలోప్ ఎగురవేసాడు; జూన్లో ఇది వియన్నాలో ప్రయాణించింది. సెప్టెంబరులో, మొదటి ప్రపంచ యుద్ధం ప్రారంభమైన ఒక నెల తరువాత, ఇది మిలటరీకి పంపబడింది. [2] హావెట్ (2001) నుండి డేటా [2] సాధారణ ల"&amp;"క్షణాల పనితీరు")</f>
        <v>కాడ్రాన్ రకం O అనేది ఫ్రెంచ్ సింగిల్ సీట్ ఎయిర్ రేసింగ్ బిప్‌లేన్, ఇది మొదట 1914 లో ఎగిరింది. టై రకం ఒకే బే బైప్‌లేన్. రెండు రెక్కలు రెండు చెక్క స్పార్లు కలిగి ఉన్నాయి మరియు ఫాబ్రిక్ కప్పబడి ఉన్నాయి. ప్రతి వైపు రెండు జతల సమాంతర ఇంటర్‌ప్లేన్ స్ట్రట్‌లు స్పార్స్‌లో చేరాయి, ఒకటి అవుట్‌బోర్డ్ మరియు మరొకటి సెంటర్ విభాగాల మధ్య ఫ్యూజ్‌లేజ్ గుండా వెళుతుంది. ఇవి ఎగువ వింగ్‌ను ఫ్యూజ్‌లేజ్ పైన మరియు దిగువ ఒకటి దాని క్రింద కొంచెం క్రింద ఉంచాయి. ఎగిరే వైర్ల యొక్క సాధారణ క్రాస్డ్ వికర్ణ జతలు బేలను కలుపుతాయి. పార్శ్వ నియంత్రణ కోసం ఐలెరాన్స్ కాకుండా వింగ్ వార్పింగ్ అనే రకం. [1] ఇది మొదట 1914 ప్రారంభ వారాల్లో ప్రయాణించినప్పుడు, ఇది సెమీ కోల్డ్ అంజని 6-సిలిండర్ రేడియల్ చేత శక్తిని పొందింది. [2] వేర్వేరు స్థానభ్రంశాలతో ఈ ఇంజిన్ యొక్క రెండు వెర్షన్లు ఉన్నాయి; ఎల్'అరోఫైల్ 45 హెచ్‌పి (34 కిలోవాట్) యొక్క విద్యుత్ ఉత్పత్తిని పేర్కొంది, [1] చిన్న సంస్కరణకు అనుగుణంగా ఉంటుంది, అయితే హాట్ 50-60 హెచ్‌పి (37–45 కిలోవాట్), [2] పెద్ద ఇంజిన్ యొక్క కోట్ చేస్తుంది. మే 1914 నాటికి ఇది 100 హెచ్‌పి (75 కిలోవాట్) అంజాని 10-సిలిండర్ రేడియల్‌తో ఎగురుతోంది. [2] ఫ్యూజ్‌లేజ్ కాడ్రాన్ యొక్క మునుపటి మోనోప్లేన్లలో ఒకటి, చాలా సారూప్య రకాలు M మరియు N నుండి రీసైకిల్ చేయబడింది మరియు చదరపు విభాగం యొక్క బూడిద లాటిస్ గిర్డర్ చుట్టూ నిర్మించబడింది, ఇది వెనుక వైపుకు దెబ్బతింది. స్ట్రింగర్స్, గిర్డర్ నుండి నిలబడి, ఫాబ్రిక్ కవర్ ఫ్యూజ్‌లేజ్‌కు మరింత గుండ్రని క్రాస్ సెక్షన్ ఇచ్చారు. ఓపెన్, సింగిల్ సీట్ కాక్‌పిట్ రెక్క వెనుకంజలో ఉంచారు. [1] ఇది మొదట ఎగిరినప్పుడు O రకం దాదాపు చదరపు, నిటారుగా ఉన్న నిలువు తోకను కలిగి ఉంది లేదా తక్కువ లేదా ఫిన్ మరియు పెద్ద చుక్కాని కీల్‌కు చేరుకుంటుంది. క్షితిజ సమాంతర తోక, ఇరుకైనది మరియు సూటిగా, అన్‌వెప్ట్ లీడింగ్ ఎడ్జ్ ఫ్యూజ్‌లేజ్ పైన అమర్చబడింది, తద్వారా చుక్కాని ఎలివేటర్ కటౌట్‌లో పనిచేస్తుంది. సంవత్సరం తరువాత, ఈ విమానం, ఇప్పుడు 100 హెచ్‌పి అంజాని మరియు సవరించిన ఎగువ ఫార్వర్డ్ ఫ్యూజ్‌లేజ్‌తో, చాలా భిన్నమైన తోకను కలిగి ఉంది, ఇది ఒక పెద్ద ఫిన్‌తో పొడవైన, వంగిన ప్రముఖ అంచుని కలిగి ఉంది, దాని ఆకృతి విస్తృత, లోతైన చుక్కానితో కొనసాగుతోంది . రెక్కల మార్పులు కూడా ఉండవచ్చు; ఎల్'అరోప్లేన్ ఎగువ మరియు దిగువ రెక్కలను ఒకే వ్యవధిని కలిగి ఉన్నట్లు వివరిస్తుంది, అయితే హాట్ యొక్క ఖాతాలో ఎగువ వింగ్ యొక్క వ్యవధి ఎక్కువ. [2] టైప్ O లో ఆల్-స్టీల్ టెయిల్‌స్కిడ్ అండర్ క్యారేజ్ ఉంది, స్ప్లిట్ ఇరుసులపై ఒక జత స్పోక్డ్ మెయిన్‌వీల్స్ నాలుగు రేఖాంశ V- స్ట్రట్‌లపై అమర్చిన విలోమ రాడ్ మధ్యలో నుండి అతుక్కొని, లోపలి, అండర్-ఫ్యూజ్‌లేజ్ స్ట్రట్‌ల నుండి విలోమంగా అమర్చబడి ఉంటాయి. . రబ్బరు స్ప్రింగ్స్ ల్యాండింగ్‌లో బయటి చివరలు మరియు చక్రాల కదలికను తగ్గించాయి. [1] దాని జీవితంలో ప్రారంభంలో O రకం "ది సోప్ బాక్స్" యొక్క మారుపేరును సంపాదించింది. మే 1914 లో, తిరిగి ఇంజిన్ చేయబడింది మరియు దాని కొత్త తోకతో, దీనిని బోయిస్ డి బౌలోగ్నే వద్ద ఒక రేసులో చాంటెలోప్ ఎగురవేసాడు; జూన్లో ఇది వియన్నాలో ప్రయాణించింది. సెప్టెంబరులో, మొదటి ప్రపంచ యుద్ధం ప్రారంభమైన ఒక నెల తరువాత, ఇది మిలటరీకి పంపబడింది. [2] హావెట్ (2001) నుండి డేటా [2] సాధారణ లక్షణాల పనితీరు</v>
      </c>
      <c r="E87" s="1" t="s">
        <v>1577</v>
      </c>
      <c r="F87" s="1" t="s">
        <v>547</v>
      </c>
      <c r="G87" s="1" t="str">
        <f>IFERROR(__xludf.DUMMYFUNCTION("GOOGLETRANSLATE(F:F, ""en"", ""te"")"),"క్రీడా విమానం")</f>
        <v>క్రీడా విమానం</v>
      </c>
      <c r="I87" s="1" t="s">
        <v>1200</v>
      </c>
      <c r="J87" s="1" t="str">
        <f>IFERROR(__xludf.DUMMYFUNCTION("GOOGLETRANSLATE(I:I, ""en"", ""te"")"),"కాడ్రాన్")</f>
        <v>కాడ్రాన్</v>
      </c>
      <c r="K87" s="4" t="s">
        <v>1201</v>
      </c>
      <c r="L87" s="1" t="s">
        <v>1578</v>
      </c>
      <c r="M87" s="2" t="str">
        <f>IFERROR(__xludf.DUMMYFUNCTION("GOOGLETRANSLATE(L:L, ""en"", ""te"")"),"గాస్టన్ కాడ్రాన్")</f>
        <v>గాస్టన్ కాడ్రాన్</v>
      </c>
      <c r="O87" s="1">
        <v>1.0</v>
      </c>
      <c r="R87" s="1" t="s">
        <v>550</v>
      </c>
      <c r="T87" s="1" t="s">
        <v>1579</v>
      </c>
      <c r="V87" s="1" t="s">
        <v>1580</v>
      </c>
      <c r="Z87" s="1" t="s">
        <v>1581</v>
      </c>
      <c r="AF87" s="1" t="s">
        <v>465</v>
      </c>
      <c r="AG87" s="4" t="s">
        <v>466</v>
      </c>
      <c r="AI87" s="1" t="s">
        <v>1582</v>
      </c>
      <c r="AL87" s="1" t="s">
        <v>1583</v>
      </c>
      <c r="AO87" s="1" t="s">
        <v>1584</v>
      </c>
      <c r="AR87" s="1" t="s">
        <v>1585</v>
      </c>
      <c r="BA87" s="1" t="s">
        <v>1586</v>
      </c>
      <c r="BB87" s="1" t="s">
        <v>1587</v>
      </c>
    </row>
    <row r="88">
      <c r="A88" s="1" t="s">
        <v>1588</v>
      </c>
      <c r="B88" s="1" t="str">
        <f>IFERROR(__xludf.DUMMYFUNCTION("GOOGLETRANSLATE(A:A, ""en"", ""te"")"),"డెస్కాంప్స్ 17")</f>
        <v>డెస్కాంప్స్ 17</v>
      </c>
      <c r="C88" s="1" t="s">
        <v>1589</v>
      </c>
      <c r="D88" s="2" t="str">
        <f>IFERROR(__xludf.DUMMYFUNCTION("GOOGLETRANSLATE(C:C, ""en"", ""te"")"),"డెస్కాంప్స్ 17 A.2 అనేది 1923 యొక్క ఫ్రెంచ్ ప్రభుత్వ కార్యక్రమంలో నిర్మించిన రెండు-సీట్ల నిఘా పోరాట యోధుడు. వేర్వేరు ఇంజిన్లతో రెండు వెర్షన్లు పరీక్షించబడ్డాయి మరియు ఆరు ఉదాహరణలను కాడ్రాన్ కాడ్రాన్ C.17 A.2 గా లైసెన్స్ కింద నిర్మించారు. డెస్కాంప్స్ A2 ను "&amp;"రెండు-సీట్ల నిఘా విమానం కోసం ప్రభుత్వ కార్యక్రమానికి రూపొందించారు, ఈ వర్గం మిలిటరీ కోడ్ A2. మార్చి 1924 లో మొదటి నమూనా కనిపించినప్పుడు, తయారీదారు పేరు డిజైనర్ ఆండ్రే బ్రూనెట్‌తో హైఫనేట్ చేయబడింది, అయినప్పటికీ ఆర్డర్ వైవిధ్యంగా ఉంది. దాని యొక్క మొదటి ఖాతాల"&amp;"ు [1] [2] డెస్కాంప్స్ రకం సంఖ్యను కలిగి లేవు, అయినప్పటికీ ఇటీవలి మూలం ప్రకారం ఇది డెస్కాంప్స్-బ్రూనెట్ DB-16. [3] ప్రారంభంలో, ఇది 400 హెచ్‌పి (300 కిలోవాట్ల) లోరైన్-డైట్రిచ్ 12 డి వి -12 ఇంజిన్ [4] చేత శక్తిని పొందింది, కాని 1926 నాటికి దీనికి 450 హెచ్‌పి"&amp;" (340 కిలోవాట్) లోరైన్-డిట్రిచ్ 12 ఇ డబ్ల్యూ -12 ఇంజిన్ లభించింది. ఈ సంస్కరణ, కొత్త మరియు కొంతవరకు భారీ ఇంజిన్ కాకుండా DB-16 కు సమానంగా ఉంటుంది, డెస్కాంప్స్ 17 గా నియమించబడింది. [5] [6] కొత్త ఇంజిన్ పనితీరును మెరుగుపరిచింది, సముద్ర మట్టంలో అగ్ర వేగాన్ని 2"&amp;"03 నుండి 230 కిమీ/గం (126 నుండి 143 mph వరకు) పెంచింది. [5] [7] డెస్కాంప్స్ A.2 యొక్క నిర్మాణం అన్నీ లోహం. ఈ సమయంలో ఇటువంటి నమూనాలు చాలా కొత్తవి మరియు చెక్కతో కూడిన యంత్రాలతో పోల్చితే మరమ్మత్తు చేయడం చాలా కష్టమని విమర్శించారు, కాని బ్రూనెట్ యొక్క రూపకల్పన"&amp;" ఏ భాగానైనా వేగంగా మార్పిడి చేసుకోవడానికి వీలు కల్పించింది. దీనికి వైర్ బ్రేసింగ్ లేదు మరియు రిగ్గింగ్ అవసరం లేదు. [4] A2 ఒక సెస్క్విప్లేన్, ఎగువ వింగ్ రెండు రెట్లు ఎక్కువ మరియు దిగువ భాగంలో 3.4 రెట్లు ఎక్కువ, ఇది చిన్నది కాదు, ఇరుకైనది. రెండు రెక్కలు ఇలా"&amp;"ంటి ప్రణాళికలను కలిగి ఉన్నాయి, సరళ కోణాల చిట్కాల నుండి దీర్ఘచతురస్రాకారంలో. ఎగువ వింగ్ మాత్రమే ఐలెరాన్‌లను కలిగి ఉంది. [1] రెండు రెక్కలు రెండు ఐ-సెక్షన్ స్పార్‌ల చుట్టూ నిర్మించబడ్డాయి మరియు ప్రతి వైపు రెండు సెట్ల ఎయిర్‌ఫాయిల్ విభాగం, ఎన్-ఫారమ్ ఇంటర్‌ప్లే"&amp;"న్ స్ట్రట్‌లు, ఎగువ ఫ్యూజ్‌లేజ్ నుండి మధ్య-మార్గం వరకు దిగువ వింగ్ వెంట మరియు మరొకటి అక్కడ నుండి బయటికి పంపబడ్డాయి ఎగువ వింగ్. గణనీయమైన అస్థిరత ఉంది, దిగువ వింగ్ యొక్క ప్రముఖ అంచు ఎగువ కంటే ముందు ఉంది, కాబట్టి N- స్ట్రట్స్ వెనుకకు వాలుతున్నాయి. దిగువ రెక్"&amp;"కపై డైహెడ్రల్ లేదు, కానీ ఎగువ ఒకటి 1.5 at వద్ద సెట్ చేయబడింది మరియు కొద్దిగా తుడిచిపెట్టింది (2 °). దిగువ వింగ్ దిగువ ఫ్యూజ్‌లేజ్ ఫ్రేమ్‌లో మరియు ఎగువ భాగాన్ని చాలా చిన్న ఎగువ ఫ్యూజ్‌లేజ్ స్తంభంపై అమర్చారు. రెక్కలు, మిగిలిన విమానాల మాదిరిగా, ఫాబ్రిక్ కప్ప"&amp;"బడి ఉన్నాయి. [4] లోతైన కానీ ఇరుకైన దీర్ఘచతురస్రాకార విభాగం ఫ్యూజ్‌లేజ్, డ్యూరాలిమిన్ గొట్టాల నుండి నిర్మించబడింది, వెనుక భాగంలో కత్తి అంచుకు దెబ్బతింది మరియు గుండ్రని డెక్కింగ్ కలిగి ఉంది. [4] ముక్కు ఇంజిన్ ప్రకారం తేడా ఉంది; ప్రారంభ V-12 లో సిలిండర్‌లపై "&amp;"రెండు విభిన్న ఉబ్బెత్తులు మరియు ప్రత్యేక దీర్ఘచతురస్రాకార రేడియేటర్‌ను కలిగి ఉన్నాయి, ఇది ఫ్యూజ్‌లేజ్ అండర్‌సైడ్‌కు జతచేయబడింది, దీనిని పైలట్ పాక్షికంగా ఉపసంహరించుకోవచ్చు, [4] [1] అయితే W-12 యొక్క మూడు సిలిండర్ బ్యాంకులు అవసరం అదనపు సెంట్రల్ బల్జ్ [7] మరి"&amp;"యు రేడియేటర్ ఇంజిన్ ముందు ముక్కులో విలీనం చేయబడింది. [6] రెండు ఓపెన్ కాక్‌పిట్స్ ఉన్నాయి. పైలట్ వింగ్ యొక్క వెనుకంజలో ఉన్న అంచు క్రింద కూర్చున్నాడు, ఇది అతని దృక్పథాన్ని మెరుగుపరచడానికి V- ఆకారపు కటౌట్ కలిగి ఉంది. అతను రెండు స్థిర, ఫార్వర్డ్ ఫైరింగ్ మెషిన"&amp;"్ గన్లను నియంత్రించాడు మరియు అతని వెనుక పరిశీలకుడి స్థానం తుపాకీ మౌంట్ మీద మరో రెండు కలిగి ఉంది. ఈ పోస్ట్ మంచి ఆల్ రౌండ్ వీక్షణను అందించడానికి చాలా వెనుక ఉంది. తోక సాంప్రదాయంగా ఉంది, టెయిల్‌ప్లేన్‌తో, ఇది ప్రముఖ అంచులను తుడిచిపెట్టింది, ఫ్యూజ్‌లేజ్ పైభాగం"&amp;"లో ఉంచారు మరియు క్రింద నుండి ప్రతి వైపు ఒకే స్ట్రట్ ద్వారా కలుపుతారు. [4] టెయిల్‌ప్లేన్ యొక్క సంభవం యొక్క కోణం ట్రిమ్ [1] కోసం విమానంలో సర్దుబాటు చేయగలదు మరియు దాని ఎలివేటర్లు సమతుల్యతను కలిగి ఉన్నాయి. నిలువు తోక గుండ్రంగా మరియు కీల్‌కు చేరుకుంది, ఒక చిన్"&amp;"న ఎలివేటర్ కటౌట్‌లో పనిచేస్తుంది. డెస్కాంప్ యొక్క ల్యాండింగ్ గేర్ లోపలి మరియు బయటి ఇంటర్‌ప్లేన్ స్ట్రట్స్ యొక్క సమావేశ బిందువు వద్ద రెక్కల కింద మెయిన్‌వీల్స్ అమర్చబడి, విస్తృత ట్రాక్‌ను అందిస్తుంది. క్రాస్ యాక్సిల్ లేదు; బదులుగా చక్రాలు ప్యాల్సర్ ఫెయిరింగ"&amp;"్స్‌లో రబ్బరు షాక్ అబ్జార్బర్‌లపై అమర్చబడ్డాయి. ఈ అమరిక ఫ్యూజ్‌లేజ్ కింద నుండి బాంబులను విడుదల చేయడానికి అనుమతించింది; [4] 3 × 120 కిలోల (260 పౌండ్లు) బాంబులను తీసుకెళ్లవచ్చు. [2] గ్రౌండ్ స్టీరింగ్‌కు సహాయపడటానికి టెయిల్‌స్కిడ్ పైవట్ చేయడానికి ఉచితం. [4] "&amp;"కాడ్రాన్ 1927 నుండి డెస్కాంప్స్ 17 A2 ను కాడ్రాన్ C.17 A2 గా నిర్మించడానికి లైసెన్స్ కొనుగోలు చేశాడు. విమానం నిఘా ప్రోగ్రామ్ అవసరాలను సంతృప్తిపరిచిన తరువాత, ఆర్మీ డి ఎల్ ఎయిర్ కోసం ఆరు నిర్మించబడ్డాయి. [8] ఆరు యూరోపియన్ దేశాల యొక్క ముఖ్యమైన పర్యటనను 18 అక"&amp;"్టోబర్ మరియు 19 నవంబర్ 1927 మధ్య మాసోట్ మరియు సివిల్ రిజిస్టర్డ్ c.17 లో ఇంజనీర్ చేశారు. వారు 8,200 కిమీ (5,100 మైళ్ళు) కవర్ చేశారు. [8] పారిస్ ఏరో షో 1926 నుండి డేటా - డెస్కాంప్స్ [5] పారిస్ ఏరో షో 1926 - డెస్కాంప్స్ కాంట.డి")</f>
        <v>డెస్కాంప్స్ 17 A.2 అనేది 1923 యొక్క ఫ్రెంచ్ ప్రభుత్వ కార్యక్రమంలో నిర్మించిన రెండు-సీట్ల నిఘా పోరాట యోధుడు. వేర్వేరు ఇంజిన్లతో రెండు వెర్షన్లు పరీక్షించబడ్డాయి మరియు ఆరు ఉదాహరణలను కాడ్రాన్ కాడ్రాన్ C.17 A.2 గా లైసెన్స్ కింద నిర్మించారు. డెస్కాంప్స్ A2 ను రెండు-సీట్ల నిఘా విమానం కోసం ప్రభుత్వ కార్యక్రమానికి రూపొందించారు, ఈ వర్గం మిలిటరీ కోడ్ A2. మార్చి 1924 లో మొదటి నమూనా కనిపించినప్పుడు, తయారీదారు పేరు డిజైనర్ ఆండ్రే బ్రూనెట్‌తో హైఫనేట్ చేయబడింది, అయినప్పటికీ ఆర్డర్ వైవిధ్యంగా ఉంది. దాని యొక్క మొదటి ఖాతాలు [1] [2] డెస్కాంప్స్ రకం సంఖ్యను కలిగి లేవు, అయినప్పటికీ ఇటీవలి మూలం ప్రకారం ఇది డెస్కాంప్స్-బ్రూనెట్ DB-16. [3] ప్రారంభంలో, ఇది 400 హెచ్‌పి (300 కిలోవాట్ల) లోరైన్-డైట్రిచ్ 12 డి వి -12 ఇంజిన్ [4] చేత శక్తిని పొందింది, కాని 1926 నాటికి దీనికి 450 హెచ్‌పి (340 కిలోవాట్) లోరైన్-డిట్రిచ్ 12 ఇ డబ్ల్యూ -12 ఇంజిన్ లభించింది. ఈ సంస్కరణ, కొత్త మరియు కొంతవరకు భారీ ఇంజిన్ కాకుండా DB-16 కు సమానంగా ఉంటుంది, డెస్కాంప్స్ 17 గా నియమించబడింది. [5] [6] కొత్త ఇంజిన్ పనితీరును మెరుగుపరిచింది, సముద్ర మట్టంలో అగ్ర వేగాన్ని 203 నుండి 230 కిమీ/గం (126 నుండి 143 mph వరకు) పెంచింది. [5] [7] డెస్కాంప్స్ A.2 యొక్క నిర్మాణం అన్నీ లోహం. ఈ సమయంలో ఇటువంటి నమూనాలు చాలా కొత్తవి మరియు చెక్కతో కూడిన యంత్రాలతో పోల్చితే మరమ్మత్తు చేయడం చాలా కష్టమని విమర్శించారు, కాని బ్రూనెట్ యొక్క రూపకల్పన ఏ భాగానైనా వేగంగా మార్పిడి చేసుకోవడానికి వీలు కల్పించింది. దీనికి వైర్ బ్రేసింగ్ లేదు మరియు రిగ్గింగ్ అవసరం లేదు. [4] A2 ఒక సెస్క్విప్లేన్, ఎగువ వింగ్ రెండు రెట్లు ఎక్కువ మరియు దిగువ భాగంలో 3.4 రెట్లు ఎక్కువ, ఇది చిన్నది కాదు, ఇరుకైనది. రెండు రెక్కలు ఇలాంటి ప్రణాళికలను కలిగి ఉన్నాయి, సరళ కోణాల చిట్కాల నుండి దీర్ఘచతురస్రాకారంలో. ఎగువ వింగ్ మాత్రమే ఐలెరాన్‌లను కలిగి ఉంది. [1] రెండు రెక్కలు రెండు ఐ-సెక్షన్ స్పార్‌ల చుట్టూ నిర్మించబడ్డాయి మరియు ప్రతి వైపు రెండు సెట్ల ఎయిర్‌ఫాయిల్ విభాగం, ఎన్-ఫారమ్ ఇంటర్‌ప్లేన్ స్ట్రట్‌లు, ఎగువ ఫ్యూజ్‌లేజ్ నుండి మధ్య-మార్గం వరకు దిగువ వింగ్ వెంట మరియు మరొకటి అక్కడ నుండి బయటికి పంపబడ్డాయి ఎగువ వింగ్. గణనీయమైన అస్థిరత ఉంది, దిగువ వింగ్ యొక్క ప్రముఖ అంచు ఎగువ కంటే ముందు ఉంది, కాబట్టి N- స్ట్రట్స్ వెనుకకు వాలుతున్నాయి. దిగువ రెక్కపై డైహెడ్రల్ లేదు, కానీ ఎగువ ఒకటి 1.5 at వద్ద సెట్ చేయబడింది మరియు కొద్దిగా తుడిచిపెట్టింది (2 °). దిగువ వింగ్ దిగువ ఫ్యూజ్‌లేజ్ ఫ్రేమ్‌లో మరియు ఎగువ భాగాన్ని చాలా చిన్న ఎగువ ఫ్యూజ్‌లేజ్ స్తంభంపై అమర్చారు. రెక్కలు, మిగిలిన విమానాల మాదిరిగా, ఫాబ్రిక్ కప్పబడి ఉన్నాయి. [4] లోతైన కానీ ఇరుకైన దీర్ఘచతురస్రాకార విభాగం ఫ్యూజ్‌లేజ్, డ్యూరాలిమిన్ గొట్టాల నుండి నిర్మించబడింది, వెనుక భాగంలో కత్తి అంచుకు దెబ్బతింది మరియు గుండ్రని డెక్కింగ్ కలిగి ఉంది. [4] ముక్కు ఇంజిన్ ప్రకారం తేడా ఉంది; ప్రారంభ V-12 లో సిలిండర్‌లపై రెండు విభిన్న ఉబ్బెత్తులు మరియు ప్రత్యేక దీర్ఘచతురస్రాకార రేడియేటర్‌ను కలిగి ఉన్నాయి, ఇది ఫ్యూజ్‌లేజ్ అండర్‌సైడ్‌కు జతచేయబడింది, దీనిని పైలట్ పాక్షికంగా ఉపసంహరించుకోవచ్చు, [4] [1] అయితే W-12 యొక్క మూడు సిలిండర్ బ్యాంకులు అవసరం అదనపు సెంట్రల్ బల్జ్ [7] మరియు రేడియేటర్ ఇంజిన్ ముందు ముక్కులో విలీనం చేయబడింది. [6] రెండు ఓపెన్ కాక్‌పిట్స్ ఉన్నాయి. పైలట్ వింగ్ యొక్క వెనుకంజలో ఉన్న అంచు క్రింద కూర్చున్నాడు, ఇది అతని దృక్పథాన్ని మెరుగుపరచడానికి V- ఆకారపు కటౌట్ కలిగి ఉంది. అతను రెండు స్థిర, ఫార్వర్డ్ ఫైరింగ్ మెషిన్ గన్లను నియంత్రించాడు మరియు అతని వెనుక పరిశీలకుడి స్థానం తుపాకీ మౌంట్ మీద మరో రెండు కలిగి ఉంది. ఈ పోస్ట్ మంచి ఆల్ రౌండ్ వీక్షణను అందించడానికి చాలా వెనుక ఉంది. తోక సాంప్రదాయంగా ఉంది, టెయిల్‌ప్లేన్‌తో, ఇది ప్రముఖ అంచులను తుడిచిపెట్టింది, ఫ్యూజ్‌లేజ్ పైభాగంలో ఉంచారు మరియు క్రింద నుండి ప్రతి వైపు ఒకే స్ట్రట్ ద్వారా కలుపుతారు. [4] టెయిల్‌ప్లేన్ యొక్క సంభవం యొక్క కోణం ట్రిమ్ [1] కోసం విమానంలో సర్దుబాటు చేయగలదు మరియు దాని ఎలివేటర్లు సమతుల్యతను కలిగి ఉన్నాయి. నిలువు తోక గుండ్రంగా మరియు కీల్‌కు చేరుకుంది, ఒక చిన్న ఎలివేటర్ కటౌట్‌లో పనిచేస్తుంది. డెస్కాంప్ యొక్క ల్యాండింగ్ గేర్ లోపలి మరియు బయటి ఇంటర్‌ప్లేన్ స్ట్రట్స్ యొక్క సమావేశ బిందువు వద్ద రెక్కల కింద మెయిన్‌వీల్స్ అమర్చబడి, విస్తృత ట్రాక్‌ను అందిస్తుంది. క్రాస్ యాక్సిల్ లేదు; బదులుగా చక్రాలు ప్యాల్సర్ ఫెయిరింగ్స్‌లో రబ్బరు షాక్ అబ్జార్బర్‌లపై అమర్చబడ్డాయి. ఈ అమరిక ఫ్యూజ్‌లేజ్ కింద నుండి బాంబులను విడుదల చేయడానికి అనుమతించింది; [4] 3 × 120 కిలోల (260 పౌండ్లు) బాంబులను తీసుకెళ్లవచ్చు. [2] గ్రౌండ్ స్టీరింగ్‌కు సహాయపడటానికి టెయిల్‌స్కిడ్ పైవట్ చేయడానికి ఉచితం. [4] కాడ్రాన్ 1927 నుండి డెస్కాంప్స్ 17 A2 ను కాడ్రాన్ C.17 A2 గా నిర్మించడానికి లైసెన్స్ కొనుగోలు చేశాడు. విమానం నిఘా ప్రోగ్రామ్ అవసరాలను సంతృప్తిపరిచిన తరువాత, ఆర్మీ డి ఎల్ ఎయిర్ కోసం ఆరు నిర్మించబడ్డాయి. [8] ఆరు యూరోపియన్ దేశాల యొక్క ముఖ్యమైన పర్యటనను 18 అక్టోబర్ మరియు 19 నవంబర్ 1927 మధ్య మాసోట్ మరియు సివిల్ రిజిస్టర్డ్ c.17 లో ఇంజనీర్ చేశారు. వారు 8,200 కిమీ (5,100 మైళ్ళు) కవర్ చేశారు. [8] పారిస్ ఏరో షో 1926 నుండి డేటా - డెస్కాంప్స్ [5] పారిస్ ఏరో షో 1926 - డెస్కాంప్స్ కాంట.డి</v>
      </c>
      <c r="E88" s="1" t="s">
        <v>1590</v>
      </c>
      <c r="F88" s="1" t="s">
        <v>1591</v>
      </c>
      <c r="G88" s="1" t="str">
        <f>IFERROR(__xludf.DUMMYFUNCTION("GOOGLETRANSLATE(F:F, ""en"", ""te"")"),"రెండు సీట్ల ఫైటర్-రెకోనైసెన్స్ విమానం")</f>
        <v>రెండు సీట్ల ఫైటర్-రెకోనైసెన్స్ విమానం</v>
      </c>
      <c r="H88" s="1" t="s">
        <v>1592</v>
      </c>
      <c r="I88" s="1" t="s">
        <v>1593</v>
      </c>
      <c r="J88" s="1" t="str">
        <f>IFERROR(__xludf.DUMMYFUNCTION("GOOGLETRANSLATE(I:I, ""en"", ""te"")"),"ఎలిసీ ఆల్ఫ్రెడ్ డెస్కాంప్స్")</f>
        <v>ఎలిసీ ఆల్ఫ్రెడ్ డెస్కాంప్స్</v>
      </c>
      <c r="K88" s="1" t="s">
        <v>1594</v>
      </c>
      <c r="L88" s="1" t="s">
        <v>1516</v>
      </c>
      <c r="M88" s="2" t="str">
        <f>IFERROR(__xludf.DUMMYFUNCTION("GOOGLETRANSLATE(L:L, ""en"", ""te"")"),"ఆండ్రే బ్రూనెట్")</f>
        <v>ఆండ్రే బ్రూనెట్</v>
      </c>
      <c r="N88" s="1" t="s">
        <v>1595</v>
      </c>
      <c r="O88" s="1">
        <v>7.0</v>
      </c>
      <c r="R88" s="1" t="s">
        <v>1138</v>
      </c>
      <c r="T88" s="1" t="s">
        <v>1221</v>
      </c>
      <c r="V88" s="1" t="s">
        <v>1596</v>
      </c>
      <c r="W88" s="1" t="s">
        <v>1597</v>
      </c>
      <c r="X88" s="1" t="s">
        <v>1598</v>
      </c>
      <c r="Z88" s="1" t="s">
        <v>1599</v>
      </c>
      <c r="AE88" s="1" t="s">
        <v>1600</v>
      </c>
      <c r="AF88" s="1" t="s">
        <v>465</v>
      </c>
      <c r="AG88" s="4" t="s">
        <v>466</v>
      </c>
      <c r="AH88" s="1" t="s">
        <v>261</v>
      </c>
      <c r="AI88" s="1" t="s">
        <v>1601</v>
      </c>
      <c r="AJ88" s="1" t="s">
        <v>1434</v>
      </c>
      <c r="AK88" s="1" t="s">
        <v>1602</v>
      </c>
      <c r="AL88" s="1" t="s">
        <v>1603</v>
      </c>
      <c r="AN88" s="1" t="s">
        <v>1604</v>
      </c>
      <c r="AO88" s="1" t="s">
        <v>1605</v>
      </c>
      <c r="AP88" s="1" t="s">
        <v>1606</v>
      </c>
      <c r="AQ88" s="1" t="s">
        <v>1607</v>
      </c>
      <c r="AR88" s="1" t="s">
        <v>193</v>
      </c>
      <c r="AU88" s="1" t="s">
        <v>1608</v>
      </c>
      <c r="BA88" s="1" t="s">
        <v>1609</v>
      </c>
      <c r="BB88" s="1" t="s">
        <v>1610</v>
      </c>
      <c r="BC88" s="1" t="s">
        <v>1611</v>
      </c>
    </row>
    <row r="89">
      <c r="A89" s="1" t="s">
        <v>1612</v>
      </c>
      <c r="B89" s="1" t="str">
        <f>IFERROR(__xludf.DUMMYFUNCTION("GOOGLETRANSLATE(A:A, ""en"", ""te"")"),"యూరోస్పోర్ట్ క్రాస్ఓవర్")</f>
        <v>యూరోస్పోర్ట్ క్రాస్ఓవర్</v>
      </c>
      <c r="C89" s="1" t="s">
        <v>1613</v>
      </c>
      <c r="D89" s="2" t="str">
        <f>IFERROR(__xludf.DUMMYFUNCTION("GOOGLETRANSLATE(C:C, ""en"", ""te"")"),"యూరోస్పోర్ట్ క్రాస్ఓవర్ విద్యుత్ శక్తితో పనిచేసే రెండు సీట్ మోటార్ గ్లైడర్ మరియు పోర్చుగల్‌లో రూపొందించిన మరియు నిర్మించిన అల్ట్రాలైట్ విమానం. క్రాస్ఓవర్ ఎక్కువగా ఎపోక్సీ రెసిన్ మరియు కార్బన్ ఫైబర్ నిర్మాణాన్ని కలిగి ఉంది. మూడు భాగాల వింగ్‌లో దీర్ఘచతురస్ర"&amp;"ాకార ప్రణాళిక ఉంది, 6.5 మీ (21 అడుగుల 4 అంగుళాలు) సెంట్రల్ విభాగం మరియు వేరు చేయగలిగిన ట్రాపెజోయిడల్ uter టర్ ప్యానెల్లు, ఒక్కొక్కటి 1.55 మీ (5 అడుగులు 1 అంగుళాలు) లేదా 4.25 మీ (13 అడుగులు) 9.60 మీటర్ల పొడవు (31 అడుగుల 6 అంగుళాలు) మరియు 15.00 మీ (49 అడుగు"&amp;"ల 3 అంగుళాలు) వరుసగా వేరియంట్లు. వింగ్టిప్స్ పొడవైన, ఇరుకైన వింగ్లెట్స్ కలిగి ఉంటాయి. లోపలి విభాగం యొక్క వెనుకంజలో ఉన్న అంచు రెండు-విభాగం, డబుల్ స్లాట్డ్, విద్యుత్తుతో నడిచే ఫౌలర్ ఫ్లాప్స్, బయటి ప్యానెల్‌లపై ఐలెరాన్‌లతో నిండి ఉంటుంది. [1] ఫ్యూజ్‌లేజ్ క్రా"&amp;"స్-సెక్షన్‌లో గుండ్రంగా ఉంటుంది, రెండు పక్కపక్కనే సీట్లలో పొడవైన, తక్కువ, ఫార్వర్డ్-హింగ్డ్ మరియు విద్యుత్తుతో పనిచేసే పందిరి ఉంటుంది, వీటిని ద్వంద్వ నియంత్రణలతో అందిస్తారు. రెక్క వెనుక ఫ్యూజ్‌లేజ్ టేపర్లు టి-టెయిల్‌కు. ఫిన్ తుడిచివేయబడుతుంది మరియు నిటారు"&amp;"గా ఉంటుంది మరియు చుక్కాని నేరుగా అంచుగలది, విద్యుత్తుగా కత్తిరించబడుతుంది మరియు నిలువుగా ఉంటుంది. స్ట్రెయిట్ టాపర్డ్ టెయిల్‌ప్లేన్‌లో ఒకే, విద్యుత్తుతో నడిచే ఎలివేటర్ ఉంటుంది. క్రాస్ఓవర్లో ఫ్యూజ్‌లేజ్-మౌంటెడ్ ట్రైసైకిల్ అండర్ క్యారేజ్ ఉంది. అన్ని చక్రాలు "&amp;"ఒకే పరిమాణం మరియు ముందుకు సాగడం; మెయిన్‌వీల్స్‌కు బ్రేక్‌లు ఉన్నాయి మరియు నోస్‌వీల్ స్టెరబుల్. [1] శక్తి రెండు మూడు-దశల ఎలక్ట్రిక్ మోటార్లు ద్వారా సరఫరా చేయబడుతుంది, ప్రతి ఒక్కటి టేకాఫ్ కోసం 40 కిలోవాట్ల (54 హెచ్‌పి) మరియు 30 కిలోవాట్ల (40 హెచ్‌పి) నిరంతర"&amp;"ం అందించగల సామర్థ్యం కలిగి ఉంటుంది, ఒకే థొరెటల్ లివర్ ద్వారా కలిసి నియంత్రించబడుతుంది. ఇవి ఫ్యూజ్‌లేజ్‌లో అమర్చబడి, నాలుగు లిథియం బ్యాటరీలతో, మొత్తం 36 కిలోవాట్ల శక్తిని నిల్వ చేస్తాయి, గురుత్వాకర్షణ మధ్యలో కాక్‌పిట్ వెనుక. ఒకే ముక్కు-మౌంటెడ్ ప్రొపెల్లర్ "&amp;"లేదా నిలువు తోక పైభాగంలో అమర్చిన ఒకే ప్రొపెల్లర్‌తో సహా అనేక విభిన్న ప్రొపెల్లర్ కాన్ఫిగరేషన్‌లు పరిగణించబడ్డాయి. ప్రారంభ ప్రయత్నాలు జంట, కాంట్రా-రొటేటింగ్ ప్రొపెల్లర్లతో తయారు చేయబడ్డాయి, ఇవి రెక్క వెనుకంజలో వెనుక ఉన్న ఫ్యూజ్‌లేజ్ నుండి ముందుకు మడతపెడతాయ"&amp;"ి. ప్రొపెల్లర్ల విస్తరణతో లేదా లేకుండా ఫ్యూజ్‌లేజ్ ఏరోడైనమిక్‌గా శుభ్రంగా ఉందని తలుపులు నిర్ధారిస్తాయి. [1] క్రాస్ఓవర్ 23 జూలై 2013 న షార్ట్ హాప్‌లతో తన విమాన పరీక్షను ప్రారంభించింది. ఫిన్-మౌంటెడ్ ప్రొపెల్లర్ కాన్ఫిగరేషన్ యొక్క పరీక్షలు ఆ సంవత్సరం నవంబర్ "&amp;"12 న టాక్సీయింగ్ పరుగులతో ప్రారంభమయ్యాయి. [1] జేన్ యొక్క అన్ని ప్రపంచ విమానాల నుండి డేటా 2015/16 p. [1] సాధారణ లక్షణాల పనితీరు")</f>
        <v>యూరోస్పోర్ట్ క్రాస్ఓవర్ విద్యుత్ శక్తితో పనిచేసే రెండు సీట్ మోటార్ గ్లైడర్ మరియు పోర్చుగల్‌లో రూపొందించిన మరియు నిర్మించిన అల్ట్రాలైట్ విమానం. క్రాస్ఓవర్ ఎక్కువగా ఎపోక్సీ రెసిన్ మరియు కార్బన్ ఫైబర్ నిర్మాణాన్ని కలిగి ఉంది. మూడు భాగాల వింగ్‌లో దీర్ఘచతురస్రాకార ప్రణాళిక ఉంది, 6.5 మీ (21 అడుగుల 4 అంగుళాలు) సెంట్రల్ విభాగం మరియు వేరు చేయగలిగిన ట్రాపెజోయిడల్ uter టర్ ప్యానెల్లు, ఒక్కొక్కటి 1.55 మీ (5 అడుగులు 1 అంగుళాలు) లేదా 4.25 మీ (13 అడుగులు) 9.60 మీటర్ల పొడవు (31 అడుగుల 6 అంగుళాలు) మరియు 15.00 మీ (49 అడుగుల 3 అంగుళాలు) వరుసగా వేరియంట్లు. వింగ్టిప్స్ పొడవైన, ఇరుకైన వింగ్లెట్స్ కలిగి ఉంటాయి. లోపలి విభాగం యొక్క వెనుకంజలో ఉన్న అంచు రెండు-విభాగం, డబుల్ స్లాట్డ్, విద్యుత్తుతో నడిచే ఫౌలర్ ఫ్లాప్స్, బయటి ప్యానెల్‌లపై ఐలెరాన్‌లతో నిండి ఉంటుంది. [1] ఫ్యూజ్‌లేజ్ క్రాస్-సెక్షన్‌లో గుండ్రంగా ఉంటుంది, రెండు పక్కపక్కనే సీట్లలో పొడవైన, తక్కువ, ఫార్వర్డ్-హింగ్డ్ మరియు విద్యుత్తుతో పనిచేసే పందిరి ఉంటుంది, వీటిని ద్వంద్వ నియంత్రణలతో అందిస్తారు. రెక్క వెనుక ఫ్యూజ్‌లేజ్ టేపర్లు టి-టెయిల్‌కు. ఫిన్ తుడిచివేయబడుతుంది మరియు నిటారుగా ఉంటుంది మరియు చుక్కాని నేరుగా అంచుగలది, విద్యుత్తుగా కత్తిరించబడుతుంది మరియు నిలువుగా ఉంటుంది. స్ట్రెయిట్ టాపర్డ్ టెయిల్‌ప్లేన్‌లో ఒకే, విద్యుత్తుతో నడిచే ఎలివేటర్ ఉంటుంది. క్రాస్ఓవర్లో ఫ్యూజ్‌లేజ్-మౌంటెడ్ ట్రైసైకిల్ అండర్ క్యారేజ్ ఉంది. అన్ని చక్రాలు ఒకే పరిమాణం మరియు ముందుకు సాగడం; మెయిన్‌వీల్స్‌కు బ్రేక్‌లు ఉన్నాయి మరియు నోస్‌వీల్ స్టెరబుల్. [1] శక్తి రెండు మూడు-దశల ఎలక్ట్రిక్ మోటార్లు ద్వారా సరఫరా చేయబడుతుంది, ప్రతి ఒక్కటి టేకాఫ్ కోసం 40 కిలోవాట్ల (54 హెచ్‌పి) మరియు 30 కిలోవాట్ల (40 హెచ్‌పి) నిరంతరం అందించగల సామర్థ్యం కలిగి ఉంటుంది, ఒకే థొరెటల్ లివర్ ద్వారా కలిసి నియంత్రించబడుతుంది. ఇవి ఫ్యూజ్‌లేజ్‌లో అమర్చబడి, నాలుగు లిథియం బ్యాటరీలతో, మొత్తం 36 కిలోవాట్ల శక్తిని నిల్వ చేస్తాయి, గురుత్వాకర్షణ మధ్యలో కాక్‌పిట్ వెనుక. ఒకే ముక్కు-మౌంటెడ్ ప్రొపెల్లర్ లేదా నిలువు తోక పైభాగంలో అమర్చిన ఒకే ప్రొపెల్లర్‌తో సహా అనేక విభిన్న ప్రొపెల్లర్ కాన్ఫిగరేషన్‌లు పరిగణించబడ్డాయి. ప్రారంభ ప్రయత్నాలు జంట, కాంట్రా-రొటేటింగ్ ప్రొపెల్లర్లతో తయారు చేయబడ్డాయి, ఇవి రెక్క వెనుకంజలో వెనుక ఉన్న ఫ్యూజ్‌లేజ్ నుండి ముందుకు మడతపెడతాయి. ప్రొపెల్లర్ల విస్తరణతో లేదా లేకుండా ఫ్యూజ్‌లేజ్ ఏరోడైనమిక్‌గా శుభ్రంగా ఉందని తలుపులు నిర్ధారిస్తాయి. [1] క్రాస్ఓవర్ 23 జూలై 2013 న షార్ట్ హాప్‌లతో తన విమాన పరీక్షను ప్రారంభించింది. ఫిన్-మౌంటెడ్ ప్రొపెల్లర్ కాన్ఫిగరేషన్ యొక్క పరీక్షలు ఆ సంవత్సరం నవంబర్ 12 న టాక్సీయింగ్ పరుగులతో ప్రారంభమయ్యాయి. [1] జేన్ యొక్క అన్ని ప్రపంచ విమానాల నుండి డేటా 2015/16 p. [1] సాధారణ లక్షణాల పనితీరు</v>
      </c>
      <c r="E89" s="1" t="s">
        <v>1614</v>
      </c>
      <c r="F89" s="1" t="s">
        <v>1615</v>
      </c>
      <c r="G89" s="1" t="str">
        <f>IFERROR(__xludf.DUMMYFUNCTION("GOOGLETRANSLATE(F:F, ""en"", ""te"")"),"ఎలక్ట్రిక్ మోటర్‌గ్లైడర్")</f>
        <v>ఎలక్ట్రిక్ మోటర్‌గ్లైడర్</v>
      </c>
      <c r="H89" s="1" t="s">
        <v>1616</v>
      </c>
      <c r="I89" s="1" t="s">
        <v>1617</v>
      </c>
      <c r="J89" s="1" t="str">
        <f>IFERROR(__xludf.DUMMYFUNCTION("GOOGLETRANSLATE(I:I, ""en"", ""te"")"),"యూరోస్పోర్ట్ ఎయిర్క్రాఫ్ట్ LDA")</f>
        <v>యూరోస్పోర్ట్ ఎయిర్క్రాఫ్ట్ LDA</v>
      </c>
      <c r="K89" s="1" t="s">
        <v>1618</v>
      </c>
      <c r="M89" s="2"/>
      <c r="R89" s="1" t="s">
        <v>1619</v>
      </c>
      <c r="S89" s="1" t="s">
        <v>250</v>
      </c>
      <c r="T89" s="1" t="s">
        <v>1620</v>
      </c>
      <c r="U89" s="1" t="s">
        <v>1621</v>
      </c>
      <c r="W89" s="1" t="s">
        <v>1622</v>
      </c>
      <c r="X89" s="1" t="s">
        <v>254</v>
      </c>
      <c r="AA89" s="1" t="s">
        <v>265</v>
      </c>
      <c r="AD89" s="1" t="s">
        <v>1623</v>
      </c>
      <c r="AE89" s="1" t="s">
        <v>1624</v>
      </c>
      <c r="AF89" s="1" t="s">
        <v>1625</v>
      </c>
      <c r="AG89" s="4" t="s">
        <v>1626</v>
      </c>
      <c r="AH89" s="1" t="s">
        <v>261</v>
      </c>
      <c r="AI89" s="1" t="s">
        <v>1627</v>
      </c>
      <c r="AK89" s="1" t="s">
        <v>1628</v>
      </c>
      <c r="AM89" s="1" t="s">
        <v>1629</v>
      </c>
      <c r="AO89" s="5">
        <v>41478.0</v>
      </c>
      <c r="AR89" s="1" t="s">
        <v>1630</v>
      </c>
      <c r="AT89" s="1" t="s">
        <v>1055</v>
      </c>
    </row>
    <row r="90">
      <c r="A90" s="1" t="s">
        <v>1631</v>
      </c>
      <c r="B90" s="1" t="str">
        <f>IFERROR(__xludf.DUMMYFUNCTION("GOOGLETRANSLATE(A:A, ""en"", ""te"")"),"కాడ్రాన్ C.140")</f>
        <v>కాడ్రాన్ C.140</v>
      </c>
      <c r="C90" s="1" t="s">
        <v>1632</v>
      </c>
      <c r="D90" s="2" t="str">
        <f>IFERROR(__xludf.DUMMYFUNCTION("GOOGLETRANSLATE(C:C, ""en"", ""te"")"),"కాడ్రాన్ C.140 అనేది ఫ్రెంచ్ టెన్డం కాక్‌పిట్ సెస్క్విప్లేన్, ఇది 1928 లో అనుసంధాన విమానం మరియు పరిశీలకుడు మరియు గన్నరీ ట్రైనర్‌ల కలయికగా రూపొందించబడింది. C.140 1928 మొదటి భాగంలో రూపొందించబడింది, ఇది పైలట్లు మరియు గన్నర్లకు గన్నరీలో మరియు ఫోటోగ్రాఫిక్ మరి"&amp;"యు రేడియో నిఘా పనిలో శిక్షణ ఇవ్వగల బహుళ-ప్రయోజన విమానాల కోసం ఒక ఫ్రెంచ్ సైనిక పిలుపునిచ్చింది, అలాగే అనుసంధాన పాత్రను నెరవేరుస్తుంది. [1] [[(చేర్చుట ఇది ఒకే బే, గణనీయమైన అసమాన స్పాన్ బిప్‌లేన్ లేదా సెస్క్విప్లేన్. ఎగువ వింగ్ మూడు భాగాలలో ఉంది, సులభంగా వేర"&amp;"ు చేయగలిగే, దీర్ఘచతురస్రాకార ప్రణాళిక బాహ్య ప్యానెల్లు కేంద్ర ప్యానెల్‌కు చేరాయి, ఇందులో టెన్డం కాక్‌పిట్స్ నుండి పైకి దృశ్యాన్ని పెంచడానికి ఫ్యూజ్‌లేజ్‌పై విస్తృత కటౌట్ ఉంది. దిగువ రెక్కలు సమానంగా ఉన్నాయి కాని సెంట్రల్ ప్యానెల్ స్థానంలో తక్కువ ఫ్యూజ్‌లేజ"&amp;"్‌తో. రెండు రెక్కలు రెండు గీసిన, దీర్ఘచతురస్రాకార విభాగం డ్యూరాలిమిన్ ట్యూబ్ స్పార్స్ లైట్నెస్, చెక్క పక్కటెముకలు మరియు రౌండ్ డ్యూరాలిమిన్ ట్యూబ్ ఇంటర్నల్ డ్రాగ్ స్ట్రట్స్ కోసం డ్రిల్లింగ్ చేయబడ్డాయి. బాహ్య-వాలుగా ఉన్న ఇంటర్‌ప్లేన్ స్ట్రట్‌ల సమాంతర జతలు, "&amp;"మళ్ళీ రౌండ్ గొట్టపు డ్యూరాలిమిన్, వైర్ బ్రేసింగ్ ద్వారా సహాయపడే ఎగువ మరియు దిగువ వింగ్ స్పార్‌లను అనుసంధానిస్తాయి. బాహ్య-వాలుగా ఉన్న కాబేన్ స్ట్రట్స్ యొక్క సమాంతర జతలు సెంట్రల్ ప్యానెల్‌లో ఎగువ ఫ్యూజ్‌లేజ్ లాన్స్‌కు చేరాయి. అస్థిర లేదా డైహెడ్రల్ లేదు. [1]"&amp;" [2] C.140 ను అన్‌క్యూల్డ్ 172 కిలోవాట్ (230 హెచ్‌పి) సాల్మ్సన్ 9 ఎబి తొమ్మిది సిలిండర్ రేడియల్ ఇంజన్, డ్యూరాలిమిన్ బేరర్‌లపై అమర్చారు. అగ్ని విషయంలో, 200 ఎల్ (44 ఇంప్ గల్; 53 యుఎస్ గాల్) ఇంధన ట్యాంక్‌ను విమానంలో జెట్టిసన్ చేయవచ్చు. ఇంజిన్ వెనుక ఫ్యూజ్‌లే"&amp;"జ్ మిశ్రమ నిర్మాణం మరియు విభాగంలో లోతైన ఓవల్, బహుళ రేఖాంశ సభ్యులతో ఉన్నారు. పైలట్ ముందుకు కూర్చున్నాడు, పరిశీలకుడితో రెక్క వెనుక భాగంలో ఓపెన్ కాక్‌పిట్ వెనుకబడి ఉంది, తోకకు సగం మార్గం ఉంది, అక్కడ నిస్సార త్రిభుజాకార ఫిన్ ఉంది, సమాంతర అంచుగల చుక్కాతో ఎగువ "&amp;"ఫిన్ లైన్ మరియు a దిగువ అంచు కీల్‌కు చేరుకుంటుంది. చిన్న టెయిల్‌ప్లేన్ ప్రణాళికలో దీర్ఘచతురస్రాకారంగా ఉంది మరియు పెద్ద ప్రాంతాన్ని తీసుకువెళ్ళింది, సమతుల్య ఎలివేటర్లను చుక్కాని కదలిక కోసం చిన్న కటౌట్‌తో అధిగమించింది. C.140 లో ఒకే ఇరుసుపై దాని ప్రధాన చక్రా"&amp;"లతో తోక స్కిడ్ అండర్ క్యారేజ్ ఉంది, దిగువ వింగ్ రూట్ నుండి రెండు సెట్ల ఉక్కు V- స్ట్రట్‌లకు పుట్టుకొచ్చింది. [1] [2] గన్నరీ శిక్షణ కోసం పైలట్ కెమెరా-గన్ మరియు పరిశీలకుడు ఒక జత లూయిస్ మెషిన్ గన్స్ కలిగి ఉన్నారు. అబ్జర్వర్ ఫోటోగ్రాఫిక్ నిఘా కోసం వైడ్ యాంగిల"&amp;"్ కెమెరా మరియు తక్షణ రిపోర్టింగ్ కోసం రేడియో పరికరాలను కలిగి ఉంది. C.140 రాత్రి ఎగురుతూ అమర్చబడింది. [1] [2] C.140 మొదట 1928 వేసవిలో ఎగిరింది. ఇది సిరీస్ ఉత్పత్తికి వెళ్ళలేదు. [1] [2] జేన్ యొక్క అన్ని ప్రపంచ విమానాల నుండి డేటా 1928, [3] ఏవియాఫ్రాన్స్: సి "&amp;"-140 [4] సాధారణ లక్షణాల పనితీరు")</f>
        <v>కాడ్రాన్ C.140 అనేది ఫ్రెంచ్ టెన్డం కాక్‌పిట్ సెస్క్విప్లేన్, ఇది 1928 లో అనుసంధాన విమానం మరియు పరిశీలకుడు మరియు గన్నరీ ట్రైనర్‌ల కలయికగా రూపొందించబడింది. C.140 1928 మొదటి భాగంలో రూపొందించబడింది, ఇది పైలట్లు మరియు గన్నర్లకు గన్నరీలో మరియు ఫోటోగ్రాఫిక్ మరియు రేడియో నిఘా పనిలో శిక్షణ ఇవ్వగల బహుళ-ప్రయోజన విమానాల కోసం ఒక ఫ్రెంచ్ సైనిక పిలుపునిచ్చింది, అలాగే అనుసంధాన పాత్రను నెరవేరుస్తుంది. [1] [[(చేర్చుట ఇది ఒకే బే, గణనీయమైన అసమాన స్పాన్ బిప్‌లేన్ లేదా సెస్క్విప్లేన్. ఎగువ వింగ్ మూడు భాగాలలో ఉంది, సులభంగా వేరు చేయగలిగే, దీర్ఘచతురస్రాకార ప్రణాళిక బాహ్య ప్యానెల్లు కేంద్ర ప్యానెల్‌కు చేరాయి, ఇందులో టెన్డం కాక్‌పిట్స్ నుండి పైకి దృశ్యాన్ని పెంచడానికి ఫ్యూజ్‌లేజ్‌పై విస్తృత కటౌట్ ఉంది. దిగువ రెక్కలు సమానంగా ఉన్నాయి కాని సెంట్రల్ ప్యానెల్ స్థానంలో తక్కువ ఫ్యూజ్‌లేజ్‌తో. రెండు రెక్కలు రెండు గీసిన, దీర్ఘచతురస్రాకార విభాగం డ్యూరాలిమిన్ ట్యూబ్ స్పార్స్ లైట్నెస్, చెక్క పక్కటెముకలు మరియు రౌండ్ డ్యూరాలిమిన్ ట్యూబ్ ఇంటర్నల్ డ్రాగ్ స్ట్రట్స్ కోసం డ్రిల్లింగ్ చేయబడ్డాయి. బాహ్య-వాలుగా ఉన్న ఇంటర్‌ప్లేన్ స్ట్రట్‌ల సమాంతర జతలు, మళ్ళీ రౌండ్ గొట్టపు డ్యూరాలిమిన్, వైర్ బ్రేసింగ్ ద్వారా సహాయపడే ఎగువ మరియు దిగువ వింగ్ స్పార్‌లను అనుసంధానిస్తాయి. బాహ్య-వాలుగా ఉన్న కాబేన్ స్ట్రట్స్ యొక్క సమాంతర జతలు సెంట్రల్ ప్యానెల్‌లో ఎగువ ఫ్యూజ్‌లేజ్ లాన్స్‌కు చేరాయి. అస్థిర లేదా డైహెడ్రల్ లేదు. [1] [2] C.140 ను అన్‌క్యూల్డ్ 172 కిలోవాట్ (230 హెచ్‌పి) సాల్మ్సన్ 9 ఎబి తొమ్మిది సిలిండర్ రేడియల్ ఇంజన్, డ్యూరాలిమిన్ బేరర్‌లపై అమర్చారు. అగ్ని విషయంలో, 200 ఎల్ (44 ఇంప్ గల్; 53 యుఎస్ గాల్) ఇంధన ట్యాంక్‌ను విమానంలో జెట్టిసన్ చేయవచ్చు. ఇంజిన్ వెనుక ఫ్యూజ్‌లేజ్ మిశ్రమ నిర్మాణం మరియు విభాగంలో లోతైన ఓవల్, బహుళ రేఖాంశ సభ్యులతో ఉన్నారు. పైలట్ ముందుకు కూర్చున్నాడు, పరిశీలకుడితో రెక్క వెనుక భాగంలో ఓపెన్ కాక్‌పిట్ వెనుకబడి ఉంది, తోకకు సగం మార్గం ఉంది, అక్కడ నిస్సార త్రిభుజాకార ఫిన్ ఉంది, సమాంతర అంచుగల చుక్కాతో ఎగువ ఫిన్ లైన్ మరియు a దిగువ అంచు కీల్‌కు చేరుకుంటుంది. చిన్న టెయిల్‌ప్లేన్ ప్రణాళికలో దీర్ఘచతురస్రాకారంగా ఉంది మరియు పెద్ద ప్రాంతాన్ని తీసుకువెళ్ళింది, సమతుల్య ఎలివేటర్లను చుక్కాని కదలిక కోసం చిన్న కటౌట్‌తో అధిగమించింది. C.140 లో ఒకే ఇరుసుపై దాని ప్రధాన చక్రాలతో తోక స్కిడ్ అండర్ క్యారేజ్ ఉంది, దిగువ వింగ్ రూట్ నుండి రెండు సెట్ల ఉక్కు V- స్ట్రట్‌లకు పుట్టుకొచ్చింది. [1] [2] గన్నరీ శిక్షణ కోసం పైలట్ కెమెరా-గన్ మరియు పరిశీలకుడు ఒక జత లూయిస్ మెషిన్ గన్స్ కలిగి ఉన్నారు. అబ్జర్వర్ ఫోటోగ్రాఫిక్ నిఘా కోసం వైడ్ యాంగిల్ కెమెరా మరియు తక్షణ రిపోర్టింగ్ కోసం రేడియో పరికరాలను కలిగి ఉంది. C.140 రాత్రి ఎగురుతూ అమర్చబడింది. [1] [2] C.140 మొదట 1928 వేసవిలో ఎగిరింది. ఇది సిరీస్ ఉత్పత్తికి వెళ్ళలేదు. [1] [2] జేన్ యొక్క అన్ని ప్రపంచ విమానాల నుండి డేటా 1928, [3] ఏవియాఫ్రాన్స్: సి -140 [4] సాధారణ లక్షణాల పనితీరు</v>
      </c>
      <c r="E90" s="1" t="s">
        <v>1633</v>
      </c>
      <c r="F90" s="1" t="s">
        <v>1634</v>
      </c>
      <c r="G90" s="1" t="str">
        <f>IFERROR(__xludf.DUMMYFUNCTION("GOOGLETRANSLATE(F:F, ""en"", ""te"")"),"అనుసంధానం మరియు పరిశీలన మరియు గన్నరీ శిక్షకుడు")</f>
        <v>అనుసంధానం మరియు పరిశీలన మరియు గన్నరీ శిక్షకుడు</v>
      </c>
      <c r="I90" s="1" t="s">
        <v>1200</v>
      </c>
      <c r="J90" s="1" t="str">
        <f>IFERROR(__xludf.DUMMYFUNCTION("GOOGLETRANSLATE(I:I, ""en"", ""te"")"),"కాడ్రాన్")</f>
        <v>కాడ్రాన్</v>
      </c>
      <c r="K90" s="4" t="s">
        <v>1201</v>
      </c>
      <c r="L90" s="1" t="s">
        <v>1202</v>
      </c>
      <c r="M90" s="2" t="str">
        <f>IFERROR(__xludf.DUMMYFUNCTION("GOOGLETRANSLATE(L:L, ""en"", ""te"")"),"పాల్ డెవిల్లే")</f>
        <v>పాల్ డెవిల్లే</v>
      </c>
      <c r="R90" s="1" t="s">
        <v>1138</v>
      </c>
      <c r="T90" s="1" t="s">
        <v>1635</v>
      </c>
      <c r="V90" s="1" t="s">
        <v>1453</v>
      </c>
      <c r="W90" s="1" t="s">
        <v>1636</v>
      </c>
      <c r="X90" s="1" t="s">
        <v>806</v>
      </c>
      <c r="Z90" s="1" t="s">
        <v>1637</v>
      </c>
      <c r="AE90" s="1" t="s">
        <v>1638</v>
      </c>
      <c r="AF90" s="1" t="s">
        <v>465</v>
      </c>
      <c r="AG90" s="4" t="s">
        <v>466</v>
      </c>
      <c r="AI90" s="1" t="s">
        <v>1639</v>
      </c>
      <c r="AK90" s="1" t="s">
        <v>1640</v>
      </c>
      <c r="AL90" s="1" t="s">
        <v>1641</v>
      </c>
      <c r="AN90" s="1" t="s">
        <v>1642</v>
      </c>
      <c r="AO90" s="1" t="s">
        <v>1643</v>
      </c>
      <c r="AR90" s="1" t="s">
        <v>1644</v>
      </c>
      <c r="AU90" s="1" t="s">
        <v>1645</v>
      </c>
      <c r="BA90" s="1" t="s">
        <v>1646</v>
      </c>
      <c r="BB90" s="1" t="s">
        <v>1647</v>
      </c>
    </row>
    <row r="91">
      <c r="A91" s="1" t="s">
        <v>1648</v>
      </c>
      <c r="B91" s="1" t="str">
        <f>IFERROR(__xludf.DUMMYFUNCTION("GOOGLETRANSLATE(A:A, ""en"", ""te"")"),"కాడ్రాన్ రకం h")</f>
        <v>కాడ్రాన్ రకం h</v>
      </c>
      <c r="C91" s="1" t="s">
        <v>1649</v>
      </c>
      <c r="D91" s="2" t="str">
        <f>IFERROR(__xludf.DUMMYFUNCTION("GOOGLETRANSLATE(C:C, ""en"", ""te"")"),"కాడ్రాన్ రకం H 1912-3 యొక్క మూడు వేర్వేరు కాడ్రాన్ డిజైన్లకు సామూహిక పేరు. వీటిలో ఒకటి ఫ్రెంచ్ మిలటరీ కోసం నిర్మించిన ఉభయచర మూడు సీట్ల బిప్‌లేన్. రెండు పూర్తయ్యాయి, ఒకటి నవంబర్ 1912 లో పారిస్ ఏరో సెలూన్లో కనిపించారు. కాడ్రాన్ బ్రదర్స్ 1912 పారిస్ సెలూన్లో"&amp;" పంపిణీ కోసం మోనోప్లాన్ల నుండి మోనోప్లాన్ల నుండి హైడ్రావియన్స్ (సీప్లేన్లు) ను వారి కేటలాగ్‌లో వేరు చేయడానికి హెచ్ మరియు ఎం అనే హోదాను ఉపయోగించారు. [1] H వర్గంలో మూడు వేర్వేరు డిజైన్లు ఉన్నాయి: క్లాడ్ గ్రాహం-వైట్ కోసం నిర్మించిన పషర్ కాన్ఫిగరేషన్ కాడ్రాన్"&amp;"-ఫాబ్రే బిప్‌లేన్ యొక్క రెండు-సీట్ల అభివృద్ధి; ట్రాక్టర్ కాన్ఫిగరేషన్ రెండు బే బిప్‌లేన్; కొన్ని ఛాయాచిత్రాల ఆధారాలు కాకుండా, మొదటి రెండు రోజుల్లో తక్కువ వివరాలు బయటపడ్డాయి, కాని క్రింద వివరించిన సెలూన్ల విమానం గురించి మరింత తెలుసు. [2] దాని ట్రాక్టర్ ఇంజ"&amp;"ిన్ కాకుండా, సలోన్ మెషీన్ 1912 యొక్క C రకం నుండి 1915 యొక్క G.4 వరకు అన్ని ఇతర కాడ్రాన్ బైప్‌లేన్ డిజైన్ల మాదిరిగానే ఉంది. దీని రెక్కలు వారి గుండ్రని చిట్కాలతో పాటు ప్రణాళికలో దీర్ఘచతురస్రాకారంగా ఉన్నాయి; ఎగువ వ్యవధి దిగువ కంటే 45% ఎక్కువ. అస్థిరత లేదు, క"&amp;"ాబట్టి ప్రతి వైపు సమాంతర ఇంటర్‌ప్లేన్ స్ట్రట్‌ల యొక్క మూడు సెట్లు నిలువుగా ఉన్నాయి. [2] [4] రోల్ కంట్రోల్ వింగ్ వార్పింగ్ ద్వారా. [3] ఇతర కాడ్రాన్ బైప్‌లాన్‌లతో సమానంగా, సెలూన్ రకం H కి సాంప్రదాయిక ఫ్యూజ్‌లేజ్ లేదు. బదులుగా, ఒక జత గిర్డర్లు, ప్రతి ఒక్కటి "&amp;"ప్రొఫైల్‌లో మరియు ఇద్దరు నిలువు క్రాస్ సభ్యులతో, ప్రణాళికలో ఒకదానికొకటి సమాంతరంగా అమర్చబడ్డాయి. అన్ని రకాలుగా ఎగువ సభ్యులు ఎగువ వింగ్‌కు జతచేయబడ్డారు; ల్యాండ్‌ప్లేన్‌లలో దిగువ సభ్యుడు దిగువ వింగ్ కిందకు వెళ్ళాడు మరియు ల్యాండింగ్ చక్రాలకు మద్దతు ఇచ్చాడు, క"&amp;"ాని కాడ్రాన్ సీప్లేన్లలో వాటిని దిగువ రెక్కలో చేరడం ద్వారా వాటిని నీటి నుండి దూరంగా ఉంచారు. [2] దీర్ఘచతురస్రాకార ప్రణాళిక టెయిల్ ప్లేన్ ఎగువ గిర్డర్ సభ్యుల క్రింద విపరీతమైన తోక వద్ద ఉంచబడింది, కాడ్రాన్ ప్రమాణం నుండి బయలుదేరేటప్పుడు గిర్డర్ల మధ్య మూడు చిన్"&amp;"న, దీర్ఘచతురస్రాకార నిలువు తోకలు దాని పై ఉపరితలంపై ఉన్నాయి. [4] ముగ్గురు సిబ్బందిని ఫ్లాట్ సైడెడ్ నాసెల్లెలో ఉంచారు, దిగువ వింగ్ పైన అమర్చారు, సెమీ-కోల్డ్, 52 కిలోవాట్ల (70 హెచ్‌పి) గ్నోమ్ లాంబ్డా 7-సిలిండర్ రోటరీ ఇంజన్ ముక్కులో మరియు పైలట్ మధ్య తీగ వద్ద "&amp;"ఉంచబడింది. ఈ విమానం ఉభయచరాలు, చిన్న, విశాలమైన, సింగిల్ స్టెప్డ్ ఫ్లోట్లతో, ప్రతి ఒక్కటి సెంట్రల్ వింగ్ బేల క్రింద ఎన్-ఫారమ్ స్ట్రట్‌ల జతపై అమర్చబడి, టైల్‌ప్లేన్ కింద దిగువ టెయిల్‌బూమ్ గిర్డర్‌లకు జతచేయబడిన రెండు చిన్న, అన్‌స్టెప్డ్ ఫ్లోట్‌ల ద్వారా సహాయపడు"&amp;"తుంది. ప్రధాన, అండర్ వింగ్ ఫ్లోట్లు వాటిలో ఎక్కువగా సింగిల్ మెయిన్‌వీల్స్‌ను కలిగి ఉన్నాయి, మూడింట రెండు వంతుల వెనుకకు తిరిగి వచ్చాయి మరియు పైన ఉన్న అర్ధ వృత్తాకార కవర్ల ద్వారా పైన ఉన్నాయి. ఫ్లోట్లు పుట్టుకొచ్చాయి మరియు చక్రాల గేర్‌లో మాత్రమే వసంతం న్యూమా"&amp;"టిక్ టైర్లలో ఉంది. ఈ అమరికను కాడ్రాన్ బ్రదర్స్ పేటెంట్ చేశారు. [2] [5] నిర్మించిన రెండు ఉదాహరణలలో మొదటిది నవంబర్ 1912 లో సెలూన్లో ప్రదర్శించబడటానికి ముందే ఎగిరిపోయిందో తెలియదు. [2] ఇది సైనిక యంత్రంగా గుర్తించబడింది, బహుశా ఫ్రెంచ్ కాలనీలలో ఉపయోగం కోసం ఉద్ద"&amp;"ేశించబడింది మరియు వారు 14 ఫిబ్రవరి 1913 న సీరియల్ CC5 తో అందుకున్నారు. [2] [5] రెండింటిలో కనీసం ఒకటి ప్రధాన చక్రాల జతలతో భూమిని అండర్ క్యారేజ్ కలిగి ఉండటానికి సవరించబడింది మరియు ప్రతి లోపలి ఇంటర్‌ప్లేన్ స్ట్రట్స్ జతల క్రింద వైర్ బ్రేస్డ్ ఎన్-ఫార్మ్ స్ట్రట"&amp;"్‌పై పొడవైన స్కిడ్. [2] మొదటి ఉదాహరణ 14 జూలై 1913 న బౌలోగ్నే ఏరో-క్లబ్ నిర్వహించిన కార్యక్రమంలో ఎగిరింది, బీచ్ నుండి బయలుదేరింది, భిన్నమైన, పొడవైన తేలియాడేటప్పుడు. [2] హావెట్ (2001), పే .39 [2] సాధారణ లక్షణాల పనితీరు")</f>
        <v>కాడ్రాన్ రకం H 1912-3 యొక్క మూడు వేర్వేరు కాడ్రాన్ డిజైన్లకు సామూహిక పేరు. వీటిలో ఒకటి ఫ్రెంచ్ మిలటరీ కోసం నిర్మించిన ఉభయచర మూడు సీట్ల బిప్‌లేన్. రెండు పూర్తయ్యాయి, ఒకటి నవంబర్ 1912 లో పారిస్ ఏరో సెలూన్లో కనిపించారు. కాడ్రాన్ బ్రదర్స్ 1912 పారిస్ సెలూన్లో పంపిణీ కోసం మోనోప్లాన్ల నుండి మోనోప్లాన్ల నుండి హైడ్రావియన్స్ (సీప్లేన్లు) ను వారి కేటలాగ్‌లో వేరు చేయడానికి హెచ్ మరియు ఎం అనే హోదాను ఉపయోగించారు. [1] H వర్గంలో మూడు వేర్వేరు డిజైన్లు ఉన్నాయి: క్లాడ్ గ్రాహం-వైట్ కోసం నిర్మించిన పషర్ కాన్ఫిగరేషన్ కాడ్రాన్-ఫాబ్రే బిప్‌లేన్ యొక్క రెండు-సీట్ల అభివృద్ధి; ట్రాక్టర్ కాన్ఫిగరేషన్ రెండు బే బిప్‌లేన్; కొన్ని ఛాయాచిత్రాల ఆధారాలు కాకుండా, మొదటి రెండు రోజుల్లో తక్కువ వివరాలు బయటపడ్డాయి, కాని క్రింద వివరించిన సెలూన్ల విమానం గురించి మరింత తెలుసు. [2] దాని ట్రాక్టర్ ఇంజిన్ కాకుండా, సలోన్ మెషీన్ 1912 యొక్క C రకం నుండి 1915 యొక్క G.4 వరకు అన్ని ఇతర కాడ్రాన్ బైప్‌లేన్ డిజైన్ల మాదిరిగానే ఉంది. దీని రెక్కలు వారి గుండ్రని చిట్కాలతో పాటు ప్రణాళికలో దీర్ఘచతురస్రాకారంగా ఉన్నాయి; ఎగువ వ్యవధి దిగువ కంటే 45% ఎక్కువ. అస్థిరత లేదు, కాబట్టి ప్రతి వైపు సమాంతర ఇంటర్‌ప్లేన్ స్ట్రట్‌ల యొక్క మూడు సెట్లు నిలువుగా ఉన్నాయి. [2] [4] రోల్ కంట్రోల్ వింగ్ వార్పింగ్ ద్వారా. [3] ఇతర కాడ్రాన్ బైప్‌లాన్‌లతో సమానంగా, సెలూన్ రకం H కి సాంప్రదాయిక ఫ్యూజ్‌లేజ్ లేదు. బదులుగా, ఒక జత గిర్డర్లు, ప్రతి ఒక్కటి ప్రొఫైల్‌లో మరియు ఇద్దరు నిలువు క్రాస్ సభ్యులతో, ప్రణాళికలో ఒకదానికొకటి సమాంతరంగా అమర్చబడ్డాయి. అన్ని రకాలుగా ఎగువ సభ్యులు ఎగువ వింగ్‌కు జతచేయబడ్డారు; ల్యాండ్‌ప్లేన్‌లలో దిగువ సభ్యుడు దిగువ వింగ్ కిందకు వెళ్ళాడు మరియు ల్యాండింగ్ చక్రాలకు మద్దతు ఇచ్చాడు, కాని కాడ్రాన్ సీప్లేన్లలో వాటిని దిగువ రెక్కలో చేరడం ద్వారా వాటిని నీటి నుండి దూరంగా ఉంచారు. [2] దీర్ఘచతురస్రాకార ప్రణాళిక టెయిల్ ప్లేన్ ఎగువ గిర్డర్ సభ్యుల క్రింద విపరీతమైన తోక వద్ద ఉంచబడింది, కాడ్రాన్ ప్రమాణం నుండి బయలుదేరేటప్పుడు గిర్డర్ల మధ్య మూడు చిన్న, దీర్ఘచతురస్రాకార నిలువు తోకలు దాని పై ఉపరితలంపై ఉన్నాయి. [4] ముగ్గురు సిబ్బందిని ఫ్లాట్ సైడెడ్ నాసెల్లెలో ఉంచారు, దిగువ వింగ్ పైన అమర్చారు, సెమీ-కోల్డ్, 52 కిలోవాట్ల (70 హెచ్‌పి) గ్నోమ్ లాంబ్డా 7-సిలిండర్ రోటరీ ఇంజన్ ముక్కులో మరియు పైలట్ మధ్య తీగ వద్ద ఉంచబడింది. ఈ విమానం ఉభయచరాలు, చిన్న, విశాలమైన, సింగిల్ స్టెప్డ్ ఫ్లోట్లతో, ప్రతి ఒక్కటి సెంట్రల్ వింగ్ బేల క్రింద ఎన్-ఫారమ్ స్ట్రట్‌ల జతపై అమర్చబడి, టైల్‌ప్లేన్ కింద దిగువ టెయిల్‌బూమ్ గిర్డర్‌లకు జతచేయబడిన రెండు చిన్న, అన్‌స్టెప్డ్ ఫ్లోట్‌ల ద్వారా సహాయపడుతుంది. ప్రధాన, అండర్ వింగ్ ఫ్లోట్లు వాటిలో ఎక్కువగా సింగిల్ మెయిన్‌వీల్స్‌ను కలిగి ఉన్నాయి, మూడింట రెండు వంతుల వెనుకకు తిరిగి వచ్చాయి మరియు పైన ఉన్న అర్ధ వృత్తాకార కవర్ల ద్వారా పైన ఉన్నాయి. ఫ్లోట్లు పుట్టుకొచ్చాయి మరియు చక్రాల గేర్‌లో మాత్రమే వసంతం న్యూమాటిక్ టైర్లలో ఉంది. ఈ అమరికను కాడ్రాన్ బ్రదర్స్ పేటెంట్ చేశారు. [2] [5] నిర్మించిన రెండు ఉదాహరణలలో మొదటిది నవంబర్ 1912 లో సెలూన్లో ప్రదర్శించబడటానికి ముందే ఎగిరిపోయిందో తెలియదు. [2] ఇది సైనిక యంత్రంగా గుర్తించబడింది, బహుశా ఫ్రెంచ్ కాలనీలలో ఉపయోగం కోసం ఉద్దేశించబడింది మరియు వారు 14 ఫిబ్రవరి 1913 న సీరియల్ CC5 తో అందుకున్నారు. [2] [5] రెండింటిలో కనీసం ఒకటి ప్రధాన చక్రాల జతలతో భూమిని అండర్ క్యారేజ్ కలిగి ఉండటానికి సవరించబడింది మరియు ప్రతి లోపలి ఇంటర్‌ప్లేన్ స్ట్రట్స్ జతల క్రింద వైర్ బ్రేస్డ్ ఎన్-ఫార్మ్ స్ట్రట్‌పై పొడవైన స్కిడ్. [2] మొదటి ఉదాహరణ 14 జూలై 1913 న బౌలోగ్నే ఏరో-క్లబ్ నిర్వహించిన కార్యక్రమంలో ఎగిరింది, బీచ్ నుండి బయలుదేరింది, భిన్నమైన, పొడవైన తేలియాడేటప్పుడు. [2] హావెట్ (2001), పే .39 [2] సాధారణ లక్షణాల పనితీరు</v>
      </c>
      <c r="F91" s="1" t="s">
        <v>1650</v>
      </c>
      <c r="G91" s="1" t="str">
        <f>IFERROR(__xludf.DUMMYFUNCTION("GOOGLETRANSLATE(F:F, ""en"", ""te"")"),"సైనిక ఉభయచర బిప్లేన్")</f>
        <v>సైనిక ఉభయచర బిప్లేన్</v>
      </c>
      <c r="I91" s="1" t="s">
        <v>1200</v>
      </c>
      <c r="J91" s="1" t="str">
        <f>IFERROR(__xludf.DUMMYFUNCTION("GOOGLETRANSLATE(I:I, ""en"", ""te"")"),"కాడ్రాన్")</f>
        <v>కాడ్రాన్</v>
      </c>
      <c r="K91" s="4" t="s">
        <v>1201</v>
      </c>
      <c r="M91" s="2"/>
      <c r="O91" s="1">
        <v>2.0</v>
      </c>
      <c r="R91" s="1" t="s">
        <v>1651</v>
      </c>
      <c r="T91" s="1" t="s">
        <v>328</v>
      </c>
      <c r="V91" s="1" t="s">
        <v>1652</v>
      </c>
      <c r="W91" s="1" t="s">
        <v>1653</v>
      </c>
      <c r="X91" s="1" t="s">
        <v>1654</v>
      </c>
      <c r="Z91" s="1" t="s">
        <v>1655</v>
      </c>
      <c r="AF91" s="1" t="s">
        <v>465</v>
      </c>
      <c r="AG91" s="4" t="s">
        <v>466</v>
      </c>
      <c r="AL91" s="1" t="s">
        <v>1656</v>
      </c>
      <c r="AO91" s="1" t="s">
        <v>1657</v>
      </c>
      <c r="AR91" s="1" t="s">
        <v>1658</v>
      </c>
      <c r="BA91" s="1" t="s">
        <v>1659</v>
      </c>
      <c r="BB91" s="1" t="s">
        <v>1660</v>
      </c>
      <c r="BC91" s="1" t="s">
        <v>1661</v>
      </c>
    </row>
    <row r="92">
      <c r="A92" s="1" t="s">
        <v>1662</v>
      </c>
      <c r="B92" s="1" t="str">
        <f>IFERROR(__xludf.DUMMYFUNCTION("GOOGLETRANSLATE(A:A, ""en"", ""te"")"),"యూరోపా XS")</f>
        <v>యూరోపా XS</v>
      </c>
      <c r="C92" s="1" t="s">
        <v>1663</v>
      </c>
      <c r="D92" s="2" t="str">
        <f>IFERROR(__xludf.DUMMYFUNCTION("GOOGLETRANSLATE(C:C, ""en"", ""te"")"),"యూరోపా XS మరియు యూరోపా క్లాసిక్ బ్రిటిష్ మిశ్రమ రెండు-స్థానంలో ఉన్న తక్కువ-వింగ్ మోనోప్లేన్ కిట్ విమానం యొక్క కుటుంబం. ఇవాన్ షా రూపొందించిన ఈ యూరోపా 1990 ల ప్రారంభంలో ప్రవేశపెట్టబడింది. యూరోపాస్‌ను యూరోపా విమానాలు తయారు చేస్తాయి మరియు te త్సాహిక నిర్మాణాన"&amp;"ికి వస్తు సామగ్రిగా సరఫరా చేయబడతాయి. 450 కంటే ఎక్కువ యూరోపాస్ పూర్తయ్యాయి. యూరోపా ఐరోపాలో వ్యక్తిగత ఉపయోగం కోసం ఆధునిక కిట్ విమానంగా భావించబడింది. దీని రూపకల్పన లక్ష్యాలు: అధిక వేగం, తక్కువ ఖర్చు, ఇంట్లో నిర్మించగలిగే మరియు నిల్వ చేయగలిగేది, ట్రైలర్‌లో సు"&amp;"లభంగా రవాణా చేయగలదు, మొగాస్ ఇంధనాన్ని ఉపయోగించడం, ఐదు నిమిషాల్లోపు విమానానికి రిగ్గింగ్ చేయగలదు, ఇద్దరు వ్యక్తులను సౌకర్యవంతంగా తీసుకెళ్లడం మరియు తగినంతగా అందించడం విస్తరించిన పర్యటన కోసం సామాను. ""తక్కువ ఖర్చు"" కాకుండా, ఈ లక్ష్యాలు ఎక్కువగా నెరవేర్చబడ్డ"&amp;"ాయి. [4] యూరోపాపై ఇవాన్ షా యొక్క రూపకల్పన పని, మొదట పేరు పెట్టబడినట్లుగా, జనవరి 1990 లో ప్రారంభమైంది. మొదటి నమూనా, జి-యురో, మొదట 12 సెప్టెంబర్ 1992 న ప్రయాణించారు మరియు మే 1993 లో ప్రసిద్ధ ఫ్లయింగ్ అసోసియేషన్ ధృవీకరణ పొందబడింది. చాలా యూరోపాస్ అమ్ముడయ్యాయి"&amp;" కిట్ రూపం, 1994 మరియు 1996 మధ్య ఐదు ఫ్యాక్టరీ-సమావేశమైన విమానాలు ఉత్పత్తి చేయబడినప్పటికీ. పూర్తయిన మొదటి కిట్ నిర్మించిన విమానం 14 అక్టోబర్ 1995 న ఎగిరింది. [2] 2007 శరదృతువు నాటికి 450 అన్ని రకాల యూరోపాస్ పూర్తయింది మరియు ఎగురుతున్నాయి. [5] ప్రాథమిక రూప"&amp;"కల్పనను తరువాత ఇవాన్ షా అమెరికా ఫార్ సర్టిఫైడ్ విమానంగా అభివృద్ధి చేసింది, దీనిని యుఎస్ లో లిబర్టీ ఏరోస్పేస్ లిబర్టీ ఎక్స్‌ఎల్ 2 గా నిర్మించారు. యూరోపా తన స్వదేశమైన UK లో హోమ్‌బిల్ట్‌గా వర్గీకరించబడింది మరియు ఎగరడానికి అనుమతి కోసం అర్హత సాధించింది. ఇది దా"&amp;"నిని రోజు మరియు VFR విమానానికి పరిమితం చేస్తుంది. 2008 లో నిర్మించిన ప్రాంతాలపై ఎగురుతున్న మునుపటి పరిమితులు తొలగించబడ్డాయి. కెనడాలో యూరోపా ఒక te త్సాహిక-నిర్మిత విమానం మరియు ప్రత్యేక సర్టిఫికేట్ ఆఫ్ ఎయిర్ విలువైనది. [6] 1997 లో UK ప్రధాన మంత్రి టోనీ బ్లె"&amp;"యిర్ 21 వ శతాబ్దంలో బ్రిటిష్ పరిశ్రమను ప్రోత్సహించడానికి మిలీనియం ఉత్పత్తుల పోటీని ప్రారంభించారు. [7] ఇది 1999 లో 1012 తయారీదారులు మరియు వారి ఉత్పత్తుల విజేతల జాబితాతో ముగిసింది. వీటిలో ఒకటి యూరోపా XS, దీనిని ""వేగం, ఆర్థిక వ్యవస్థ మరియు పనితీరును అందించే"&amp;" తేలికపాటి విమానం మరియు మీ గ్యారేజీలోని ట్రైలర్‌లో నిల్వ చేయవచ్చు"" అని వర్ణించబడింది. [8] యూరోపాస్ ఐరోపాలో చాలా తేలికపాటి విమాన విభాగంలో ఎగురవేయబడ్డాయి. అమెరికాలో యూరోపా XS ప్రస్తుతం లైట్-స్పోర్ట్ విమాన ధృవీకరణ కోసం ఎదురుచూస్తోంది మరియు ఏప్రిల్ 2017 నాటి"&amp;"కి ఫెడరల్ ఏవియేషన్ అడ్మినిస్ట్రేషన్ యొక్క ఆమోదించబడిన ప్రత్యేక లైట్-స్పోర్ట్ విమానాల జాబితాలో డిజైన్ కనిపించదు. [9] [10] క్రమబద్ధీకరించిన మిశ్రమ రూపకల్పన మరియు ముఖ్యంగా తక్కువ పందిరి యూరోపాకు 200 mph (320 కిమీ/గం) అధిక క్రూయిజ్ వేగం మరియు దాని తక్కువ డ్రా"&amp;"గ్ కారణంగా 50 ఎమ్‌పిజి - ఇంప్ (5.6 ఎల్/100 కిమీ) ఇంధన సామర్థ్యం. [11] యూరోపాను రోటాక్స్ 912UL 80 హెచ్‌పి (60 కిలోవాట్), 100 హెచ్‌పి (75 కిలోవాట్ యూరోపాస్ మొదట మోనోహీల్ ల్యాండింగ్ గేర్ మరియు టెయిల్‌వీల్‌తో అందుబాటులోకి వచ్చింది. రెక్కలు rig ట్‌రిగ్గర్‌లపై "&amp;"చిన్న కాస్టర్‌లను కలిగి ఉన్నాయి, అవి ఫ్లాప్‌లతో తగ్గించబడ్డాయి. [11] ట్రైసైకిల్ కాన్ఫిగరేషన్ ద్వారా తగ్గిన బరువు మరియు మెరుగైన పనితీరు యొక్క గ్రహించిన ప్రయోజనాల కోసం షా మోనోహీల్ కాన్ఫిగరేషన్‌ను ఎంచుకున్నాడు. ఆచరణలో, మోనోహీల్ యూరోపా అనుభవం లేని చేతుల్లో గమ"&amp;"్మత్తైనది మరియు ప్రాప్-స్ట్రైక్స్ మరియు గ్రౌండ్‌లూపింగ్ (పాక్షికంగా అవకలన బ్రేకింగ్ లేకపోవడం వల్ల) కు గురయ్యే అవకాశం ఉంది, కాబట్టి కంపెనీ ట్రైసైకిల్ అండర్ క్యారేజీని అభివృద్ధి చేసింది, ఇది మరింత ప్రజాదరణ పొందిన సంస్కరణగా మారింది, ముఖ్యంగా ఏదైనా పనితీరుగా "&amp;"ప్రతికూలత స్వల్పంగా ఉంది. యూరోపాస్‌ను ఫైబర్‌గ్లాస్‌తో తయారు చేసిన సాధారణ (టూరర్) రెక్కలతో అమర్చవచ్చు, 102 చదరపు అడుగుల (9.5 మీ 2) వింగ్ ఏరియా మరియు 13.43 ఎల్బి/ఎఫ్‌టి 2 వింగ్ లోడింగ్ మౌటో వద్ద లేదా మోటర్‌గ్లైడర్ రెక్కలు, కార్బన్ ఫైబర్ నుండి ఎక్కువ వ్యవధిల"&amp;"ో తయారు చేయబడతాయి. ఫ్యూజ్‌లేజ్ మోటర్‌గ్లైడర్ మరియు టూరర్ రెండింటికీ సాధారణం కాబట్టి, రెండు సెట్ల రెక్కలతో ఒకే ఫ్యూజ్‌లేజ్ ఒక టూరర్‌గా మరియు మోటర్‌గ్లైడర్‌గా ప్రత్యామ్నాయంగా కాన్ఫిగర్ చేయవచ్చు. ఐదు నిమిషాల్లో రవాణా లేదా నిల్వ కోసం రెక్కలను తొలగించవచ్చు. [1"&amp;"1] యూరోపా టూరింగ్ వింగ్ డాన్ డైకిన్స్ రూపొందించిన ప్రత్యేకమైన డైకిన్స్ 12% మందం/తీగ నిష్పత్తి ఎయిర్‌ఫాయిల్‌ను ఉపయోగిస్తుంది, అతను హాకర్ సిడ్లీ ఏవియేషన్ వద్ద డిప్యూటీ చీఫ్ ఏరోడైనమిసిస్ట్‌గా ఉన్నారు మరియు తరువాత బ్రిటిష్ ఏరోస్పేస్ యొక్క సాంకేతిక డైరెక్టర్ మ"&amp;"రియు యూరోపియన్ ఎయిర్‌బస్‌పై చీఫ్ ఏరోడైనమిస్ట్. [12] మోటర్‌గ్లైడర్ వింగ్ వేరే వింగ్ విభాగాన్ని ఉపయోగిస్తుంది, ఇది డైకిన్స్ చేత రూపొందించబడింది, దాని పీడన కేంద్రంతో చిన్న వింగ్‌తో సమానంగా ఉంటుంది, చుక్కాని మరియు టెయిల్‌ప్లేన్ రెండింటినీ సమానంగా ప్రభావవంతంగా"&amp;" ఉన్నాయని నిర్ధారించుకోండి. రెక్కల ప్రాంతాన్ని 135 చదరపు అడుగుల (12.5 మీ 2) కు తీసుకువస్తుంది. మోటారుగ్లైడర్ రెక్కలు ఫ్లాప్స్ కంటే ఎయిర్ బ్రేక్లతో అమర్చబడి ఉంటాయి. [13] యూరోపా XS యొక్క లైట్-స్పోర్ట్ విమాన వేరియంట్‌కు అనువైన రెక్కల కోసం అభివృద్ధి కూడా జరుగ"&amp;"ుతోంది. [14] ఇంధన ట్యాంకులు ఫ్యూజ్‌లేజ్‌లో ఉన్నాయి మరియు 18 యు.ఎస్. గ్యాలన్లు (68 ఎల్; 15 ఇంప్ గాల్) ప్రమాణం మరియు 28 యు.ఎస్. గ్యాలన్లు (110 ఎల్; 23 ఇంప్ గాల్) ఐచ్ఛికం. ఇది ఎకానమీ క్రూయిజ్ సెట్టింగ్‌లో విస్తరించిన 841 MI (1,353 కిమీ) ప్రమాణం లేదా 1,256 MI"&amp;" (2,021 కిమీ) పరిధిని ఇస్తుంది. [11] విమానం ఇంజిన్ అవసరాలు మరియు జాతీయ నిబంధనలను బట్టి AVGAS లేదా MOGA లను ఉపయోగించవచ్చు. అదనపు ఇంధన ట్యాంకులతో పాటు ఇంధన సామర్థ్యాన్ని అప్‌గ్రేడ్ చేయడం కూడా సాధ్యమే. 1 జూన్ 2007 న, యూరోపా క్లాసిక్, రిజిస్ట్రేషన్ జి-హాఫ్సి,"&amp;" యునైటెడ్ కింగ్‌డమ్‌లోని సౌత్ వేల్స్ మీదుగా విమానంలో విమానంలో విడిపోయింది, ఇద్దరు యజమానులను చంపారు. వెనుక లిఫ్ట్/డ్రాగ్ పిన్ వద్ద కుడి వింగ్ అటాచ్మెంట్ నిర్మాణంలో దర్యాప్తు అవకతవకలు సూచించింది. సాధారణ కదలికకు మించి టెయిల్‌ప్లేన్ ఉపరితలాల కదలికకు ఆధారాలు క"&amp;"ూడా ఉన్నాయి. ప్రారంభ ఫలితాల ఫలితంగా, లైట్ ఎయిర్క్రాఫ్ట్ అసోసియేషన్ తక్షణ మరియు పునరావృత తనిఖీలు అవసరమయ్యే రెండు ఎయిర్‌వర్త్ బులెటిన్‌లను విడుదల చేసింది: [25] తప్పనిసరి పర్మిట్ ఆదేశాల సమస్య ద్వారా ఈ వాయు యోగ్యత బులెటిన్‌ల యొక్క కంటెంట్ UK లో తప్పనిసరి చేయబ"&amp;"డింది. తుది ప్రమాద నివేదిక ఈ మార్పులు మరియు విమానాల యొక్క తప్పనిసరి తనిఖీలు ఇప్పటికే పూర్తయ్యాయి, నిర్మాణ సమస్యను తగినంతగా పరిష్కరిస్తాయి. [26] ఈ ప్రమాదం యూరోపా క్లాసిక్‌లను మాత్రమే ప్రభావితం చేస్తుంది, ఇవన్నీ ఇప్పుడు సవరించబడి ఉండాలి మరియు వేరే నిర్మాణాన"&amp;"్ని కలిగి ఉన్న XS మోడల్ కాదు. జేన్ యొక్క ఆల్ ది వరల్డ్ విమానాల నుండి డేటా 2003-2004 [29] సాధారణ లక్షణాల పనితీరు విమానం పోల్చదగిన పాత్ర, కాన్ఫిగరేషన్ మరియు ERA")</f>
        <v>యూరోపా XS మరియు యూరోపా క్లాసిక్ బ్రిటిష్ మిశ్రమ రెండు-స్థానంలో ఉన్న తక్కువ-వింగ్ మోనోప్లేన్ కిట్ విమానం యొక్క కుటుంబం. ఇవాన్ షా రూపొందించిన ఈ యూరోపా 1990 ల ప్రారంభంలో ప్రవేశపెట్టబడింది. యూరోపాస్‌ను యూరోపా విమానాలు తయారు చేస్తాయి మరియు te త్సాహిక నిర్మాణానికి వస్తు సామగ్రిగా సరఫరా చేయబడతాయి. 450 కంటే ఎక్కువ యూరోపాస్ పూర్తయ్యాయి. యూరోపా ఐరోపాలో వ్యక్తిగత ఉపయోగం కోసం ఆధునిక కిట్ విమానంగా భావించబడింది. దీని రూపకల్పన లక్ష్యాలు: అధిక వేగం, తక్కువ ఖర్చు, ఇంట్లో నిర్మించగలిగే మరియు నిల్వ చేయగలిగేది, ట్రైలర్‌లో సులభంగా రవాణా చేయగలదు, మొగాస్ ఇంధనాన్ని ఉపయోగించడం, ఐదు నిమిషాల్లోపు విమానానికి రిగ్గింగ్ చేయగలదు, ఇద్దరు వ్యక్తులను సౌకర్యవంతంగా తీసుకెళ్లడం మరియు తగినంతగా అందించడం విస్తరించిన పర్యటన కోసం సామాను. "తక్కువ ఖర్చు" కాకుండా, ఈ లక్ష్యాలు ఎక్కువగా నెరవేర్చబడ్డాయి. [4] యూరోపాపై ఇవాన్ షా యొక్క రూపకల్పన పని, మొదట పేరు పెట్టబడినట్లుగా, జనవరి 1990 లో ప్రారంభమైంది. మొదటి నమూనా, జి-యురో, మొదట 12 సెప్టెంబర్ 1992 న ప్రయాణించారు మరియు మే 1993 లో ప్రసిద్ధ ఫ్లయింగ్ అసోసియేషన్ ధృవీకరణ పొందబడింది. చాలా యూరోపాస్ అమ్ముడయ్యాయి కిట్ రూపం, 1994 మరియు 1996 మధ్య ఐదు ఫ్యాక్టరీ-సమావేశమైన విమానాలు ఉత్పత్తి చేయబడినప్పటికీ. పూర్తయిన మొదటి కిట్ నిర్మించిన విమానం 14 అక్టోబర్ 1995 న ఎగిరింది. [2] 2007 శరదృతువు నాటికి 450 అన్ని రకాల యూరోపాస్ పూర్తయింది మరియు ఎగురుతున్నాయి. [5] ప్రాథమిక రూపకల్పనను తరువాత ఇవాన్ షా అమెరికా ఫార్ సర్టిఫైడ్ విమానంగా అభివృద్ధి చేసింది, దీనిని యుఎస్ లో లిబర్టీ ఏరోస్పేస్ లిబర్టీ ఎక్స్‌ఎల్ 2 గా నిర్మించారు. యూరోపా తన స్వదేశమైన UK లో హోమ్‌బిల్ట్‌గా వర్గీకరించబడింది మరియు ఎగరడానికి అనుమతి కోసం అర్హత సాధించింది. ఇది దానిని రోజు మరియు VFR విమానానికి పరిమితం చేస్తుంది. 2008 లో నిర్మించిన ప్రాంతాలపై ఎగురుతున్న మునుపటి పరిమితులు తొలగించబడ్డాయి. కెనడాలో యూరోపా ఒక te త్సాహిక-నిర్మిత విమానం మరియు ప్రత్యేక సర్టిఫికేట్ ఆఫ్ ఎయిర్ విలువైనది. [6] 1997 లో UK ప్రధాన మంత్రి టోనీ బ్లెయిర్ 21 వ శతాబ్దంలో బ్రిటిష్ పరిశ్రమను ప్రోత్సహించడానికి మిలీనియం ఉత్పత్తుల పోటీని ప్రారంభించారు. [7] ఇది 1999 లో 1012 తయారీదారులు మరియు వారి ఉత్పత్తుల విజేతల జాబితాతో ముగిసింది. వీటిలో ఒకటి యూరోపా XS, దీనిని "వేగం, ఆర్థిక వ్యవస్థ మరియు పనితీరును అందించే తేలికపాటి విమానం మరియు మీ గ్యారేజీలోని ట్రైలర్‌లో నిల్వ చేయవచ్చు" అని వర్ణించబడింది. [8] యూరోపాస్ ఐరోపాలో చాలా తేలికపాటి విమాన విభాగంలో ఎగురవేయబడ్డాయి. అమెరికాలో యూరోపా XS ప్రస్తుతం లైట్-స్పోర్ట్ విమాన ధృవీకరణ కోసం ఎదురుచూస్తోంది మరియు ఏప్రిల్ 2017 నాటికి ఫెడరల్ ఏవియేషన్ అడ్మినిస్ట్రేషన్ యొక్క ఆమోదించబడిన ప్రత్యేక లైట్-స్పోర్ట్ విమానాల జాబితాలో డిజైన్ కనిపించదు. [9] [10] క్రమబద్ధీకరించిన మిశ్రమ రూపకల్పన మరియు ముఖ్యంగా తక్కువ పందిరి యూరోపాకు 200 mph (320 కిమీ/గం) అధిక క్రూయిజ్ వేగం మరియు దాని తక్కువ డ్రాగ్ కారణంగా 50 ఎమ్‌పిజి - ఇంప్ (5.6 ఎల్/100 కిమీ) ఇంధన సామర్థ్యం. [11] యూరోపాను రోటాక్స్ 912UL 80 హెచ్‌పి (60 కిలోవాట్), 100 హెచ్‌పి (75 కిలోవాట్ యూరోపాస్ మొదట మోనోహీల్ ల్యాండింగ్ గేర్ మరియు టెయిల్‌వీల్‌తో అందుబాటులోకి వచ్చింది. రెక్కలు rig ట్‌రిగ్గర్‌లపై చిన్న కాస్టర్‌లను కలిగి ఉన్నాయి, అవి ఫ్లాప్‌లతో తగ్గించబడ్డాయి. [11] ట్రైసైకిల్ కాన్ఫిగరేషన్ ద్వారా తగ్గిన బరువు మరియు మెరుగైన పనితీరు యొక్క గ్రహించిన ప్రయోజనాల కోసం షా మోనోహీల్ కాన్ఫిగరేషన్‌ను ఎంచుకున్నాడు. ఆచరణలో, మోనోహీల్ యూరోపా అనుభవం లేని చేతుల్లో గమ్మత్తైనది మరియు ప్రాప్-స్ట్రైక్స్ మరియు గ్రౌండ్‌లూపింగ్ (పాక్షికంగా అవకలన బ్రేకింగ్ లేకపోవడం వల్ల) కు గురయ్యే అవకాశం ఉంది, కాబట్టి కంపెనీ ట్రైసైకిల్ అండర్ క్యారేజీని అభివృద్ధి చేసింది, ఇది మరింత ప్రజాదరణ పొందిన సంస్కరణగా మారింది, ముఖ్యంగా ఏదైనా పనితీరుగా ప్రతికూలత స్వల్పంగా ఉంది. యూరోపాస్‌ను ఫైబర్‌గ్లాస్‌తో తయారు చేసిన సాధారణ (టూరర్) రెక్కలతో అమర్చవచ్చు, 102 చదరపు అడుగుల (9.5 మీ 2) వింగ్ ఏరియా మరియు 13.43 ఎల్బి/ఎఫ్‌టి 2 వింగ్ లోడింగ్ మౌటో వద్ద లేదా మోటర్‌గ్లైడర్ రెక్కలు, కార్బన్ ఫైబర్ నుండి ఎక్కువ వ్యవధిలో తయారు చేయబడతాయి. ఫ్యూజ్‌లేజ్ మోటర్‌గ్లైడర్ మరియు టూరర్ రెండింటికీ సాధారణం కాబట్టి, రెండు సెట్ల రెక్కలతో ఒకే ఫ్యూజ్‌లేజ్ ఒక టూరర్‌గా మరియు మోటర్‌గ్లైడర్‌గా ప్రత్యామ్నాయంగా కాన్ఫిగర్ చేయవచ్చు. ఐదు నిమిషాల్లో రవాణా లేదా నిల్వ కోసం రెక్కలను తొలగించవచ్చు. [11] యూరోపా టూరింగ్ వింగ్ డాన్ డైకిన్స్ రూపొందించిన ప్రత్యేకమైన డైకిన్స్ 12% మందం/తీగ నిష్పత్తి ఎయిర్‌ఫాయిల్‌ను ఉపయోగిస్తుంది, అతను హాకర్ సిడ్లీ ఏవియేషన్ వద్ద డిప్యూటీ చీఫ్ ఏరోడైనమిసిస్ట్‌గా ఉన్నారు మరియు తరువాత బ్రిటిష్ ఏరోస్పేస్ యొక్క సాంకేతిక డైరెక్టర్ మరియు యూరోపియన్ ఎయిర్‌బస్‌పై చీఫ్ ఏరోడైనమిస్ట్. [12] మోటర్‌గ్లైడర్ వింగ్ వేరే వింగ్ విభాగాన్ని ఉపయోగిస్తుంది, ఇది డైకిన్స్ చేత రూపొందించబడింది, దాని పీడన కేంద్రంతో చిన్న వింగ్‌తో సమానంగా ఉంటుంది, చుక్కాని మరియు టెయిల్‌ప్లేన్ రెండింటినీ సమానంగా ప్రభావవంతంగా ఉన్నాయని నిర్ధారించుకోండి. రెక్కల ప్రాంతాన్ని 135 చదరపు అడుగుల (12.5 మీ 2) కు తీసుకువస్తుంది. మోటారుగ్లైడర్ రెక్కలు ఫ్లాప్స్ కంటే ఎయిర్ బ్రేక్లతో అమర్చబడి ఉంటాయి. [13] యూరోపా XS యొక్క లైట్-స్పోర్ట్ విమాన వేరియంట్‌కు అనువైన రెక్కల కోసం అభివృద్ధి కూడా జరుగుతోంది. [14] ఇంధన ట్యాంకులు ఫ్యూజ్‌లేజ్‌లో ఉన్నాయి మరియు 18 యు.ఎస్. గ్యాలన్లు (68 ఎల్; 15 ఇంప్ గాల్) ప్రమాణం మరియు 28 యు.ఎస్. గ్యాలన్లు (110 ఎల్; 23 ఇంప్ గాల్) ఐచ్ఛికం. ఇది ఎకానమీ క్రూయిజ్ సెట్టింగ్‌లో విస్తరించిన 841 MI (1,353 కిమీ) ప్రమాణం లేదా 1,256 MI (2,021 కిమీ) పరిధిని ఇస్తుంది. [11] విమానం ఇంజిన్ అవసరాలు మరియు జాతీయ నిబంధనలను బట్టి AVGAS లేదా MOGA లను ఉపయోగించవచ్చు. అదనపు ఇంధన ట్యాంకులతో పాటు ఇంధన సామర్థ్యాన్ని అప్‌గ్రేడ్ చేయడం కూడా సాధ్యమే. 1 జూన్ 2007 న, యూరోపా క్లాసిక్, రిజిస్ట్రేషన్ జి-హాఫ్సి, యునైటెడ్ కింగ్‌డమ్‌లోని సౌత్ వేల్స్ మీదుగా విమానంలో విమానంలో విడిపోయింది, ఇద్దరు యజమానులను చంపారు. వెనుక లిఫ్ట్/డ్రాగ్ పిన్ వద్ద కుడి వింగ్ అటాచ్మెంట్ నిర్మాణంలో దర్యాప్తు అవకతవకలు సూచించింది. సాధారణ కదలికకు మించి టెయిల్‌ప్లేన్ ఉపరితలాల కదలికకు ఆధారాలు కూడా ఉన్నాయి. ప్రారంభ ఫలితాల ఫలితంగా, లైట్ ఎయిర్క్రాఫ్ట్ అసోసియేషన్ తక్షణ మరియు పునరావృత తనిఖీలు అవసరమయ్యే రెండు ఎయిర్‌వర్త్ బులెటిన్‌లను విడుదల చేసింది: [25] తప్పనిసరి పర్మిట్ ఆదేశాల సమస్య ద్వారా ఈ వాయు యోగ్యత బులెటిన్‌ల యొక్క కంటెంట్ UK లో తప్పనిసరి చేయబడింది. తుది ప్రమాద నివేదిక ఈ మార్పులు మరియు విమానాల యొక్క తప్పనిసరి తనిఖీలు ఇప్పటికే పూర్తయ్యాయి, నిర్మాణ సమస్యను తగినంతగా పరిష్కరిస్తాయి. [26] ఈ ప్రమాదం యూరోపా క్లాసిక్‌లను మాత్రమే ప్రభావితం చేస్తుంది, ఇవన్నీ ఇప్పుడు సవరించబడి ఉండాలి మరియు వేరే నిర్మాణాన్ని కలిగి ఉన్న XS మోడల్ కాదు. జేన్ యొక్క ఆల్ ది వరల్డ్ విమానాల నుండి డేటా 2003-2004 [29] సాధారణ లక్షణాల పనితీరు విమానం పోల్చదగిన పాత్ర, కాన్ఫిగరేషన్ మరియు ERA</v>
      </c>
      <c r="E92" s="1" t="s">
        <v>1664</v>
      </c>
      <c r="F92" s="1" t="s">
        <v>215</v>
      </c>
      <c r="G92" s="1" t="str">
        <f>IFERROR(__xludf.DUMMYFUNCTION("GOOGLETRANSLATE(F:F, ""en"", ""te"")"),"కిట్ విమానం")</f>
        <v>కిట్ విమానం</v>
      </c>
      <c r="H92" s="1" t="s">
        <v>216</v>
      </c>
      <c r="I92" s="1" t="s">
        <v>1665</v>
      </c>
      <c r="J92" s="1" t="str">
        <f>IFERROR(__xludf.DUMMYFUNCTION("GOOGLETRANSLATE(I:I, ""en"", ""te"")"),"యూరోపా విమానం")</f>
        <v>యూరోపా విమానం</v>
      </c>
      <c r="K92" s="1" t="s">
        <v>1666</v>
      </c>
      <c r="L92" s="1" t="s">
        <v>1667</v>
      </c>
      <c r="M92" s="2" t="str">
        <f>IFERROR(__xludf.DUMMYFUNCTION("GOOGLETRANSLATE(L:L, ""en"", ""te"")"),"ఇవాన్ షా [1]")</f>
        <v>ఇవాన్ షా [1]</v>
      </c>
      <c r="O92" s="1" t="s">
        <v>1668</v>
      </c>
      <c r="R92" s="1">
        <v>2.0</v>
      </c>
      <c r="T92" s="1" t="s">
        <v>1669</v>
      </c>
      <c r="U92" s="1" t="s">
        <v>1670</v>
      </c>
      <c r="V92" s="1" t="s">
        <v>1671</v>
      </c>
      <c r="W92" s="1" t="s">
        <v>1672</v>
      </c>
      <c r="X92" s="1" t="s">
        <v>1673</v>
      </c>
      <c r="Z92" s="1" t="s">
        <v>1674</v>
      </c>
      <c r="AA92" s="1" t="s">
        <v>486</v>
      </c>
      <c r="AC92" s="1" t="s">
        <v>1675</v>
      </c>
      <c r="AD92" s="1" t="s">
        <v>1676</v>
      </c>
      <c r="AF92" s="1" t="s">
        <v>314</v>
      </c>
      <c r="AG92" s="1" t="s">
        <v>370</v>
      </c>
      <c r="AH92" s="1" t="s">
        <v>261</v>
      </c>
      <c r="AI92" s="1" t="s">
        <v>1677</v>
      </c>
      <c r="AO92" s="1" t="s">
        <v>1678</v>
      </c>
      <c r="BD92" s="1" t="s">
        <v>1679</v>
      </c>
      <c r="BE92" s="1">
        <v>7.2</v>
      </c>
      <c r="BJ92" s="1" t="s">
        <v>1680</v>
      </c>
    </row>
    <row r="93">
      <c r="A93" s="1" t="s">
        <v>1681</v>
      </c>
      <c r="B93" s="1" t="str">
        <f>IFERROR(__xludf.DUMMYFUNCTION("GOOGLETRANSLATE(A:A, ""en"", ""te"")"),"ఫెయిర్‌చైల్డ్ ఎక్స్‌సి -120 ప్యాక్‌ప్లేన్")</f>
        <v>ఫెయిర్‌చైల్డ్ ఎక్స్‌సి -120 ప్యాక్‌ప్లేన్</v>
      </c>
      <c r="C93" s="1" t="s">
        <v>1682</v>
      </c>
      <c r="D93" s="2" t="str">
        <f>IFERROR(__xludf.DUMMYFUNCTION("GOOGLETRANSLATE(C:C, ""en"", ""te"")"),"ఫెయిర్‌చైల్డ్ ఎక్స్‌సి -120 ప్యాక్‌ప్లేన్ అనేది 1950 లో మొదట ఎగిరిన ఒక అమెరికన్ ప్రయోగాత్మక మాడ్యులర్ విమానం. ఇది సంస్థ యొక్క సి -119 ఎగిరే బాక్స్‌కార్ నుండి అభివృద్ధి చేయబడింది మరియు తొలగించగల కార్గో పాడ్‌లను అసాధారణంగా ఉపయోగించడంలో ప్రత్యేకమైనది, ఇవి ఫ్"&amp;"యూజ్‌లేజ్ క్రింద జతచేయబడిన బదులు, బదులుగా జతచేయబడ్డాయి. అంతర్గత కార్గో కంపార్ట్మెంట్. XC-1220 ప్యాక్‌ప్లేన్ సి -119 బి ఫ్యూజ్‌లేజ్ (48-330, సి/ఎన్ 10312) గా ప్రారంభమైంది, ఫ్లైట్ డెక్ క్రింద ఉన్న ఒక బిందువుతో కత్తిరించగల కార్గో పాడ్ కోసం స్థలాన్ని సృష్టించ"&amp;"డానికి .. రెక్కలు పైకి కోణీయంగా ఉన్నాయి. ఇంజన్లు మరియు ఫ్యూజ్‌లేజ్, ఫ్యూజ్‌లేజ్‌ను అనేక అడుగుల ద్వారా పెంచడం మరియు విమానానికి విలోమ గల్-వింగ్ రూపాన్ని ఇస్తుంది. చిన్న వ్యాసం ""ట్విన్డ్"" చక్రాలు ప్రతి ప్రధాన ల్యాండింగ్ గేర్ స్ట్రట్‌ల కోసం నోస్‌వీల్స్‌గా ప"&amp;"నిచేయడానికి ముందుకు వచ్చాయి, ప్రధాన స్ట్రట్‌లను వెనుకకు విస్తరించారు. నాలుగు ల్యాండింగ్ గేర్ యూనిట్లు, ""ముక్కు"" మరియు ""మెయిన్"" సెట్లలో, విమానాన్ని తగ్గించడానికి మరియు కత్తెర పద్ధతిలో పెంచవచ్చు మరియు తగ్గించవచ్చు మరియు ప్రణాళికాబద్ధమైన వివిధ రకాల చక్రా"&amp;"ల పాడ్లను తొలగించడానికి వీలు కల్పిస్తుంది, ఇవి ఫ్యూజ్‌లేజ్ క్రింద జతచేయబడతాయి సరుకు రవాణా. సరుకును పాడ్స్‌లో ప్రీలోడ్ చేయడానికి అనుమతించడం లక్ష్యం; అటువంటి అమరిక సరుకును లోడ్ చేయడం మరియు అన్‌లోడ్ చేయడం వేగవంతం చేస్తుందని పేర్కొన్నారు. [1] ఉత్పత్తి విమానాల"&amp;"ను సి -128 గా నియమించాల్సి ఉంది. ఒక XC-120 మాత్రమే నిర్మించబడింది. ఈ విమానం విస్తృతంగా పరీక్షించబడినప్పటికీ, 1950 ల ప్రారంభంలో అనేక ఎయిర్‌షో ప్రదర్శనలు వచ్చినప్పటికీ, ఈ ప్రాజెక్ట్ ఇకపై వెళ్ళలేదు. 1951 లో ఫ్లోరిడాలోని ఎగ్లిన్ ఎయిర్ ఫోర్స్ బేస్ వద్ద ఎయిర్ ప"&amp;"్రొవింగ్ గ్రౌండ్ కమాండ్ దీనిని పరీక్షించారు, [2] ఈ ప్రాజెక్ట్ 1952 లో వదిలివేయబడటానికి ముందు. [3] ప్రోటోటైప్ చివరికి రద్దు చేయబడింది. [4] నుండి డేటా పోల్చదగిన పాత్ర, కాన్ఫిగరేషన్ మరియు ERA సంబంధిత జాబితాల యొక్క సాధారణ లక్షణాల సంబంధిత అభివృద్ధి విమానం")</f>
        <v>ఫెయిర్‌చైల్డ్ ఎక్స్‌సి -120 ప్యాక్‌ప్లేన్ అనేది 1950 లో మొదట ఎగిరిన ఒక అమెరికన్ ప్రయోగాత్మక మాడ్యులర్ విమానం. ఇది సంస్థ యొక్క సి -119 ఎగిరే బాక్స్‌కార్ నుండి అభివృద్ధి చేయబడింది మరియు తొలగించగల కార్గో పాడ్‌లను అసాధారణంగా ఉపయోగించడంలో ప్రత్యేకమైనది, ఇవి ఫ్యూజ్‌లేజ్ క్రింద జతచేయబడిన బదులు, బదులుగా జతచేయబడ్డాయి. అంతర్గత కార్గో కంపార్ట్మెంట్. XC-1220 ప్యాక్‌ప్లేన్ సి -119 బి ఫ్యూజ్‌లేజ్ (48-330, సి/ఎన్ 10312) గా ప్రారంభమైంది, ఫ్లైట్ డెక్ క్రింద ఉన్న ఒక బిందువుతో కత్తిరించగల కార్గో పాడ్ కోసం స్థలాన్ని సృష్టించడానికి .. రెక్కలు పైకి కోణీయంగా ఉన్నాయి. ఇంజన్లు మరియు ఫ్యూజ్‌లేజ్, ఫ్యూజ్‌లేజ్‌ను అనేక అడుగుల ద్వారా పెంచడం మరియు విమానానికి విలోమ గల్-వింగ్ రూపాన్ని ఇస్తుంది. చిన్న వ్యాసం "ట్విన్డ్" చక్రాలు ప్రతి ప్రధాన ల్యాండింగ్ గేర్ స్ట్రట్‌ల కోసం నోస్‌వీల్స్‌గా పనిచేయడానికి ముందుకు వచ్చాయి, ప్రధాన స్ట్రట్‌లను వెనుకకు విస్తరించారు. నాలుగు ల్యాండింగ్ గేర్ యూనిట్లు, "ముక్కు" మరియు "మెయిన్" సెట్లలో, విమానాన్ని తగ్గించడానికి మరియు కత్తెర పద్ధతిలో పెంచవచ్చు మరియు తగ్గించవచ్చు మరియు ప్రణాళికాబద్ధమైన వివిధ రకాల చక్రాల పాడ్లను తొలగించడానికి వీలు కల్పిస్తుంది, ఇవి ఫ్యూజ్‌లేజ్ క్రింద జతచేయబడతాయి సరుకు రవాణా. సరుకును పాడ్స్‌లో ప్రీలోడ్ చేయడానికి అనుమతించడం లక్ష్యం; అటువంటి అమరిక సరుకును లోడ్ చేయడం మరియు అన్‌లోడ్ చేయడం వేగవంతం చేస్తుందని పేర్కొన్నారు. [1] ఉత్పత్తి విమానాలను సి -128 గా నియమించాల్సి ఉంది. ఒక XC-120 మాత్రమే నిర్మించబడింది. ఈ విమానం విస్తృతంగా పరీక్షించబడినప్పటికీ, 1950 ల ప్రారంభంలో అనేక ఎయిర్‌షో ప్రదర్శనలు వచ్చినప్పటికీ, ఈ ప్రాజెక్ట్ ఇకపై వెళ్ళలేదు. 1951 లో ఫ్లోరిడాలోని ఎగ్లిన్ ఎయిర్ ఫోర్స్ బేస్ వద్ద ఎయిర్ ప్రొవింగ్ గ్రౌండ్ కమాండ్ దీనిని పరీక్షించారు, [2] ఈ ప్రాజెక్ట్ 1952 లో వదిలివేయబడటానికి ముందు. [3] ప్రోటోటైప్ చివరికి రద్దు చేయబడింది. [4] నుండి డేటా పోల్చదగిన పాత్ర, కాన్ఫిగరేషన్ మరియు ERA సంబంధిత జాబితాల యొక్క సాధారణ లక్షణాల సంబంధిత అభివృద్ధి విమానం</v>
      </c>
      <c r="E93" s="1" t="s">
        <v>1683</v>
      </c>
      <c r="F93" s="1" t="s">
        <v>1684</v>
      </c>
      <c r="G93" s="1" t="str">
        <f>IFERROR(__xludf.DUMMYFUNCTION("GOOGLETRANSLATE(F:F, ""en"", ""te"")"),"సైనిక రవాణా విమానం")</f>
        <v>సైనిక రవాణా విమానం</v>
      </c>
      <c r="H93" s="1" t="s">
        <v>1685</v>
      </c>
      <c r="I93" s="1" t="s">
        <v>1686</v>
      </c>
      <c r="J93" s="1" t="str">
        <f>IFERROR(__xludf.DUMMYFUNCTION("GOOGLETRANSLATE(I:I, ""en"", ""te"")"),"ఫెయిర్‌చైల్డ్")</f>
        <v>ఫెయిర్‌చైల్డ్</v>
      </c>
      <c r="K93" s="4" t="s">
        <v>1687</v>
      </c>
      <c r="M93" s="2"/>
      <c r="O93" s="1">
        <v>1.0</v>
      </c>
      <c r="P93" s="1" t="s">
        <v>1688</v>
      </c>
      <c r="Q93" s="1" t="s">
        <v>1689</v>
      </c>
      <c r="R93" s="1" t="s">
        <v>1690</v>
      </c>
      <c r="S93" s="1" t="s">
        <v>1691</v>
      </c>
      <c r="T93" s="1" t="s">
        <v>1692</v>
      </c>
      <c r="U93" s="1" t="s">
        <v>1693</v>
      </c>
      <c r="V93" s="1" t="s">
        <v>1694</v>
      </c>
      <c r="X93" s="1" t="s">
        <v>1695</v>
      </c>
      <c r="Z93" s="1" t="s">
        <v>1696</v>
      </c>
      <c r="AI93" s="1" t="s">
        <v>1697</v>
      </c>
      <c r="AO93" s="5">
        <v>18486.0</v>
      </c>
    </row>
    <row r="94">
      <c r="A94" s="1" t="s">
        <v>1698</v>
      </c>
      <c r="B94" s="1" t="str">
        <f>IFERROR(__xludf.DUMMYFUNCTION("GOOGLETRANSLATE(A:A, ""en"", ""te"")"),"ఫెయిరీ గోర్డాన్")</f>
        <v>ఫెయిరీ గోర్డాన్</v>
      </c>
      <c r="C94" s="1" t="s">
        <v>1699</v>
      </c>
      <c r="D94" s="2" t="str">
        <f>IFERROR(__xludf.DUMMYFUNCTION("GOOGLETRANSLATE(C:C, ""en"", ""te"")"),"ఫైరీ గోర్డాన్ ఒక బ్రిటిష్ లైట్ బాంబర్ (2-సీట్ల రోజు బాంబర్) మరియు 1930 ల యుటిలిటీ విమానం. గోర్డాన్ సాంప్రదాయిక రెండు-బే ఫాబ్రిక్-కప్పబడిన మెటల్ బిప్‌లేన్. ఇది ఆర్మ్‌స్ట్రాంగ్ సిడ్లీ పాంథర్ IIA ఇంజిన్ యొక్క 525-605 హార్స్‌పవర్ (391–451 కిలోవాట్ల) వేరియంట్ల"&amp;"ు. ఆయుధాలు ఒక స్థిర, ఫార్వర్డ్-ఫైరింగ్ .303-అంగుళాల (7.7 మిమీ) విక్కర్స్ మెషిన్ గన్ మరియు వెనుక కాక్‌పిట్‌లో .303-అంగుళాల (7.7 మిమీ) లూయిస్ గన్, అదనంగా 500 పౌండ్ల (230 కిలోల) బాంబులు. విమానం కొంతవరకు ప్రాథమికమైనది; పరికరాలు ఎయిర్‌స్పీడ్ ఇండికేటర్, ఆల్టిమీ"&amp;"టర్, ఆయిల్ ప్రెజర్ గేజ్, టాకోమీటర్, టర్న్ మరియు బ్యాంక్ ఇండికేటర్ మరియు దిక్సూచి. గోర్డాన్ IIIF నుండి అభివృద్ధి చేయబడింది, ప్రధానంగా కొత్త ఆర్మ్‌స్ట్రాంగ్ సిడ్లీ పాంథర్ ఇంజిన్‌ను ఉపయోగించడం ద్వారా. ఈ నమూనా మొట్టమొదట 3 మార్చి 1931 న ఎగురవేయబడింది, మరియు 80"&amp;" అంతకుముందు IIIF లను ఇదే ప్రమాణంగా మార్చారు, RAF కోసం 178 కొత్తగా నిర్మించిన విమానం తయారు చేయబడింది, కొన్ని IIIF లు ఉత్పత్తి మార్గంలో మార్చబడ్డాయి. 154 మార్క్ ఉత్పత్తి చేయబడింది, ఉత్పత్తి పెద్ద ఫిన్ మరియు చుక్కానితో మార్క్ II కి మారడానికి ముందు; ఉత్పత్తి "&amp;"కత్తి చేపలకు మారడానికి ముందు వీటిలో 24 మాత్రమే పూర్తయ్యాయి. రాయల్ నేవీ ఉపయోగించే గోర్డాన్ యొక్క నావికా సంస్కరణను సీల్ అని పిలుస్తారు. రెండవ ప్రపంచ యుద్ధానికి ముందు ఈ రకం ఎక్కువగా రాయల్ ఎయిర్ ఫోర్స్ మరియు రాయల్ నేవీ ఫ్లీట్ ఎయిర్ ఆర్మ్ సర్వీస్ నుండి రిటైర్ "&amp;"అయ్యింది, అయినప్పటికీ 6 వ స్క్వాడ్రన్ RAF, నంబర్ 45 స్క్వాడ్రన్ RAF మరియు 47 వ స్క్వాడ్రన్ RAF, ఈజిప్టులో ఇప్పటికీ ఈ రకాన్ని నిర్వహిస్తున్నాయి . ఈ విమానాలలో ఆరు ఈజిప్టు వైమానిక దళానికి బదిలీ చేయబడ్డాయి. 49 ఏప్రిల్ 1939 లో గోర్డాన్స్ రాయల్ న్యూజిలాండ్ వైమా"&amp;"నిక దళానికి పంపబడ్డారు, 41 పైలట్ శిక్షకులుగా క్లుప్త సేవలో ప్రవేశించారు. RNZAF విమానం అరిగిపోయినట్లు మరియు మధ్యప్రాచ్యంలో వారి సేవ యొక్క సంకేతాలను చూపించింది - కనీసం ఒక తేలుతో సహా. వీటిలో చివరిది - మరియు ఎక్కడైనా చివరి చెక్కుచెదరకుండా ఉన్న గోర్డాన్ - 1943"&amp;" లో RNZAF సేవ నుండి కొట్టబడింది. ఏడు గోర్డాన్లు వెళ్ళుటను లక్ష్యంగా చేసుకోవడానికి స్వీకరించబడ్డాయి మరియు ఇరాక్‌లోని RAF హబ్బనీయ వద్ద NO 4 ఫ్లయింగ్ ట్రైనింగ్ స్కూల్‌లో ఉంచబడ్డాయి. [1] ఏప్రిల్ 1941 చివరలో, ఈ విమానాలను త్వరితంగా తిరిగి బాంబర్లుగా మార్చారు, మ"&amp;"రియు మే ప్రారంభంలో వారు ఇరాకీ దళాలకు వ్యతిరేకంగా హబ్బనీయ రక్షణలో పాల్గొన్నారు మరియు తరువాత పాఠశాలపై దాడి చేశారు. [2] న్యూజిలాండ్‌లో పునరుద్ధరణలో ఉన్న RNZAF గోర్డాన్ మార్క్ I NZ629 మాత్రమే ప్రాణాలతో బయటపడింది. 12 ఏప్రిల్ 1940 న, ఇద్దరు ట్రైనీ పైలట్లు వాల్ట"&amp;"ర్ రాఫెల్ (పైలట్) మరియు 1 సర్వీస్ ఫ్లయింగ్ ట్రైనింగ్ స్కూల్ యొక్క విల్ఫ్రెడ్ ఎవిరిస్ట్ (ప్రయాణీకుడు) విగ్రామ్ నుండి NZ629 ను దక్షిణ ఆల్ప్స్ మీదుగా విమానంలో ""యుద్ధ-లోడ్ ఎక్కడానికి 15,000 అడుగుల"" శిక్షణా మిషన్లో ఎగురుతున్నారు. ఈ విమానం సదరన్ ఆల్ప్స్ పైన ఒ"&amp;"క స్పిన్‌లోకి ప్రవేశించింది మరియు సిబ్బంది బెయిల్ ఇవ్వడానికి సిద్ధంగా ఉన్నారు, కాని విమానం కోలుకుంది. కొద్దిసేపటి తరువాత అది మౌంట్ వైట్ పై ఒక శిఖరం పైన చెట్లను తాకి, నిటారుగా ఉన్న వాలు వైపు వెనుకకు వెనుకకు తిప్పబడింది, విమానం చెట్లలో వేలాడుతోంది మరియు రాఫ"&amp;"ెల్ మరియు ఎవిరిస్ట్ అపస్మారక స్థితిలో ఉంది. రాఫెల్ స్పృహ తిరిగి వచ్చినప్పుడు, విమానం త్వరలోనే మంటలను పట్టుకుంటుందని అతను భయపడ్డాడు, అందువల్ల అతను ఇంకా అపస్మారక స్థితిలో ఉన్న ఎవెరిస్ట్‌ను శిధిలాల నుండి బయటకు తీశాడు. రాఫెల్ ఒక షియరర్స్ గుడిసె వద్దకు నడిచాడు"&amp;", తీవ్రంగా గాయపడిన ఎవెరిస్ట్‌ను మోసుకున్నాడు. ఎయిర్ఫ్రేమ్, మైనస్ ఇన్స్ట్రుమెంట్స్, గన్స్ మరియు ఇంజిన్, ఒక పెద్ద గొర్రెల స్టేషన్‌లో భాగమైన క్రాష్ సైట్ వద్ద చెట్లలో సస్పెండ్ చేయబడ్డాయి. 1976 లో ఇది వాల్టర్ రాఫెల్ సహాయంతో చార్లెస్ డార్బీ చేత - ఇప్పటికీ ఎక్కు"&amp;"వగా చెట్ల నుండి సస్పెండ్ చేయబడింది. . పునరుద్ధరణ ప్రారంభమయ్యే ముందు ఇది 20 సంవత్సరాలకు పైగా నిల్వ చేయబడింది. ఫిబ్రవరి 1988 లో సివిల్ రిజిస్ట్రేషన్ ZK-TLA రిజర్వు చేయబడింది మరియు 2005 నాటికి పునరుద్ధరణదారులు ఇంజిన్ కోసం వెతుకుతున్నారు. 2014 లో వారు విమానం "&amp;"పునరుద్ధరించడానికి నిధులను సేకరించడానికి కష్టపడుతున్నారు. [3] 1915 నుండి ఫెయిరీ విమానం నుండి వచ్చిన డేటా [6] సాధారణ లక్షణాలు పనితీరు ఆయుధ సంబంధిత అభివృద్ధి విమానం పోల్చదగిన పాత్ర, కాన్ఫిగరేషన్ మరియు ERA సంబంధిత జాబితాలు")</f>
        <v>ఫైరీ గోర్డాన్ ఒక బ్రిటిష్ లైట్ బాంబర్ (2-సీట్ల రోజు బాంబర్) మరియు 1930 ల యుటిలిటీ విమానం. గోర్డాన్ సాంప్రదాయిక రెండు-బే ఫాబ్రిక్-కప్పబడిన మెటల్ బిప్‌లేన్. ఇది ఆర్మ్‌స్ట్రాంగ్ సిడ్లీ పాంథర్ IIA ఇంజిన్ యొక్క 525-605 హార్స్‌పవర్ (391–451 కిలోవాట్ల) వేరియంట్లు. ఆయుధాలు ఒక స్థిర, ఫార్వర్డ్-ఫైరింగ్ .303-అంగుళాల (7.7 మిమీ) విక్కర్స్ మెషిన్ గన్ మరియు వెనుక కాక్‌పిట్‌లో .303-అంగుళాల (7.7 మిమీ) లూయిస్ గన్, అదనంగా 500 పౌండ్ల (230 కిలోల) బాంబులు. విమానం కొంతవరకు ప్రాథమికమైనది; పరికరాలు ఎయిర్‌స్పీడ్ ఇండికేటర్, ఆల్టిమీటర్, ఆయిల్ ప్రెజర్ గేజ్, టాకోమీటర్, టర్న్ మరియు బ్యాంక్ ఇండికేటర్ మరియు దిక్సూచి. గోర్డాన్ IIIF నుండి అభివృద్ధి చేయబడింది, ప్రధానంగా కొత్త ఆర్మ్‌స్ట్రాంగ్ సిడ్లీ పాంథర్ ఇంజిన్‌ను ఉపయోగించడం ద్వారా. ఈ నమూనా మొట్టమొదట 3 మార్చి 1931 న ఎగురవేయబడింది, మరియు 80 అంతకుముందు IIIF లను ఇదే ప్రమాణంగా మార్చారు, RAF కోసం 178 కొత్తగా నిర్మించిన విమానం తయారు చేయబడింది, కొన్ని IIIF లు ఉత్పత్తి మార్గంలో మార్చబడ్డాయి. 154 మార్క్ ఉత్పత్తి చేయబడింది, ఉత్పత్తి పెద్ద ఫిన్ మరియు చుక్కానితో మార్క్ II కి మారడానికి ముందు; ఉత్పత్తి కత్తి చేపలకు మారడానికి ముందు వీటిలో 24 మాత్రమే పూర్తయ్యాయి. రాయల్ నేవీ ఉపయోగించే గోర్డాన్ యొక్క నావికా సంస్కరణను సీల్ అని పిలుస్తారు. రెండవ ప్రపంచ యుద్ధానికి ముందు ఈ రకం ఎక్కువగా రాయల్ ఎయిర్ ఫోర్స్ మరియు రాయల్ నేవీ ఫ్లీట్ ఎయిర్ ఆర్మ్ సర్వీస్ నుండి రిటైర్ అయ్యింది, అయినప్పటికీ 6 వ స్క్వాడ్రన్ RAF, నంబర్ 45 స్క్వాడ్రన్ RAF మరియు 47 వ స్క్వాడ్రన్ RAF, ఈజిప్టులో ఇప్పటికీ ఈ రకాన్ని నిర్వహిస్తున్నాయి . ఈ విమానాలలో ఆరు ఈజిప్టు వైమానిక దళానికి బదిలీ చేయబడ్డాయి. 49 ఏప్రిల్ 1939 లో గోర్డాన్స్ రాయల్ న్యూజిలాండ్ వైమానిక దళానికి పంపబడ్డారు, 41 పైలట్ శిక్షకులుగా క్లుప్త సేవలో ప్రవేశించారు. RNZAF విమానం అరిగిపోయినట్లు మరియు మధ్యప్రాచ్యంలో వారి సేవ యొక్క సంకేతాలను చూపించింది - కనీసం ఒక తేలుతో సహా. వీటిలో చివరిది - మరియు ఎక్కడైనా చివరి చెక్కుచెదరకుండా ఉన్న గోర్డాన్ - 1943 లో RNZAF సేవ నుండి కొట్టబడింది. ఏడు గోర్డాన్లు వెళ్ళుటను లక్ష్యంగా చేసుకోవడానికి స్వీకరించబడ్డాయి మరియు ఇరాక్‌లోని RAF హబ్బనీయ వద్ద NO 4 ఫ్లయింగ్ ట్రైనింగ్ స్కూల్‌లో ఉంచబడ్డాయి. [1] ఏప్రిల్ 1941 చివరలో, ఈ విమానాలను త్వరితంగా తిరిగి బాంబర్లుగా మార్చారు, మరియు మే ప్రారంభంలో వారు ఇరాకీ దళాలకు వ్యతిరేకంగా హబ్బనీయ రక్షణలో పాల్గొన్నారు మరియు తరువాత పాఠశాలపై దాడి చేశారు. [2] న్యూజిలాండ్‌లో పునరుద్ధరణలో ఉన్న RNZAF గోర్డాన్ మార్క్ I NZ629 మాత్రమే ప్రాణాలతో బయటపడింది. 12 ఏప్రిల్ 1940 న, ఇద్దరు ట్రైనీ పైలట్లు వాల్టర్ రాఫెల్ (పైలట్) మరియు 1 సర్వీస్ ఫ్లయింగ్ ట్రైనింగ్ స్కూల్ యొక్క విల్ఫ్రెడ్ ఎవిరిస్ట్ (ప్రయాణీకుడు) విగ్రామ్ నుండి NZ629 ను దక్షిణ ఆల్ప్స్ మీదుగా విమానంలో "యుద్ధ-లోడ్ ఎక్కడానికి 15,000 అడుగుల" శిక్షణా మిషన్లో ఎగురుతున్నారు. ఈ విమానం సదరన్ ఆల్ప్స్ పైన ఒక స్పిన్‌లోకి ప్రవేశించింది మరియు సిబ్బంది బెయిల్ ఇవ్వడానికి సిద్ధంగా ఉన్నారు, కాని విమానం కోలుకుంది. కొద్దిసేపటి తరువాత అది మౌంట్ వైట్ పై ఒక శిఖరం పైన చెట్లను తాకి, నిటారుగా ఉన్న వాలు వైపు వెనుకకు వెనుకకు తిప్పబడింది, విమానం చెట్లలో వేలాడుతోంది మరియు రాఫెల్ మరియు ఎవిరిస్ట్ అపస్మారక స్థితిలో ఉంది. రాఫెల్ స్పృహ తిరిగి వచ్చినప్పుడు, విమానం త్వరలోనే మంటలను పట్టుకుంటుందని అతను భయపడ్డాడు, అందువల్ల అతను ఇంకా అపస్మారక స్థితిలో ఉన్న ఎవెరిస్ట్‌ను శిధిలాల నుండి బయటకు తీశాడు. రాఫెల్ ఒక షియరర్స్ గుడిసె వద్దకు నడిచాడు, తీవ్రంగా గాయపడిన ఎవెరిస్ట్‌ను మోసుకున్నాడు. ఎయిర్ఫ్రేమ్, మైనస్ ఇన్స్ట్రుమెంట్స్, గన్స్ మరియు ఇంజిన్, ఒక పెద్ద గొర్రెల స్టేషన్‌లో భాగమైన క్రాష్ సైట్ వద్ద చెట్లలో సస్పెండ్ చేయబడ్డాయి. 1976 లో ఇది వాల్టర్ రాఫెల్ సహాయంతో చార్లెస్ డార్బీ చేత - ఇప్పటికీ ఎక్కువగా చెట్ల నుండి సస్పెండ్ చేయబడింది. . పునరుద్ధరణ ప్రారంభమయ్యే ముందు ఇది 20 సంవత్సరాలకు పైగా నిల్వ చేయబడింది. ఫిబ్రవరి 1988 లో సివిల్ రిజిస్ట్రేషన్ ZK-TLA రిజర్వు చేయబడింది మరియు 2005 నాటికి పునరుద్ధరణదారులు ఇంజిన్ కోసం వెతుకుతున్నారు. 2014 లో వారు విమానం పునరుద్ధరించడానికి నిధులను సేకరించడానికి కష్టపడుతున్నారు. [3] 1915 నుండి ఫెయిరీ విమానం నుండి వచ్చిన డేటా [6] సాధారణ లక్షణాలు పనితీరు ఆయుధ సంబంధిత అభివృద్ధి విమానం పోల్చదగిన పాత్ర, కాన్ఫిగరేషన్ మరియు ERA సంబంధిత జాబితాలు</v>
      </c>
      <c r="E94" s="1" t="s">
        <v>1700</v>
      </c>
      <c r="F94" s="1" t="s">
        <v>1701</v>
      </c>
      <c r="G94" s="1" t="str">
        <f>IFERROR(__xludf.DUMMYFUNCTION("GOOGLETRANSLATE(F:F, ""en"", ""te"")"),"తేలికపాటి విమానం")</f>
        <v>తేలికపాటి విమానం</v>
      </c>
      <c r="I94" s="1" t="s">
        <v>1702</v>
      </c>
      <c r="J94" s="1" t="str">
        <f>IFERROR(__xludf.DUMMYFUNCTION("GOOGLETRANSLATE(I:I, ""en"", ""te"")"),"ఫైరీ ఏవియేషన్")</f>
        <v>ఫైరీ ఏవియేషన్</v>
      </c>
      <c r="K94" s="1" t="s">
        <v>1703</v>
      </c>
      <c r="M94" s="2"/>
      <c r="O94" s="1">
        <v>186.0</v>
      </c>
      <c r="P94" s="1" t="s">
        <v>1704</v>
      </c>
      <c r="Q94" s="1" t="s">
        <v>1705</v>
      </c>
      <c r="R94" s="1">
        <v>2.0</v>
      </c>
      <c r="T94" s="1" t="s">
        <v>1706</v>
      </c>
      <c r="U94" s="1" t="s">
        <v>1707</v>
      </c>
      <c r="V94" s="1" t="s">
        <v>1708</v>
      </c>
      <c r="W94" s="1" t="s">
        <v>1709</v>
      </c>
      <c r="X94" s="1" t="s">
        <v>1710</v>
      </c>
      <c r="Z94" s="1" t="s">
        <v>1711</v>
      </c>
      <c r="AA94" s="1" t="s">
        <v>968</v>
      </c>
      <c r="AC94" s="1" t="s">
        <v>1712</v>
      </c>
      <c r="AD94" s="1" t="s">
        <v>1713</v>
      </c>
      <c r="AE94" s="1" t="s">
        <v>1714</v>
      </c>
      <c r="AH94" s="1" t="s">
        <v>1715</v>
      </c>
      <c r="AI94" s="1" t="s">
        <v>1716</v>
      </c>
      <c r="AL94" s="1" t="s">
        <v>1717</v>
      </c>
      <c r="AN94" s="1" t="s">
        <v>1718</v>
      </c>
      <c r="AO94" s="5">
        <v>11385.0</v>
      </c>
      <c r="AR94" s="1" t="s">
        <v>1719</v>
      </c>
      <c r="AU94" s="1" t="s">
        <v>1720</v>
      </c>
      <c r="BO94" s="1" t="s">
        <v>1721</v>
      </c>
      <c r="BP94" s="1" t="s">
        <v>1722</v>
      </c>
      <c r="BS94" s="1" t="s">
        <v>1723</v>
      </c>
      <c r="CM94" s="1" t="s">
        <v>1724</v>
      </c>
    </row>
    <row r="95">
      <c r="A95" s="1" t="s">
        <v>1725</v>
      </c>
      <c r="B95" s="1" t="str">
        <f>IFERROR(__xludf.DUMMYFUNCTION("GOOGLETRANSLATE(A:A, ""en"", ""te"")"),"డగ్లస్ యోవా -5")</f>
        <v>డగ్లస్ యోవా -5</v>
      </c>
      <c r="C95" s="1" t="s">
        <v>1726</v>
      </c>
      <c r="D95" s="2" t="str">
        <f>IFERROR(__xludf.DUMMYFUNCTION("GOOGLETRANSLATE(C:C, ""en"", ""te"")"),"డగ్లస్ యోవా -5 అనేది అమెరికా ఆర్మీ ఎయిర్ కార్ప్స్ కోసం రూపొందించిన ఉభయచర విమానం. ఒక నమూనా నిర్మించినప్పటికీ, అది ఉత్పత్తిలోకి ప్రవేశించలేదు. నవంబర్ 1932 లో, యు.ఎస్. ఆర్మీ ఒక ఉభయచర నిఘా విమానం/బాంబర్ యొక్క అభివృద్ధిని ఆదేశించింది, సాంప్రదాయిక బాంబర్ల నిర్మ"&amp;"ాణాల కోసం నావిగేషన్ నాయకులు మరియు రెస్క్యూ విమానాలుగా పనిచేయడానికి ఉద్దేశించబడింది. ఫలిత విమానం, బాంబర్ హోదా YB-11 కింద ఆర్డర్ చేయబడింది, ఇది అమెరికా నేవీ కోసం ఇలాంటి కానీ పెద్ద డగ్లస్ XP3D పెట్రోల్ ఫ్లయింగ్ పడవతో సమాంతరంగా రూపొందించబడింది. ఇది రెండు రైట్"&amp;" R-1820 సైక్లోన్ రేడియల్ ఇంజిన్లతో కూడిన అధిక-రెక్కల మోనోప్లేన్, ఇది రెక్క పైన ఉన్న వ్యక్తిగత నాసెల్ల్స్‌లో అమర్చబడి, డగ్లస్ డాల్ఫిన్ యొక్క విస్తరించిన సంస్కరణను పోలి ఉంటుంది. [1] పూర్తయ్యే ముందు, దీనిని మొదట పరిశీలన విమానం YO-44 గా మరియు తరువాత YOA-5 'పర"&amp;"ిశీలన ఉభయచర మోడల్ 5' గా పున es రూపకల్పన చేశారు. [2] ఇది మొదట జనవరి 1935 లో ప్రయాణించింది మరియు ఆ సంవత్సరం ఫిబ్రవరిలో సైన్యానికి పంపిణీ చేయబడింది. [1] ఇది రూపొందించబడిన భావన అసాధ్యమని నిరూపించబడింది మరియు తదుపరి ఉత్పత్తి జరగలేదు, కాని YOA-5 ఉభయచరాల కోసం రె"&amp;"ండు ప్రపంచ దూర రికార్డులను నెలకొల్పడానికి ఉపయోగించబడింది, చివరకు డిసెంబర్ 1943 లో రద్దు చేయబడింది. [3] 1920 నుండి మెక్‌డోనెల్ డగ్లస్ విమానం నుండి డేటా: వాల్యూమ్ I [4] సాధారణ లక్షణాలు పనితీరు ఆయుధ సంబంధిత జాబితాలు")</f>
        <v>డగ్లస్ యోవా -5 అనేది అమెరికా ఆర్మీ ఎయిర్ కార్ప్స్ కోసం రూపొందించిన ఉభయచర విమానం. ఒక నమూనా నిర్మించినప్పటికీ, అది ఉత్పత్తిలోకి ప్రవేశించలేదు. నవంబర్ 1932 లో, యు.ఎస్. ఆర్మీ ఒక ఉభయచర నిఘా విమానం/బాంబర్ యొక్క అభివృద్ధిని ఆదేశించింది, సాంప్రదాయిక బాంబర్ల నిర్మాణాల కోసం నావిగేషన్ నాయకులు మరియు రెస్క్యూ విమానాలుగా పనిచేయడానికి ఉద్దేశించబడింది. ఫలిత విమానం, బాంబర్ హోదా YB-11 కింద ఆర్డర్ చేయబడింది, ఇది అమెరికా నేవీ కోసం ఇలాంటి కానీ పెద్ద డగ్లస్ XP3D పెట్రోల్ ఫ్లయింగ్ పడవతో సమాంతరంగా రూపొందించబడింది. ఇది రెండు రైట్ R-1820 సైక్లోన్ రేడియల్ ఇంజిన్లతో కూడిన అధిక-రెక్కల మోనోప్లేన్, ఇది రెక్క పైన ఉన్న వ్యక్తిగత నాసెల్ల్స్‌లో అమర్చబడి, డగ్లస్ డాల్ఫిన్ యొక్క విస్తరించిన సంస్కరణను పోలి ఉంటుంది. [1] పూర్తయ్యే ముందు, దీనిని మొదట పరిశీలన విమానం YO-44 గా మరియు తరువాత YOA-5 'పరిశీలన ఉభయచర మోడల్ 5' గా పున es రూపకల్పన చేశారు. [2] ఇది మొదట జనవరి 1935 లో ప్రయాణించింది మరియు ఆ సంవత్సరం ఫిబ్రవరిలో సైన్యానికి పంపిణీ చేయబడింది. [1] ఇది రూపొందించబడిన భావన అసాధ్యమని నిరూపించబడింది మరియు తదుపరి ఉత్పత్తి జరగలేదు, కాని YOA-5 ఉభయచరాల కోసం రెండు ప్రపంచ దూర రికార్డులను నెలకొల్పడానికి ఉపయోగించబడింది, చివరకు డిసెంబర్ 1943 లో రద్దు చేయబడింది. [3] 1920 నుండి మెక్‌డోనెల్ డగ్లస్ విమానం నుండి డేటా: వాల్యూమ్ I [4] సాధారణ లక్షణాలు పనితీరు ఆయుధ సంబంధిత జాబితాలు</v>
      </c>
      <c r="E95" s="1" t="s">
        <v>1727</v>
      </c>
      <c r="F95" s="1" t="s">
        <v>1728</v>
      </c>
      <c r="G95" s="1" t="str">
        <f>IFERROR(__xludf.DUMMYFUNCTION("GOOGLETRANSLATE(F:F, ""en"", ""te"")"),"సీప్లేన్ బాంబర్")</f>
        <v>సీప్లేన్ బాంబర్</v>
      </c>
      <c r="H95" s="1" t="s">
        <v>1729</v>
      </c>
      <c r="I95" s="1" t="s">
        <v>1730</v>
      </c>
      <c r="J95" s="1" t="str">
        <f>IFERROR(__xludf.DUMMYFUNCTION("GOOGLETRANSLATE(I:I, ""en"", ""te"")"),"డగ్లస్ ఎయిర్క్రాఫ్ట్ కంపెనీ")</f>
        <v>డగ్లస్ ఎయిర్క్రాఫ్ట్ కంపెనీ</v>
      </c>
      <c r="K95" s="1" t="s">
        <v>1731</v>
      </c>
      <c r="M95" s="2"/>
      <c r="O95" s="1">
        <v>1.0</v>
      </c>
      <c r="P95" s="1" t="s">
        <v>1732</v>
      </c>
      <c r="Q95" s="1" t="s">
        <v>1733</v>
      </c>
      <c r="R95" s="1">
        <v>4.0</v>
      </c>
      <c r="T95" s="1" t="s">
        <v>1734</v>
      </c>
      <c r="U95" s="1" t="s">
        <v>1735</v>
      </c>
      <c r="X95" s="1" t="s">
        <v>1736</v>
      </c>
      <c r="Z95" s="1" t="s">
        <v>1737</v>
      </c>
      <c r="AE95" s="1" t="s">
        <v>1738</v>
      </c>
      <c r="AH95" s="1" t="s">
        <v>261</v>
      </c>
      <c r="AI95" s="1" t="s">
        <v>1739</v>
      </c>
      <c r="AL95" s="1" t="s">
        <v>1740</v>
      </c>
      <c r="AO95" s="1">
        <v>1935.0</v>
      </c>
      <c r="AP95" s="1" t="s">
        <v>996</v>
      </c>
      <c r="AQ95" s="1" t="s">
        <v>997</v>
      </c>
      <c r="AS95" s="1" t="s">
        <v>1741</v>
      </c>
      <c r="AX95" s="1">
        <v>1935.0</v>
      </c>
      <c r="BN95" s="1">
        <v>1943.0</v>
      </c>
      <c r="BS95" s="1" t="s">
        <v>1742</v>
      </c>
    </row>
    <row r="96">
      <c r="A96" s="1" t="s">
        <v>1743</v>
      </c>
      <c r="B96" s="1" t="str">
        <f>IFERROR(__xludf.DUMMYFUNCTION("GOOGLETRANSLATE(A:A, ""en"", ""te"")"),"EAA BIPLANE")</f>
        <v>EAA BIPLANE</v>
      </c>
      <c r="C96" s="1" t="s">
        <v>1744</v>
      </c>
      <c r="D96" s="2" t="str">
        <f>IFERROR(__xludf.DUMMYFUNCTION("GOOGLETRANSLATE(C:C, ""en"", ""te"")"),"1960 నుండి ప్రయోగాత్మక విమాన సంఘం యొక్క శాశ్వత చిహ్నం అయిన EAA BIPLANE (సీరియల్ # N6077V), ఇది అమెరికాలో రూపొందించబడిన వినోద విమానం మరియు ఇంటి నిర్మిత విమానాల ప్రణాళికలుగా విక్రయించబడింది. [1] EAA బిప్‌లేన్ విస్కాన్సిన్‌లోని ఓష్కోష్‌లోని EAA ఏవియేషన్ మ్యూ"&amp;"జియంలో శాశ్వత ప్రదర్శనలో ఉంది. [2] 1955 లో EAA సభ్యుడు జిమ్ డి. స్టీవర్ట్ నేతృత్వంలోని అల్లిసన్ ఇంజనీర్స్ బృందం EAA కోసం ప్రాథమిక రూపకల్పనను రూపొందించింది. [3] ఈ బృందం 1930 ల యొక్క గేర్ స్పోర్ట్‌ను వారి ప్రారంభ బిందువుగా తీసుకుంది మరియు చివరికి పూర్తిగా క"&amp;"ొత్త డిజైన్‌ను అభివృద్ధి చేసింది, ఇది రాబర్ట్ డి. బ్లాకర్ చేసిన అనేక 'నిర్మించిన' డిజైన్ మార్పులను కూడా కలిగి ఉంది (5/2/26 - 8/3/88) , విమానం యొక్క బిల్డర్ మరియు దాని టెస్ట్ పైలట్లలో ఒకరు. [4] 'అస్-బిల్ట్' డిజైన్ మార్పులలో ఎగువ రెక్కకు +2 డిగ్రీ డిహెడ్రల్"&amp;", క్షితిజ సమాంతర స్టెబిలైజర్ యొక్క పున es రూపకల్పన, 2 మరియు 3 స్టేషన్లలో వికర్ణ కలుపును వ్యవస్థాపించడం, ఫ్యూజ్‌లేజ్ ట్రస్ అసెంబ్లీకి మార్పు, నియంత్రణ కాలమ్ బలోపేతం మద్దతు మరియు ఒక తెలివిగల బంతిని మోసే అమరికను బ్లాకర్ మొదలైనవి సృష్టించాయి. [5] [6] ఇది సాంప"&amp;"్రదాయిక కాన్ఫిగరేషన్ యొక్క సింగిల్-సీట్ బైప్‌లేన్, అస్థిర, సింగిల్-బే ఈక్వల్-స్పాన్ రెక్కలు N- స్ట్రట్‌లతో కలుపుతారు. అండర్ క్యారేజ్ స్థిర టెయిల్‌వీల్ రకం. ఫ్యూజ్‌లేజ్ ఫాబ్రిక్ కప్పబడిన వెల్డెడ్ స్టీల్ ట్యూబ్, మరియు వింగ్స్ ఫాబ్రిక్ కప్పబడిన కలప. బిప్‌లేన"&amp;"్ కోసం ప్రణాళికలు 1972 వరకు అందుబాటులో ఉన్నాయి, ఆ సమయానికి తుది ""నిర్మించిన"" ప్రణాళికల యొక్క 7,000 సెట్లు అమ్ముడయ్యాయి. ఈ ప్రోటోటైప్ EAA బిప్‌లేన్‌ను చికాగోలోని సెయింట్ రీటా ఆఫ్ కాస్సియా హైస్కూల్, IL లోని బ్లాకర్ మరియు అతని అప్రెంటిస్ విద్యార్థులు నిర్మ"&amp;"ించారు, 2 వ విమానం EAA యొక్క ప్రాజెక్ట్ స్కూల్ ఫ్లైట్ [7] లో పూర్తయింది, ఇది 1955 లో ఆ ప్రాజెక్ట్ రెండింటినీ సహ-ఫౌండ్ చేసినప్పుడు ప్రారంభమైంది. మరియు EAA వ్యవస్థాపకుడు, పాల్ పోబెరెన్జీ. [4] [8] ప్రాజెక్ట్ స్కూల్ ఫ్లైట్ వారి తరగతి గదులలోని విద్యార్థులకు నే"&amp;"రుగా విమాన నిర్మాణాన్ని మరియు వారి పాఠశాల పారిశ్రామిక కళల దుకాణాలలోకి తీసుకురావడానికి రూపొందించబడింది [9] [10] [11] ఈ EAA బిప్‌లేన్ ప్రాజెక్ట్ సెప్టెంబర్ 1957 లో ప్రారంభమైంది మరియు జూన్లో విమానం యొక్క మొదటి విమానంలో ముగిసింది , 1960. [12] [8] EAA BIPLANE "&amp;"బిల్డ్ ప్రాజెక్ట్ సమయంలో నిర్మాణ పురోగతికి EAA సభ్యత్వాన్ని ఉంచడానికి, బ్లాకర్ ఈ ప్రాజెక్ట్ ద్వారా EAA యొక్క స్పోర్ట్ ఏవియేషన్ మ్యాగజైన్స్ (NEE: ప్రయోగికుడు) లో ప్రచురించబడిన అనేక ""EAA BIPLANE ప్రోగ్రెస్ రిపోర్ట్స్"" ను రచించారు. [13] [14] [15 నటించు EAA"&amp;" యొక్క 1958 ఫ్లై-ఇన్ వద్ద బ్లాకర్ EAA బిప్‌లేన్ యొక్క పని-పురోగతి బేర్ ఫ్యూజ్‌లేజ్‌ను 'స్టాటిక్' ప్రదర్శనగా ఉంచాడు, అక్కడ EAA బైప్‌లేన్‌పై అతని పని మరియు ప్రాజెక్ట్ పాఠశాల ప్రయాణంలో అతని పూర్తి పనితో అతనికి EAA లో అత్యంత గౌరవనీయమైన అవార్డు లభించింది : మెక"&amp;"ానిక్స్ ఇలస్ట్రేటెడ్ ట్రోఫీని ""ఇంట్లో నిర్మించిన విమానంలో అత్యుత్తమ సాధన"" [17] (ఇక్కడ MI ట్రోఫీ ఫోటో చూడండి). EAA యొక్క సహ వ్యవస్థాపకుడు పాల్ పోబెరెజ్నీ మరియు స్టాన్ డ్జిక్ తన EAA BIPLANE నిర్మాణ ప్రయత్నాల గౌరవార్థం EAA చరిత్రలో ఈ మొదటి చిన్న స్నార్టర్‌"&amp;"ను [18] బ్లాకర్‌ను ప్రదర్శించారు. ఈ EAA బిప్‌లేన్ 1961 రాక్‌ఫోర్డ్, IL ఫ్లై-ఇన్ వద్ద EAA సభ్యులకు అధికారికంగా ప్రవేశించింది. [3] EAA బిప్‌లేన్ బిల్డర్ గురించి: మొదటి ప్రపంచ యుద్ధ సమయంలో రాబర్ట్ డి. బ్లాకర్ న్యూ మెక్సికోలోని రోస్‌వెల్ ఆర్మీ ఎయిర్‌ఫీల్డ్‌లో"&amp;" (1945 - 1946) B -29 ఫ్లైట్ ఇంజనీర్‌గా పనిచేశారు. నవంబర్ 1945 నుండి ఏప్రిల్ 1946 నుండి, ఎనోలా గే అతను బాధ్యత వహించే ఎయిర్‌షిప్‌లలో ఒకటి. 1951 లో, 1947 నుండి లూయిస్ కాలేజ్ సర్టిఫైడ్ ఎయిర్క్రాఫ్ట్ మెకానిక్ మిస్టర్ బ్లాకర్, చికాగో, IL లోని సెయింట్ రీటా ఆఫ్ క"&amp;"ాస్సియా హైస్కూల్లో సెయింట్ రీటాలో ఏవియేషన్ ఇండస్ట్రియల్ ఆర్ట్స్ కార్యక్రమాన్ని ప్రారంభించారు. మరియు 1955 లో, మిస్టర్ బ్లాకర్ తన సివిల్ ఏరోనాటిక్స్ అడ్మినిస్ట్రేషన్ హోదాను ఏవియేషన్ సేఫ్టీ ఎగ్జామినర్/ఎయిర్క్రాఫ్ట్ మెకానిక్ ఎగ్జామినర్‌గా సంపాదించాడు (2 ధృవపత"&amp;"్రాల ఫోటో చూడండి). అదే సంవత్సరం మిస్టర్ బ్లాకర్ EAA వ్యవస్థాపకుడు పాల్ పోబెరెజ్నీతో EAA యొక్క ప్రాజెక్ట్ స్కూల్ ఫ్లైట్‌ను సహ-స్థాపించారు. [7] 1958 లో, మిస్టర్ బ్లాకర్ ""బేసిక్ ఏరోనాటికల్ సైన్స్ అండ్ ప్రిన్సిపల్స్ ఆఫ్ ఫ్లైట్"" ను రచించారు [19] [20] దీనిని "&amp;"యు.ఎస్. ఎయిర్ ఫోర్స్ ఇన్స్టిట్యూట్ ద్వారా ఏరోనాటికల్ ట్రైనింగ్ పుస్తకంగా ఉపయోగించారు. ఈ పుస్తకం అనేక గ్రంథాలయాల ద్వారా ప్రపంచవ్యాప్త ప్రసరణకు చేరుకుంది. ఒక కాపీ ప్రస్తుతం ఓష్కోష్, WI లోని EAA లైబ్రరీలో నమోదు చేయబడింది. మిస్టర్ బ్లాక్ మరియు అతని సెయింట్ రీ"&amp;"టా హైస్కూల్ ఏవియేషన్ క్లాసులు గతంలో EAA యొక్క ప్రాజెక్ట్ స్కూల్ ఫ్లైట్ - ""స్పిరిట్ ఆఫ్ కాస్సియా"" అనే బేబీ ఏస్ ద్వారా మొదటి విమానాన్ని పూర్తి చేశాయి - 1957 లో ఏవియేషన్ ఎడ్యుకేషన్‌లో EAA యొక్క అత్యుత్తమ సాధించిన విజయం. [21] [22] సాధారణ లక్షణాల పనితీరు నుం"&amp;"డి డేటా")</f>
        <v>1960 నుండి ప్రయోగాత్మక విమాన సంఘం యొక్క శాశ్వత చిహ్నం అయిన EAA BIPLANE (సీరియల్ # N6077V), ఇది అమెరికాలో రూపొందించబడిన వినోద విమానం మరియు ఇంటి నిర్మిత విమానాల ప్రణాళికలుగా విక్రయించబడింది. [1] EAA బిప్‌లేన్ విస్కాన్సిన్‌లోని ఓష్కోష్‌లోని EAA ఏవియేషన్ మ్యూజియంలో శాశ్వత ప్రదర్శనలో ఉంది. [2] 1955 లో EAA సభ్యుడు జిమ్ డి. స్టీవర్ట్ నేతృత్వంలోని అల్లిసన్ ఇంజనీర్స్ బృందం EAA కోసం ప్రాథమిక రూపకల్పనను రూపొందించింది. [3] ఈ బృందం 1930 ల యొక్క గేర్ స్పోర్ట్‌ను వారి ప్రారంభ బిందువుగా తీసుకుంది మరియు చివరికి పూర్తిగా కొత్త డిజైన్‌ను అభివృద్ధి చేసింది, ఇది రాబర్ట్ డి. బ్లాకర్ చేసిన అనేక 'నిర్మించిన' డిజైన్ మార్పులను కూడా కలిగి ఉంది (5/2/26 - 8/3/88) , విమానం యొక్క బిల్డర్ మరియు దాని టెస్ట్ పైలట్లలో ఒకరు. [4] 'అస్-బిల్ట్' డిజైన్ మార్పులలో ఎగువ రెక్కకు +2 డిగ్రీ డిహెడ్రల్, క్షితిజ సమాంతర స్టెబిలైజర్ యొక్క పున es రూపకల్పన, 2 మరియు 3 స్టేషన్లలో వికర్ణ కలుపును వ్యవస్థాపించడం, ఫ్యూజ్‌లేజ్ ట్రస్ అసెంబ్లీకి మార్పు, నియంత్రణ కాలమ్ బలోపేతం మద్దతు మరియు ఒక తెలివిగల బంతిని మోసే అమరికను బ్లాకర్ మొదలైనవి సృష్టించాయి. [5] [6] ఇది సాంప్రదాయిక కాన్ఫిగరేషన్ యొక్క సింగిల్-సీట్ బైప్‌లేన్, అస్థిర, సింగిల్-బే ఈక్వల్-స్పాన్ రెక్కలు N- స్ట్రట్‌లతో కలుపుతారు. అండర్ క్యారేజ్ స్థిర టెయిల్‌వీల్ రకం. ఫ్యూజ్‌లేజ్ ఫాబ్రిక్ కప్పబడిన వెల్డెడ్ స్టీల్ ట్యూబ్, మరియు వింగ్స్ ఫాబ్రిక్ కప్పబడిన కలప. బిప్‌లేన్ కోసం ప్రణాళికలు 1972 వరకు అందుబాటులో ఉన్నాయి, ఆ సమయానికి తుది "నిర్మించిన" ప్రణాళికల యొక్క 7,000 సెట్లు అమ్ముడయ్యాయి. ఈ ప్రోటోటైప్ EAA బిప్‌లేన్‌ను చికాగోలోని సెయింట్ రీటా ఆఫ్ కాస్సియా హైస్కూల్, IL లోని బ్లాకర్ మరియు అతని అప్రెంటిస్ విద్యార్థులు నిర్మించారు, 2 వ విమానం EAA యొక్క ప్రాజెక్ట్ స్కూల్ ఫ్లైట్ [7] లో పూర్తయింది, ఇది 1955 లో ఆ ప్రాజెక్ట్ రెండింటినీ సహ-ఫౌండ్ చేసినప్పుడు ప్రారంభమైంది. మరియు EAA వ్యవస్థాపకుడు, పాల్ పోబెరెన్జీ. [4] [8] ప్రాజెక్ట్ స్కూల్ ఫ్లైట్ వారి తరగతి గదులలోని విద్యార్థులకు నేరుగా విమాన నిర్మాణాన్ని మరియు వారి పాఠశాల పారిశ్రామిక కళల దుకాణాలలోకి తీసుకురావడానికి రూపొందించబడింది [9] [10] [11] ఈ EAA బిప్‌లేన్ ప్రాజెక్ట్ సెప్టెంబర్ 1957 లో ప్రారంభమైంది మరియు జూన్లో విమానం యొక్క మొదటి విమానంలో ముగిసింది , 1960. [12] [8] EAA BIPLANE బిల్డ్ ప్రాజెక్ట్ సమయంలో నిర్మాణ పురోగతికి EAA సభ్యత్వాన్ని ఉంచడానికి, బ్లాకర్ ఈ ప్రాజెక్ట్ ద్వారా EAA యొక్క స్పోర్ట్ ఏవియేషన్ మ్యాగజైన్స్ (NEE: ప్రయోగికుడు) లో ప్రచురించబడిన అనేక "EAA BIPLANE ప్రోగ్రెస్ రిపోర్ట్స్" ను రచించారు. [13] [14] [15 నటించు EAA యొక్క 1958 ఫ్లై-ఇన్ వద్ద బ్లాకర్ EAA బిప్‌లేన్ యొక్క పని-పురోగతి బేర్ ఫ్యూజ్‌లేజ్‌ను 'స్టాటిక్' ప్రదర్శనగా ఉంచాడు, అక్కడ EAA బైప్‌లేన్‌పై అతని పని మరియు ప్రాజెక్ట్ పాఠశాల ప్రయాణంలో అతని పూర్తి పనితో అతనికి EAA లో అత్యంత గౌరవనీయమైన అవార్డు లభించింది : మెకానిక్స్ ఇలస్ట్రేటెడ్ ట్రోఫీని "ఇంట్లో నిర్మించిన విమానంలో అత్యుత్తమ సాధన" [17] (ఇక్కడ MI ట్రోఫీ ఫోటో చూడండి). EAA యొక్క సహ వ్యవస్థాపకుడు పాల్ పోబెరెజ్నీ మరియు స్టాన్ డ్జిక్ తన EAA BIPLANE నిర్మాణ ప్రయత్నాల గౌరవార్థం EAA చరిత్రలో ఈ మొదటి చిన్న స్నార్టర్‌ను [18] బ్లాకర్‌ను ప్రదర్శించారు. ఈ EAA బిప్‌లేన్ 1961 రాక్‌ఫోర్డ్, IL ఫ్లై-ఇన్ వద్ద EAA సభ్యులకు అధికారికంగా ప్రవేశించింది. [3] EAA బిప్‌లేన్ బిల్డర్ గురించి: మొదటి ప్రపంచ యుద్ధ సమయంలో రాబర్ట్ డి. బ్లాకర్ న్యూ మెక్సికోలోని రోస్‌వెల్ ఆర్మీ ఎయిర్‌ఫీల్డ్‌లో (1945 - 1946) B -29 ఫ్లైట్ ఇంజనీర్‌గా పనిచేశారు. నవంబర్ 1945 నుండి ఏప్రిల్ 1946 నుండి, ఎనోలా గే అతను బాధ్యత వహించే ఎయిర్‌షిప్‌లలో ఒకటి. 1951 లో, 1947 నుండి లూయిస్ కాలేజ్ సర్టిఫైడ్ ఎయిర్క్రాఫ్ట్ మెకానిక్ మిస్టర్ బ్లాకర్, చికాగో, IL లోని సెయింట్ రీటా ఆఫ్ కాస్సియా హైస్కూల్లో సెయింట్ రీటాలో ఏవియేషన్ ఇండస్ట్రియల్ ఆర్ట్స్ కార్యక్రమాన్ని ప్రారంభించారు. మరియు 1955 లో, మిస్టర్ బ్లాకర్ తన సివిల్ ఏరోనాటిక్స్ అడ్మినిస్ట్రేషన్ హోదాను ఏవియేషన్ సేఫ్టీ ఎగ్జామినర్/ఎయిర్క్రాఫ్ట్ మెకానిక్ ఎగ్జామినర్‌గా సంపాదించాడు (2 ధృవపత్రాల ఫోటో చూడండి). అదే సంవత్సరం మిస్టర్ బ్లాకర్ EAA వ్యవస్థాపకుడు పాల్ పోబెరెజ్నీతో EAA యొక్క ప్రాజెక్ట్ స్కూల్ ఫ్లైట్‌ను సహ-స్థాపించారు. [7] 1958 లో, మిస్టర్ బ్లాకర్ "బేసిక్ ఏరోనాటికల్ సైన్స్ అండ్ ప్రిన్సిపల్స్ ఆఫ్ ఫ్లైట్" ను రచించారు [19] [20] దీనిని యు.ఎస్. ఎయిర్ ఫోర్స్ ఇన్స్టిట్యూట్ ద్వారా ఏరోనాటికల్ ట్రైనింగ్ పుస్తకంగా ఉపయోగించారు. ఈ పుస్తకం అనేక గ్రంథాలయాల ద్వారా ప్రపంచవ్యాప్త ప్రసరణకు చేరుకుంది. ఒక కాపీ ప్రస్తుతం ఓష్కోష్, WI లోని EAA లైబ్రరీలో నమోదు చేయబడింది. మిస్టర్ బ్లాక్ మరియు అతని సెయింట్ రీటా హైస్కూల్ ఏవియేషన్ క్లాసులు గతంలో EAA యొక్క ప్రాజెక్ట్ స్కూల్ ఫ్లైట్ - "స్పిరిట్ ఆఫ్ కాస్సియా" అనే బేబీ ఏస్ ద్వారా మొదటి విమానాన్ని పూర్తి చేశాయి - 1957 లో ఏవియేషన్ ఎడ్యుకేషన్‌లో EAA యొక్క అత్యుత్తమ సాధించిన విజయం. [21] [22] సాధారణ లక్షణాల పనితీరు నుండి డేటా</v>
      </c>
      <c r="E96" s="1" t="s">
        <v>1745</v>
      </c>
      <c r="F96" s="1" t="s">
        <v>1746</v>
      </c>
      <c r="G96" s="1" t="str">
        <f>IFERROR(__xludf.DUMMYFUNCTION("GOOGLETRANSLATE(F:F, ""en"", ""te"")"),"2 వ EAA ప్రాజెక్ట్ స్కూల్ ఫ్లైట్ విమానం నిర్మించబడింది")</f>
        <v>2 వ EAA ప్రాజెక్ట్ స్కూల్ ఫ్లైట్ విమానం నిర్మించబడింది</v>
      </c>
      <c r="I96" s="1" t="s">
        <v>1747</v>
      </c>
      <c r="J96" s="1" t="str">
        <f>IFERROR(__xludf.DUMMYFUNCTION("GOOGLETRANSLATE(I:I, ""en"", ""te"")"),"రాబర్ట్ డి. బ్లాకర్ &amp; అతని విద్యార్థులు @ సెయింట్ రీటా హెచ్ఎస్")</f>
        <v>రాబర్ట్ డి. బ్లాకర్ &amp; అతని విద్యార్థులు @ సెయింట్ రీటా హెచ్ఎస్</v>
      </c>
      <c r="L96" s="1" t="s">
        <v>1748</v>
      </c>
      <c r="M96" s="2" t="str">
        <f>IFERROR(__xludf.DUMMYFUNCTION("GOOGLETRANSLATE(L:L, ""en"", ""te"")"),"అల్లిసన్ టీం &amp; రాబర్ట్ బ్లాకర్")</f>
        <v>అల్లిసన్ టీం &amp; రాబర్ట్ బ్లాకర్</v>
      </c>
      <c r="N96" s="1" t="s">
        <v>1749</v>
      </c>
      <c r="R96" s="1">
        <v>1.0</v>
      </c>
      <c r="T96" s="1" t="s">
        <v>1750</v>
      </c>
      <c r="U96" s="1" t="s">
        <v>1751</v>
      </c>
      <c r="V96" s="1" t="s">
        <v>1752</v>
      </c>
      <c r="W96" s="1" t="s">
        <v>1753</v>
      </c>
      <c r="X96" s="1" t="s">
        <v>1754</v>
      </c>
      <c r="Z96" s="1" t="s">
        <v>1755</v>
      </c>
      <c r="AA96" s="1" t="s">
        <v>1756</v>
      </c>
      <c r="AB96" s="1" t="s">
        <v>886</v>
      </c>
      <c r="AC96" s="1" t="s">
        <v>1757</v>
      </c>
      <c r="AD96" s="1" t="s">
        <v>1713</v>
      </c>
      <c r="AI96" s="1" t="s">
        <v>1758</v>
      </c>
      <c r="AK96" s="1" t="s">
        <v>1759</v>
      </c>
      <c r="AL96" s="1" t="s">
        <v>1760</v>
      </c>
      <c r="AN96" s="1" t="s">
        <v>1761</v>
      </c>
      <c r="AO96" s="5">
        <v>22077.0</v>
      </c>
      <c r="BI96" s="1" t="s">
        <v>1762</v>
      </c>
    </row>
    <row r="97">
      <c r="A97" s="1" t="s">
        <v>1763</v>
      </c>
      <c r="B97" s="1" t="str">
        <f>IFERROR(__xludf.DUMMYFUNCTION("GOOGLETRANSLATE(A:A, ""en"", ""te"")"),"ఫార్మన్ ఎఫ్ .50")</f>
        <v>ఫార్మన్ ఎఫ్ .50</v>
      </c>
      <c r="C97" s="1" t="s">
        <v>1764</v>
      </c>
      <c r="D97" s="2" t="str">
        <f>IFERROR(__xludf.DUMMYFUNCTION("GOOGLETRANSLATE(C:C, ""en"", ""te"")"),"ఫార్మాన్ ఎఫ్ .50 అనేది ఫ్రెంచ్ వైమానిక దళంతో సేవలో సింగిల్-ఇంజిన్ వోయిసిన్ పషర్ బైప్‌లాన్‌లకు బదులుగా ఫార్మాన్ రూపొందించిన మరియు నిర్మించిన ఫ్రెంచ్ ట్విన్-ఇంజిన్ నైట్ బాంబర్. ట్విన్-ఇంజిన్ ఎఫ్ .50 1918 ప్రారంభంలో మొదటిసారిగా ఎగిరింది, ఇది రెండు 180 కిలోవా"&amp;"ట్ల (240 హెచ్‌పి) లోరైన్ 8 బిబి ఇంజిన్లతో శక్తినిచ్చింది, అసమాన-స్పాన్ బిప్‌లేన్‌గా స్లాబ్-సైడెడ్ ఫ్యూజ్‌లేజ్ మరియు సింగిల్ ఫిన్ మరియు చుక్కానితో. ఇది ప్రధాన గేర్‌పై జంట చక్రాలతో స్థిర టెయిల్‌స్కిడ్ ల్యాండింగ్ గేర్‌ను కలిగి ఉంది, పైలట్ మరియు గన్నర్/పరిశీల"&amp;"కునికి ఓపెన్ కాక్‌పిట్ మరియు ముక్కులో గన్నర్ స్థానం. ఇది 7.7 మిమీ మెషిన్ గన్ ముందుకు మరియు వెనుక ఉంది. ఉత్పత్తి విమానంలో 205 kW (275 HP) లోరైన్ 8BD V-8 లు రెండు ఇంజన్లు, వీ బ్రేసింగ్ స్ట్రట్స్ ఉపయోగించి రెక్కల మధ్య అమర్చబడ్డాయి. యుద్ధ విరమణతో, ఉత్పత్తి 10"&amp;"0 కంటే తక్కువ విమానాలు, కానీ కంపెనీ సివిల్ ఉపయోగం కోసం ప్రయాణీకుల మార్పిడిని రూపొందించింది, నియమించబడిన F.50p, కాక్‌పిట్ వెనుక ఉన్న ఫ్యూజ్‌లేజ్ పెరిగింది మరియు ఐదుగురు ప్రయాణీకులకు మెరుస్తున్న క్యాబిన్‌ను రూపొందించడానికి కప్పబడి ఉంది. ఒక ఉదాహరణను జూలై 192"&amp;"0 నుండి పారిస్ నుండి లండన్ మరియు ఆమ్స్టర్డామ్ వరకు కాంపాగ్నీ డెస్ గ్రాండ్స్ ఎక్స్‌ప్రెస్ ఏరియాన్స్ ఉపయోగించారు. మిలిటరీ హోదా Bn.2 (2-సీట్ల నైట్ బాంబర్) తో ఈ విమానం 1E గ్రూప్ డి బాంబు దాడుల లోపల స్క్వాడ్రన్లకు పంపిణీ చేయబడింది. మూడు ఎస్కాడ్రిల్లెస్ (S25, F"&amp;"114 మరియు F119) నవంబర్ 1918 లో యుద్ధ విరమణ సమయానికి అమర్చబడి ఉన్నాయి, 45 F.50 లు సేవలో ఉన్నాయి. [1] యుద్ధం ముగియడంతో, విమానం ప్రచారాన్ని ప్రభావితం చేయడానికి సమయం లేదు మరియు విమానం కనీసం 1922 వరకు సేవలను కొనసాగించింది. యుద్ధం తరువాత రెండు విమానాలను అమెరికా"&amp;"కు విక్రయించారు. [2] ఇలస్ట్రేటెడ్ ఎన్సైక్లోపీడియా ఆఫ్ ఎయిర్‌క్రాఫ్ట్ (పార్ట్ వర్క్ 1982-1985), 1985, ఓర్బిస్ ​​పబ్లిషింగ్, పేజీ 1736/7 జనరల్ లక్షణాలు పనితీరు ఆయుధాలు")</f>
        <v>ఫార్మాన్ ఎఫ్ .50 అనేది ఫ్రెంచ్ వైమానిక దళంతో సేవలో సింగిల్-ఇంజిన్ వోయిసిన్ పషర్ బైప్‌లాన్‌లకు బదులుగా ఫార్మాన్ రూపొందించిన మరియు నిర్మించిన ఫ్రెంచ్ ట్విన్-ఇంజిన్ నైట్ బాంబర్. ట్విన్-ఇంజిన్ ఎఫ్ .50 1918 ప్రారంభంలో మొదటిసారిగా ఎగిరింది, ఇది రెండు 180 కిలోవాట్ల (240 హెచ్‌పి) లోరైన్ 8 బిబి ఇంజిన్లతో శక్తినిచ్చింది, అసమాన-స్పాన్ బిప్‌లేన్‌గా స్లాబ్-సైడెడ్ ఫ్యూజ్‌లేజ్ మరియు సింగిల్ ఫిన్ మరియు చుక్కానితో. ఇది ప్రధాన గేర్‌పై జంట చక్రాలతో స్థిర టెయిల్‌స్కిడ్ ల్యాండింగ్ గేర్‌ను కలిగి ఉంది, పైలట్ మరియు గన్నర్/పరిశీలకునికి ఓపెన్ కాక్‌పిట్ మరియు ముక్కులో గన్నర్ స్థానం. ఇది 7.7 మిమీ మెషిన్ గన్ ముందుకు మరియు వెనుక ఉంది. ఉత్పత్తి విమానంలో 205 kW (275 HP) లోరైన్ 8BD V-8 లు రెండు ఇంజన్లు, వీ బ్రేసింగ్ స్ట్రట్స్ ఉపయోగించి రెక్కల మధ్య అమర్చబడ్డాయి. యుద్ధ విరమణతో, ఉత్పత్తి 100 కంటే తక్కువ విమానాలు, కానీ కంపెనీ సివిల్ ఉపయోగం కోసం ప్రయాణీకుల మార్పిడిని రూపొందించింది, నియమించబడిన F.50p, కాక్‌పిట్ వెనుక ఉన్న ఫ్యూజ్‌లేజ్ పెరిగింది మరియు ఐదుగురు ప్రయాణీకులకు మెరుస్తున్న క్యాబిన్‌ను రూపొందించడానికి కప్పబడి ఉంది. ఒక ఉదాహరణను జూలై 1920 నుండి పారిస్ నుండి లండన్ మరియు ఆమ్స్టర్డామ్ వరకు కాంపాగ్నీ డెస్ గ్రాండ్స్ ఎక్స్‌ప్రెస్ ఏరియాన్స్ ఉపయోగించారు. మిలిటరీ హోదా Bn.2 (2-సీట్ల నైట్ బాంబర్) తో ఈ విమానం 1E గ్రూప్ డి బాంబు దాడుల లోపల స్క్వాడ్రన్లకు పంపిణీ చేయబడింది. మూడు ఎస్కాడ్రిల్లెస్ (S25, F114 మరియు F119) నవంబర్ 1918 లో యుద్ధ విరమణ సమయానికి అమర్చబడి ఉన్నాయి, 45 F.50 లు సేవలో ఉన్నాయి. [1] యుద్ధం ముగియడంతో, విమానం ప్రచారాన్ని ప్రభావితం చేయడానికి సమయం లేదు మరియు విమానం కనీసం 1922 వరకు సేవలను కొనసాగించింది. యుద్ధం తరువాత రెండు విమానాలను అమెరికాకు విక్రయించారు. [2] ఇలస్ట్రేటెడ్ ఎన్సైక్లోపీడియా ఆఫ్ ఎయిర్‌క్రాఫ్ట్ (పార్ట్ వర్క్ 1982-1985), 1985, ఓర్బిస్ ​​పబ్లిషింగ్, పేజీ 1736/7 జనరల్ లక్షణాలు పనితీరు ఆయుధాలు</v>
      </c>
      <c r="E97" s="1" t="s">
        <v>1765</v>
      </c>
      <c r="F97" s="1" t="s">
        <v>1766</v>
      </c>
      <c r="G97" s="1" t="str">
        <f>IFERROR(__xludf.DUMMYFUNCTION("GOOGLETRANSLATE(F:F, ""en"", ""te"")"),"బిప్‌లేన్ బాంబర్")</f>
        <v>బిప్‌లేన్ బాంబర్</v>
      </c>
      <c r="I97" s="1" t="s">
        <v>1767</v>
      </c>
      <c r="J97" s="1" t="str">
        <f>IFERROR(__xludf.DUMMYFUNCTION("GOOGLETRANSLATE(I:I, ""en"", ""te"")"),"ఫార్మన్")</f>
        <v>ఫార్మన్</v>
      </c>
      <c r="K97" s="4" t="s">
        <v>1768</v>
      </c>
      <c r="M97" s="2"/>
      <c r="O97" s="1" t="s">
        <v>1769</v>
      </c>
      <c r="R97" s="1">
        <v>3.0</v>
      </c>
      <c r="T97" s="1" t="s">
        <v>1770</v>
      </c>
      <c r="U97" s="1" t="s">
        <v>1771</v>
      </c>
      <c r="V97" s="1" t="s">
        <v>1772</v>
      </c>
      <c r="W97" s="1" t="s">
        <v>1773</v>
      </c>
      <c r="X97" s="1" t="s">
        <v>1774</v>
      </c>
      <c r="Z97" s="1" t="s">
        <v>1775</v>
      </c>
      <c r="AC97" s="1" t="s">
        <v>1776</v>
      </c>
      <c r="AH97" s="1" t="s">
        <v>261</v>
      </c>
      <c r="AI97" s="1" t="s">
        <v>1777</v>
      </c>
      <c r="AL97" s="1" t="s">
        <v>387</v>
      </c>
      <c r="AN97" s="1" t="s">
        <v>1778</v>
      </c>
      <c r="AO97" s="1">
        <v>1918.0</v>
      </c>
      <c r="AP97" s="1" t="s">
        <v>1779</v>
      </c>
      <c r="AQ97" s="1" t="s">
        <v>1780</v>
      </c>
      <c r="AX97" s="1">
        <v>1918.0</v>
      </c>
      <c r="BN97" s="1" t="s">
        <v>1781</v>
      </c>
    </row>
    <row r="98">
      <c r="A98" s="1" t="s">
        <v>1782</v>
      </c>
      <c r="B98" s="1" t="str">
        <f>IFERROR(__xludf.DUMMYFUNCTION("GOOGLETRANSLATE(A:A, ""en"", ""te"")"),"డగ్లస్ XB-31")</f>
        <v>డగ్లస్ XB-31</v>
      </c>
      <c r="C98" s="1" t="s">
        <v>1783</v>
      </c>
      <c r="D98" s="2" t="str">
        <f>IFERROR(__xludf.DUMMYFUNCTION("GOOGLETRANSLATE(C:C, ""en"", ""te"")"),"డగ్లస్ ఎక్స్‌బి -31 (డగ్లస్ మోడల్ 332) డగ్లస్ సమర్పించిన డిజైన్, చాలా భారీ బాంబర్ విమానాల కోసం అమెరికా ఆర్మీ ఎయిర్ ఫోర్సెస్ చేసిన అభ్యర్థన తరువాత, బోయింగ్ బి -29 సూపర్ఫోర్ట్రెస్, లాక్‌హీడ్ ఎక్స్‌బి -30 కు దారితీసిన అదే అభ్యర్థన. మరియు ఏకీకృత B-32 డామినేటర"&amp;"్. 1938 లో, అమెరికా ఆర్మీ జనరల్ హెన్రీ హెచ్. వైమానిక దళం యొక్క దీర్ఘకాలిక అవసరాలకు సిద్ధంగా ఉండాలని ఆశిస్తూ, ఆర్నాల్డ్ బ్రిగేడియర్ జనరల్ W. G. కిల్నర్ అధ్యక్షతన ఒక ప్రత్యేక కమిటీని సృష్టించాడు; దాని సభ్యులలో ఒకరు చార్లెస్ లిండ్‌బర్గ్. ఆ సమయంలో డగ్లస్ సంస్"&amp;"థ ఇంకా పెద్ద, 212 అడుగుల (64.6 మీటర్) వింగ్స్పాన్ నాలుగు-ఇంజిన్ స్ట్రాటజిక్ బాంబర్ ప్రోటోటైప్ ఎయిర్ఫ్రేమ్, డగ్లస్ XB-19, జూన్ 1941 చివరలో ఆమె తొలి విమానంలో చేస్తుంది. స్థావరాలు, నాజీ జర్మనీ ఇతర యూరోపియన్ దేశాల కంటే చాలా ముందున్నారని లిండ్‌బర్గ్ నమ్మకం కలి"&amp;"గింది. 1939 లో ఒక నివేదికలో, కమిటీ కొత్త సుదూర భారీ బాంబర్ల అభివృద్ధితో సహా అనేక సిఫార్సులు చేసింది. ఐరోపాలో యుద్ధం ప్రారంభమైనప్పుడు, ఆర్నాల్డ్ 5,000 మైళ్ళు (8,000 కి.మీ) ప్రయాణించగల సామర్థ్యం ఉన్న చాలా సుదూర బాంబర్‌పై అనేక కంపెనీల నుండి డిజైన్ అధ్యయనాలను"&amp;" అభ్యర్థించాడు. 2 డిసెంబర్ 1939 న ఆమోదం మంజూరు చేయబడింది. 1939 మరియు 1940 అంతటా డగ్లస్ మోడల్ 332 యొక్క డిజైన్లను వేర్వేరు పవర్‌ప్లాంట్లతో (రైట్ R-2600, ప్రాట్ మరియు విట్నీ R-2800, రైట్ R-2160, రైట్ R-3350) పరిశోధించారు. అన్నీ సుమారు ఒకే ఆపరేటింగ్ పరిధిని "&amp;"కలిగి ఉండటానికి రూపొందించబడ్డాయి, అంచనా వేసిన సేవా పైకప్పులో వైవిధ్యాలు ఉన్నాయి. [1] XB-31 డిజైన్ B-29 మరియు B-32 (XB-30 తో పాటు) కు అనుకూలంగా తిరస్కరించబడింది, ఎందుకంటే USAAC B-29 ను డగ్లస్ మరియు లాక్‌హీడ్ డిజైన్ల కంటే ఉన్నతమైనది. [2] [సైటేషన్ అవసరం] నుం"&amp;"డి డేటా సాధారణ లక్షణాల పనితీరు పనితీరు ఆయుధాల విమానం పోల్చదగిన పాత్ర, కాన్ఫిగరేషన్ మరియు ERA సంబంధిత జాబితాలు")</f>
        <v>డగ్లస్ ఎక్స్‌బి -31 (డగ్లస్ మోడల్ 332) డగ్లస్ సమర్పించిన డిజైన్, చాలా భారీ బాంబర్ విమానాల కోసం అమెరికా ఆర్మీ ఎయిర్ ఫోర్సెస్ చేసిన అభ్యర్థన తరువాత, బోయింగ్ బి -29 సూపర్ఫోర్ట్రెస్, లాక్‌హీడ్ ఎక్స్‌బి -30 కు దారితీసిన అదే అభ్యర్థన. మరియు ఏకీకృత B-32 డామినేటర్. 1938 లో, అమెరికా ఆర్మీ జనరల్ హెన్రీ హెచ్. వైమానిక దళం యొక్క దీర్ఘకాలిక అవసరాలకు సిద్ధంగా ఉండాలని ఆశిస్తూ, ఆర్నాల్డ్ బ్రిగేడియర్ జనరల్ W. G. కిల్నర్ అధ్యక్షతన ఒక ప్రత్యేక కమిటీని సృష్టించాడు; దాని సభ్యులలో ఒకరు చార్లెస్ లిండ్‌బర్గ్. ఆ సమయంలో డగ్లస్ సంస్థ ఇంకా పెద్ద, 212 అడుగుల (64.6 మీటర్) వింగ్స్పాన్ నాలుగు-ఇంజిన్ స్ట్రాటజిక్ బాంబర్ ప్రోటోటైప్ ఎయిర్ఫ్రేమ్, డగ్లస్ XB-19, జూన్ 1941 చివరలో ఆమె తొలి విమానంలో చేస్తుంది. స్థావరాలు, నాజీ జర్మనీ ఇతర యూరోపియన్ దేశాల కంటే చాలా ముందున్నారని లిండ్‌బర్గ్ నమ్మకం కలిగింది. 1939 లో ఒక నివేదికలో, కమిటీ కొత్త సుదూర భారీ బాంబర్ల అభివృద్ధితో సహా అనేక సిఫార్సులు చేసింది. ఐరోపాలో యుద్ధం ప్రారంభమైనప్పుడు, ఆర్నాల్డ్ 5,000 మైళ్ళు (8,000 కి.మీ) ప్రయాణించగల సామర్థ్యం ఉన్న చాలా సుదూర బాంబర్‌పై అనేక కంపెనీల నుండి డిజైన్ అధ్యయనాలను అభ్యర్థించాడు. 2 డిసెంబర్ 1939 న ఆమోదం మంజూరు చేయబడింది. 1939 మరియు 1940 అంతటా డగ్లస్ మోడల్ 332 యొక్క డిజైన్లను వేర్వేరు పవర్‌ప్లాంట్లతో (రైట్ R-2600, ప్రాట్ మరియు విట్నీ R-2800, రైట్ R-2160, రైట్ R-3350) పరిశోధించారు. అన్నీ సుమారు ఒకే ఆపరేటింగ్ పరిధిని కలిగి ఉండటానికి రూపొందించబడ్డాయి, అంచనా వేసిన సేవా పైకప్పులో వైవిధ్యాలు ఉన్నాయి. [1] XB-31 డిజైన్ B-29 మరియు B-32 (XB-30 తో పాటు) కు అనుకూలంగా తిరస్కరించబడింది, ఎందుకంటే USAAC B-29 ను డగ్లస్ మరియు లాక్‌హీడ్ డిజైన్ల కంటే ఉన్నతమైనది. [2] [సైటేషన్ అవసరం] నుండి డేటా సాధారణ లక్షణాల పనితీరు పనితీరు ఆయుధాల విమానం పోల్చదగిన పాత్ర, కాన్ఫిగరేషన్ మరియు ERA సంబంధిత జాబితాలు</v>
      </c>
      <c r="F98" s="1" t="s">
        <v>1784</v>
      </c>
      <c r="G98" s="1" t="str">
        <f>IFERROR(__xludf.DUMMYFUNCTION("GOOGLETRANSLATE(F:F, ""en"", ""te"")"),"భారీ బాంబర్")</f>
        <v>భారీ బాంబర్</v>
      </c>
      <c r="H98" s="1" t="s">
        <v>1785</v>
      </c>
      <c r="I98" s="1" t="s">
        <v>1786</v>
      </c>
      <c r="J98" s="1" t="str">
        <f>IFERROR(__xludf.DUMMYFUNCTION("GOOGLETRANSLATE(I:I, ""en"", ""te"")"),"డగ్లస్ విమానం")</f>
        <v>డగ్లస్ విమానం</v>
      </c>
      <c r="K98" s="1" t="s">
        <v>1787</v>
      </c>
      <c r="M98" s="2"/>
      <c r="O98" s="1">
        <v>0.0</v>
      </c>
      <c r="R98" s="1">
        <v>8.0</v>
      </c>
      <c r="T98" s="1" t="s">
        <v>1788</v>
      </c>
      <c r="U98" s="1" t="s">
        <v>1789</v>
      </c>
      <c r="V98" s="1" t="s">
        <v>1790</v>
      </c>
      <c r="X98" s="1" t="s">
        <v>1791</v>
      </c>
      <c r="Y98" s="1" t="s">
        <v>1792</v>
      </c>
      <c r="Z98" s="1" t="s">
        <v>1793</v>
      </c>
      <c r="AC98" s="1" t="s">
        <v>1794</v>
      </c>
      <c r="AE98" s="1" t="s">
        <v>1795</v>
      </c>
      <c r="AI98" s="1" t="s">
        <v>1796</v>
      </c>
      <c r="AL98" s="1" t="s">
        <v>1797</v>
      </c>
      <c r="AN98" s="1" t="s">
        <v>1798</v>
      </c>
      <c r="AP98" s="1" t="s">
        <v>1799</v>
      </c>
      <c r="AQ98" s="1" t="s">
        <v>1800</v>
      </c>
      <c r="AS98" s="1" t="s">
        <v>1109</v>
      </c>
      <c r="AU98" s="1" t="s">
        <v>1801</v>
      </c>
      <c r="BS98" s="1" t="s">
        <v>1802</v>
      </c>
      <c r="CM98" s="1" t="s">
        <v>1803</v>
      </c>
    </row>
    <row r="99">
      <c r="A99" s="1" t="s">
        <v>1804</v>
      </c>
      <c r="B99" s="1" t="str">
        <f>IFERROR(__xludf.DUMMYFUNCTION("GOOGLETRANSLATE(A:A, ""en"", ""te"")"),"ఫెయిర్‌చైల్డ్ 45")</f>
        <v>ఫెయిర్‌చైల్డ్ 45</v>
      </c>
      <c r="C99" s="1" t="s">
        <v>1805</v>
      </c>
      <c r="D99" s="2" t="str">
        <f>IFERROR(__xludf.DUMMYFUNCTION("GOOGLETRANSLATE(C:C, ""en"", ""te"")"),"ఫెయిర్‌చైల్డ్ మోడల్ 45 1930 ల అమెరికన్ ఐదు-సీట్ల క్యాబిన్ మోనోప్లేన్ విమానం, ఫెయిర్‌చైల్డ్ రూపొందించిన మరియు నిర్మించినది. 1934 లో, ఫెయిర్‌చైల్డ్ కంపెనీ ఐదు సీట్లతో ఒక వ్యాపారం లేదా ఎగ్జిక్యూటివ్ విమానాలను రూపొందించింది, ఇది మోడల్ 45 ను నియమించింది. ఇది మ"&amp;"ొదట 31 మే 1935 న ప్రయాణించింది. మోడల్ 45 సాంప్రదాయిక కాంటిలివర్ టెయిల్ యూనిట్ మరియు ముడుచుకునే టెయిల్‌వీల్ ల్యాండింగ్ గేర్‌తో తక్కువ-వింగ్ కాంటిలివర్ మోనోప్లేన్ . ఈ విమానం 225 హెచ్‌పి (168 కిలోవాట్) జాకబ్స్ ఎల్ -4 రేడియల్ ఇంజిన్‌తో శక్తినిచ్చింది మరియు లగ"&amp;"్జరీ ఐదు సీట్ల ఇంటీరియర్‌ను ప్రామాణికంగా కలిగి ఉంది. విమాన పరీక్షలో విమానం బాగా పనిచేసిందని చూపించింది, అయినప్పటికీ దీనిని మత్తుగా అభివర్ణించారు. మోడల్ 45 ఆ రూపంలో పరిమిత మార్కెట్ విజ్ఞప్తిని మాత్రమే కలిగి ఉంటుందని కంపెనీ అంచనా వేసింది, అందువల్ల ప్రోటోటైప"&amp;"్ మాత్రమే నిర్మించబడింది. ఫెయిర్‌చైల్డ్ అప్పుడు ప్రోటోటైప్‌ను పెద్ద ఇంజిన్, రైట్ R-760 రేడియల్‌తో మూల్యాంకనం కోసం అప్‌గ్రేడ్ చేసింది. ఈ కాన్ఫిగరేషన్‌లో ఇది మోడల్ 45-ఎగా నియమించబడింది. ఈ కాన్ఫిగరేషన్ ఉత్పత్తిలో ఉంచబడింది, సుమారు 16 యూనిట్లు పూర్తయ్యాయి. ఒక"&amp;" విమానాన్ని అమెరికా నేవీ జెకె -1 గా ఎగ్జిక్యూటివ్ ట్రాన్స్‌పోర్ట్‌గా కొనుగోలు చేసింది. అమెరికా రెండవ ప్రపంచ యుద్ధంలోకి ప్రవేశించిన తరువాత, రెండు విమానాలు అమెరికా ఆర్మీ ఎయిర్ దళాలతో యుసి -88 గా సేవలను ఆకట్టుకున్నాయి. 1997 లో, గ్రెగ్ హెరిక్ కొనసాగుతున్న పున"&amp;"రుద్ధరణ ప్రాజెక్ట్ కోసం ఫెయిర్‌చైల్డ్ 45 టెయిల్ విభాగాన్ని డ్రాయింగ్లను అభ్యర్థించాడు. డిజైన్ ఒక వాణిజ్య రహస్యం అని పేర్కొంటూ అభ్యర్థన నిరాకరించబడింది. ఇది FOIA అభ్యర్థన మరియు అమెరికా సుప్రీంకోర్టులో చర్చించిన దావాకు దారితీసింది. ఈ ప్రయత్నం ""హెరిక్ సవరణ"&amp;""" కు దారితీసింది, FAA వాయు రవాణా ఆధునికీకరణ మరియు 2012 యొక్క భద్రతా మెరుగుదల చట్టానికి జోడించబడింది. [1] ఈ సవరణ 1927 లో 1927 లో ధృవీకరించబడిన 1,257 విమానాల కోసం ATC టైప్ సర్టిఫికేట్ సమాచారాన్ని 193. [2] లో రెండవ ప్రపంచ యుద్ధం ప్రారంభంలో విడుదల చేసింది. ఇ"&amp;"లస్ట్రేటెడ్ ఎన్సైక్లోపీడియా ఆఫ్ ఎయిర్క్రాఫ్ట్ 1985 నుండి డేటా [3] సాధారణ లక్షణాలు పనితీరు సంబంధిత జాబితాలు")</f>
        <v>ఫెయిర్‌చైల్డ్ మోడల్ 45 1930 ల అమెరికన్ ఐదు-సీట్ల క్యాబిన్ మోనోప్లేన్ విమానం, ఫెయిర్‌చైల్డ్ రూపొందించిన మరియు నిర్మించినది. 1934 లో, ఫెయిర్‌చైల్డ్ కంపెనీ ఐదు సీట్లతో ఒక వ్యాపారం లేదా ఎగ్జిక్యూటివ్ విమానాలను రూపొందించింది, ఇది మోడల్ 45 ను నియమించింది. ఇది మొదట 31 మే 1935 న ప్రయాణించింది. మోడల్ 45 సాంప్రదాయిక కాంటిలివర్ టెయిల్ యూనిట్ మరియు ముడుచుకునే టెయిల్‌వీల్ ల్యాండింగ్ గేర్‌తో తక్కువ-వింగ్ కాంటిలివర్ మోనోప్లేన్ . ఈ విమానం 225 హెచ్‌పి (168 కిలోవాట్) జాకబ్స్ ఎల్ -4 రేడియల్ ఇంజిన్‌తో శక్తినిచ్చింది మరియు లగ్జరీ ఐదు సీట్ల ఇంటీరియర్‌ను ప్రామాణికంగా కలిగి ఉంది. విమాన పరీక్షలో విమానం బాగా పనిచేసిందని చూపించింది, అయినప్పటికీ దీనిని మత్తుగా అభివర్ణించారు. మోడల్ 45 ఆ రూపంలో పరిమిత మార్కెట్ విజ్ఞప్తిని మాత్రమే కలిగి ఉంటుందని కంపెనీ అంచనా వేసింది, అందువల్ల ప్రోటోటైప్ మాత్రమే నిర్మించబడింది. ఫెయిర్‌చైల్డ్ అప్పుడు ప్రోటోటైప్‌ను పెద్ద ఇంజిన్, రైట్ R-760 రేడియల్‌తో మూల్యాంకనం కోసం అప్‌గ్రేడ్ చేసింది. ఈ కాన్ఫిగరేషన్‌లో ఇది మోడల్ 45-ఎగా నియమించబడింది. ఈ కాన్ఫిగరేషన్ ఉత్పత్తిలో ఉంచబడింది, సుమారు 16 యూనిట్లు పూర్తయ్యాయి. ఒక విమానాన్ని అమెరికా నేవీ జెకె -1 గా ఎగ్జిక్యూటివ్ ట్రాన్స్‌పోర్ట్‌గా కొనుగోలు చేసింది. అమెరికా రెండవ ప్రపంచ యుద్ధంలోకి ప్రవేశించిన తరువాత, రెండు విమానాలు అమెరికా ఆర్మీ ఎయిర్ దళాలతో యుసి -88 గా సేవలను ఆకట్టుకున్నాయి. 1997 లో, గ్రెగ్ హెరిక్ కొనసాగుతున్న పునరుద్ధరణ ప్రాజెక్ట్ కోసం ఫెయిర్‌చైల్డ్ 45 టెయిల్ విభాగాన్ని డ్రాయింగ్లను అభ్యర్థించాడు. డిజైన్ ఒక వాణిజ్య రహస్యం అని పేర్కొంటూ అభ్యర్థన నిరాకరించబడింది. ఇది FOIA అభ్యర్థన మరియు అమెరికా సుప్రీంకోర్టులో చర్చించిన దావాకు దారితీసింది. ఈ ప్రయత్నం "హెరిక్ సవరణ" కు దారితీసింది, FAA వాయు రవాణా ఆధునికీకరణ మరియు 2012 యొక్క భద్రతా మెరుగుదల చట్టానికి జోడించబడింది. [1] ఈ సవరణ 1927 లో 1927 లో ధృవీకరించబడిన 1,257 విమానాల కోసం ATC టైప్ సర్టిఫికేట్ సమాచారాన్ని 193. [2] లో రెండవ ప్రపంచ యుద్ధం ప్రారంభంలో విడుదల చేసింది. ఇలస్ట్రేటెడ్ ఎన్సైక్లోపీడియా ఆఫ్ ఎయిర్క్రాఫ్ట్ 1985 నుండి డేటా [3] సాధారణ లక్షణాలు పనితీరు సంబంధిత జాబితాలు</v>
      </c>
      <c r="E99" s="1" t="s">
        <v>1806</v>
      </c>
      <c r="F99" s="1" t="s">
        <v>1807</v>
      </c>
      <c r="G99" s="1" t="str">
        <f>IFERROR(__xludf.DUMMYFUNCTION("GOOGLETRANSLATE(F:F, ""en"", ""te"")"),"ఐదు సీట్ల క్యాబిన్ మోనోప్లేన్")</f>
        <v>ఐదు సీట్ల క్యాబిన్ మోనోప్లేన్</v>
      </c>
      <c r="I99" s="1" t="s">
        <v>1808</v>
      </c>
      <c r="J99" s="1" t="str">
        <f>IFERROR(__xludf.DUMMYFUNCTION("GOOGLETRANSLATE(I:I, ""en"", ""te"")"),"ఫెయిర్‌చైల్డ్ విమానం")</f>
        <v>ఫెయిర్‌చైల్డ్ విమానం</v>
      </c>
      <c r="K99" s="1" t="s">
        <v>1809</v>
      </c>
      <c r="M99" s="2"/>
      <c r="O99" s="1">
        <v>17.0</v>
      </c>
      <c r="R99" s="1" t="s">
        <v>222</v>
      </c>
      <c r="S99" s="1" t="s">
        <v>1566</v>
      </c>
      <c r="T99" s="1" t="s">
        <v>1810</v>
      </c>
      <c r="U99" s="1" t="s">
        <v>1811</v>
      </c>
      <c r="V99" s="1" t="s">
        <v>1812</v>
      </c>
      <c r="W99" s="1" t="s">
        <v>1813</v>
      </c>
      <c r="X99" s="1" t="s">
        <v>1814</v>
      </c>
      <c r="Z99" s="1" t="s">
        <v>1815</v>
      </c>
      <c r="AC99" s="1" t="s">
        <v>1816</v>
      </c>
      <c r="AH99" s="1" t="s">
        <v>261</v>
      </c>
      <c r="AI99" s="1" t="s">
        <v>1817</v>
      </c>
      <c r="AL99" s="1" t="s">
        <v>1818</v>
      </c>
      <c r="AN99" s="1" t="s">
        <v>1819</v>
      </c>
      <c r="AO99" s="5">
        <v>12935.0</v>
      </c>
      <c r="BI99" s="1" t="s">
        <v>1820</v>
      </c>
      <c r="BO99" s="1" t="s">
        <v>1821</v>
      </c>
      <c r="BP99" s="1" t="s">
        <v>1822</v>
      </c>
    </row>
    <row r="100">
      <c r="A100" s="1" t="s">
        <v>1823</v>
      </c>
      <c r="B100" s="1" t="str">
        <f>IFERROR(__xludf.DUMMYFUNCTION("GOOGLETRANSLATE(A:A, ""en"", ""te"")"),"మార్టిన్ ఎక్స్‌బి -16")</f>
        <v>మార్టిన్ ఎక్స్‌బి -16</v>
      </c>
      <c r="C100" s="1" t="s">
        <v>1824</v>
      </c>
      <c r="D100" s="2" t="str">
        <f>IFERROR(__xludf.DUMMYFUNCTION("GOOGLETRANSLATE(C:C, ""en"", ""te"")"),"మార్టిన్ ఎక్స్‌బి -16, కంపెనీ హోదా మోడల్ 145, 1930 లలో అమెరికాలో రూపొందించిన భారీ బాంబర్. 2,500 ఎల్బి (1,100 కిలోల) బాంబులను 5,000 మైళ్ళు (8,000 కిమీ; 4,300 ఎన్ఎమ్ఐ) తీసుకెళ్లగల బాంబర్ కోసం అమెరికా ఆర్మీ ఎయిర్ కార్ప్స్ (యుఎస్ఎసి) అభ్యర్థనను తీర్చడానికి XB"&amp;"-16 రూపొందించబడింది. XB-16 (మోడల్ 145 ఎ) నాలుగు అల్లిసన్ V-1710 లిక్విడ్-కూల్డ్ రెసిప్రొకేటింగ్ V- ఇంజిన్లను ఉపయోగించాల్సి ఉంది; సమకాలీన అమెరికన్ విమానం ఎయిర్-కూల్డ్ రేడియల్ ఇంజన్లను ఉపయోగించింది. 1935 లో, మార్టిన్ XB-16 డిజైన్‌ను మోడల్ 145 బిగా సవరించాడు"&amp;". వింగ్స్పాన్ 140 అడుగుల (43 మీ) నుండి 173 అడుగుల (53 మీ) కు పెంచబడింది మరియు V-1710 ఇంజిన్ల సమితిని వెనుకంజలో ఉన్న అంచుకు జోడించింది. ఈ సంస్కరణకు XB-16 కోసం ఉద్దేశించిన పాత్రను నింపే మొట్టమొదటి కార్యాచరణ బాంబర్ B-29 సూపర్ ఫోర్ట్రెస్ కంటే 20% ఎక్కువ రెక్క"&amp;"లు ఉన్నాయి. బోయింగ్ XB-15 ప్రాజెక్ట్ ఉన్న అదే కారణంతో XB-16 రద్దు చేయబడింది: సైన్యం నిర్దేశించిన అవసరాలను తీర్చడానికి ఇది వేగంగా లేదు. రెండూ ఒకే సమయంలో రద్దు చేయబడినందున, మార్టిన్‌కు XB-16 ఉత్పత్తి చేయడానికి సమయం లేదు. యు.ఎస్")</f>
        <v>మార్టిన్ ఎక్స్‌బి -16, కంపెనీ హోదా మోడల్ 145, 1930 లలో అమెరికాలో రూపొందించిన భారీ బాంబర్. 2,500 ఎల్బి (1,100 కిలోల) బాంబులను 5,000 మైళ్ళు (8,000 కిమీ; 4,300 ఎన్ఎమ్ఐ) తీసుకెళ్లగల బాంబర్ కోసం అమెరికా ఆర్మీ ఎయిర్ కార్ప్స్ (యుఎస్ఎసి) అభ్యర్థనను తీర్చడానికి XB-16 రూపొందించబడింది. XB-16 (మోడల్ 145 ఎ) నాలుగు అల్లిసన్ V-1710 లిక్విడ్-కూల్డ్ రెసిప్రొకేటింగ్ V- ఇంజిన్లను ఉపయోగించాల్సి ఉంది; సమకాలీన అమెరికన్ విమానం ఎయిర్-కూల్డ్ రేడియల్ ఇంజన్లను ఉపయోగించింది. 1935 లో, మార్టిన్ XB-16 డిజైన్‌ను మోడల్ 145 బిగా సవరించాడు. వింగ్స్పాన్ 140 అడుగుల (43 మీ) నుండి 173 అడుగుల (53 మీ) కు పెంచబడింది మరియు V-1710 ఇంజిన్ల సమితిని వెనుకంజలో ఉన్న అంచుకు జోడించింది. ఈ సంస్కరణకు XB-16 కోసం ఉద్దేశించిన పాత్రను నింపే మొట్టమొదటి కార్యాచరణ బాంబర్ B-29 సూపర్ ఫోర్ట్రెస్ కంటే 20% ఎక్కువ రెక్కలు ఉన్నాయి. బోయింగ్ XB-15 ప్రాజెక్ట్ ఉన్న అదే కారణంతో XB-16 రద్దు చేయబడింది: సైన్యం నిర్దేశించిన అవసరాలను తీర్చడానికి ఇది వేగంగా లేదు. రెండూ ఒకే సమయంలో రద్దు చేయబడినందున, మార్టిన్‌కు XB-16 ఉత్పత్తి చేయడానికి సమయం లేదు. యు.ఎస్</v>
      </c>
      <c r="F100" s="1" t="s">
        <v>1825</v>
      </c>
      <c r="G100" s="1" t="str">
        <f>IFERROR(__xludf.DUMMYFUNCTION("GOOGLETRANSLATE(F:F, ""en"", ""te"")"),"బాంబర్")</f>
        <v>బాంబర్</v>
      </c>
      <c r="H100" s="4" t="s">
        <v>1826</v>
      </c>
      <c r="I100" s="1" t="s">
        <v>1827</v>
      </c>
      <c r="J100" s="1" t="str">
        <f>IFERROR(__xludf.DUMMYFUNCTION("GOOGLETRANSLATE(I:I, ""en"", ""te"")"),"గ్లెన్ ఎల్. మార్టిన్ కంపెనీ")</f>
        <v>గ్లెన్ ఎల్. మార్టిన్ కంపెనీ</v>
      </c>
      <c r="K100" s="1" t="s">
        <v>1828</v>
      </c>
      <c r="M100" s="2"/>
      <c r="R100" s="1" t="s">
        <v>1829</v>
      </c>
      <c r="T100" s="1" t="s">
        <v>1830</v>
      </c>
      <c r="U100" s="1" t="s">
        <v>1831</v>
      </c>
      <c r="X100" s="1" t="s">
        <v>1832</v>
      </c>
      <c r="Z100" s="1" t="s">
        <v>1833</v>
      </c>
      <c r="AA100" s="1" t="s">
        <v>1834</v>
      </c>
      <c r="AC100" s="1" t="s">
        <v>1835</v>
      </c>
      <c r="AD100" s="1" t="s">
        <v>1836</v>
      </c>
      <c r="AE100" s="1" t="s">
        <v>1837</v>
      </c>
      <c r="AF100" s="1" t="s">
        <v>206</v>
      </c>
      <c r="AG100" s="4" t="s">
        <v>207</v>
      </c>
      <c r="AK100" s="1" t="s">
        <v>1838</v>
      </c>
      <c r="AL100" s="1" t="s">
        <v>1839</v>
      </c>
      <c r="AN100" s="1" t="s">
        <v>1840</v>
      </c>
      <c r="AS100" s="1" t="s">
        <v>1841</v>
      </c>
      <c r="AV100" s="1" t="s">
        <v>1842</v>
      </c>
      <c r="CM100" s="1" t="s">
        <v>1843</v>
      </c>
      <c r="CN100" s="1" t="s">
        <v>1844</v>
      </c>
      <c r="CO100" s="1" t="s">
        <v>1845</v>
      </c>
    </row>
    <row r="101">
      <c r="A101" s="1" t="s">
        <v>1846</v>
      </c>
      <c r="B101" s="1" t="str">
        <f>IFERROR(__xludf.DUMMYFUNCTION("GOOGLETRANSLATE(A:A, ""en"", ""te"")"),"మార్టిన్ ఎక్స్‌బి -33 సూపర్ మారౌడర్")</f>
        <v>మార్టిన్ ఎక్స్‌బి -33 సూపర్ మారౌడర్</v>
      </c>
      <c r="C101" s="1" t="s">
        <v>1847</v>
      </c>
      <c r="D101" s="2" t="str">
        <f>IFERROR(__xludf.DUMMYFUNCTION("GOOGLETRANSLATE(C:C, ""en"", ""te"")"),"మార్టిన్ ఎక్స్‌బి -33 సూపర్ మారౌడర్ రెండవ ప్రపంచ యుద్ధం అమెరికన్ బాంబర్ విమానం. దీనిని గ్లెన్ ఎల్. మార్టిన్ కంపెనీ మార్టిన్ మోడల్ 190 గా రూపొందించింది మరియు ఇది సంస్థ యొక్క B-26 మారౌడర్ యొక్క అధిక ఎత్తులో ఉంది. రెండు వేర్వేరు నమూనాలు అభివృద్ధి చేయబడ్డాయి,"&amp;" మొదట ట్విన్-ఇంజిన్ విమానంగా మరియు తరువాత నాలుగు ఇంజిన్ విమానంగా. నాలుగు ఇంజిన్ వెర్షన్‌ను అమెరికా ఆర్మీ ఎయిర్ ఫోర్సెస్ ఆదేశించింది, కాని ఏదైనా విమానం నిర్మించబడటానికి ముందే ఈ కార్యక్రమం రద్దు చేయబడింది. B-33 డిజైన్ యొక్క మొదటి వెర్షన్, XB-33, రెండు రైట్ "&amp;"R-3350 ఇంజన్లు మరియు ఒత్తిడితో కూడిన సిబ్బంది కంపార్ట్మెంట్లతో జంట-తోక మీడియం బాంబర్; దీని రూపకల్పన 1940 లో ప్రారంభమైంది. ఇది సుమారు 4,000 పౌండ్లు (1,814 కిలోల) బాంబులను కలిగి ఉంటుంది. XB-33 రూపకల్పన ప్రారంభమైన వెంటనే, జంట ఇంజిన్ విమానం సైన్యం కోరిన పనితీ"&amp;"రును సాధించదని స్పష్టమైంది. సంస్థ పెద్ద నాలుగు ఇంజిన్ డిజైన్‌ను అభివృద్ధి చేయడానికి వెళ్ళింది, కాని యుఎస్‌ఎఎఎఫ్ ఆదేశించిన రెండు ప్రోటోటైప్‌లు నిర్మించబడలేదు. అసలు ట్విన్-ఇంజిన్ డిజైన్‌ను విడిచిపెట్టిన తరువాత, సంస్థ నాలుగు-ఇంజిన్ విమానాలను రూపొందించడం కొనస"&amp;"ాగించింది, మరియు రెండు ప్రోటోటైప్‌లను USAAF XB-33A గా ఆదేశించింది; దీని బామ్‌బ్లోడ్ 12,000 పౌండ్లు (5,443 కిలోలు), బి -24 లిబరేటర్ మాదిరిగానే ఉంది, బి -29 కి ముందు భారీ యుఎస్ బాంబర్ పోరాటంలో ఎగిరింది. అసలు XB-33 డిజైన్ R-3350 చేత శక్తినివ్వవలసి ఉంది, పున "&amp;"es రూపకల్పన చేయబడిన XB-33A రైట్ R-2600 ఇంజిన్‌లను ఉపయోగించడం. దీనికి ప్రధాన కారణం ఆర్మీ వైమానిక దళాల యొక్క అత్యంత విలువైన ప్రాజెక్టులలో ఒకటైన B-29 కోసం R-3350 లకు డిమాండ్ ఉంది. జనవరి 17, 1942 న, యుఎస్ఎఎఫ్ 400 బి -33 ఎఎస్ కోసం ఒక ఉత్తర్వును ఉంచింది, ఇది మా"&amp;"ర్టిన్ చేత నిర్వహించబడుతున్న నెబ్రాస్కాలోని ఒమాహాలోని ప్రభుత్వ యాజమాన్యంలోని ప్లాంట్ వద్ద నిర్మించబడింది. నవంబర్ 25, 1942 న, ఒమాహా ప్లాంట్ B-29 ల తయారీపై దృష్టి పెట్టడానికి ఈ ప్రాజెక్ట్ రద్దు చేయబడింది. సాధారణ లక్షణాలు పనితీరు ఆయుధ సంబంధిత అభివృద్ధి సంబంధ"&amp;"ిత జాబితాలు")</f>
        <v>మార్టిన్ ఎక్స్‌బి -33 సూపర్ మారౌడర్ రెండవ ప్రపంచ యుద్ధం అమెరికన్ బాంబర్ విమానం. దీనిని గ్లెన్ ఎల్. మార్టిన్ కంపెనీ మార్టిన్ మోడల్ 190 గా రూపొందించింది మరియు ఇది సంస్థ యొక్క B-26 మారౌడర్ యొక్క అధిక ఎత్తులో ఉంది. రెండు వేర్వేరు నమూనాలు అభివృద్ధి చేయబడ్డాయి, మొదట ట్విన్-ఇంజిన్ విమానంగా మరియు తరువాత నాలుగు ఇంజిన్ విమానంగా. నాలుగు ఇంజిన్ వెర్షన్‌ను అమెరికా ఆర్మీ ఎయిర్ ఫోర్సెస్ ఆదేశించింది, కాని ఏదైనా విమానం నిర్మించబడటానికి ముందే ఈ కార్యక్రమం రద్దు చేయబడింది. B-33 డిజైన్ యొక్క మొదటి వెర్షన్, XB-33, రెండు రైట్ R-3350 ఇంజన్లు మరియు ఒత్తిడితో కూడిన సిబ్బంది కంపార్ట్మెంట్లతో జంట-తోక మీడియం బాంబర్; దీని రూపకల్పన 1940 లో ప్రారంభమైంది. ఇది సుమారు 4,000 పౌండ్లు (1,814 కిలోల) బాంబులను కలిగి ఉంటుంది. XB-33 రూపకల్పన ప్రారంభమైన వెంటనే, జంట ఇంజిన్ విమానం సైన్యం కోరిన పనితీరును సాధించదని స్పష్టమైంది. సంస్థ పెద్ద నాలుగు ఇంజిన్ డిజైన్‌ను అభివృద్ధి చేయడానికి వెళ్ళింది, కాని యుఎస్‌ఎఎఎఫ్ ఆదేశించిన రెండు ప్రోటోటైప్‌లు నిర్మించబడలేదు. అసలు ట్విన్-ఇంజిన్ డిజైన్‌ను విడిచిపెట్టిన తరువాత, సంస్థ నాలుగు-ఇంజిన్ విమానాలను రూపొందించడం కొనసాగించింది, మరియు రెండు ప్రోటోటైప్‌లను USAAF XB-33A గా ఆదేశించింది; దీని బామ్‌బ్లోడ్ 12,000 పౌండ్లు (5,443 కిలోలు), బి -24 లిబరేటర్ మాదిరిగానే ఉంది, బి -29 కి ముందు భారీ యుఎస్ బాంబర్ పోరాటంలో ఎగిరింది. అసలు XB-33 డిజైన్ R-3350 చేత శక్తినివ్వవలసి ఉంది, పున es రూపకల్పన చేయబడిన XB-33A రైట్ R-2600 ఇంజిన్‌లను ఉపయోగించడం. దీనికి ప్రధాన కారణం ఆర్మీ వైమానిక దళాల యొక్క అత్యంత విలువైన ప్రాజెక్టులలో ఒకటైన B-29 కోసం R-3350 లకు డిమాండ్ ఉంది. జనవరి 17, 1942 న, యుఎస్ఎఎఫ్ 400 బి -33 ఎఎస్ కోసం ఒక ఉత్తర్వును ఉంచింది, ఇది మార్టిన్ చేత నిర్వహించబడుతున్న నెబ్రాస్కాలోని ఒమాహాలోని ప్రభుత్వ యాజమాన్యంలోని ప్లాంట్ వద్ద నిర్మించబడింది. నవంబర్ 25, 1942 న, ఒమాహా ప్లాంట్ B-29 ల తయారీపై దృష్టి పెట్టడానికి ఈ ప్రాజెక్ట్ రద్దు చేయబడింది. సాధారణ లక్షణాలు పనితీరు ఆయుధ సంబంధిత అభివృద్ధి సంబంధిత జాబితాలు</v>
      </c>
      <c r="F101" s="1" t="s">
        <v>1848</v>
      </c>
      <c r="G101" s="1" t="str">
        <f>IFERROR(__xludf.DUMMYFUNCTION("GOOGLETRANSLATE(F:F, ""en"", ""te"")"),"మీడియం బాంబర్")</f>
        <v>మీడియం బాంబర్</v>
      </c>
      <c r="H101" s="1" t="s">
        <v>1849</v>
      </c>
      <c r="I101" s="1" t="s">
        <v>1827</v>
      </c>
      <c r="J101" s="1" t="str">
        <f>IFERROR(__xludf.DUMMYFUNCTION("GOOGLETRANSLATE(I:I, ""en"", ""te"")"),"గ్లెన్ ఎల్. మార్టిన్ కంపెనీ")</f>
        <v>గ్లెన్ ఎల్. మార్టిన్ కంపెనీ</v>
      </c>
      <c r="K101" s="1" t="s">
        <v>1828</v>
      </c>
      <c r="M101" s="2"/>
      <c r="O101" s="1" t="s">
        <v>1850</v>
      </c>
      <c r="P101" s="1" t="s">
        <v>1851</v>
      </c>
      <c r="Q101" s="1" t="s">
        <v>1852</v>
      </c>
      <c r="R101" s="1" t="s">
        <v>1853</v>
      </c>
      <c r="T101" s="1" t="s">
        <v>1854</v>
      </c>
      <c r="U101" s="1" t="s">
        <v>1855</v>
      </c>
      <c r="V101" s="1" t="s">
        <v>1856</v>
      </c>
      <c r="W101" s="1" t="s">
        <v>1857</v>
      </c>
      <c r="X101" s="1" t="s">
        <v>1858</v>
      </c>
      <c r="Z101" s="1" t="s">
        <v>1859</v>
      </c>
      <c r="AA101" s="1" t="s">
        <v>1860</v>
      </c>
      <c r="AC101" s="1" t="s">
        <v>1861</v>
      </c>
      <c r="AE101" s="1" t="s">
        <v>1862</v>
      </c>
      <c r="AF101" s="1" t="s">
        <v>206</v>
      </c>
      <c r="AH101" s="1" t="s">
        <v>261</v>
      </c>
      <c r="AI101" s="1" t="s">
        <v>1863</v>
      </c>
      <c r="AL101" s="1" t="s">
        <v>1864</v>
      </c>
      <c r="AN101" s="1" t="s">
        <v>1865</v>
      </c>
      <c r="AP101" s="1" t="s">
        <v>1866</v>
      </c>
      <c r="AQ101" s="1" t="s">
        <v>1867</v>
      </c>
      <c r="AS101" s="1" t="s">
        <v>1868</v>
      </c>
      <c r="AU101" s="1" t="s">
        <v>1869</v>
      </c>
      <c r="BS101" s="1" t="s">
        <v>1870</v>
      </c>
      <c r="CM101" s="1" t="s">
        <v>1871</v>
      </c>
    </row>
    <row r="102">
      <c r="A102" s="1" t="s">
        <v>1872</v>
      </c>
      <c r="B102" s="1" t="str">
        <f>IFERROR(__xludf.DUMMYFUNCTION("GOOGLETRANSLATE(A:A, ""en"", ""te"")"),"ఫెయిర్‌చైల్డ్ xnq")</f>
        <v>ఫెయిర్‌చైల్డ్ xnq</v>
      </c>
      <c r="C102" s="1" t="s">
        <v>1873</v>
      </c>
      <c r="D102" s="2" t="str">
        <f>IFERROR(__xludf.DUMMYFUNCTION("GOOGLETRANSLATE(C:C, ""en"", ""te"")"),"ఫెయిర్‌చైల్డ్ XNQ (T-31; మోడల్ M-92) 1940 లలో అమెరికా నేవీకి ప్రామాణిక ప్రాధమిక శిక్షకుడిగా రూపొందించిన ఒక అమెరికన్ శిక్షకుడు. ప్రస్తుత ప్రాధమిక శిక్షకులకు బదులుగా ఫెయిర్‌చైల్డ్ విమానాలు రూపొందించబడిన XNQ-1 లో నియంత్రించదగిన-పిచ్ ప్రొపెల్లర్, ఫ్లాప్స్, ఎల"&amp;"క్ట్రానిక్ ఆపరేటెడ్ రిట్రాకబుల్ ల్యాండింగ్ గేర్ మరియు ఆల్-మెటల్ స్కిన్ ఫాబ్రిక్-కప్పబడిన చుక్కాని, ఐలెరాన్లు మరియు ఎలివేటర్లతో ఉన్నాయి. దాని అడ్డుపడని బబుల్ పందిరి బోధకులు మరియు విద్యార్థులకు మంచి దృశ్యమానతతో కూర్చున్నారు, మరియు సమకాలీన జెట్ యోధులలో కనిపి"&amp;"ంచే వాటికి సరిపోయేలా దాని కాక్‌పిట్ పరికరాలు ఏర్పాటు చేయబడ్డాయి. XNQ-1 బేసిక్/అడ్వాన్స్‌డ్ ట్రైనర్ యు.ఎస్. నేవీ కోసం అభివృద్ధి చేయబడింది మరియు దీనిని మొట్టమొదట రిచర్డ్ హెన్సన్ 7 అక్టోబర్ 1946 న ఎగురవేశారు. ట్రయల్స్ కోసం 1947 లో యు.ఎస్. నేవీకి పంపిణీ చేయబడ"&amp;"ిన, కాక్‌పిట్‌లోకి ఎగ్జాస్ట్ పొగలు లీక్ అవ్వడంతో సమస్యల కారణంగా అవి తిరస్కరించబడ్డాయి. మొట్టమొదటి నమూనా తరువాత అనేక ఇంజిన్ మార్పులను స్వీకరించడానికి, మొదట 320 హెచ్‌పి లైమింగ్ R-680-13 తో శక్తినిస్తుంది, తరువాత చివరకు అడ్డంగా వ్యతిరేకించిన 350 HP లైమింగ్ G"&amp;"SO-580 తో. ఈ విమానం 1950 లో జరిగిన ప్రమాదంలో నాశనం చేయబడింది. రెండవ విమానం (బనో. 75726), పెద్ద స్టెబిలైజర్‌తో, 1949 లో అమెరికా వైమానిక దళం AT-6 కు బదులుగా అంచనా వేసింది, USAF దీనిని మార్చి 24 న ఎన్నుకుంది 1949 ప్రాధమిక శిక్షకుడిగా. స్టాల్స్, స్పిన్స్ మరియ"&amp;"ు రోల్స్ వంటి పైలట్ల విన్యాసాలను నేర్పడానికి ఏరోబాటిక్ గా రూపొందించబడిన ఫెయిర్‌చైల్డ్ యుఎస్ఎఎఫ్ హోదా టి -31 కింద 100 మోడల్ 129 లకు కాంట్రాక్టును అందుకుంది. ఏదేమైనా, ఈ ఆర్డర్ తరువాత 1949 లో బీచ్ టి -34 గురువుకు అనుకూలంగా రద్దు చేయబడింది. సి -119 ఫ్లయింగ్ బ"&amp;"ాక్స్‌కార్‌తో సహా ఇతర ఉత్పత్తి ఒప్పందాలపై కంపెనీ కేంద్రీకృతమై ఉండటంతో ఫెయిర్‌చైల్డ్ డిజైన్‌ను అభివృద్ధి చేయడానికి ప్రణాళికలను విరమించుకుంది. రెండవ విమానం, ప్రైవేటు యాజమాన్యంలో ఉంది, ఇప్పటికీ 2021 నాటికి సివిల్ రిజిస్టర్‌లో ఉంది. [1] జేన్ యొక్క ఆల్ ది వరల్"&amp;"డ్ విమానాల నుండి డేటా 1947 [2] సాధారణ లక్షణాలు పనితీరు పనితీరు, కాన్ఫిగరేషన్ మరియు ERA సంబంధిత జాబితాల పనితీరు విమానం")</f>
        <v>ఫెయిర్‌చైల్డ్ XNQ (T-31; మోడల్ M-92) 1940 లలో అమెరికా నేవీకి ప్రామాణిక ప్రాధమిక శిక్షకుడిగా రూపొందించిన ఒక అమెరికన్ శిక్షకుడు. ప్రస్తుత ప్రాధమిక శిక్షకులకు బదులుగా ఫెయిర్‌చైల్డ్ విమానాలు రూపొందించబడిన XNQ-1 లో నియంత్రించదగిన-పిచ్ ప్రొపెల్లర్, ఫ్లాప్స్, ఎలక్ట్రానిక్ ఆపరేటెడ్ రిట్రాకబుల్ ల్యాండింగ్ గేర్ మరియు ఆల్-మెటల్ స్కిన్ ఫాబ్రిక్-కప్పబడిన చుక్కాని, ఐలెరాన్లు మరియు ఎలివేటర్లతో ఉన్నాయి. దాని అడ్డుపడని బబుల్ పందిరి బోధకులు మరియు విద్యార్థులకు మంచి దృశ్యమానతతో కూర్చున్నారు, మరియు సమకాలీన జెట్ యోధులలో కనిపించే వాటికి సరిపోయేలా దాని కాక్‌పిట్ పరికరాలు ఏర్పాటు చేయబడ్డాయి. XNQ-1 బేసిక్/అడ్వాన్స్‌డ్ ట్రైనర్ యు.ఎస్. నేవీ కోసం అభివృద్ధి చేయబడింది మరియు దీనిని మొట్టమొదట రిచర్డ్ హెన్సన్ 7 అక్టోబర్ 1946 న ఎగురవేశారు. ట్రయల్స్ కోసం 1947 లో యు.ఎస్. నేవీకి పంపిణీ చేయబడిన, కాక్‌పిట్‌లోకి ఎగ్జాస్ట్ పొగలు లీక్ అవ్వడంతో సమస్యల కారణంగా అవి తిరస్కరించబడ్డాయి. మొట్టమొదటి నమూనా తరువాత అనేక ఇంజిన్ మార్పులను స్వీకరించడానికి, మొదట 320 హెచ్‌పి లైమింగ్ R-680-13 తో శక్తినిస్తుంది, తరువాత చివరకు అడ్డంగా వ్యతిరేకించిన 350 HP లైమింగ్ GSO-580 తో. ఈ విమానం 1950 లో జరిగిన ప్రమాదంలో నాశనం చేయబడింది. రెండవ విమానం (బనో. 75726), పెద్ద స్టెబిలైజర్‌తో, 1949 లో అమెరికా వైమానిక దళం AT-6 కు బదులుగా అంచనా వేసింది, USAF దీనిని మార్చి 24 న ఎన్నుకుంది 1949 ప్రాధమిక శిక్షకుడిగా. స్టాల్స్, స్పిన్స్ మరియు రోల్స్ వంటి పైలట్ల విన్యాసాలను నేర్పడానికి ఏరోబాటిక్ గా రూపొందించబడిన ఫెయిర్‌చైల్డ్ యుఎస్ఎఎఫ్ హోదా టి -31 కింద 100 మోడల్ 129 లకు కాంట్రాక్టును అందుకుంది. ఏదేమైనా, ఈ ఆర్డర్ తరువాత 1949 లో బీచ్ టి -34 గురువుకు అనుకూలంగా రద్దు చేయబడింది. సి -119 ఫ్లయింగ్ బాక్స్‌కార్‌తో సహా ఇతర ఉత్పత్తి ఒప్పందాలపై కంపెనీ కేంద్రీకృతమై ఉండటంతో ఫెయిర్‌చైల్డ్ డిజైన్‌ను అభివృద్ధి చేయడానికి ప్రణాళికలను విరమించుకుంది. రెండవ విమానం, ప్రైవేటు యాజమాన్యంలో ఉంది, ఇప్పటికీ 2021 నాటికి సివిల్ రిజిస్టర్‌లో ఉంది. [1] జేన్ యొక్క ఆల్ ది వరల్డ్ విమానాల నుండి డేటా 1947 [2] సాధారణ లక్షణాలు పనితీరు పనితీరు, కాన్ఫిగరేషన్ మరియు ERA సంబంధిత జాబితాల పనితీరు విమానం</v>
      </c>
      <c r="E102" s="1" t="s">
        <v>1874</v>
      </c>
      <c r="F102" s="1" t="s">
        <v>1875</v>
      </c>
      <c r="G102" s="1" t="str">
        <f>IFERROR(__xludf.DUMMYFUNCTION("GOOGLETRANSLATE(F:F, ""en"", ""te"")"),"ప్రాథమిక శిక్షకుడు")</f>
        <v>ప్రాథమిక శిక్షకుడు</v>
      </c>
      <c r="H102" s="1" t="s">
        <v>1876</v>
      </c>
      <c r="I102" s="1" t="s">
        <v>1686</v>
      </c>
      <c r="J102" s="1" t="str">
        <f>IFERROR(__xludf.DUMMYFUNCTION("GOOGLETRANSLATE(I:I, ""en"", ""te"")"),"ఫెయిర్‌చైల్డ్")</f>
        <v>ఫెయిర్‌చైల్డ్</v>
      </c>
      <c r="K102" s="4" t="s">
        <v>1687</v>
      </c>
      <c r="M102" s="2"/>
      <c r="O102" s="1">
        <v>2.0</v>
      </c>
      <c r="R102" s="1">
        <v>2.0</v>
      </c>
      <c r="T102" s="1" t="s">
        <v>1877</v>
      </c>
      <c r="U102" s="1" t="s">
        <v>1878</v>
      </c>
      <c r="W102" s="1" t="s">
        <v>1879</v>
      </c>
      <c r="X102" s="1" t="s">
        <v>1880</v>
      </c>
      <c r="Z102" s="1" t="s">
        <v>1881</v>
      </c>
      <c r="AC102" s="1" t="s">
        <v>1882</v>
      </c>
      <c r="AF102" s="1" t="s">
        <v>206</v>
      </c>
      <c r="AI102" s="1" t="s">
        <v>1883</v>
      </c>
      <c r="AL102" s="1" t="s">
        <v>238</v>
      </c>
      <c r="AN102" s="1" t="s">
        <v>1884</v>
      </c>
      <c r="AO102" s="5">
        <v>17082.0</v>
      </c>
    </row>
    <row r="103">
      <c r="A103" s="1" t="s">
        <v>1885</v>
      </c>
      <c r="B103" s="1" t="str">
        <f>IFERROR(__xludf.DUMMYFUNCTION("GOOGLETRANSLATE(A:A, ""en"", ""te"")"),"ఫియట్ R.2")</f>
        <v>ఫియట్ R.2</v>
      </c>
      <c r="C103" s="1" t="s">
        <v>1886</v>
      </c>
      <c r="D103" s="2" t="str">
        <f>IFERROR(__xludf.DUMMYFUNCTION("GOOGLETRANSLATE(C:C, ""en"", ""te"")"),"ఫియట్ R.2 అనేది మొదటి ప్రపంచ యుద్ధం తరువాత ఇటలీలో ఉత్పత్తి చేయబడిన నిఘా విమానం, మరియు ఫియట్ బ్రాండ్ క్రింద విక్రయించబడిన మొదటి విమానం, (మునుపటి ఫియట్ విమానం SIA చేత విక్రయించబడింది). ఇది సమాన-స్పాన్, అన్‌స్టాగర్డ్ రెక్కలు మరియు స్థిర టెయిల్‌స్కిడ్ అండర్ క"&amp;"్యారేజీతో సాంప్రదాయిక రెండు-బే బైప్‌లేన్. పైలట్ మరియు పరిశీలకుడు ఓపెన్ కాక్‌పిట్స్‌లో కూర్చున్నారు. ఈ డిజైన్ యుద్ధ సమయంలో ఎగిరిన SIA 7 మరియు SIA 9 యొక్క ఉత్పన్నం, కానీ ఆ రకాల్లో కొనసాగుతున్న సమస్యలను సరిదిద్దడానికి రోసాటెల్లి చేత గణనీయంగా సవరించబడింది. రె"&amp;"జియో ఎసెర్సిటో యొక్క ఎయిర్ కార్ప్స్ కోసం మొత్తం 129 ఉత్పత్తి చేయబడ్డాయి. జేన్ యొక్క అన్ని ప్రపంచ విమానాల నుండి డేటా 1919 [1] సాధారణ లక్షణాలు పనితీరు ఆయుధ సంబంధిత జాబితాలు")</f>
        <v>ఫియట్ R.2 అనేది మొదటి ప్రపంచ యుద్ధం తరువాత ఇటలీలో ఉత్పత్తి చేయబడిన నిఘా విమానం, మరియు ఫియట్ బ్రాండ్ క్రింద విక్రయించబడిన మొదటి విమానం, (మునుపటి ఫియట్ విమానం SIA చేత విక్రయించబడింది). ఇది సమాన-స్పాన్, అన్‌స్టాగర్డ్ రెక్కలు మరియు స్థిర టెయిల్‌స్కిడ్ అండర్ క్యారేజీతో సాంప్రదాయిక రెండు-బే బైప్‌లేన్. పైలట్ మరియు పరిశీలకుడు ఓపెన్ కాక్‌పిట్స్‌లో కూర్చున్నారు. ఈ డిజైన్ యుద్ధ సమయంలో ఎగిరిన SIA 7 మరియు SIA 9 యొక్క ఉత్పన్నం, కానీ ఆ రకాల్లో కొనసాగుతున్న సమస్యలను సరిదిద్దడానికి రోసాటెల్లి చేత గణనీయంగా సవరించబడింది. రెజియో ఎసెర్సిటో యొక్క ఎయిర్ కార్ప్స్ కోసం మొత్తం 129 ఉత్పత్తి చేయబడ్డాయి. జేన్ యొక్క అన్ని ప్రపంచ విమానాల నుండి డేటా 1919 [1] సాధారణ లక్షణాలు పనితీరు ఆయుధ సంబంధిత జాబితాలు</v>
      </c>
      <c r="E103" s="1" t="s">
        <v>1887</v>
      </c>
      <c r="F103" s="1" t="s">
        <v>1888</v>
      </c>
      <c r="G103" s="1" t="str">
        <f>IFERROR(__xludf.DUMMYFUNCTION("GOOGLETRANSLATE(F:F, ""en"", ""te"")"),"నిఘా")</f>
        <v>నిఘా</v>
      </c>
      <c r="I103" s="1" t="s">
        <v>1889</v>
      </c>
      <c r="J103" s="1" t="str">
        <f>IFERROR(__xludf.DUMMYFUNCTION("GOOGLETRANSLATE(I:I, ""en"", ""te"")"),"ఫియట్")</f>
        <v>ఫియట్</v>
      </c>
      <c r="K103" s="4" t="s">
        <v>1890</v>
      </c>
      <c r="L103" s="1" t="s">
        <v>1891</v>
      </c>
      <c r="M103" s="2" t="str">
        <f>IFERROR(__xludf.DUMMYFUNCTION("GOOGLETRANSLATE(L:L, ""en"", ""te"")"),"సెలెస్టినో రోసాటెల్లి")</f>
        <v>సెలెస్టినో రోసాటెల్లి</v>
      </c>
      <c r="N103" s="1" t="s">
        <v>1892</v>
      </c>
      <c r="O103" s="1">
        <v>129.0</v>
      </c>
      <c r="R103" s="1">
        <v>2.0</v>
      </c>
      <c r="T103" s="1" t="s">
        <v>1893</v>
      </c>
      <c r="U103" s="1" t="s">
        <v>1894</v>
      </c>
      <c r="V103" s="1" t="s">
        <v>1895</v>
      </c>
      <c r="X103" s="1" t="s">
        <v>1896</v>
      </c>
      <c r="Z103" s="1" t="s">
        <v>1897</v>
      </c>
      <c r="AC103" s="1" t="s">
        <v>1898</v>
      </c>
      <c r="AE103" s="1" t="s">
        <v>1899</v>
      </c>
      <c r="AI103" s="1" t="s">
        <v>1777</v>
      </c>
      <c r="AK103" s="1" t="s">
        <v>1900</v>
      </c>
      <c r="AL103" s="1" t="s">
        <v>462</v>
      </c>
      <c r="AN103" s="1" t="s">
        <v>1901</v>
      </c>
      <c r="AO103" s="1">
        <v>1919.0</v>
      </c>
      <c r="AR103" s="1" t="s">
        <v>1902</v>
      </c>
      <c r="AU103" s="1" t="s">
        <v>1903</v>
      </c>
      <c r="AV103" s="1" t="s">
        <v>1904</v>
      </c>
      <c r="BS103" s="1" t="s">
        <v>1905</v>
      </c>
      <c r="CP103" s="1" t="s">
        <v>1906</v>
      </c>
      <c r="CQ103" s="1" t="s">
        <v>1907</v>
      </c>
    </row>
    <row r="104">
      <c r="A104" s="1" t="s">
        <v>1908</v>
      </c>
      <c r="B104" s="1" t="str">
        <f>IFERROR(__xludf.DUMMYFUNCTION("GOOGLETRANSLATE(A:A, ""en"", ""te"")"),"ఫంక్ బి")</f>
        <v>ఫంక్ బి</v>
      </c>
      <c r="C104" s="1" t="s">
        <v>1909</v>
      </c>
      <c r="D104" s="2" t="str">
        <f>IFERROR(__xludf.DUMMYFUNCTION("GOOGLETRANSLATE(C:C, ""en"", ""te"")"),"ఫంక్ మోడల్ బి 1930 ల అమెరికన్ రెండు-సీట్ల క్యాబిన్ మోనోప్లేన్, హోవార్డ్ మరియు జో ఫంక్ రూపొందించారు. వాస్తవానికి అక్రోన్ ఎయిర్క్రాఫ్ట్ కంపెనీ నిర్మించిన తరువాత ఫంక్ ఎయిర్క్రాఫ్ట్ కంపెనీగా పేరు మార్చబడింది. మోడల్ B అనేది సోదరులు హోవార్డ్ మరియు జో ఫంక్ రూపొం"&amp;"దించిన మొట్టమొదటి శక్తితో కూడిన విమానం, దీని మునుపటి అనుభవం హోమ్‌బిల్ట్ గ్లైడర్‌లు మరియు సెయిల్‌ప్లేన్‌లలో ఉంది. మోడల్ B అనేది సాంప్రదాయిక తోక యూనిట్ మరియు స్థిర టెయిల్‌వీల్ ల్యాండింగ్ గేర్‌తో స్ట్రట్-బ్రెస్డ్ హై-వింగ్ మోనోప్లేన్. ఈ డిజైన్ మిశ్రమ నిర్మాణా"&amp;"న్ని ఫాబ్రిక్-కప్పబడిన చెక్క రెక్కలు మరియు వెల్డెడ్ స్టీల్-ట్యూబ్ ఫ్యూజ్‌లేజ్‌తో ఉపయోగిస్తుంది. ఈ విమానం ఫోర్డ్ ""బి"" మోటార్-కార్ ఇంజిన్ నుండి అభివృద్ధి చేయబడిన బ్రదర్స్ సొంత మోడల్ ఇ ఇంజిన్ చేత శక్తిని పొందింది. ప్రోటోటైప్ మొదట 1933 చివరలో ఎగిరింది. [1] "&amp;"పరీక్ష విమానాలు విజయవంతమయ్యాయని నిరూపించబడినప్పుడు, బ్రదర్స్ 1939 లో ఫంక్ బి. సిలిండర్ ఇంజిన్ మరియు మోడల్ B-75-L ను తిరిగి నియమించారు. 1941 లో కంపెనీ అక్రోన్ నుండి కాన్సాస్‌కు మారింది మరియు ఈ సంస్థకు ఫంక్ ఎయిర్‌క్రాఫ్ట్ కంపెనీగా పేరు మార్చబడింది. రెండవ ప్"&amp;"రపంచ యుద్ధంలో ఉత్పత్తి ఆగిపోయింది మరియు ఒక విమానం 1942 లో అమెరికా ఆర్మీ ఎయిర్ కార్ప్స్ తో UC-92 గా సేవలోకి ప్రవేశించింది. 1946 లో యుద్ధం తరువాత కాంటినెంటల్ C85-12 ఇంజిన్‌ను ఉపయోగించి ఉత్పత్తి తిరిగి ప్రారంభమైంది మరియు ఈ విమానం మోడల్ B-85-C గా పున es రూపకల"&amp;"్పన చేయబడింది మరియు బీ అని పేరు పెట్టబడింది. ఇది బాగా అమ్మలేదు మరియు 1948 లో ఉత్పత్తి నిలిపివేయబడింది. అన్ని వేరియంట్ల యొక్క 380 విమానాలు నిర్మించబడ్డాయి. జేన్ యొక్క అన్ని ప్రపంచ విమానాల నుండి డేటా 1951–52 [2] సాధారణ లక్షణాల పనితీరు సంబంధిత జాబితాలు")</f>
        <v>ఫంక్ మోడల్ బి 1930 ల అమెరికన్ రెండు-సీట్ల క్యాబిన్ మోనోప్లేన్, హోవార్డ్ మరియు జో ఫంక్ రూపొందించారు. వాస్తవానికి అక్రోన్ ఎయిర్క్రాఫ్ట్ కంపెనీ నిర్మించిన తరువాత ఫంక్ ఎయిర్క్రాఫ్ట్ కంపెనీగా పేరు మార్చబడింది. మోడల్ B అనేది సోదరులు హోవార్డ్ మరియు జో ఫంక్ రూపొందించిన మొట్టమొదటి శక్తితో కూడిన విమానం, దీని మునుపటి అనుభవం హోమ్‌బిల్ట్ గ్లైడర్‌లు మరియు సెయిల్‌ప్లేన్‌లలో ఉంది. మోడల్ B అనేది సాంప్రదాయిక తోక యూనిట్ మరియు స్థిర టెయిల్‌వీల్ ల్యాండింగ్ గేర్‌తో స్ట్రట్-బ్రెస్డ్ హై-వింగ్ మోనోప్లేన్. ఈ డిజైన్ మిశ్రమ నిర్మాణాన్ని ఫాబ్రిక్-కప్పబడిన చెక్క రెక్కలు మరియు వెల్డెడ్ స్టీల్-ట్యూబ్ ఫ్యూజ్‌లేజ్‌తో ఉపయోగిస్తుంది. ఈ విమానం ఫోర్డ్ "బి" మోటార్-కార్ ఇంజిన్ నుండి అభివృద్ధి చేయబడిన బ్రదర్స్ సొంత మోడల్ ఇ ఇంజిన్ చేత శక్తిని పొందింది. ప్రోటోటైప్ మొదట 1933 చివరలో ఎగిరింది. [1] పరీక్ష విమానాలు విజయవంతమయ్యాయని నిరూపించబడినప్పుడు, బ్రదర్స్ 1939 లో ఫంక్ బి. సిలిండర్ ఇంజిన్ మరియు మోడల్ B-75-L ను తిరిగి నియమించారు. 1941 లో కంపెనీ అక్రోన్ నుండి కాన్సాస్‌కు మారింది మరియు ఈ సంస్థకు ఫంక్ ఎయిర్‌క్రాఫ్ట్ కంపెనీగా పేరు మార్చబడింది. రెండవ ప్రపంచ యుద్ధంలో ఉత్పత్తి ఆగిపోయింది మరియు ఒక విమానం 1942 లో అమెరికా ఆర్మీ ఎయిర్ కార్ప్స్ తో UC-92 గా సేవలోకి ప్రవేశించింది. 1946 లో యుద్ధం తరువాత కాంటినెంటల్ C85-12 ఇంజిన్‌ను ఉపయోగించి ఉత్పత్తి తిరిగి ప్రారంభమైంది మరియు ఈ విమానం మోడల్ B-85-C గా పున es రూపకల్పన చేయబడింది మరియు బీ అని పేరు పెట్టబడింది. ఇది బాగా అమ్మలేదు మరియు 1948 లో ఉత్పత్తి నిలిపివేయబడింది. అన్ని వేరియంట్ల యొక్క 380 విమానాలు నిర్మించబడ్డాయి. జేన్ యొక్క అన్ని ప్రపంచ విమానాల నుండి డేటా 1951–52 [2] సాధారణ లక్షణాల పనితీరు సంబంధిత జాబితాలు</v>
      </c>
      <c r="E104" s="1" t="s">
        <v>1910</v>
      </c>
      <c r="F104" s="1" t="s">
        <v>1911</v>
      </c>
      <c r="G104" s="1" t="str">
        <f>IFERROR(__xludf.DUMMYFUNCTION("GOOGLETRANSLATE(F:F, ""en"", ""te"")"),"రెండు-సీట్ల క్యాబిన్ మోనోప్లేన్")</f>
        <v>రెండు-సీట్ల క్యాబిన్ మోనోప్లేన్</v>
      </c>
      <c r="I104" s="1" t="s">
        <v>1912</v>
      </c>
      <c r="J104" s="1" t="str">
        <f>IFERROR(__xludf.DUMMYFUNCTION("GOOGLETRANSLATE(I:I, ""en"", ""te"")"),"అక్రోన్ ఎయిర్క్రాఫ్ట్ కంపెనీ ఫంక్ ఎయిర్క్రాఫ్ట్ కంపెనీ")</f>
        <v>అక్రోన్ ఎయిర్క్రాఫ్ట్ కంపెనీ ఫంక్ ఎయిర్క్రాఫ్ట్ కంపెనీ</v>
      </c>
      <c r="K104" s="1" t="s">
        <v>1913</v>
      </c>
      <c r="L104" s="1" t="s">
        <v>1914</v>
      </c>
      <c r="M104" s="2" t="str">
        <f>IFERROR(__xludf.DUMMYFUNCTION("GOOGLETRANSLATE(L:L, ""en"", ""te"")"),"హోవార్డ్ మరియు జో ఫంక్")</f>
        <v>హోవార్డ్ మరియు జో ఫంక్</v>
      </c>
      <c r="O104" s="1">
        <v>380.0</v>
      </c>
      <c r="R104" s="1">
        <v>2.0</v>
      </c>
      <c r="T104" s="1" t="s">
        <v>1915</v>
      </c>
      <c r="U104" s="1" t="s">
        <v>1916</v>
      </c>
      <c r="V104" s="1" t="s">
        <v>1917</v>
      </c>
      <c r="W104" s="1" t="s">
        <v>1918</v>
      </c>
      <c r="X104" s="1" t="s">
        <v>1919</v>
      </c>
      <c r="Z104" s="1" t="s">
        <v>1920</v>
      </c>
      <c r="AA104" s="1" t="s">
        <v>845</v>
      </c>
      <c r="AC104" s="1" t="s">
        <v>1921</v>
      </c>
      <c r="AD104" s="1" t="s">
        <v>1922</v>
      </c>
      <c r="AH104" s="1" t="s">
        <v>1923</v>
      </c>
      <c r="AI104" s="1" t="s">
        <v>1924</v>
      </c>
      <c r="AJ104" s="1" t="s">
        <v>1925</v>
      </c>
      <c r="AK104" s="1" t="s">
        <v>1926</v>
      </c>
      <c r="AL104" s="1" t="s">
        <v>1927</v>
      </c>
      <c r="AN104" s="1" t="s">
        <v>1928</v>
      </c>
      <c r="AO104" s="1">
        <v>1933.0</v>
      </c>
      <c r="AR104" s="1" t="s">
        <v>1929</v>
      </c>
      <c r="CR104" s="1" t="s">
        <v>1930</v>
      </c>
    </row>
    <row r="105">
      <c r="A105" s="1" t="s">
        <v>1931</v>
      </c>
      <c r="B105" s="1" t="str">
        <f>IFERROR(__xludf.DUMMYFUNCTION("GOOGLETRANSLATE(A:A, ""en"", ""te"")"),"పోటెజ్ XI")</f>
        <v>పోటెజ్ XI</v>
      </c>
      <c r="C105" s="1" t="s">
        <v>1932</v>
      </c>
      <c r="D105" s="2" t="str">
        <f>IFERROR(__xludf.DUMMYFUNCTION("GOOGLETRANSLATE(C:C, ""en"", ""te"")"),"పోటెజ్ ఎలెవన్ ఫ్రెంచ్ కంపెనీ పోటెజ్ రూపొందించిన మొదటి ఫైటర్ విమానం. 1922 లో రూపకల్పన చేయబడిన, ఏకైక విమానం మొదటిసారి డిసెంబర్ 11 న ప్రయాణించింది, ఆ తరువాత మరింత అభివృద్ధి పనులు ఆగిపోయాయి. ఇది 1919 లో కొత్త ఏరోనాటిక్స్ డైరెక్టర్ జనరల్ డువల్ చేత సృష్టించబడిన"&amp;" CAP (చాస్సే ఆర్మీ ప్రొటెక్షన్) 2 అవసరాలను తీర్చడానికి నిర్మించబడింది. ఇది మిలటరీకి బాంబర్, ఇంటర్‌సెప్ట్ మరియు వ్యూహాత్మక నిఘా, అలాగే ఎస్కార్ట్ ఫైటర్స్ చేయడం. ఈ విమానం టర్బో-సూపర్ఛార్జ్డ్ ఇంజిన్ ద్వారా శక్తినివ్వాలి. [1] ఫ్లైట్ ఇంటర్నేషనల్ నుండి డేటా [2] "&amp;"సాధారణ లక్షణాలు పనితీరు ఆయుధాలు")</f>
        <v>పోటెజ్ ఎలెవన్ ఫ్రెంచ్ కంపెనీ పోటెజ్ రూపొందించిన మొదటి ఫైటర్ విమానం. 1922 లో రూపకల్పన చేయబడిన, ఏకైక విమానం మొదటిసారి డిసెంబర్ 11 న ప్రయాణించింది, ఆ తరువాత మరింత అభివృద్ధి పనులు ఆగిపోయాయి. ఇది 1919 లో కొత్త ఏరోనాటిక్స్ డైరెక్టర్ జనరల్ డువల్ చేత సృష్టించబడిన CAP (చాస్సే ఆర్మీ ప్రొటెక్షన్) 2 అవసరాలను తీర్చడానికి నిర్మించబడింది. ఇది మిలటరీకి బాంబర్, ఇంటర్‌సెప్ట్ మరియు వ్యూహాత్మక నిఘా, అలాగే ఎస్కార్ట్ ఫైటర్స్ చేయడం. ఈ విమానం టర్బో-సూపర్ఛార్జ్డ్ ఇంజిన్ ద్వారా శక్తినివ్వాలి. [1] ఫ్లైట్ ఇంటర్నేషనల్ నుండి డేటా [2] సాధారణ లక్షణాలు పనితీరు ఆయుధాలు</v>
      </c>
      <c r="E105" s="1" t="s">
        <v>1933</v>
      </c>
      <c r="F105" s="1" t="s">
        <v>945</v>
      </c>
      <c r="G105" s="1" t="str">
        <f>IFERROR(__xludf.DUMMYFUNCTION("GOOGLETRANSLATE(F:F, ""en"", ""te"")"),"ఫైటర్ విమానం")</f>
        <v>ఫైటర్ విమానం</v>
      </c>
      <c r="H105" s="1" t="s">
        <v>946</v>
      </c>
      <c r="I105" s="1" t="s">
        <v>1934</v>
      </c>
      <c r="J105" s="1" t="str">
        <f>IFERROR(__xludf.DUMMYFUNCTION("GOOGLETRANSLATE(I:I, ""en"", ""te"")"),"పోటెజ్")</f>
        <v>పోటెజ్</v>
      </c>
      <c r="K105" s="4" t="s">
        <v>1935</v>
      </c>
      <c r="M105" s="2"/>
      <c r="O105" s="1">
        <v>1.0</v>
      </c>
      <c r="R105" s="1">
        <v>2.0</v>
      </c>
      <c r="T105" s="1" t="s">
        <v>1936</v>
      </c>
      <c r="U105" s="1" t="s">
        <v>1937</v>
      </c>
      <c r="V105" s="1" t="s">
        <v>1938</v>
      </c>
      <c r="W105" s="1" t="s">
        <v>1939</v>
      </c>
      <c r="Y105" s="1" t="s">
        <v>1940</v>
      </c>
      <c r="Z105" s="1" t="s">
        <v>1941</v>
      </c>
      <c r="AA105" s="1" t="s">
        <v>1942</v>
      </c>
      <c r="AF105" s="1" t="s">
        <v>465</v>
      </c>
      <c r="AG105" s="4" t="s">
        <v>466</v>
      </c>
      <c r="AL105" s="1" t="s">
        <v>1943</v>
      </c>
      <c r="AN105" s="1" t="s">
        <v>1944</v>
      </c>
      <c r="AO105" s="7">
        <v>8381.0</v>
      </c>
    </row>
    <row r="106">
      <c r="A106" s="1" t="s">
        <v>1945</v>
      </c>
      <c r="B106" s="1" t="str">
        <f>IFERROR(__xludf.DUMMYFUNCTION("GOOGLETRANSLATE(A:A, ""en"", ""te"")"),"సముద్రం iv")</f>
        <v>సముద్రం iv</v>
      </c>
      <c r="C106" s="1" t="s">
        <v>1946</v>
      </c>
      <c r="D106" s="2" t="str">
        <f>IFERROR(__xludf.DUMMYFUNCTION("GOOGLETRANSLATE(C:C, ""en"", ""te"")"),"సీ IV మొదటి ప్రపంచ యుద్ధం యొక్క ఫ్రెంచ్ రెండు సీట్ల సైనిక విమానం మరియు యుద్ధానంతర యుగం. సీ IV ను 1917 లో హెన్రీ పోటెజ్, లూయిస్ కరోలర్ మరియు మార్సెల్ బ్లోచ్ రూపొందించారు మరియు నిర్మించారు. ఇది వారి మునుపటి SEA II డిజైన్ యొక్క ఉత్పన్నం, ఇది 261 kW (350 HP) "&amp;"యొక్క మరింత శక్తివంతమైన లోరైన్ ఇంజిన్‌ను కలిగి ఉంది. ఇది 1918 మొదటి త్రైమాసికంలో మొదటి విమానంలో, బహుశా ప్లెసిస్-బెల్లెవిల్లే సమీపంలో ఉంది. దీనిని మొదట 9 విజయాల ఫ్లయింగ్ ఏస్ గుస్టావ్ డౌచీ పరీక్షించారు, తరువాత విల్లాకౌబ్లేలోని సెంటర్ డి'ఎస్సిస్ ఎన్ వాల్యూమ్"&amp;" యొక్క పైలట్లు. ""మినిస్టేర్ డి ఎల్ ఆర్మెంట్ ఎట్ డెస్ ఫాబ్రికేషన్స్ డి గెరెర్"" (ఆయుధాలు మరియు యుద్ధ మంత్రిత్వ శాఖ) త్వరలో 1,000 యంత్రాల కోసం ఒక ఆర్డర్‌ను ఉంచింది, సముద్రం IV మొదటి డసాల్ట్-రూపొందించిన విమానం ఉత్పత్తికి చేరుకోవడానికి. [1] ఆగష్టు 24, 1918 న"&amp;", జనరల్ హెడ్ క్వార్టర్స్ వద్ద ఏ ఆర్నాటిక్ కమాండర్ జనరల్ డువాల్, 1919 ప్రారంభంలో ఎస్కాడ్రిల్లెస్ను సన్నద్ధం చేయాల్సిన రెండు వైవిధ్యాల అవసరాన్ని ముందే ముందే సూచించారు: పరిశీలన కోసం సముద్రం IV A2 మరియు పోరాటం కోసం సముద్రం IV C2. అక్టోబరులో, జనరల్ హెడ్ క్వార్"&amp;"టర్స్ ఈ విమానాలను నిర్వహించడానికి ఒక ఫ్లోటిల్లాను ఆరంభించాలని ఆదేశించింది, అందువల్ల ఉత్పత్తి 1919 మొదటి త్రైమాసికంలో నెలకు 200 విమానాలను చేరుకోవాల్సిన అవసరం ఉంది, ఏప్రిల్ 1 నాటికి 400 చేతిలో 400 శక్తిని కలిగి ఉండాలి. [1] అయితే, యుద్ధ విరమణ అంటే, 1,000 ప్ర"&amp;"ారంభ క్రమం రద్దు చేయబడింది మరియు చివరికి, 115 ఉదాహరణలు మాత్రమే నిర్మించబడ్డాయి. ఈ C2 లను లే బౌర్గెట్ వద్ద ""రెజిమెంట్లు డి'అవియేషన్"" లో అనేక ఎస్కాడ్రిల్లెస్ అనేక సంవత్సరాలు ఉపయోగించారు. [1] మరో 25 మందిని అరోప్లాన్స్ హెన్రీ పోటెజ్ పోటెజ్ VII, లగ్జరీ టూరిం"&amp;"గ్ విమానం, మరియు మరో ఉదాహరణ రేసింగ్ విమానానికి ఆధారం. [1] మొదటి ప్రపంచ యుద్ధం యొక్క ఫ్రెంచ్ విమానాల నుండి డేటా, [1] ఏవియాఫ్రాన్స్: సీ IV [2] సాధారణ లక్షణాలు పనితీరు ఆయుధ సంబంధిత జాబితాలు")</f>
        <v>సీ IV మొదటి ప్రపంచ యుద్ధం యొక్క ఫ్రెంచ్ రెండు సీట్ల సైనిక విమానం మరియు యుద్ధానంతర యుగం. సీ IV ను 1917 లో హెన్రీ పోటెజ్, లూయిస్ కరోలర్ మరియు మార్సెల్ బ్లోచ్ రూపొందించారు మరియు నిర్మించారు. ఇది వారి మునుపటి SEA II డిజైన్ యొక్క ఉత్పన్నం, ఇది 261 kW (350 HP) యొక్క మరింత శక్తివంతమైన లోరైన్ ఇంజిన్‌ను కలిగి ఉంది. ఇది 1918 మొదటి త్రైమాసికంలో మొదటి విమానంలో, బహుశా ప్లెసిస్-బెల్లెవిల్లే సమీపంలో ఉంది. దీనిని మొదట 9 విజయాల ఫ్లయింగ్ ఏస్ గుస్టావ్ డౌచీ పరీక్షించారు, తరువాత విల్లాకౌబ్లేలోని సెంటర్ డి'ఎస్సిస్ ఎన్ వాల్యూమ్ యొక్క పైలట్లు. "మినిస్టేర్ డి ఎల్ ఆర్మెంట్ ఎట్ డెస్ ఫాబ్రికేషన్స్ డి గెరెర్" (ఆయుధాలు మరియు యుద్ధ మంత్రిత్వ శాఖ) త్వరలో 1,000 యంత్రాల కోసం ఒక ఆర్డర్‌ను ఉంచింది, సముద్రం IV మొదటి డసాల్ట్-రూపొందించిన విమానం ఉత్పత్తికి చేరుకోవడానికి. [1] ఆగష్టు 24, 1918 న, జనరల్ హెడ్ క్వార్టర్స్ వద్ద ఏ ఆర్నాటిక్ కమాండర్ జనరల్ డువాల్, 1919 ప్రారంభంలో ఎస్కాడ్రిల్లెస్ను సన్నద్ధం చేయాల్సిన రెండు వైవిధ్యాల అవసరాన్ని ముందే ముందే సూచించారు: పరిశీలన కోసం సముద్రం IV A2 మరియు పోరాటం కోసం సముద్రం IV C2. అక్టోబరులో, జనరల్ హెడ్ క్వార్టర్స్ ఈ విమానాలను నిర్వహించడానికి ఒక ఫ్లోటిల్లాను ఆరంభించాలని ఆదేశించింది, అందువల్ల ఉత్పత్తి 1919 మొదటి త్రైమాసికంలో నెలకు 200 విమానాలను చేరుకోవాల్సిన అవసరం ఉంది, ఏప్రిల్ 1 నాటికి 400 చేతిలో 400 శక్తిని కలిగి ఉండాలి. [1] అయితే, యుద్ధ విరమణ అంటే, 1,000 ప్రారంభ క్రమం రద్దు చేయబడింది మరియు చివరికి, 115 ఉదాహరణలు మాత్రమే నిర్మించబడ్డాయి. ఈ C2 లను లే బౌర్గెట్ వద్ద "రెజిమెంట్లు డి'అవియేషన్" లో అనేక ఎస్కాడ్రిల్లెస్ అనేక సంవత్సరాలు ఉపయోగించారు. [1] మరో 25 మందిని అరోప్లాన్స్ హెన్రీ పోటెజ్ పోటెజ్ VII, లగ్జరీ టూరింగ్ విమానం, మరియు మరో ఉదాహరణ రేసింగ్ విమానానికి ఆధారం. [1] మొదటి ప్రపంచ యుద్ధం యొక్క ఫ్రెంచ్ విమానాల నుండి డేటా, [1] ఏవియాఫ్రాన్స్: సీ IV [2] సాధారణ లక్షణాలు పనితీరు ఆయుధ సంబంధిత జాబితాలు</v>
      </c>
      <c r="E106" s="1" t="s">
        <v>1947</v>
      </c>
      <c r="F106" s="1" t="s">
        <v>1948</v>
      </c>
      <c r="G106" s="1" t="str">
        <f>IFERROR(__xludf.DUMMYFUNCTION("GOOGLETRANSLATE(F:F, ""en"", ""te"")"),"యుద్ధ")</f>
        <v>యుద్ధ</v>
      </c>
      <c r="I106" s="1" t="s">
        <v>1949</v>
      </c>
      <c r="J106" s="1" t="str">
        <f>IFERROR(__xludf.DUMMYFUNCTION("GOOGLETRANSLATE(I:I, ""en"", ""te"")"),"Société d'etudes aéronaotices (Sea)")</f>
        <v>Société d'etudes aéronaotices (Sea)</v>
      </c>
      <c r="K106" s="1" t="s">
        <v>1950</v>
      </c>
      <c r="L106" s="1" t="s">
        <v>1951</v>
      </c>
      <c r="M106" s="2" t="str">
        <f>IFERROR(__xludf.DUMMYFUNCTION("GOOGLETRANSLATE(L:L, ""en"", ""te"")"),"హెన్రీ పోటెజ్, లూయిస్ కరోలర్ మరియు మార్సెల్ బ్లోచ్")</f>
        <v>హెన్రీ పోటెజ్, లూయిస్ కరోలర్ మరియు మార్సెల్ బ్లోచ్</v>
      </c>
      <c r="N106" s="1" t="s">
        <v>1952</v>
      </c>
      <c r="O106" s="1">
        <v>115.0</v>
      </c>
      <c r="R106" s="1">
        <v>2.0</v>
      </c>
      <c r="T106" s="1" t="s">
        <v>1953</v>
      </c>
      <c r="U106" s="1" t="s">
        <v>1954</v>
      </c>
      <c r="V106" s="1" t="s">
        <v>1955</v>
      </c>
      <c r="W106" s="1" t="s">
        <v>1956</v>
      </c>
      <c r="X106" s="1" t="s">
        <v>1957</v>
      </c>
      <c r="Z106" s="1" t="s">
        <v>1958</v>
      </c>
      <c r="AC106" s="1" t="s">
        <v>1144</v>
      </c>
      <c r="AH106" s="1" t="s">
        <v>261</v>
      </c>
      <c r="AI106" s="1" t="s">
        <v>1959</v>
      </c>
      <c r="AL106" s="1" t="s">
        <v>1960</v>
      </c>
      <c r="AN106" s="1" t="s">
        <v>1961</v>
      </c>
      <c r="AO106" s="1">
        <v>1918.0</v>
      </c>
      <c r="AR106" s="1" t="s">
        <v>1644</v>
      </c>
      <c r="AV106" s="1" t="s">
        <v>1962</v>
      </c>
      <c r="BC106" s="1" t="s">
        <v>1963</v>
      </c>
    </row>
    <row r="107">
      <c r="A107" s="1" t="s">
        <v>1964</v>
      </c>
      <c r="B107" s="1" t="str">
        <f>IFERROR(__xludf.DUMMYFUNCTION("GOOGLETRANSLATE(A:A, ""en"", ""te"")"),"హాల్బర్‌స్టాడ్ట్ డి.ఐ.")</f>
        <v>హాల్బర్‌స్టాడ్ట్ డి.ఐ.</v>
      </c>
      <c r="C107" s="1" t="s">
        <v>1965</v>
      </c>
      <c r="D107" s="2" t="str">
        <f>IFERROR(__xludf.DUMMYFUNCTION("GOOGLETRANSLATE(C:C, ""en"", ""te"")"),"హాల్బర్‌స్టాడ్ట్ D.I అనేది 1916 లో జర్మనీలో నిర్మించిన ప్రోటోటైప్ ఫైటర్ విమానం, ఇది సంస్థ యొక్క మునుపటి B.II రెండు సీట్ల యొక్క స్కేల్డ్ డౌన్ వెర్షన్. ఇది సాంప్రదాయిక, రెండు-బే బిప్‌లేన్, ఇది దాదాపు సమానమైన మరియు స్థిర, టెయిల్‌స్కిడ్ అండర్ క్యారేజ్ యొక్క అ"&amp;"ద్భుతమైన రెక్కలతో ఉంటుంది. ఇంజిన్ అదే మెర్సిడెస్ D.I, ఇది B.II కి అమర్చబడింది మరియు ఒకే మెషిన్ గన్ అమర్చబడింది. రెండు ప్రోటోటైప్‌లను ఐడిఫ్లీగ్ అంచనా వేసింది, వారి పనితీరు సరిపోదు. విమానం ఆమోదయోగ్యమైన ప్రమాణానికి తీసుకురావడానికి అవసరమైన మార్పులు అదే సంవత్స"&amp;"రం తరువాత హాల్బర్‌స్టాడ్ట్ D.II కి దారితీస్తాయి. సాధారణ లక్షణాలు ఆయుధాలు")</f>
        <v>హాల్బర్‌స్టాడ్ట్ D.I అనేది 1916 లో జర్మనీలో నిర్మించిన ప్రోటోటైప్ ఫైటర్ విమానం, ఇది సంస్థ యొక్క మునుపటి B.II రెండు సీట్ల యొక్క స్కేల్డ్ డౌన్ వెర్షన్. ఇది సాంప్రదాయిక, రెండు-బే బిప్‌లేన్, ఇది దాదాపు సమానమైన మరియు స్థిర, టెయిల్‌స్కిడ్ అండర్ క్యారేజ్ యొక్క అద్భుతమైన రెక్కలతో ఉంటుంది. ఇంజిన్ అదే మెర్సిడెస్ D.I, ఇది B.II కి అమర్చబడింది మరియు ఒకే మెషిన్ గన్ అమర్చబడింది. రెండు ప్రోటోటైప్‌లను ఐడిఫ్లీగ్ అంచనా వేసింది, వారి పనితీరు సరిపోదు. విమానం ఆమోదయోగ్యమైన ప్రమాణానికి తీసుకురావడానికి అవసరమైన మార్పులు అదే సంవత్సరం తరువాత హాల్బర్‌స్టాడ్ట్ D.II కి దారితీస్తాయి. సాధారణ లక్షణాలు ఆయుధాలు</v>
      </c>
      <c r="E107" s="1" t="s">
        <v>1966</v>
      </c>
      <c r="F107" s="1" t="s">
        <v>1967</v>
      </c>
      <c r="G107" s="1" t="str">
        <f>IFERROR(__xludf.DUMMYFUNCTION("GOOGLETRANSLATE(F:F, ""en"", ""te"")"),"ఫైటర్ ప్రోటోటైప్")</f>
        <v>ఫైటర్ ప్రోటోటైప్</v>
      </c>
      <c r="I107" s="1" t="s">
        <v>1968</v>
      </c>
      <c r="J107" s="1" t="str">
        <f>IFERROR(__xludf.DUMMYFUNCTION("GOOGLETRANSLATE(I:I, ""en"", ""te"")"),"హాల్బర్‌స్టెడర్ ఫ్లగ్జీగ్వెర్కే")</f>
        <v>హాల్బర్‌స్టెడర్ ఫ్లగ్జీగ్వెర్కే</v>
      </c>
      <c r="K107" s="1" t="s">
        <v>1969</v>
      </c>
      <c r="M107" s="2"/>
      <c r="O107" s="1">
        <v>2.0</v>
      </c>
      <c r="R107" s="1" t="s">
        <v>129</v>
      </c>
      <c r="U107" s="1" t="s">
        <v>1970</v>
      </c>
      <c r="V107" s="1" t="s">
        <v>1971</v>
      </c>
      <c r="W107" s="1" t="s">
        <v>1972</v>
      </c>
      <c r="X107" s="1" t="s">
        <v>1973</v>
      </c>
      <c r="Z107" s="1" t="s">
        <v>1974</v>
      </c>
      <c r="AF107" s="1" t="s">
        <v>335</v>
      </c>
      <c r="AO107" s="1" t="s">
        <v>1975</v>
      </c>
    </row>
    <row r="108">
      <c r="A108" s="1" t="s">
        <v>1976</v>
      </c>
      <c r="B108" s="1" t="str">
        <f>IFERROR(__xludf.DUMMYFUNCTION("GOOGLETRANSLATE(A:A, ""en"", ""te"")"),"హార్లో పిజెసి -2")</f>
        <v>హార్లో పిజెసి -2</v>
      </c>
      <c r="C108" s="1" t="s">
        <v>1977</v>
      </c>
      <c r="D108" s="2" t="str">
        <f>IFERROR(__xludf.DUMMYFUNCTION("GOOGLETRANSLATE(C:C, ""en"", ""te"")"),"హార్లో పిజెసి -2 1930 ల అమెరికన్ నాలుగు-సీట్ల క్యాబిన్ మోనోప్లేన్, దీనిని మాక్స్ హార్లో రూపొందించారు. మాక్స్ హార్లో పసాదేనా జూనియర్ కాలేజీలో ఏరోనాటికల్ ఇంజనీర్ మరియు బోధకుడు. అతని శిక్షణలో, పిజెసి -1 ను నియమించే విమానం క్లాస్ ప్రాజెక్ట్‌గా రూపొందించబడింది"&amp;" మరియు నిర్మించబడింది. [1] పిజెసి -1 మొట్టమొదట 14 సెప్టెంబర్ 1937 న కాలిఫోర్నియాలోని అల్హాంబ్రాలో ప్రయాణించింది, అయితే ఇది విస్తరించిన (ఆరు మలుపు కంటే ఎక్కువ) స్పిన్ పరీక్ష సమయంలో గురుత్వాకర్షణ కేంద్రంతో వెనుకకు బ్యాలస్టెడ్, ఇది ధృవీకరణ ప్రక్రియ ద్వారా వె"&amp;"ళుతున్నందున-ఒక సమస్య సాధారణంగా అసాధారణంగా కఠినమైన స్పిన్ పరీక్ష అవసరాన్ని పాదాల వద్ద ఉంచారు మరియు స్పిన్ ""చదును చేయబడినది"" తర్వాత విమానం నుండి బెయిల్ పొందిన ప్రభుత్వ పరీక్ష పైలట్. విమానం భూమిని తాకింది, ఇప్పటికీ గనుల క్షేత్రం (ఇప్పుడు లాస్ ఏంజిల్స్ అంతర"&amp;"్జాతీయ విమానాశ్రయం) సమీపంలో ఉన్న బీన్ ఫీల్డ్‌లో ""ఫ్లాట్"" (రేఖాంశ స్థాయి) వైఖరిలో గణనీయమైన నష్టంతో; మరమ్మతు చేయదగినది అయినప్పటికీ, PJC-1 తిరిగి సేవకు తిరిగి రాలేదు. పిజెసి విద్యార్థులు కొంచెం సవరించిన విమానం నిర్మించారు, ఇది ఐలెరాన్ ప్రయాణాన్ని పూర్తి వె"&amp;"నుక-స్టిక్‌తో పరిమితం చేసింది మరియు కొంచెం పెద్ద నిలువు స్టెబిలైజర్‌ను కలిగి ఉంది. ఇది పిజెసి -2 మోడల్‌గా మారింది, 20 మే 1938 న FAA చే ధృవీకరించబడిన సీరియల్ నంబర్ 1. ఇది మొదటిది, కాకపోతే మొదటిది, యు.ఎస్ లో రూపొందించిన మరియు నిర్మించిన విమానం ఒత్తిడితో కూడ"&amp;"ిన-చర్మం సెమీ-మోనోకోక్ నిర్మాణంతో-ఒక ఆ సమయంలో విప్లవాత్మక రూపకల్పన లక్షణం. హార్లో సామర్థ్యాన్ని చూశాడు మరియు అల్హాంబ్రా విమానాశ్రయంలో పిజెసి -2 విమానాలను నిర్మించడానికి హార్లో ఎయిర్క్రాఫ్ట్ కంపెనీని ఏర్పాటు చేశాడు. [2] 1942 లో అమెరికా ఆర్మీ ఎయిర్ ఫోర్సెస్"&amp;" సేవలో నాలుగు విమానాలు అమెరికా ఆర్మీ ఎయిర్ ఫోర్సెస్ సేవలో ఆకట్టుకున్నాయి మరియు WWII తరువాత సివిల్ ఏరోనాటిక్స్ అడ్మినిస్ట్రేషన్ ఇన్స్పెక్టర్లు ఉపయోగించారు. [3] పిజెసి -2 సాంప్రదాయిక తక్కువ-సెట్ టెయిల్‌ప్లేన్ మరియు ముడుచుకునే టెయిల్‌వీల్ ల్యాండింగ్ గేర్‌తో "&amp;"కూడిన ఆల్-మెటల్ లో-వింగ్ కాంటిలివర్ మోనోప్లేన్. సైనిక శిక్షకుడిగా ఉద్దేశించిన రెండు-సీట్ల సంస్కరణను హార్లో పిసి -5 గా అభివృద్ధి చేశారు. 1991 లో, 3 PJC-2 లు చురుకుగా ఎగురుతున్నాయి. [4] జేన్ యొక్క ఆల్ ది వరల్డ్ విమానాల నుండి డేటా 1940, [5] ఇలస్ట్రేటెడ్ ఎన్స"&amp;"ైక్లోపీడియా ఆఫ్ ఎయిర్క్రాఫ్ట్ [6] సాధారణ లక్షణాల పనితీరు విమానం పోల్చదగిన పాత్ర, కాన్ఫిగరేషన్ మరియు ERA సంబంధిత జాబితాలు")</f>
        <v>హార్లో పిజెసి -2 1930 ల అమెరికన్ నాలుగు-సీట్ల క్యాబిన్ మోనోప్లేన్, దీనిని మాక్స్ హార్లో రూపొందించారు. మాక్స్ హార్లో పసాదేనా జూనియర్ కాలేజీలో ఏరోనాటికల్ ఇంజనీర్ మరియు బోధకుడు. అతని శిక్షణలో, పిజెసి -1 ను నియమించే విమానం క్లాస్ ప్రాజెక్ట్‌గా రూపొందించబడింది మరియు నిర్మించబడింది. [1] పిజెసి -1 మొట్టమొదట 14 సెప్టెంబర్ 1937 న కాలిఫోర్నియాలోని అల్హాంబ్రాలో ప్రయాణించింది, అయితే ఇది విస్తరించిన (ఆరు మలుపు కంటే ఎక్కువ) స్పిన్ పరీక్ష సమయంలో గురుత్వాకర్షణ కేంద్రంతో వెనుకకు బ్యాలస్టెడ్, ఇది ధృవీకరణ ప్రక్రియ ద్వారా వెళుతున్నందున-ఒక సమస్య సాధారణంగా అసాధారణంగా కఠినమైన స్పిన్ పరీక్ష అవసరాన్ని పాదాల వద్ద ఉంచారు మరియు స్పిన్ "చదును చేయబడినది" తర్వాత విమానం నుండి బెయిల్ పొందిన ప్రభుత్వ పరీక్ష పైలట్. విమానం భూమిని తాకింది, ఇప్పటికీ గనుల క్షేత్రం (ఇప్పుడు లాస్ ఏంజిల్స్ అంతర్జాతీయ విమానాశ్రయం) సమీపంలో ఉన్న బీన్ ఫీల్డ్‌లో "ఫ్లాట్" (రేఖాంశ స్థాయి) వైఖరిలో గణనీయమైన నష్టంతో; మరమ్మతు చేయదగినది అయినప్పటికీ, PJC-1 తిరిగి సేవకు తిరిగి రాలేదు. పిజెసి విద్యార్థులు కొంచెం సవరించిన విమానం నిర్మించారు, ఇది ఐలెరాన్ ప్రయాణాన్ని పూర్తి వెనుక-స్టిక్‌తో పరిమితం చేసింది మరియు కొంచెం పెద్ద నిలువు స్టెబిలైజర్‌ను కలిగి ఉంది. ఇది పిజెసి -2 మోడల్‌గా మారింది, 20 మే 1938 న FAA చే ధృవీకరించబడిన సీరియల్ నంబర్ 1. ఇది మొదటిది, కాకపోతే మొదటిది, యు.ఎస్ లో రూపొందించిన మరియు నిర్మించిన విమానం ఒత్తిడితో కూడిన-చర్మం సెమీ-మోనోకోక్ నిర్మాణంతో-ఒక ఆ సమయంలో విప్లవాత్మక రూపకల్పన లక్షణం. హార్లో సామర్థ్యాన్ని చూశాడు మరియు అల్హాంబ్రా విమానాశ్రయంలో పిజెసి -2 విమానాలను నిర్మించడానికి హార్లో ఎయిర్క్రాఫ్ట్ కంపెనీని ఏర్పాటు చేశాడు. [2] 1942 లో అమెరికా ఆర్మీ ఎయిర్ ఫోర్సెస్ సేవలో నాలుగు విమానాలు అమెరికా ఆర్మీ ఎయిర్ ఫోర్సెస్ సేవలో ఆకట్టుకున్నాయి మరియు WWII తరువాత సివిల్ ఏరోనాటిక్స్ అడ్మినిస్ట్రేషన్ ఇన్స్పెక్టర్లు ఉపయోగించారు. [3] పిజెసి -2 సాంప్రదాయిక తక్కువ-సెట్ టెయిల్‌ప్లేన్ మరియు ముడుచుకునే టెయిల్‌వీల్ ల్యాండింగ్ గేర్‌తో కూడిన ఆల్-మెటల్ లో-వింగ్ కాంటిలివర్ మోనోప్లేన్. సైనిక శిక్షకుడిగా ఉద్దేశించిన రెండు-సీట్ల సంస్కరణను హార్లో పిసి -5 గా అభివృద్ధి చేశారు. 1991 లో, 3 PJC-2 లు చురుకుగా ఎగురుతున్నాయి. [4] జేన్ యొక్క ఆల్ ది వరల్డ్ విమానాల నుండి డేటా 1940, [5] ఇలస్ట్రేటెడ్ ఎన్సైక్లోపీడియా ఆఫ్ ఎయిర్క్రాఫ్ట్ [6] సాధారణ లక్షణాల పనితీరు విమానం పోల్చదగిన పాత్ర, కాన్ఫిగరేషన్ మరియు ERA సంబంధిత జాబితాలు</v>
      </c>
      <c r="E108" s="1" t="s">
        <v>1978</v>
      </c>
      <c r="F108" s="1" t="s">
        <v>1979</v>
      </c>
      <c r="G108" s="1" t="str">
        <f>IFERROR(__xludf.DUMMYFUNCTION("GOOGLETRANSLATE(F:F, ""en"", ""te"")"),"నాలుగు-సీట్ల క్యాబిన్ మోనోప్లేన్")</f>
        <v>నాలుగు-సీట్ల క్యాబిన్ మోనోప్లేన్</v>
      </c>
      <c r="H108" s="1" t="s">
        <v>1980</v>
      </c>
      <c r="I108" s="1" t="s">
        <v>1981</v>
      </c>
      <c r="J108" s="1" t="str">
        <f>IFERROR(__xludf.DUMMYFUNCTION("GOOGLETRANSLATE(I:I, ""en"", ""te"")"),"హార్లో ఎయిర్క్రాఫ్ట్ కంపెనీ")</f>
        <v>హార్లో ఎయిర్క్రాఫ్ట్ కంపెనీ</v>
      </c>
      <c r="K108" s="1" t="s">
        <v>1982</v>
      </c>
      <c r="L108" s="1" t="s">
        <v>1983</v>
      </c>
      <c r="M108" s="2" t="str">
        <f>IFERROR(__xludf.DUMMYFUNCTION("GOOGLETRANSLATE(L:L, ""en"", ""te"")"),"మాక్స్ బి. హార్లో")</f>
        <v>మాక్స్ బి. హార్లో</v>
      </c>
      <c r="N108" s="1" t="s">
        <v>1984</v>
      </c>
      <c r="O108" s="1">
        <v>11.0</v>
      </c>
      <c r="R108" s="1">
        <v>1.0</v>
      </c>
      <c r="S108" s="1" t="s">
        <v>1985</v>
      </c>
      <c r="T108" s="1" t="s">
        <v>1986</v>
      </c>
      <c r="U108" s="1" t="s">
        <v>1987</v>
      </c>
      <c r="V108" s="1" t="s">
        <v>1988</v>
      </c>
      <c r="W108" s="1" t="s">
        <v>1989</v>
      </c>
      <c r="X108" s="1" t="s">
        <v>1990</v>
      </c>
      <c r="Z108" s="1" t="s">
        <v>1991</v>
      </c>
      <c r="AA108" s="1" t="s">
        <v>1992</v>
      </c>
      <c r="AC108" s="1" t="s">
        <v>1993</v>
      </c>
      <c r="AD108" s="1" t="s">
        <v>1922</v>
      </c>
      <c r="AE108" s="1" t="s">
        <v>1994</v>
      </c>
      <c r="AH108" s="1" t="s">
        <v>261</v>
      </c>
      <c r="AI108" s="1" t="s">
        <v>1995</v>
      </c>
      <c r="AJ108" s="1" t="s">
        <v>1996</v>
      </c>
      <c r="AL108" s="1" t="s">
        <v>1997</v>
      </c>
      <c r="AN108" s="1" t="s">
        <v>1998</v>
      </c>
      <c r="AO108" s="1">
        <v>1937.0</v>
      </c>
      <c r="AR108" s="1" t="s">
        <v>1999</v>
      </c>
      <c r="AU108" s="1" t="s">
        <v>2000</v>
      </c>
      <c r="BD108" s="1" t="s">
        <v>2001</v>
      </c>
      <c r="BI108" s="4" t="s">
        <v>2002</v>
      </c>
      <c r="CH108" s="1" t="s">
        <v>2003</v>
      </c>
    </row>
    <row r="109">
      <c r="A109" s="1" t="s">
        <v>2004</v>
      </c>
      <c r="B109" s="1" t="str">
        <f>IFERROR(__xludf.DUMMYFUNCTION("GOOGLETRANSLATE(A:A, ""en"", ""te"")"),"క్యాబ్ మినికాబ్")</f>
        <v>క్యాబ్ మినికాబ్</v>
      </c>
      <c r="C109" s="1" t="s">
        <v>2005</v>
      </c>
      <c r="D109" s="2" t="str">
        <f>IFERROR(__xludf.DUMMYFUNCTION("GOOGLETRANSLATE(C:C, ""en"", ""te"")"),"క్యాబ్ GY-20 మినికాబ్ అనేది వైవ్స్ గార్డాన్ చేత రూపొందించబడిన రెండు-సీట్ల తేలికపాటి విమానం మరియు రెండవ ప్రపంచ యుద్ధం తరువాత సంవత్సరాల్లో నిర్మాణ ఏరోనాటిక్స్ డు బేర్న్ (CAB) [2] ఫ్రాన్స్‌లో నిర్మించబడింది. క్యాబ్ 1948 లో వైవ్స్ గార్డాన్, మాక్స్ లాపోర్టే మర"&amp;"ియు ఎం. డబౌట్స్ చేత రూపొందించబడింది. [3] మినికాబ్ అనేది సాంప్రదాయిక, తక్కువ-వింగ్ కాంటిలివర్ మోనోప్లేన్, ఇది స్థిర టెయిల్‌వీల్ అండర్ క్యారేజీతో, కాంటినెంటల్ A65 ఇంజిన్‌తో నడిచేది. దీని రూపకల్పన వైవ్స్ గార్డాన్ SIPA, SIPA S.90 కోసం రూపొందించిన విమానం యొక్క"&amp;" స్కేల్-డౌన్ వెర్షన్. పైలట్ మరియు ప్రయాణీకుడు పక్కపక్కనే కూర్చుని కాక్‌పిట్‌కు ప్రాప్యత ఒక-పీస్ పెర్స్పెక్స్ పందిరి ద్వారా ముందుకు సాగుతుంది. గార్డాన్ యొక్క ఉద్దేశ్యం ఏమిటంటే, హోమ్‌బిల్డింగ్ యొక్క అవకాశంతో తక్కువ-ధర, సులభంగా ఫ్లై చేయగల, సులభంగా నిర్వహించగ"&amp;"లిగే విమానాన్ని ఉత్పత్తి చేయడం. [4] ప్రోటోటైప్ మినికాబ్ మొదట 1 ఫిబ్రవరి 1949 న పావు-ఇడ్రాన్ వద్ద ఎగిరింది. 1955 లో ఉత్పత్తి ముగిసినప్పుడు క్యాబ్ మొత్తం 65 మినీకబ్లను తయారు చేసింది. [1] [5] ప్రణాళికల హక్కులను యునైటెడ్ కింగ్‌డమ్‌లో ఆర్థర్ ఆర్డ్-హ్యూమ్ స్వాధ"&amp;"ీనం చేసుకున్నారు, వారు డ్రాయింగ్లను ఆంగ్లంలో చేశారు మరియు ఇంటిని నిర్మించేవారికి వివిధ చిన్న మెరుగుదలలు చేశారు. [2] యునైటెడ్ కింగ్‌డమ్, ఫ్రాన్స్ మరియు ప్రపంచంలోని ఇతర దేశాలలో te త్సాహిక బిల్డర్లు పెద్ద సంఖ్యలో పూర్తి చేశారు. [4] యునైటెడ్ కింగ్‌డమ్‌లో ప్రస"&amp;"్తుతం సుమారు 20 మినీకబ్‌లు చురుకుగా ఉన్నాయి, వీటిలో చాలా వరకు JB.01 ప్రమాణానికి నిర్మించబడ్డాయి (లేదా పునర్నిర్మించబడ్డాయి), M. జీన్ బారిటాల్ట్ అభివృద్ధి చేసిన, సాధారణంగా ఖండాంతర C90 ఇంజిన్‌తో. ఫాల్కోనార్ మినిహాక్ అనే ట్రైసైకిల్ గేర్ హోమ్‌బిల్ట్ మోడల్ కోస"&amp;"ం ప్రణాళికలను విక్రయించాడు. [6] మరొక అభివృద్ధి K&amp;S లేదా స్క్వేర్‌క్రాఫ్ట్ కావలీర్, ఇది అనేక వెర్షన్లలో పున es రూపకల్పన చేయబడిన మినీకబ్, ఫ్రెంచ్ నుండి ఆంగ్లంలోకి అనువదించబడిన ప్రణాళికలతో మరియు స్టాన్ మెక్లియోడ్ చేత సవరించబడింది. ఈ ప్రణాళికలను కాల్గరీ, అల్బ"&amp;"ెర్టా మరియు తరువాత మాక్‌ఫామ్ యొక్క కె &amp; ఎస్ విమానాలు విక్రయించాయి. [7] టైప్ సర్టిఫికేషన్ 1949 మధ్యలో ఏప్రిల్ మధ్యలో పొందబడింది. 1950 చివరి నాటికి, మినికాబ్ కూపే డి విటెస్సీ డి డ్యూవిల్లే (వేగం కోసం డ్యూవిల్లే కప్), మరియు గ్రాండ్ ప్రిక్స్ ఏరియన్ డి విచి (వ"&amp;"ిచి ఏరియల్ ప్రైజ్) ను గెలుచుకుంది. [1] మరుసటి సంవత్సరం, మినికాబ్ తన తరగతికి (1,825 కిమీ, 1,138 మైళ్ళు) ప్రపంచ వాయు దూర రికార్డును బద్దలు కొట్టింది మరియు 1952 లో ఇది 2,000 కిలోమీటర్ల సర్క్యూట్ కంటే ప్రపంచ ఎయిర్‌స్పీడ్ రికార్డును సాధించింది, సగటు వేగంతో (18"&amp;"3 కిమీ/గం , 114 mph). ఒక మినికాబ్, జి-అవెప్, మాజీ రాఫ్ ఫైటర్ పైలట్ రోలాండ్ బీమంట్ చేత ఎగురవేయబడింది, అతను బాక్ సామ్లెస్బరీలో టెస్ట్ పైలట్. అతను 1969 లో మొట్టమొదటి విమానంలో చేసాడు మరియు ""మినికాబ్ తేలికగా మరియు చాలా ప్రతిస్పందించింది ... ల్యాండింగ్‌కు స్పి"&amp;"ట్‌ఫైర్ పైలట్ యొక్క సున్నితమైన స్పర్శ అవసరం. వాస్తవానికి మొత్తం నియంత్రణ సామరస్యం ఆ క్లాసిక్ విమానానికి భిన్నంగా లేదు. [8] జేన్ యొక్క అన్ని ప్రపంచ విమానాల నుండి డేటా 1956–57 [9] సాధారణ లక్షణాల పనితీరు")</f>
        <v>క్యాబ్ GY-20 మినికాబ్ అనేది వైవ్స్ గార్డాన్ చేత రూపొందించబడిన రెండు-సీట్ల తేలికపాటి విమానం మరియు రెండవ ప్రపంచ యుద్ధం తరువాత సంవత్సరాల్లో నిర్మాణ ఏరోనాటిక్స్ డు బేర్న్ (CAB) [2] ఫ్రాన్స్‌లో నిర్మించబడింది. క్యాబ్ 1948 లో వైవ్స్ గార్డాన్, మాక్స్ లాపోర్టే మరియు ఎం. డబౌట్స్ చేత రూపొందించబడింది. [3] మినికాబ్ అనేది సాంప్రదాయిక, తక్కువ-వింగ్ కాంటిలివర్ మోనోప్లేన్, ఇది స్థిర టెయిల్‌వీల్ అండర్ క్యారేజీతో, కాంటినెంటల్ A65 ఇంజిన్‌తో నడిచేది. దీని రూపకల్పన వైవ్స్ గార్డాన్ SIPA, SIPA S.90 కోసం రూపొందించిన విమానం యొక్క స్కేల్-డౌన్ వెర్షన్. పైలట్ మరియు ప్రయాణీకుడు పక్కపక్కనే కూర్చుని కాక్‌పిట్‌కు ప్రాప్యత ఒక-పీస్ పెర్స్పెక్స్ పందిరి ద్వారా ముందుకు సాగుతుంది. గార్డాన్ యొక్క ఉద్దేశ్యం ఏమిటంటే, హోమ్‌బిల్డింగ్ యొక్క అవకాశంతో తక్కువ-ధర, సులభంగా ఫ్లై చేయగల, సులభంగా నిర్వహించగలిగే విమానాన్ని ఉత్పత్తి చేయడం. [4] ప్రోటోటైప్ మినికాబ్ మొదట 1 ఫిబ్రవరి 1949 న పావు-ఇడ్రాన్ వద్ద ఎగిరింది. 1955 లో ఉత్పత్తి ముగిసినప్పుడు క్యాబ్ మొత్తం 65 మినీకబ్లను తయారు చేసింది. [1] [5] ప్రణాళికల హక్కులను యునైటెడ్ కింగ్‌డమ్‌లో ఆర్థర్ ఆర్డ్-హ్యూమ్ స్వాధీనం చేసుకున్నారు, వారు డ్రాయింగ్లను ఆంగ్లంలో చేశారు మరియు ఇంటిని నిర్మించేవారికి వివిధ చిన్న మెరుగుదలలు చేశారు. [2] యునైటెడ్ కింగ్‌డమ్, ఫ్రాన్స్ మరియు ప్రపంచంలోని ఇతర దేశాలలో te త్సాహిక బిల్డర్లు పెద్ద సంఖ్యలో పూర్తి చేశారు. [4] యునైటెడ్ కింగ్‌డమ్‌లో ప్రస్తుతం సుమారు 20 మినీకబ్‌లు చురుకుగా ఉన్నాయి, వీటిలో చాలా వరకు JB.01 ప్రమాణానికి నిర్మించబడ్డాయి (లేదా పునర్నిర్మించబడ్డాయి), M. జీన్ బారిటాల్ట్ అభివృద్ధి చేసిన, సాధారణంగా ఖండాంతర C90 ఇంజిన్‌తో. ఫాల్కోనార్ మినిహాక్ అనే ట్రైసైకిల్ గేర్ హోమ్‌బిల్ట్ మోడల్ కోసం ప్రణాళికలను విక్రయించాడు. [6] మరొక అభివృద్ధి K&amp;S లేదా స్క్వేర్‌క్రాఫ్ట్ కావలీర్, ఇది అనేక వెర్షన్లలో పున es రూపకల్పన చేయబడిన మినీకబ్, ఫ్రెంచ్ నుండి ఆంగ్లంలోకి అనువదించబడిన ప్రణాళికలతో మరియు స్టాన్ మెక్లియోడ్ చేత సవరించబడింది. ఈ ప్రణాళికలను కాల్గరీ, అల్బెర్టా మరియు తరువాత మాక్‌ఫామ్ యొక్క కె &amp; ఎస్ విమానాలు విక్రయించాయి. [7] టైప్ సర్టిఫికేషన్ 1949 మధ్యలో ఏప్రిల్ మధ్యలో పొందబడింది. 1950 చివరి నాటికి, మినికాబ్ కూపే డి విటెస్సీ డి డ్యూవిల్లే (వేగం కోసం డ్యూవిల్లే కప్), మరియు గ్రాండ్ ప్రిక్స్ ఏరియన్ డి విచి (విచి ఏరియల్ ప్రైజ్) ను గెలుచుకుంది. [1] మరుసటి సంవత్సరం, మినికాబ్ తన తరగతికి (1,825 కిమీ, 1,138 మైళ్ళు) ప్రపంచ వాయు దూర రికార్డును బద్దలు కొట్టింది మరియు 1952 లో ఇది 2,000 కిలోమీటర్ల సర్క్యూట్ కంటే ప్రపంచ ఎయిర్‌స్పీడ్ రికార్డును సాధించింది, సగటు వేగంతో (183 కిమీ/గం , 114 mph). ఒక మినికాబ్, జి-అవెప్, మాజీ రాఫ్ ఫైటర్ పైలట్ రోలాండ్ బీమంట్ చేత ఎగురవేయబడింది, అతను బాక్ సామ్లెస్బరీలో టెస్ట్ పైలట్. అతను 1969 లో మొట్టమొదటి విమానంలో చేసాడు మరియు "మినికాబ్ తేలికగా మరియు చాలా ప్రతిస్పందించింది ... ల్యాండింగ్‌కు స్పిట్‌ఫైర్ పైలట్ యొక్క సున్నితమైన స్పర్శ అవసరం. వాస్తవానికి మొత్తం నియంత్రణ సామరస్యం ఆ క్లాసిక్ విమానానికి భిన్నంగా లేదు. [8] జేన్ యొక్క అన్ని ప్రపంచ విమానాల నుండి డేటా 1956–57 [9] సాధారణ లక్షణాల పనితీరు</v>
      </c>
      <c r="E109" s="1" t="s">
        <v>2006</v>
      </c>
      <c r="F109" s="1" t="s">
        <v>2007</v>
      </c>
      <c r="G109" s="1" t="str">
        <f>IFERROR(__xludf.DUMMYFUNCTION("GOOGLETRANSLATE(F:F, ""en"", ""te"")"),"తేలికపాటి విమానం")</f>
        <v>తేలికపాటి విమానం</v>
      </c>
      <c r="I109" s="1" t="s">
        <v>2008</v>
      </c>
      <c r="J109" s="1" t="str">
        <f>IFERROR(__xludf.DUMMYFUNCTION("GOOGLETRANSLATE(I:I, ""en"", ""te"")"),"నిర్మాణాలు aéronaotices డు బెర్న్")</f>
        <v>నిర్మాణాలు aéronaotices డు బెర్న్</v>
      </c>
      <c r="K109" s="1" t="s">
        <v>2009</v>
      </c>
      <c r="L109" s="1" t="s">
        <v>2010</v>
      </c>
      <c r="M109" s="2" t="str">
        <f>IFERROR(__xludf.DUMMYFUNCTION("GOOGLETRANSLATE(L:L, ""en"", ""te"")"),"వైవ్స్ గార్డాన్")</f>
        <v>వైవ్స్ గార్డాన్</v>
      </c>
      <c r="N109" s="1" t="s">
        <v>2011</v>
      </c>
      <c r="O109" s="1" t="s">
        <v>2012</v>
      </c>
      <c r="R109" s="1" t="s">
        <v>222</v>
      </c>
      <c r="S109" s="1" t="s">
        <v>250</v>
      </c>
      <c r="T109" s="1" t="s">
        <v>1211</v>
      </c>
      <c r="U109" s="1" t="s">
        <v>2013</v>
      </c>
      <c r="V109" s="1" t="s">
        <v>2014</v>
      </c>
      <c r="W109" s="1" t="s">
        <v>2015</v>
      </c>
      <c r="X109" s="1" t="s">
        <v>2016</v>
      </c>
      <c r="Z109" s="1" t="s">
        <v>2017</v>
      </c>
      <c r="AA109" s="1" t="s">
        <v>154</v>
      </c>
      <c r="AD109" s="1" t="s">
        <v>2018</v>
      </c>
      <c r="AH109" s="1" t="s">
        <v>261</v>
      </c>
      <c r="AI109" s="1" t="s">
        <v>2019</v>
      </c>
      <c r="AK109" s="1" t="s">
        <v>2020</v>
      </c>
      <c r="AL109" s="1" t="s">
        <v>814</v>
      </c>
      <c r="AN109" s="1" t="s">
        <v>1327</v>
      </c>
      <c r="AO109" s="5">
        <v>17930.0</v>
      </c>
      <c r="AR109" s="1" t="s">
        <v>2021</v>
      </c>
      <c r="BD109" s="1" t="s">
        <v>2022</v>
      </c>
      <c r="BI109" s="1" t="s">
        <v>2023</v>
      </c>
      <c r="CS109" s="1" t="s">
        <v>2024</v>
      </c>
      <c r="CT109" s="1" t="s">
        <v>2025</v>
      </c>
    </row>
    <row r="110">
      <c r="A110" s="1" t="s">
        <v>2026</v>
      </c>
      <c r="B110" s="1" t="str">
        <f>IFERROR(__xludf.DUMMYFUNCTION("GOOGLETRANSLATE(A:A, ""en"", ""te"")"),"జనరల్ ఎయిర్క్రాఫ్ట్ హాట్స్పుర్")</f>
        <v>జనరల్ ఎయిర్క్రాఫ్ట్ హాట్స్పుర్</v>
      </c>
      <c r="C110" s="1" t="s">
        <v>2027</v>
      </c>
      <c r="D110" s="2" t="str">
        <f>IFERROR(__xludf.DUMMYFUNCTION("GOOGLETRANSLATE(C:C, ""en"", ""te"")"),"జనరల్ ఎయిర్క్రాఫ్ట్ గల్ .48 హాట్స్పుర్ రెండవ ప్రపంచ యుద్ధంలో బ్రిటిష్ కంపెనీ జనరల్ ఎయిర్క్రాఫ్ట్ లిమిటెడ్ రూపొందించిన మరియు నిర్మించిన మిలిటరీ గ్లైడర్. ప్రధానమంత్రి విన్స్టన్ చర్చిల్ ఆదేశాల మేరకు 1940 లో బ్రిటిష్ వైమానిక సంస్థ స్థాపన ఏర్పడినప్పుడు, వాయుమా"&amp;"ర్గాన దళాలను యుద్ధానికి రవాణా చేయడానికి గ్లైడర్స్ ఉపయోగించబడుతుందని నిర్ణయించారు. జనరల్ ఎయిర్క్రాఫ్ట్ లిమిటెడ్‌కు జూన్ 1940 లో విమాన ఉత్పత్తి మంత్రిత్వ శాఖ ఒక ఒప్పందం కుదుర్చుకుంది, వాయుమార్గాన స్థాపన ద్వారా ఉపయోగం కోసం ప్రారంభ గ్లైడర్‌ను రూపొందించడానికి "&amp;"మరియు ఉత్పత్తి చేయడానికి, దీని ఫలితంగా హాట్‌స్పూర్ ఏర్పడింది. కాంపాక్ట్ డిజైన్ అవసరం మరియు ఎనిమిది కంటే ఎక్కువ దళాలను కలిగి ఉన్న ""దాడి"" గ్లైడర్‌గా భావించబడింది, వ్యూహాత్మక తత్వశాస్త్రం త్వరలో పెద్ద సంఖ్యలో దళాలను గ్లిడర్‌లలో యుద్ధంలోకి పంపించటానికి అనుక"&amp;"ూలంగా ఉంది. ఈ కారణంగా, హాట్స్పుర్ ప్రధానంగా శిక్షణకు బహిష్కరించబడింది, అక్కడ అది ఎక్సెల్ చేసిన చోట మరియు ఇది గ్లైడర్ పాఠశాలలకు ప్రాథమిక శిక్షకుడిగా మారింది. [2] హాట్స్పుర్‌కు ఆంగ్లో-స్కాటిష్ యుద్ధాల సమయంలో సర్ హెన్రీ పెర్సీ అనే ముఖ్యమైన కెప్టెన్ పేరు పెట్"&amp;"టారు, వీరిని ""హాట్‌స్పూర్"" అని కూడా పిలుస్తారు. ఫోర్ట్ ఎబెన్-ఎమెయెల్ యుద్ధంతో సహా 1940 లో ఫ్రాన్స్ యుద్ధంలో అనేక విజయవంతమైన వాయుమార్గాన కార్యకలాపాలను నిర్వహించి, వాయుమార్గాన నిర్మాణాలను ఉపయోగించి జర్మన్ మిలిటరీ మార్గదర్శకత్వం వహించింది. [3] జర్మన్ వైమాన"&amp;"ిక కార్యకలాపాల విజయంతో ఆకట్టుకున్న మిత్రరాజ్యాల ప్రభుత్వాలు తమ సొంత వాయుమార్గాన నిర్మాణాలను ఏర్పాటు చేయాలని నిర్ణయించుకున్నాయి. [4] ఈ నిర్ణయం చివరికి రెండు బ్రిటిష్ వాయుమార్గాన విభాగాలతో పాటు అనేక చిన్న యూనిట్లను రూపొందించడానికి దారితీస్తుంది. [5] బ్రిటిష"&amp;"్ వైమానిక సంస్థ స్థాపన 22 జూన్ 1940 న, ప్రధాన మంత్రి విన్స్టన్ చర్చిల్ 5,000 పారాచూట్ దళాల కార్ప్స్ సృష్టించే అవకాశాన్ని పరిశోధించడానికి ఒక మెమోరాండంలో యుద్ధ కార్యాలయాన్ని ఆదేశించారు. [6] వైమానిక దళాలు ఉపయోగించాల్సిన పరికరాలు అభివృద్ధి చెందుతున్నప్పుడు, ద"&amp;"ళాలు మరియు భారీ పరికరాలను రవాణా చేయడానికి గ్లైడర్‌లు ఒక సమగ్ర భాగం అని యుద్ధ కార్యాలయ అధికారులు నిర్ణయించారు. [7] 21 జూన్ 1940 న మాంచెస్టర్ సమీపంలోని రింగ్‌వే ఎయిర్‌ఫీల్డ్‌లో సెంట్రల్ ల్యాండింగ్ స్థాపన ఏర్పడింది; ప్రధానంగా పారాచూట్ దళాలకు శిక్షణ ఇచ్చినప్ప"&amp;"టికీ, దళాలను యుద్ధంలోకి రవాణా చేయడానికి గ్లైడర్‌లను ఉపయోగించి దర్యాప్తు చేయమని కూడా ఆదేశించబడింది. [8] [9] రాయల్ వైమానిక దళం మరియు సైన్యం వాయుమార్గాన స్థాపనను ఏర్పాటు చేయడంలో సహకరించాలని నిర్ణయించారు, మరియు స్క్వాడ్రన్ నాయకుడు ఎల్. ఎ. స్ట్రేంజ్ మరియు మేజర"&amp;"్ జె.ఎఫ్. ఫ్లయింగ్ గ్లైడర్‌ల యొక్క యుద్ధానికి పూర్వం అనుభవం ఉన్న సాయుధ దళాల సభ్యుల కోసం శోధించడం ద్వారా లేదా అలా చేయడం నేర్చుకోవటానికి ఆసక్తి ఉన్నవారు ఇది సాధించారు. [9] ఇద్దరు అధికారులు మరియు వారి కొత్తగా ఏర్పడిన యూనిట్‌కు వాడుకలో లేని నాలుగు ఆర్మ్‌స్ట్ర"&amp;"ాంగ్ విట్‌వర్త్ విట్లీ బాంబర్లు మరియు వెళ్ళుట ప్రయోజనాల కోసం తక్కువ సంఖ్యలో టైగర్ చిమ్మట మరియు అవ్రో 504 బైప్లేన్లు అందించబడ్డాయి. [10] ఈ యూనిట్ ఏర్పడే ప్రక్రియలో ఉన్నందున, జూన్లో విమాన ఉత్పత్తి మంత్రిత్వ శాఖ జనరల్ ఎయిర్‌క్రాఫ్ట్ లిమిటెడ్‌ను సంకోచించాయి, "&amp;"ఇది వాయుమార్గాన స్థాపన ఉపయోగం కోసం ప్రారంభ గ్లైడర్ రకాన్ని రూపొందించడానికి మరియు ఉత్పత్తి చేయడానికి. [11] ఇది దాడి మరియు శిక్షణా ప్రయోజనాల కోసం ఉపయోగించబడుతుంది మరియు ఎనిమిది వాయుమార్గాన దళాలను రవాణా చేయగలదు. [10] గ్లైడర్ ల్యాండింగ్ సమయంలో సుదీర్ఘ విధానం "&amp;"చేయగలదు, గ్లైడర్‌లను లక్ష్యం నుండి గణనీయమైన దూరాన్ని విడుదల చేయాల్సి ఉంటుంది మరియు వెళ్ళుట విమానం యొక్క శబ్దాన్ని అప్రమత్తం చేయకుండా చూసుకోవటానికి గ్లైడర్‌లు మరియు గ్లైడ్ ఇన్ చేయవలసి ఉంటుంది. . అందువల్ల ఇది ఏరోడైనమిక్‌గా స్థిరంగా ఉండాలి, కానీ చౌకగా మరియు "&amp;"నిర్మించడం సులభం, ఎందుకంటే ఇది ఒక్కసారి మాత్రమే ఉపయోగించబడుతుంది. [1] అధిక ఎత్తులో విడుదలైనప్పుడు హాట్స్పుర్ 100 మైళ్ళు (160 కిమీ) కార్యాచరణ పరిధిని కలిగి ఉండటానికి ఉద్దేశించబడింది, అయినప్పటికీ ఆచరణలో ఇది 20,000 అడుగుల (6,100 మీ) ఎత్తు నుండి విడుదలైనప్పుడ"&amp;"ు 80 మైళ్ళు (130 కిమీ) కు తగ్గించబడింది. [12 ] GAL.48 ను ప్రధానంగా F.F. క్రోకోంబే (టీమ్ లీడర్) [13] వాయు మంత్రిత్వ శాఖ స్పెసిఫికేషన్ X.10/40 కు, మరియు నెదర్లాండ్స్ యుద్ధంలో ఉపయోగించబడిన జర్మన్ DFS 230 అస్సాల్ట్ గ్లైడర్‌తో సమానంగా ఉంటుంది. [14] [15] గ్లైడర"&amp;"్ యొక్క మొదటి నమూనా, నియమించబడిన గాల్. ప్రోటోటైప్ మొదట ఎగరడానికి దాదాపు రెండు నెలల ముందు, విమాన ఉత్పత్తి మంత్రిత్వ శాఖ సెప్టెంబరులో సెప్టెంబరులో జనరల్ ఎయిర్క్రాఫ్ట్ లిమిటెడ్‌తో 400 హాట్‌స్పర్‌ల ప్రారంభ ఉత్తర్వును ఉంచింది. [11] హాట్స్పుర్ మార్క్ నేను కలప న"&amp;"ుండి నిర్మించబడింది మరియు పూర్తిగా సాయుధ ఎయిర్బోర్న్ దళాలకు ఎనిమిది మందికి రూపొందించబడింది. దీని రెక్కలు 62 అడుగులు (18.90 మీ) మరియు ఇది 39 అడుగుల 3.5 అంగుళాలు (11.98 మీ) పొడవు. [16] పూర్తి లోడ్ (సుమారు 1,880 పౌండ్లు (850 కిలోలు)), [17] దీని బరువు సుమారు "&amp;"3,600 పౌండ్లు (1,600 కిలోలు). [18] MK I దాని ఇతర వైవిధ్యాల నుండి దాని ఫ్యూజ్‌లేజ్, [16] మరియు ముక్కు మరియు తోకపై హుక్స్ ద్వారా బహుళ హాట్‌స్పర్‌లను కలిసి లాగడానికి అనుమతించడం ద్వారా దాని ఇతర వైవిధ్యాల నుండి వేరు చేయబడింది. [19] ఇద్దరు పైలట్లు, తరువాత పైలట్"&amp;" మరియు బోధకుడు హాట్‌స్పర్‌లను శిక్షణా గ్లైడర్‌లుగా ఉపయోగించినప్పుడు, కాక్‌పిట్‌లో సమిష్టిగా కూర్చున్నారు. [20] ఇది ఒక జెట్టిసన్ అండర్ క్యారేజ్ కలిగి ఉంది, మరియు దాని అసాధారణమైన ఫ్యూజ్‌లేజ్ ఒక మూత లాగా పనిచేస్తుంది; హాట్స్పుర్ దిగిన తర్వాత, లోపల ఉన్న దళాలు"&amp;" ఫ్యూజ్‌లేజ్ యొక్క పైభాగాన్ని విసిరి, ఆపై దిగువ సగం నుండి బయటకు ఎక్కి, ఒక చిన్న పడవను వదిలివేయడం వంటివి. [1] మొత్తం 18 హాట్స్పుర్ MK ను ఉత్పత్తి చేశారు, 10 గా మరియు ఎనిమిది స్లింగ్స్బీ విమానం ద్వారా. [13] మొట్టమొదటి కార్యాచరణ హాట్స్పుర్ ఫిబ్రవరి మరియు ఏప్"&amp;"రిల్ 1941 మధ్య సెంట్రల్ ల్యాండింగ్ స్థాపనకు చేరుకుంది, [N 1] 15 ఆగస్టు 22 నాటికి పంపిణీ చేయబడ్డారు. [21] ఫిబ్రవరి 1941 లో బౌల్టన్ &amp; పాల్ ఓవర్‌స్ట్రాండ్ బాంబర్‌తో కలిసి చర్చలు ప్రారంభమయ్యాయి. [22] ప్రారంభ 400 గ్లైడర్‌లను ఉత్పత్తి చేస్తున్నప్పటికీ, హాట్‌స్ప"&amp;"ూర్ రూపకల్పనతో అనేక సమస్యలు వెలికి తీయబడ్డాయి, గ్లైడర్ తగినంత దళాలను మోయలేదు. ఇది ఎనిమిది వాయుమార్గాన దళాలను మరియు 1,880 పౌండ్ల (850 కిలోల) సరుకును రవాణా చేయడానికి రూపొందించబడినప్పటికీ, ఇది సరిపోదని కనుగొనబడింది. వ్యూహాత్మకంగా వాయుమార్గాన దళాలు ఎనిమిది కం"&amp;"టే చాలా పెద్ద సమూహాలలోకి రావాలని నమ్ముతారు, అందువల్ల పెద్ద సమూహాలను ల్యాండ్ చేయడానికి అవసరమైన గ్లైడర్‌లను లాగడానికి అవసరమైన విమానాల సంఖ్య అనుమతించబడదు; కార్యాచరణగా ఉపయోగించినట్లయితే గ్లైడర్‌లను సమిష్టిగా లాగవలసి ఉంటుందని ఆందోళనలు కూడా ఉన్నాయి, ఇది రాత్రి "&amp;"సమయంలో మరియు క్లౌడ్ నిర్మాణాల ద్వారా చాలా కష్టం. [17] దాని నిరాశపరిచే గ్లైడ్ నిష్పత్తి కూడా అస్సాల్ట్ గ్లైడర్ భావనను పున val పరిశీలించడానికి దోహదపడే అంశం. [23] హాట్స్పుర్ రూపకల్పనలో అంతర్లీనంగా ఉన్న పరిమితుల కారణంగా, అనేక ఇతర రకాల గ్లైడర్‌ల అభివృద్ధిని కొ"&amp;"నసాగించాలని నిర్ణయం తీసుకున్నారు, వీటిలో 15-సీటర్‌లతో సహా ఎయిర్‌స్పీడ్ హార్సా మరియు ట్యాంక్-మోసే గ్లైడర్‌గా మారుతుంది, ఇది సాధారణ విమానం అవుతుంది హామిల్కర్. [17] హాట్స్పుర్ ప్రధానంగా శిక్షణా విమానంగా మరియు ఇతర కార్యక్రమాలు విఫలమైతే ""స్టాప్-గ్యాప్"" గా ఉత"&amp;"్పత్తిలో ఉంది. [13] అసలు హాట్‌స్పూర్ MK I లోని మూడు వేరియంట్లు సృష్టించబడ్డాయి. మొదటిది భారీగా సవరించిన MK II (స్పెసిఫికేషన్ X.22/40 మరియు X.23/40), ఇది కార్యాచరణ అవసరాలలో మార్పులను పరిష్కరించడానికి మరియు ప్రారంభ విమానాల యొక్క భూమి నిర్వహణను పెంచడానికి పా"&amp;"క్షికంగా పున es రూపకల్పన చేయబడింది. కార్యకలాపాలలో, గ్లైడర్‌ను చాలా దూరం నుండి విడుదల చేసి, భూమికి సున్నితంగా గ్లైడ్ చేయడానికి అనుమతించే బదులు, వెళ్ళుట విమానం ల్యాండింగ్ జోన్‌కు చేరుకుందని మరియు అప్పుడు గ్లైడర్‌ను విడుదల చేయాలని నిర్ణయించారు, దీనికి మరింత "&amp;"బలమైన గ్లైడర్ అవసరం. [1 ] హాట్స్పుర్ MK I రెక్కలు కూడా గణనీయమైన వంచును చూపించాయి మరియు ఈ రకాన్ని భూమిపై నిర్వహించడం కష్టమని నిరూపించబడింది. ఎయిర్‌ఫ్రేమ్‌లో ఒత్తిడిని తగ్గించడానికి, ఫ్యూజ్‌లేజ్ బలోపేతం చేయబడింది మరియు రెక్కలు ఎనిమిది అడుగులకు పైగా ""తగ్గిం"&amp;"చబడ్డాయి"", దీని ఫలితంగా 45 అడుగుల రెక్కలు 10.75 అంగుళాలు (13.99 మీ) ఉన్నాయి రెక్కల ముగింపు ఇన్సెట్ స్థానానికి. [23] దాని అసలు ఆల్-వుడ్ నిర్మాణం మరియు మొత్తం ఫ్యూజ్‌లేజ్ మరియు ఎంపెనేజ్ కొలతలు కొనసాగిస్తూ, MK II సవరించిన ఫ్యూజ్‌లేజ్‌ను కలిగి ఉంది, ఇందులో క"&amp;"ాక్‌పిట్ ఎన్‌క్లోజర్ మరియు ""లోతైన"" పందిరిని మార్చడం వంటివి ఉన్నాయి. ""మూత"" ను ఉపయోగించటానికి బదులుగా (ఇక్కడ ఇద్దరు పైలట్లు ఇప్పటికీ హింగ్డ్ పెర్స్పెక్స్ పందిరి ద్వారా ఎక్కారు), [24] రెండు వైపుల తలుపులు జోడించబడ్డాయి, వీటి నుండి దళాలు ప్రవేశించి బయలుదేర"&amp;"ుతాయి. [1] సీటింగ్ తిరిగి ఏర్పాటు చేయబడింది, మరియు వెనుక భాగంలో బ్రేకింగ్ పారాచూట్ జోడించబడింది. [16] దీని ఇతర కొలతలు 39 అడుగుల 3.5 అంగుళాలు (11.98 మీ) మరియు స్థూల బరువు సుమారు 3,600 పౌండ్ల (1,600 కిలోలు), ఎనిమిది వాయుమార్గాన దళాలు మరియు 1,880 పౌండ్ల (850"&amp;" కిలోల) పరికరాలు ఉన్నాయి. [25] ప్రారంభ-ఉత్పత్తి MK IIS యొక్క మొత్తం 50 మందిని శిక్షకులుగా మార్క్ III గా సవరించారు, [13] విద్యార్థి పైలట్ మరియు బాహ్యంగా కలుపు చేసిన టెయిల్‌ప్లేన్ కోసం ద్వంద్వ నియంత్రణలు మరియు పరికరాలను జోడించడం ద్వారా. [26] హాట్స్పుర్ యొక్"&amp;"క మూడవ వేరియంట్ GAL.48B ""ట్విన్ హాట్స్పుర్"", ఇది ప్రోటోటైప్ దశను దాటలేదు. [16] ట్విన్ హాట్స్పుర్ 1942 లో 15 వాయుమార్గాన దళాలను తాత్కాలిక గ్లైడర్‌గా తీసుకెళ్లగల గ్లైడర్‌ను సృష్టించే ప్రయత్నం, గుర్రపు ఉత్పత్తి తగినంత స్థాయికి చేరుకునే వరకు. 12 అడుగుల (3.6"&amp;"6 మీ) పొడవు యొక్క స్థిరమైన-తీగ సెంటర్ వింగ్ విభాగాన్ని మరియు స్థిరమైన-తీగ టెయిల్‌ప్లేన్‌ను ఉపయోగించి రెండు హాట్‌స్పూర్ ఫ్యూజ్‌లేజ్‌లను కలిపి అనుసంధానించడం ద్వారా ఇది సృష్టించబడింది. ఇద్దరు పైలట్లు పోర్ట్ ఫ్యూజ్‌లేజ్‌లో టెన్డం తరహాలో కూర్చున్నారు. [27] ఆగష"&amp;"్టు 1942 లో, ఏకైక ""ట్విన్ హాట్స్పుర్"" ప్రోటోటైప్ (MP486) పరీక్షకు గురైంది, ఆర్మ్‌స్ట్రాంగ్ విట్‌వర్త్ విట్లీ టగ్ వెనుకకు లాగబడింది. [13] ఉత్పత్తి ప్రారంభమయ్యే ముందు ఈ ప్రాజెక్ట్ వదిలివేయబడింది, ప్రధానంగా గ్లైడర్ యొక్క విమాన లక్షణాలను దాని పైలట్లు విమర్శ"&amp;"ించారు. [19] 1943 ప్రారంభంలో హాట్స్పుర్ ఉత్పత్తి ముగిసినప్పుడు, మొత్తం 1,015 గ్లైడర్లు ఉత్పత్తి చేయబడ్డాయి. ప్రాధమిక ఉప కాంట్రాక్టర్, హారిస్ లెబస్ 996 MK IIS మరియు MK III లకు బాధ్యత వహించగా, మాతృ సంస్థ 10 MK మరియు ఒకే MK II ప్రోటోటైప్ మాత్రమే ఉత్పత్తి చేస"&amp;"ింది. ఎనిమిది MK తో ఉత్పత్తిలో పాల్గొన్న ఇతర ఉప కాంట్రాక్టర్ స్లింగ్స్బీ మాత్రమే పూర్తయింది. [13] కార్యాచరణ అవసరాలను మార్చడం వల్ల, పోరాట కార్యకలాపాలలో హాట్‌స్పర్‌లు ఉపయోగించబడలేదు మరియు బదులుగా శిక్షణ ప్రయోజనాల కోసం ప్రత్యేకంగా ఉపయోగించబడ్డాయి; ఇది గ్లైడర"&amp;"్, దీనిలో గ్లైడర్ పైలట్ రెజిమెంట్‌కు చెందిన అన్ని పైలట్లు వారి ప్రారంభ సూచనలను అందుకున్నారు. [17] అధిక సింక్ రేటుతో సాపేక్షంగా భారీగా ఉన్నప్పటికీ, హాట్స్పుర్ మంచి ఎగిరే లక్షణాలను ప్రదర్శించింది మరియు ఏరోబాటిక్‌గా ఎగురవేయవచ్చు, అనుభవం లేని పైలట్లు త్వరగా న"&amp;"ైపుణ్యాన్ని పొందటానికి వీలు కల్పిస్తుంది. [12] మొదటి గ్లైడర్ పైలట్లకు ఆసక్తికరంగా ""గ్లైడర్ కాక్స్స్వైన్స్"" అని పేరు పెట్టారు. [28] గ్లైడర్ పైలట్లు మొదట డి హవిలాండ్ టైగర్ చిమ్మటలు లేదా మైల్స్ మాజిస్టర్లు గ్లైడర్ శిక్షణగా మార్చడానికి ముందు ఒక ప్రాథమిక ఫ్ల"&amp;"యింగ్ ట్రైనింగ్ స్కూల్లో శిక్షణ పొందారు. గ్లైడర్ పాఠశాలల్లో, బ్యాలస్ట్ కోసం బరువున్న వెనుక సీట్లతో హాట్స్పుర్ MK III మొదట ద్వంద్వ బోధన కోసం నియమించబడింది మరియు మీలో బోధకుడు మరియు విద్యార్థి మాత్రమే. గ్లైడర్‌లను సాధారణంగా హాకర్ హెక్టర్ లేదా హాకర్ ఆడాక్స్ బ"&amp;"ైప్లేన్స్ (తరువాత మైల్స్ మాస్టర్ మరియు వెస్ట్‌ల్యాండ్ లైసాండర్ ""టగ్స్"") [13] శిక్షణ సమయంలో లాగారు. [29] 8 నుండి 11 వరకు డ్యూయల్-ఇన్స్ట్రక్షన్ విమానాలు సాధారణంగా విద్యార్థి యొక్క మొదటి సోలో విమానానికి ముందు ఉంటాయి. కార్యాచరణ శిక్షణ గ్లైడర్ పాఠశాలల్లో, హా"&amp;"ట్స్పుర్ MK IIS లో బ్యాలస్ట్‌కు బదులుగా దళాలతో విమానాలు తయారు చేయబడ్డాయి. అధిక ఎత్తులో మరియు రాత్రి ఎగిరేటప్పుడు విడుదల కూడా శిక్షణలో భాగం. [30] అవసరమైతే మొత్తం 250 హాట్‌స్పర్‌లను కార్యాచరణ ఉపయోగం కోసం నిలుపుకున్నారు, కాని మిగిలినవి శిక్షణా గ్లైడర్‌లుగా ఉ"&amp;"పయోగించబడ్డాయి. [15] 1942 లో, 22 హాట్స్పుర్ MK IIS ను కెనడాకు పంపారు, చివరికి ఆరుగురిని అమెరికా నేవీకి మరియు ఒకటి అమెరికా ఆర్మీ ఎయిర్ ఫోర్సెస్ కు తిరిగి నియమించారు. [13] 1944 ప్రారంభంలో ఆపరేషన్ ఓవర్‌లార్డ్‌ను నిర్మించడంలో, కార్గో మరియు పరికరాలను రవాణా చేయ"&amp;"డానికి హాట్‌స్పర్‌లను ఉపయోగించుకునే ఒక పథకం పరిగణించబడింది. కెనడియన్ ఫైటర్ స్క్వాడ్రన్ - 401 స్క్వాడ్రన్ - ట్రయల్స్ కోసం ఎంపిక చేయబడింది, విడి పైలట్లు, గ్రౌండ్ సిబ్బంది మరియు అవసరమైన సామాగ్రిని తీసుకెళ్లడానికి గ్లైడర్‌లను ఉపయోగించడం ద్వారా ఫైటర్ స్క్వాడ్ర"&amp;"న్‌లను వేగంగా తిరిగి అమలు చేయడాన్ని ప్రారంభించడం ఉద్దేశ్యం. స్క్వాడ్రన్ సూపర్ మేరిన్ స్పిట్‌ఫైర్ IX ను నిర్వహించింది, వాటిలో కొన్ని తోక చక్రానికి అనుసంధానించబడిన టో-పాయింట్ ద్వారా టో గ్లైడర్‌లను టో గ్లైడర్‌లకు సవరించాయి; కొంతమంది పైలట్లకు హాట్స్పుర్ ఎగరడా"&amp;"నికి శిక్షణ పొందారు, ఇందులో ఫైటర్ ఏస్ డాన్ సి. లాబ్మన్ ఉన్నారు. స్పిట్‌ఫైర్లు గ్లైడర్ టగ్‌లుగా సహేతుకంగా ప్రభావవంతంగా ఉన్నట్లు కనుగొనబడింది, అయినప్పటికీ వాటి ఇంజన్లు వేడెక్కే అవకాశం ఉంది, ఎందుకంటే గ్లైడర్ యొక్క గరిష్ట టో వేగం గంటకు 160 మైళ్ళు (గంటకు 260 క"&amp;"ిమీ), స్పిట్‌ఫైర్‌కు చాలా నెమ్మదిగా ఉంటుంది. అయినప్పటికీ, ఈ పథకం ఆచరణాత్మకంగా ఉందని నిర్ధారించబడింది, అయినప్పటికీ ఇది కార్యాచరణ ఉపయోగం చూడలేదు. [31] యుద్ధం చివరలో, రకం రిటైర్ అయ్యింది మరియు కొన్ని హాట్‌స్పర్‌లు ప్రదర్శన కోసం భద్రపరచబడ్డాయి. హాట్స్పుర్ మార"&amp;"్క్ II (HH268) ప్రతిరూపం ఇంగ్లాండ్‌లోని హాంప్‌షైర్‌లోని మ్యూజియం ఆఫ్ ఆర్మీ ఫ్లయింగ్‌లో ప్రదర్శనలో ఉంది. [32] ఇంపీరియల్ వార్ మ్యూజియం డక్స్‌ఫోర్డ్‌కు తరలివచ్చని in హించి, మ్యూజియం యొక్క 2007 ముగింపుకు ముందు ఆల్డర్‌షాట్‌లోని పారాచూట్ రెజిమెంట్ అండ్ ఎయిర్‌బో"&amp;"ర్న్ ఫోర్సెస్ మ్యూజియంలో హాట్స్పుర్ యొక్క ముందు ఫ్యూజ్‌లేజ్ భద్రపరచబడింది. [33] రెండవ ప్రపంచ యుద్ధం యొక్క ఆయుధాల ఎన్సైక్లోపీడియా నుండి డేటా [16] [18] పోల్చదగిన పాత్ర, కాన్ఫిగరేషన్ మరియు ERA సంబంధిత జాబితాల సాధారణ లక్షణాల పనితీరు విమానం")</f>
        <v>జనరల్ ఎయిర్క్రాఫ్ట్ గల్ .48 హాట్స్పుర్ రెండవ ప్రపంచ యుద్ధంలో బ్రిటిష్ కంపెనీ జనరల్ ఎయిర్క్రాఫ్ట్ లిమిటెడ్ రూపొందించిన మరియు నిర్మించిన మిలిటరీ గ్లైడర్. ప్రధానమంత్రి విన్స్టన్ చర్చిల్ ఆదేశాల మేరకు 1940 లో బ్రిటిష్ వైమానిక సంస్థ స్థాపన ఏర్పడినప్పుడు, వాయుమార్గాన దళాలను యుద్ధానికి రవాణా చేయడానికి గ్లైడర్స్ ఉపయోగించబడుతుందని నిర్ణయించారు. జనరల్ ఎయిర్క్రాఫ్ట్ లిమిటెడ్‌కు జూన్ 1940 లో విమాన ఉత్పత్తి మంత్రిత్వ శాఖ ఒక ఒప్పందం కుదుర్చుకుంది, వాయుమార్గాన స్థాపన ద్వారా ఉపయోగం కోసం ప్రారంభ గ్లైడర్‌ను రూపొందించడానికి మరియు ఉత్పత్తి చేయడానికి, దీని ఫలితంగా హాట్‌స్పూర్ ఏర్పడింది. కాంపాక్ట్ డిజైన్ అవసరం మరియు ఎనిమిది కంటే ఎక్కువ దళాలను కలిగి ఉన్న "దాడి" గ్లైడర్‌గా భావించబడింది, వ్యూహాత్మక తత్వశాస్త్రం త్వరలో పెద్ద సంఖ్యలో దళాలను గ్లిడర్‌లలో యుద్ధంలోకి పంపించటానికి అనుకూలంగా ఉంది. ఈ కారణంగా, హాట్స్పుర్ ప్రధానంగా శిక్షణకు బహిష్కరించబడింది, అక్కడ అది ఎక్సెల్ చేసిన చోట మరియు ఇది గ్లైడర్ పాఠశాలలకు ప్రాథమిక శిక్షకుడిగా మారింది. [2] హాట్స్పుర్‌కు ఆంగ్లో-స్కాటిష్ యుద్ధాల సమయంలో సర్ హెన్రీ పెర్సీ అనే ముఖ్యమైన కెప్టెన్ పేరు పెట్టారు, వీరిని "హాట్‌స్పూర్" అని కూడా పిలుస్తారు. ఫోర్ట్ ఎబెన్-ఎమెయెల్ యుద్ధంతో సహా 1940 లో ఫ్రాన్స్ యుద్ధంలో అనేక విజయవంతమైన వాయుమార్గాన కార్యకలాపాలను నిర్వహించి, వాయుమార్గాన నిర్మాణాలను ఉపయోగించి జర్మన్ మిలిటరీ మార్గదర్శకత్వం వహించింది. [3] జర్మన్ వైమానిక కార్యకలాపాల విజయంతో ఆకట్టుకున్న మిత్రరాజ్యాల ప్రభుత్వాలు తమ సొంత వాయుమార్గాన నిర్మాణాలను ఏర్పాటు చేయాలని నిర్ణయించుకున్నాయి. [4] ఈ నిర్ణయం చివరికి రెండు బ్రిటిష్ వాయుమార్గాన విభాగాలతో పాటు అనేక చిన్న యూనిట్లను రూపొందించడానికి దారితీస్తుంది. [5] బ్రిటిష్ వైమానిక సంస్థ స్థాపన 22 జూన్ 1940 న, ప్రధాన మంత్రి విన్స్టన్ చర్చిల్ 5,000 పారాచూట్ దళాల కార్ప్స్ సృష్టించే అవకాశాన్ని పరిశోధించడానికి ఒక మెమోరాండంలో యుద్ధ కార్యాలయాన్ని ఆదేశించారు. [6] వైమానిక దళాలు ఉపయోగించాల్సిన పరికరాలు అభివృద్ధి చెందుతున్నప్పుడు, దళాలు మరియు భారీ పరికరాలను రవాణా చేయడానికి గ్లైడర్‌లు ఒక సమగ్ర భాగం అని యుద్ధ కార్యాలయ అధికారులు నిర్ణయించారు. [7] 21 జూన్ 1940 న మాంచెస్టర్ సమీపంలోని రింగ్‌వే ఎయిర్‌ఫీల్డ్‌లో సెంట్రల్ ల్యాండింగ్ స్థాపన ఏర్పడింది; ప్రధానంగా పారాచూట్ దళాలకు శిక్షణ ఇచ్చినప్పటికీ, దళాలను యుద్ధంలోకి రవాణా చేయడానికి గ్లైడర్‌లను ఉపయోగించి దర్యాప్తు చేయమని కూడా ఆదేశించబడింది. [8] [9] రాయల్ వైమానిక దళం మరియు సైన్యం వాయుమార్గాన స్థాపనను ఏర్పాటు చేయడంలో సహకరించాలని నిర్ణయించారు, మరియు స్క్వాడ్రన్ నాయకుడు ఎల్. ఎ. స్ట్రేంజ్ మరియు మేజర్ జె.ఎఫ్. ఫ్లయింగ్ గ్లైడర్‌ల యొక్క యుద్ధానికి పూర్వం అనుభవం ఉన్న సాయుధ దళాల సభ్యుల కోసం శోధించడం ద్వారా లేదా అలా చేయడం నేర్చుకోవటానికి ఆసక్తి ఉన్నవారు ఇది సాధించారు. [9] ఇద్దరు అధికారులు మరియు వారి కొత్తగా ఏర్పడిన యూనిట్‌కు వాడుకలో లేని నాలుగు ఆర్మ్‌స్ట్రాంగ్ విట్‌వర్త్ విట్లీ బాంబర్లు మరియు వెళ్ళుట ప్రయోజనాల కోసం తక్కువ సంఖ్యలో టైగర్ చిమ్మట మరియు అవ్రో 504 బైప్లేన్లు అందించబడ్డాయి. [10] ఈ యూనిట్ ఏర్పడే ప్రక్రియలో ఉన్నందున, జూన్లో విమాన ఉత్పత్తి మంత్రిత్వ శాఖ జనరల్ ఎయిర్‌క్రాఫ్ట్ లిమిటెడ్‌ను సంకోచించాయి, ఇది వాయుమార్గాన స్థాపన ఉపయోగం కోసం ప్రారంభ గ్లైడర్ రకాన్ని రూపొందించడానికి మరియు ఉత్పత్తి చేయడానికి. [11] ఇది దాడి మరియు శిక్షణా ప్రయోజనాల కోసం ఉపయోగించబడుతుంది మరియు ఎనిమిది వాయుమార్గాన దళాలను రవాణా చేయగలదు. [10] గ్లైడర్ ల్యాండింగ్ సమయంలో సుదీర్ఘ విధానం చేయగలదు, గ్లైడర్‌లను లక్ష్యం నుండి గణనీయమైన దూరాన్ని విడుదల చేయాల్సి ఉంటుంది మరియు వెళ్ళుట విమానం యొక్క శబ్దాన్ని అప్రమత్తం చేయకుండా చూసుకోవటానికి గ్లైడర్‌లు మరియు గ్లైడ్ ఇన్ చేయవలసి ఉంటుంది. . అందువల్ల ఇది ఏరోడైనమిక్‌గా స్థిరంగా ఉండాలి, కానీ చౌకగా మరియు నిర్మించడం సులభం, ఎందుకంటే ఇది ఒక్కసారి మాత్రమే ఉపయోగించబడుతుంది. [1] అధిక ఎత్తులో విడుదలైనప్పుడు హాట్స్పుర్ 100 మైళ్ళు (160 కిమీ) కార్యాచరణ పరిధిని కలిగి ఉండటానికి ఉద్దేశించబడింది, అయినప్పటికీ ఆచరణలో ఇది 20,000 అడుగుల (6,100 మీ) ఎత్తు నుండి విడుదలైనప్పుడు 80 మైళ్ళు (130 కిమీ) కు తగ్గించబడింది. [12 ] GAL.48 ను ప్రధానంగా F.F. క్రోకోంబే (టీమ్ లీడర్) [13] వాయు మంత్రిత్వ శాఖ స్పెసిఫికేషన్ X.10/40 కు, మరియు నెదర్లాండ్స్ యుద్ధంలో ఉపయోగించబడిన జర్మన్ DFS 230 అస్సాల్ట్ గ్లైడర్‌తో సమానంగా ఉంటుంది. [14] [15] గ్లైడర్ యొక్క మొదటి నమూనా, నియమించబడిన గాల్. ప్రోటోటైప్ మొదట ఎగరడానికి దాదాపు రెండు నెలల ముందు, విమాన ఉత్పత్తి మంత్రిత్వ శాఖ సెప్టెంబరులో సెప్టెంబరులో జనరల్ ఎయిర్క్రాఫ్ట్ లిమిటెడ్‌తో 400 హాట్‌స్పర్‌ల ప్రారంభ ఉత్తర్వును ఉంచింది. [11] హాట్స్పుర్ మార్క్ నేను కలప నుండి నిర్మించబడింది మరియు పూర్తిగా సాయుధ ఎయిర్బోర్న్ దళాలకు ఎనిమిది మందికి రూపొందించబడింది. దీని రెక్కలు 62 అడుగులు (18.90 మీ) మరియు ఇది 39 అడుగుల 3.5 అంగుళాలు (11.98 మీ) పొడవు. [16] పూర్తి లోడ్ (సుమారు 1,880 పౌండ్లు (850 కిలోలు)), [17] దీని బరువు సుమారు 3,600 పౌండ్లు (1,600 కిలోలు). [18] MK I దాని ఇతర వైవిధ్యాల నుండి దాని ఫ్యూజ్‌లేజ్, [16] మరియు ముక్కు మరియు తోకపై హుక్స్ ద్వారా బహుళ హాట్‌స్పర్‌లను కలిసి లాగడానికి అనుమతించడం ద్వారా దాని ఇతర వైవిధ్యాల నుండి వేరు చేయబడింది. [19] ఇద్దరు పైలట్లు, తరువాత పైలట్ మరియు బోధకుడు హాట్‌స్పర్‌లను శిక్షణా గ్లైడర్‌లుగా ఉపయోగించినప్పుడు, కాక్‌పిట్‌లో సమిష్టిగా కూర్చున్నారు. [20] ఇది ఒక జెట్టిసన్ అండర్ క్యారేజ్ కలిగి ఉంది, మరియు దాని అసాధారణమైన ఫ్యూజ్‌లేజ్ ఒక మూత లాగా పనిచేస్తుంది; హాట్స్పుర్ దిగిన తర్వాత, లోపల ఉన్న దళాలు ఫ్యూజ్‌లేజ్ యొక్క పైభాగాన్ని విసిరి, ఆపై దిగువ సగం నుండి బయటకు ఎక్కి, ఒక చిన్న పడవను వదిలివేయడం వంటివి. [1] మొత్తం 18 హాట్స్పుర్ MK ను ఉత్పత్తి చేశారు, 10 గా మరియు ఎనిమిది స్లింగ్స్బీ విమానం ద్వారా. [13] మొట్టమొదటి కార్యాచరణ హాట్స్పుర్ ఫిబ్రవరి మరియు ఏప్రిల్ 1941 మధ్య సెంట్రల్ ల్యాండింగ్ స్థాపనకు చేరుకుంది, [N 1] 15 ఆగస్టు 22 నాటికి పంపిణీ చేయబడ్డారు. [21] ఫిబ్రవరి 1941 లో బౌల్టన్ &amp; పాల్ ఓవర్‌స్ట్రాండ్ బాంబర్‌తో కలిసి చర్చలు ప్రారంభమయ్యాయి. [22] ప్రారంభ 400 గ్లైడర్‌లను ఉత్పత్తి చేస్తున్నప్పటికీ, హాట్‌స్పూర్ రూపకల్పనతో అనేక సమస్యలు వెలికి తీయబడ్డాయి, గ్లైడర్ తగినంత దళాలను మోయలేదు. ఇది ఎనిమిది వాయుమార్గాన దళాలను మరియు 1,880 పౌండ్ల (850 కిలోల) సరుకును రవాణా చేయడానికి రూపొందించబడినప్పటికీ, ఇది సరిపోదని కనుగొనబడింది. వ్యూహాత్మకంగా వాయుమార్గాన దళాలు ఎనిమిది కంటే చాలా పెద్ద సమూహాలలోకి రావాలని నమ్ముతారు, అందువల్ల పెద్ద సమూహాలను ల్యాండ్ చేయడానికి అవసరమైన గ్లైడర్‌లను లాగడానికి అవసరమైన విమానాల సంఖ్య అనుమతించబడదు; కార్యాచరణగా ఉపయోగించినట్లయితే గ్లైడర్‌లను సమిష్టిగా లాగవలసి ఉంటుందని ఆందోళనలు కూడా ఉన్నాయి, ఇది రాత్రి సమయంలో మరియు క్లౌడ్ నిర్మాణాల ద్వారా చాలా కష్టం. [17] దాని నిరాశపరిచే గ్లైడ్ నిష్పత్తి కూడా అస్సాల్ట్ గ్లైడర్ భావనను పున val పరిశీలించడానికి దోహదపడే అంశం. [23] హాట్స్పుర్ రూపకల్పనలో అంతర్లీనంగా ఉన్న పరిమితుల కారణంగా, అనేక ఇతర రకాల గ్లైడర్‌ల అభివృద్ధిని కొనసాగించాలని నిర్ణయం తీసుకున్నారు, వీటిలో 15-సీటర్‌లతో సహా ఎయిర్‌స్పీడ్ హార్సా మరియు ట్యాంక్-మోసే గ్లైడర్‌గా మారుతుంది, ఇది సాధారణ విమానం అవుతుంది హామిల్కర్. [17] హాట్స్పుర్ ప్రధానంగా శిక్షణా విమానంగా మరియు ఇతర కార్యక్రమాలు విఫలమైతే "స్టాప్-గ్యాప్" గా ఉత్పత్తిలో ఉంది. [13] అసలు హాట్‌స్పూర్ MK I లోని మూడు వేరియంట్లు సృష్టించబడ్డాయి. మొదటిది భారీగా సవరించిన MK II (స్పెసిఫికేషన్ X.22/40 మరియు X.23/40), ఇది కార్యాచరణ అవసరాలలో మార్పులను పరిష్కరించడానికి మరియు ప్రారంభ విమానాల యొక్క భూమి నిర్వహణను పెంచడానికి పాక్షికంగా పున es రూపకల్పన చేయబడింది. కార్యకలాపాలలో, గ్లైడర్‌ను చాలా దూరం నుండి విడుదల చేసి, భూమికి సున్నితంగా గ్లైడ్ చేయడానికి అనుమతించే బదులు, వెళ్ళుట విమానం ల్యాండింగ్ జోన్‌కు చేరుకుందని మరియు అప్పుడు గ్లైడర్‌ను విడుదల చేయాలని నిర్ణయించారు, దీనికి మరింత బలమైన గ్లైడర్ అవసరం. [1 ] హాట్స్పుర్ MK I రెక్కలు కూడా గణనీయమైన వంచును చూపించాయి మరియు ఈ రకాన్ని భూమిపై నిర్వహించడం కష్టమని నిరూపించబడింది. ఎయిర్‌ఫ్రేమ్‌లో ఒత్తిడిని తగ్గించడానికి, ఫ్యూజ్‌లేజ్ బలోపేతం చేయబడింది మరియు రెక్కలు ఎనిమిది అడుగులకు పైగా "తగ్గించబడ్డాయి", దీని ఫలితంగా 45 అడుగుల రెక్కలు 10.75 అంగుళాలు (13.99 మీ) ఉన్నాయి రెక్కల ముగింపు ఇన్సెట్ స్థానానికి. [23] దాని అసలు ఆల్-వుడ్ నిర్మాణం మరియు మొత్తం ఫ్యూజ్‌లేజ్ మరియు ఎంపెనేజ్ కొలతలు కొనసాగిస్తూ, MK II సవరించిన ఫ్యూజ్‌లేజ్‌ను కలిగి ఉంది, ఇందులో కాక్‌పిట్ ఎన్‌క్లోజర్ మరియు "లోతైన" పందిరిని మార్చడం వంటివి ఉన్నాయి. "మూత" ను ఉపయోగించటానికి బదులుగా (ఇక్కడ ఇద్దరు పైలట్లు ఇప్పటికీ హింగ్డ్ పెర్స్పెక్స్ పందిరి ద్వారా ఎక్కారు), [24] రెండు వైపుల తలుపులు జోడించబడ్డాయి, వీటి నుండి దళాలు ప్రవేశించి బయలుదేరుతాయి. [1] సీటింగ్ తిరిగి ఏర్పాటు చేయబడింది, మరియు వెనుక భాగంలో బ్రేకింగ్ పారాచూట్ జోడించబడింది. [16] దీని ఇతర కొలతలు 39 అడుగుల 3.5 అంగుళాలు (11.98 మీ) మరియు స్థూల బరువు సుమారు 3,600 పౌండ్ల (1,600 కిలోలు), ఎనిమిది వాయుమార్గాన దళాలు మరియు 1,880 పౌండ్ల (850 కిలోల) పరికరాలు ఉన్నాయి. [25] ప్రారంభ-ఉత్పత్తి MK IIS యొక్క మొత్తం 50 మందిని శిక్షకులుగా మార్క్ III గా సవరించారు, [13] విద్యార్థి పైలట్ మరియు బాహ్యంగా కలుపు చేసిన టెయిల్‌ప్లేన్ కోసం ద్వంద్వ నియంత్రణలు మరియు పరికరాలను జోడించడం ద్వారా. [26] హాట్స్పుర్ యొక్క మూడవ వేరియంట్ GAL.48B "ట్విన్ హాట్స్పుర్", ఇది ప్రోటోటైప్ దశను దాటలేదు. [16] ట్విన్ హాట్స్పుర్ 1942 లో 15 వాయుమార్గాన దళాలను తాత్కాలిక గ్లైడర్‌గా తీసుకెళ్లగల గ్లైడర్‌ను సృష్టించే ప్రయత్నం, గుర్రపు ఉత్పత్తి తగినంత స్థాయికి చేరుకునే వరకు. 12 అడుగుల (3.66 మీ) పొడవు యొక్క స్థిరమైన-తీగ సెంటర్ వింగ్ విభాగాన్ని మరియు స్థిరమైన-తీగ టెయిల్‌ప్లేన్‌ను ఉపయోగించి రెండు హాట్‌స్పూర్ ఫ్యూజ్‌లేజ్‌లను కలిపి అనుసంధానించడం ద్వారా ఇది సృష్టించబడింది. ఇద్దరు పైలట్లు పోర్ట్ ఫ్యూజ్‌లేజ్‌లో టెన్డం తరహాలో కూర్చున్నారు. [27] ఆగష్టు 1942 లో, ఏకైక "ట్విన్ హాట్స్పుర్" ప్రోటోటైప్ (MP486) పరీక్షకు గురైంది, ఆర్మ్‌స్ట్రాంగ్ విట్‌వర్త్ విట్లీ టగ్ వెనుకకు లాగబడింది. [13] ఉత్పత్తి ప్రారంభమయ్యే ముందు ఈ ప్రాజెక్ట్ వదిలివేయబడింది, ప్రధానంగా గ్లైడర్ యొక్క విమాన లక్షణాలను దాని పైలట్లు విమర్శించారు. [19] 1943 ప్రారంభంలో హాట్స్పుర్ ఉత్పత్తి ముగిసినప్పుడు, మొత్తం 1,015 గ్లైడర్లు ఉత్పత్తి చేయబడ్డాయి. ప్రాధమిక ఉప కాంట్రాక్టర్, హారిస్ లెబస్ 996 MK IIS మరియు MK III లకు బాధ్యత వహించగా, మాతృ సంస్థ 10 MK మరియు ఒకే MK II ప్రోటోటైప్ మాత్రమే ఉత్పత్తి చేసింది. ఎనిమిది MK తో ఉత్పత్తిలో పాల్గొన్న ఇతర ఉప కాంట్రాక్టర్ స్లింగ్స్బీ మాత్రమే పూర్తయింది. [13] కార్యాచరణ అవసరాలను మార్చడం వల్ల, పోరాట కార్యకలాపాలలో హాట్‌స్పర్‌లు ఉపయోగించబడలేదు మరియు బదులుగా శిక్షణ ప్రయోజనాల కోసం ప్రత్యేకంగా ఉపయోగించబడ్డాయి; ఇది గ్లైడర్, దీనిలో గ్లైడర్ పైలట్ రెజిమెంట్‌కు చెందిన అన్ని పైలట్లు వారి ప్రారంభ సూచనలను అందుకున్నారు. [17] అధిక సింక్ రేటుతో సాపేక్షంగా భారీగా ఉన్నప్పటికీ, హాట్స్పుర్ మంచి ఎగిరే లక్షణాలను ప్రదర్శించింది మరియు ఏరోబాటిక్‌గా ఎగురవేయవచ్చు, అనుభవం లేని పైలట్లు త్వరగా నైపుణ్యాన్ని పొందటానికి వీలు కల్పిస్తుంది. [12] మొదటి గ్లైడర్ పైలట్లకు ఆసక్తికరంగా "గ్లైడర్ కాక్స్స్వైన్స్" అని పేరు పెట్టారు. [28] గ్లైడర్ పైలట్లు మొదట డి హవిలాండ్ టైగర్ చిమ్మటలు లేదా మైల్స్ మాజిస్టర్లు గ్లైడర్ శిక్షణగా మార్చడానికి ముందు ఒక ప్రాథమిక ఫ్లయింగ్ ట్రైనింగ్ స్కూల్లో శిక్షణ పొందారు. గ్లైడర్ పాఠశాలల్లో, బ్యాలస్ట్ కోసం బరువున్న వెనుక సీట్లతో హాట్స్పుర్ MK III మొదట ద్వంద్వ బోధన కోసం నియమించబడింది మరియు మీలో బోధకుడు మరియు విద్యార్థి మాత్రమే. గ్లైడర్‌లను సాధారణంగా హాకర్ హెక్టర్ లేదా హాకర్ ఆడాక్స్ బైప్లేన్స్ (తరువాత మైల్స్ మాస్టర్ మరియు వెస్ట్‌ల్యాండ్ లైసాండర్ "టగ్స్") [13] శిక్షణ సమయంలో లాగారు. [29] 8 నుండి 11 వరకు డ్యూయల్-ఇన్స్ట్రక్షన్ విమానాలు సాధారణంగా విద్యార్థి యొక్క మొదటి సోలో విమానానికి ముందు ఉంటాయి. కార్యాచరణ శిక్షణ గ్లైడర్ పాఠశాలల్లో, హాట్స్పుర్ MK IIS లో బ్యాలస్ట్‌కు బదులుగా దళాలతో విమానాలు తయారు చేయబడ్డాయి. అధిక ఎత్తులో మరియు రాత్రి ఎగిరేటప్పుడు విడుదల కూడా శిక్షణలో భాగం. [30] అవసరమైతే మొత్తం 250 హాట్‌స్పర్‌లను కార్యాచరణ ఉపయోగం కోసం నిలుపుకున్నారు, కాని మిగిలినవి శిక్షణా గ్లైడర్‌లుగా ఉపయోగించబడ్డాయి. [15] 1942 లో, 22 హాట్స్పుర్ MK IIS ను కెనడాకు పంపారు, చివరికి ఆరుగురిని అమెరికా నేవీకి మరియు ఒకటి అమెరికా ఆర్మీ ఎయిర్ ఫోర్సెస్ కు తిరిగి నియమించారు. [13] 1944 ప్రారంభంలో ఆపరేషన్ ఓవర్‌లార్డ్‌ను నిర్మించడంలో, కార్గో మరియు పరికరాలను రవాణా చేయడానికి హాట్‌స్పర్‌లను ఉపయోగించుకునే ఒక పథకం పరిగణించబడింది. కెనడియన్ ఫైటర్ స్క్వాడ్రన్ - 401 స్క్వాడ్రన్ - ట్రయల్స్ కోసం ఎంపిక చేయబడింది, విడి పైలట్లు, గ్రౌండ్ సిబ్బంది మరియు అవసరమైన సామాగ్రిని తీసుకెళ్లడానికి గ్లైడర్‌లను ఉపయోగించడం ద్వారా ఫైటర్ స్క్వాడ్రన్‌లను వేగంగా తిరిగి అమలు చేయడాన్ని ప్రారంభించడం ఉద్దేశ్యం. స్క్వాడ్రన్ సూపర్ మేరిన్ స్పిట్‌ఫైర్ IX ను నిర్వహించింది, వాటిలో కొన్ని తోక చక్రానికి అనుసంధానించబడిన టో-పాయింట్ ద్వారా టో గ్లైడర్‌లను టో గ్లైడర్‌లకు సవరించాయి; కొంతమంది పైలట్లకు హాట్స్పుర్ ఎగరడానికి శిక్షణ పొందారు, ఇందులో ఫైటర్ ఏస్ డాన్ సి. లాబ్మన్ ఉన్నారు. స్పిట్‌ఫైర్లు గ్లైడర్ టగ్‌లుగా సహేతుకంగా ప్రభావవంతంగా ఉన్నట్లు కనుగొనబడింది, అయినప్పటికీ వాటి ఇంజన్లు వేడెక్కే అవకాశం ఉంది, ఎందుకంటే గ్లైడర్ యొక్క గరిష్ట టో వేగం గంటకు 160 మైళ్ళు (గంటకు 260 కిమీ), స్పిట్‌ఫైర్‌కు చాలా నెమ్మదిగా ఉంటుంది. అయినప్పటికీ, ఈ పథకం ఆచరణాత్మకంగా ఉందని నిర్ధారించబడింది, అయినప్పటికీ ఇది కార్యాచరణ ఉపయోగం చూడలేదు. [31] యుద్ధం చివరలో, రకం రిటైర్ అయ్యింది మరియు కొన్ని హాట్‌స్పర్‌లు ప్రదర్శన కోసం భద్రపరచబడ్డాయి. హాట్స్పుర్ మార్క్ II (HH268) ప్రతిరూపం ఇంగ్లాండ్‌లోని హాంప్‌షైర్‌లోని మ్యూజియం ఆఫ్ ఆర్మీ ఫ్లయింగ్‌లో ప్రదర్శనలో ఉంది. [32] ఇంపీరియల్ వార్ మ్యూజియం డక్స్‌ఫోర్డ్‌కు తరలివచ్చని in హించి, మ్యూజియం యొక్క 2007 ముగింపుకు ముందు ఆల్డర్‌షాట్‌లోని పారాచూట్ రెజిమెంట్ అండ్ ఎయిర్‌బోర్న్ ఫోర్సెస్ మ్యూజియంలో హాట్స్పుర్ యొక్క ముందు ఫ్యూజ్‌లేజ్ భద్రపరచబడింది. [33] రెండవ ప్రపంచ యుద్ధం యొక్క ఆయుధాల ఎన్సైక్లోపీడియా నుండి డేటా [16] [18] పోల్చదగిన పాత్ర, కాన్ఫిగరేషన్ మరియు ERA సంబంధిత జాబితాల సాధారణ లక్షణాల పనితీరు విమానం</v>
      </c>
      <c r="E110" s="1" t="s">
        <v>2028</v>
      </c>
      <c r="F110" s="1" t="s">
        <v>2029</v>
      </c>
      <c r="G110" s="1" t="str">
        <f>IFERROR(__xludf.DUMMYFUNCTION("GOOGLETRANSLATE(F:F, ""en"", ""te"")"),"శిక్షణా గ్లైడర్, ట్రూప్ ట్రాన్స్పోర్ట్ గ్లైడర్")</f>
        <v>శిక్షణా గ్లైడర్, ట్రూప్ ట్రాన్స్పోర్ట్ గ్లైడర్</v>
      </c>
      <c r="I110" s="1" t="s">
        <v>2030</v>
      </c>
      <c r="J110" s="1" t="str">
        <f>IFERROR(__xludf.DUMMYFUNCTION("GOOGLETRANSLATE(I:I, ""en"", ""te"")"),"జనరల్ ఎయిర్క్రాఫ్ట్ లిమిటెడ్")</f>
        <v>జనరల్ ఎయిర్క్రాఫ్ట్ లిమిటెడ్</v>
      </c>
      <c r="K110" s="1" t="s">
        <v>2031</v>
      </c>
      <c r="M110" s="2"/>
      <c r="O110" s="1" t="s">
        <v>2032</v>
      </c>
      <c r="R110" s="1">
        <v>2.0</v>
      </c>
      <c r="S110" s="1" t="s">
        <v>2033</v>
      </c>
      <c r="T110" s="1" t="s">
        <v>2034</v>
      </c>
      <c r="U110" s="1" t="s">
        <v>2035</v>
      </c>
      <c r="V110" s="1" t="s">
        <v>2036</v>
      </c>
      <c r="W110" s="1" t="s">
        <v>1989</v>
      </c>
      <c r="Y110" s="1" t="s">
        <v>2037</v>
      </c>
      <c r="AC110" s="1" t="s">
        <v>2038</v>
      </c>
      <c r="AH110" s="1" t="s">
        <v>261</v>
      </c>
      <c r="AI110" s="1" t="s">
        <v>2039</v>
      </c>
      <c r="AL110" s="1" t="s">
        <v>2040</v>
      </c>
      <c r="AO110" s="1" t="s">
        <v>2041</v>
      </c>
      <c r="AU110" s="1" t="s">
        <v>2042</v>
      </c>
      <c r="BJ110" s="1" t="s">
        <v>2043</v>
      </c>
      <c r="BO110" s="1" t="s">
        <v>2044</v>
      </c>
      <c r="BP110" s="1" t="s">
        <v>2045</v>
      </c>
      <c r="CH110" s="1" t="s">
        <v>2046</v>
      </c>
    </row>
    <row r="111">
      <c r="A111" s="1" t="s">
        <v>2047</v>
      </c>
      <c r="B111" s="1" t="str">
        <f>IFERROR(__xludf.DUMMYFUNCTION("GOOGLETRANSLATE(A:A, ""en"", ""te"")"),"పెన్నెక్ గాజైల్ 2")</f>
        <v>పెన్నెక్ గాజైల్ 2</v>
      </c>
      <c r="C111" s="1" t="s">
        <v>2048</v>
      </c>
      <c r="D111" s="2" t="str">
        <f>IFERROR(__xludf.DUMMYFUNCTION("GOOGLETRANSLATE(C:C, ""en"", ""te"")"),"పెన్నెక్ గాజిలే 2 (ఇంగ్లీష్: ఎ కాంబినేషన్ ఆఫ్ గజెల్ అండ్ వింగ్) అనేది ఒక ఫ్రెంచ్ te త్సాహిక-నిర్మిత విమానం, ఇది లోక్మారియా-ప్లౌజాన్ యొక్క సెర్జ్ పెన్నెక్ చేత రూపొందించబడింది మరియు te త్సాహిక నిర్మాణానికి ప్రణాళికల రూపంలో సరఫరా చేయబడింది. [1] [2] గాజైల్ 2 "&amp;"లో కాంటిలివర్ లో-వింగ్, బబుల్ పందిరి కింద రెండు-సీట్ల-సైడ్-సైడ్-సైడ్ కాన్ఫిగరేషన్ పరివేష్టిత కాక్‌పిట్, వీల్ ప్యాంటుతో స్థిర ట్రైసైకిల్ ల్యాండింగ్ గేర్ మరియు ట్రాక్టర్ కాన్ఫిగరేషన్‌లో ఒకే ఇంజిన్ ఉన్నాయి. [1] [[(చేర్చుట ఈ విమానం కలప మరియు క్లెగ్‌సెల్ నురుగ"&amp;"ుతో తయారు చేయబడింది. దీని 7.10 మీ (23.3 అడుగులు) స్పాన్ వింగ్ 15.80% మందం ఎయిర్‌ఫాయిల్‌ను ఉపయోగిస్తుంది, ఇది 5.66 మీ 2 (60.9 చదరపు అడుగులు) మరియు మౌంట్ ఫ్లాప్‌లు, అలాగే వింగ్లెట్‌లను కలిగి ఉంది. 52 హెచ్‌పి (39 కిలోవాట్ల) ప్యుగోట్ పిఎస్‌ఎ 106 ఆటోమోటివ్ కన్"&amp;"వర్షన్ డీజిల్ ఇంజిన్ మరియు 80 హెచ్‌పి (60 కిలోవాట్) ప్యుగోట్ గ్యాసోలిన్ ఇంజిన్, అలాగే అనేక ఇతర పిఎస్‌ఎ ప్యుగోట్ సిట్రోన్ పవర్‌ప్లాంట్‌లు సిఫార్సు చేయబడిన ప్రామాణిక ఇంజన్లు. PSA 106 ఇంజిన్ జెట్-ఎ బర్న్ చేస్తుంది మరియు గంటకు 6.8 లీటర్ల (1.5 IMP గాల్; 1.8 US"&amp;" GAL) యొక్క తక్కువ ఇంధన క్రూయిజ్ ఇంధన వినియోగాన్ని అందిస్తుంది. [1] [2] [3] బేయర్ల్ మరియు పెన్నెక్ నుండి డేటా [1] [3] సాధారణ లక్షణాల పనితీరు")</f>
        <v>పెన్నెక్ గాజిలే 2 (ఇంగ్లీష్: ఎ కాంబినేషన్ ఆఫ్ గజెల్ అండ్ వింగ్) అనేది ఒక ఫ్రెంచ్ te త్సాహిక-నిర్మిత విమానం, ఇది లోక్మారియా-ప్లౌజాన్ యొక్క సెర్జ్ పెన్నెక్ చేత రూపొందించబడింది మరియు te త్సాహిక నిర్మాణానికి ప్రణాళికల రూపంలో సరఫరా చేయబడింది. [1] [2] గాజైల్ 2 లో కాంటిలివర్ లో-వింగ్, బబుల్ పందిరి కింద రెండు-సీట్ల-సైడ్-సైడ్-సైడ్ కాన్ఫిగరేషన్ పరివేష్టిత కాక్‌పిట్, వీల్ ప్యాంటుతో స్థిర ట్రైసైకిల్ ల్యాండింగ్ గేర్ మరియు ట్రాక్టర్ కాన్ఫిగరేషన్‌లో ఒకే ఇంజిన్ ఉన్నాయి. [1] [[(చేర్చుట ఈ విమానం కలప మరియు క్లెగ్‌సెల్ నురుగుతో తయారు చేయబడింది. దీని 7.10 మీ (23.3 అడుగులు) స్పాన్ వింగ్ 15.80% మందం ఎయిర్‌ఫాయిల్‌ను ఉపయోగిస్తుంది, ఇది 5.66 మీ 2 (60.9 చదరపు అడుగులు) మరియు మౌంట్ ఫ్లాప్‌లు, అలాగే వింగ్లెట్‌లను కలిగి ఉంది. 52 హెచ్‌పి (39 కిలోవాట్ల) ప్యుగోట్ పిఎస్‌ఎ 106 ఆటోమోటివ్ కన్వర్షన్ డీజిల్ ఇంజిన్ మరియు 80 హెచ్‌పి (60 కిలోవాట్) ప్యుగోట్ గ్యాసోలిన్ ఇంజిన్, అలాగే అనేక ఇతర పిఎస్‌ఎ ప్యుగోట్ సిట్రోన్ పవర్‌ప్లాంట్‌లు సిఫార్సు చేయబడిన ప్రామాణిక ఇంజన్లు. PSA 106 ఇంజిన్ జెట్-ఎ బర్న్ చేస్తుంది మరియు గంటకు 6.8 లీటర్ల (1.5 IMP గాల్; 1.8 US GAL) యొక్క తక్కువ ఇంధన క్రూయిజ్ ఇంధన వినియోగాన్ని అందిస్తుంది. [1] [2] [3] బేయర్ల్ మరియు పెన్నెక్ నుండి డేటా [1] [3] సాధారణ లక్షణాల పనితీరు</v>
      </c>
      <c r="E111" s="1" t="s">
        <v>2049</v>
      </c>
      <c r="F111" s="1" t="s">
        <v>453</v>
      </c>
      <c r="G111" s="1" t="str">
        <f>IFERROR(__xludf.DUMMYFUNCTION("GOOGLETRANSLATE(F:F, ""en"", ""te"")"),"Te త్సాహిక నిర్మించిన విమానం")</f>
        <v>Te త్సాహిక నిర్మించిన విమానం</v>
      </c>
      <c r="H111" s="1" t="s">
        <v>454</v>
      </c>
      <c r="L111" s="1" t="s">
        <v>2050</v>
      </c>
      <c r="M111" s="2" t="str">
        <f>IFERROR(__xludf.DUMMYFUNCTION("GOOGLETRANSLATE(L:L, ""en"", ""te"")"),"సెర్జ్ పెన్నెక్")</f>
        <v>సెర్జ్ పెన్నెక్</v>
      </c>
      <c r="R111" s="1" t="s">
        <v>222</v>
      </c>
      <c r="S111" s="1" t="s">
        <v>250</v>
      </c>
      <c r="T111" s="1" t="s">
        <v>2051</v>
      </c>
      <c r="U111" s="1" t="s">
        <v>2052</v>
      </c>
      <c r="V111" s="1" t="s">
        <v>2053</v>
      </c>
      <c r="W111" s="1" t="s">
        <v>2054</v>
      </c>
      <c r="X111" s="1" t="s">
        <v>2055</v>
      </c>
      <c r="Z111" s="1" t="s">
        <v>2056</v>
      </c>
      <c r="AA111" s="1" t="s">
        <v>265</v>
      </c>
      <c r="AB111" s="1" t="s">
        <v>2057</v>
      </c>
      <c r="AC111" s="1" t="s">
        <v>2058</v>
      </c>
      <c r="AD111" s="1" t="s">
        <v>464</v>
      </c>
      <c r="AF111" s="1" t="s">
        <v>465</v>
      </c>
      <c r="AG111" s="4" t="s">
        <v>466</v>
      </c>
      <c r="AH111" s="1" t="s">
        <v>261</v>
      </c>
      <c r="AK111" s="1" t="s">
        <v>337</v>
      </c>
      <c r="AL111" s="1" t="s">
        <v>266</v>
      </c>
      <c r="AR111" s="1" t="s">
        <v>2059</v>
      </c>
      <c r="AS111" s="1" t="s">
        <v>726</v>
      </c>
      <c r="AU111" s="1" t="s">
        <v>2060</v>
      </c>
    </row>
    <row r="112">
      <c r="A112" s="1" t="s">
        <v>2061</v>
      </c>
      <c r="B112" s="1" t="str">
        <f>IFERROR(__xludf.DUMMYFUNCTION("GOOGLETRANSLATE(A:A, ""en"", ""te"")"),"హన్రియోట్ HD.3")</f>
        <v>హన్రియోట్ HD.3</v>
      </c>
      <c r="C112" s="1" t="s">
        <v>2062</v>
      </c>
      <c r="D112" s="2" t="str">
        <f>IFERROR(__xludf.DUMMYFUNCTION("GOOGLETRANSLATE(C:C, ""en"", ""te"")"),"హన్రియోట్ HD.3 C.2 అనేది మొదటి ప్రపంచ యుద్ధంలో ఫ్రాన్స్‌లో ఉత్పత్తి చేయబడిన రెండు-సీట్ల ఫైటర్ విమానం. స్కేల్-అప్ HD.1 కు సమానంగా, హాన్రియోట్ HD.3 ఒక సాంప్రదాయిక, సింగిల్-బే బిప్‌లేన్, ఇది అస్థిరమైనది సమాన వ్యవధి యొక్క రెక్కలు. పైలట్ మరియు గన్నర్ సమిష్టిగా"&amp;" కూర్చున్నారు, ఓపెన్ కాక్‌పిట్స్ మరియు స్థిర టెయిల్‌స్కిడ్ అండర్ క్యారేజ్ యొక్క ప్రధాన యూనిట్లు క్రాస్ యాక్సిల్ ద్వారా అనుసంధానించబడ్డాయి. షార్ట్ స్ట్రట్స్ ఫ్యూజ్‌లేజ్ వైపులా దిగువ వింగ్‌కు కట్టుబడి ఉన్నాయి. ఫ్లైట్ టెస్టింగ్ అద్భుతమైన పనితీరును వెల్లడించి"&amp;"ంది, మరియు ఫ్రెంచ్ ప్రభుత్వం 1918 లో 300 రకాన్ని ఆదేశించింది, తరువాతి సంవత్సరం ఒక పెద్ద దాడికి సన్నాహకంగా. యుద్ధం ముగిసినప్పుడు, ఈ ఒప్పందం రద్దు చేయబడింది, సుమారు 75 విమానాలు ఏనానాటిక్ మిలీటైర్‌కు మరియు కనీసం 15 ఏడానాటిక్ మారిటైమ్‌కు పంపిణీ చేయబడ్డాయి. ఒక"&amp;" ఉదాహరణ 1918 వేసవిలో ఏనానాటిక్ మారిటైమ్‌కు జంట ఫ్లోట్ అండర్ క్యారేజ్ మరియు పెద్ద టెయిల్‌ఫిన్ కలిగి ఉంది; ఇది అంకితమైన ఫ్లోట్‌ప్లేన్ ఫైటర్ నియమించబడిన HD.4 యొక్క నమూనా అని ఇది ఉద్దేశించబడింది, అయితే మరింత అభివృద్ధి జరగడానికి ముందే యుద్ధం ముగిసింది. ఆర్మిస్"&amp;"టిస్ అంకితమైన నైట్ ఫైటర్ వేరియంట్, HD.3BI లను విస్తరించడానికి దారితీసింది, విస్తరించిన మరియు సమతుల్య ఐలెరన్లు మరియు చుక్కానితో మరియు పెరిగిన విభాగం యొక్క రెక్కతో. [1] యుద్ధం తరువాత, నేవీ యొక్క యంత్రాలలో ఒకటి కొత్త విమాన వాహక నౌకలో ఉన్న ట్రయల్స్ కోసం ఉపయోగ"&amp;"ించబడింది, మరొకటి ఐల్ ఆఫ్ గ్రెయిన్ వద్ద ఫ్లోటేషన్ పరీక్షలకు ఉపయోగించబడింది. మొదటి ప్రపంచ యుద్ధం యొక్క యుద్ధ విమానాల నుండి ప్రధాన ఉత్పత్తి వెర్షన్ డేటా [5] సాధారణ లక్షణాలు పనితీరు ఆయుధాలు")</f>
        <v>హన్రియోట్ HD.3 C.2 అనేది మొదటి ప్రపంచ యుద్ధంలో ఫ్రాన్స్‌లో ఉత్పత్తి చేయబడిన రెండు-సీట్ల ఫైటర్ విమానం. స్కేల్-అప్ HD.1 కు సమానంగా, హాన్రియోట్ HD.3 ఒక సాంప్రదాయిక, సింగిల్-బే బిప్‌లేన్, ఇది అస్థిరమైనది సమాన వ్యవధి యొక్క రెక్కలు. పైలట్ మరియు గన్నర్ సమిష్టిగా కూర్చున్నారు, ఓపెన్ కాక్‌పిట్స్ మరియు స్థిర టెయిల్‌స్కిడ్ అండర్ క్యారేజ్ యొక్క ప్రధాన యూనిట్లు క్రాస్ యాక్సిల్ ద్వారా అనుసంధానించబడ్డాయి. షార్ట్ స్ట్రట్స్ ఫ్యూజ్‌లేజ్ వైపులా దిగువ వింగ్‌కు కట్టుబడి ఉన్నాయి. ఫ్లైట్ టెస్టింగ్ అద్భుతమైన పనితీరును వెల్లడించింది, మరియు ఫ్రెంచ్ ప్రభుత్వం 1918 లో 300 రకాన్ని ఆదేశించింది, తరువాతి సంవత్సరం ఒక పెద్ద దాడికి సన్నాహకంగా. యుద్ధం ముగిసినప్పుడు, ఈ ఒప్పందం రద్దు చేయబడింది, సుమారు 75 విమానాలు ఏనానాటిక్ మిలీటైర్‌కు మరియు కనీసం 15 ఏడానాటిక్ మారిటైమ్‌కు పంపిణీ చేయబడ్డాయి. ఒక ఉదాహరణ 1918 వేసవిలో ఏనానాటిక్ మారిటైమ్‌కు జంట ఫ్లోట్ అండర్ క్యారేజ్ మరియు పెద్ద టెయిల్‌ఫిన్ కలిగి ఉంది; ఇది అంకితమైన ఫ్లోట్‌ప్లేన్ ఫైటర్ నియమించబడిన HD.4 యొక్క నమూనా అని ఇది ఉద్దేశించబడింది, అయితే మరింత అభివృద్ధి జరగడానికి ముందే యుద్ధం ముగిసింది. ఆర్మిస్టిస్ అంకితమైన నైట్ ఫైటర్ వేరియంట్, HD.3BI లను విస్తరించడానికి దారితీసింది, విస్తరించిన మరియు సమతుల్య ఐలెరన్లు మరియు చుక్కానితో మరియు పెరిగిన విభాగం యొక్క రెక్కతో. [1] యుద్ధం తరువాత, నేవీ యొక్క యంత్రాలలో ఒకటి కొత్త విమాన వాహక నౌకలో ఉన్న ట్రయల్స్ కోసం ఉపయోగించబడింది, మరొకటి ఐల్ ఆఫ్ గ్రెయిన్ వద్ద ఫ్లోటేషన్ పరీక్షలకు ఉపయోగించబడింది. మొదటి ప్రపంచ యుద్ధం యొక్క యుద్ధ విమానాల నుండి ప్రధాన ఉత్పత్తి వెర్షన్ డేటా [5] సాధారణ లక్షణాలు పనితీరు ఆయుధాలు</v>
      </c>
      <c r="E112" s="1" t="s">
        <v>2063</v>
      </c>
      <c r="F112" s="1" t="s">
        <v>1948</v>
      </c>
      <c r="G112" s="1" t="str">
        <f>IFERROR(__xludf.DUMMYFUNCTION("GOOGLETRANSLATE(F:F, ""en"", ""te"")"),"యుద్ధ")</f>
        <v>యుద్ధ</v>
      </c>
      <c r="I112" s="1" t="s">
        <v>2064</v>
      </c>
      <c r="J112" s="1" t="str">
        <f>IFERROR(__xludf.DUMMYFUNCTION("GOOGLETRANSLATE(I:I, ""en"", ""te"")"),"హన్రియోట్")</f>
        <v>హన్రియోట్</v>
      </c>
      <c r="K112" s="4" t="s">
        <v>2065</v>
      </c>
      <c r="L112" s="1" t="s">
        <v>2066</v>
      </c>
      <c r="M112" s="2" t="str">
        <f>IFERROR(__xludf.DUMMYFUNCTION("GOOGLETRANSLATE(L:L, ""en"", ""te"")"),"ఎమిలే డుపోంట్")</f>
        <v>ఎమిలే డుపోంట్</v>
      </c>
      <c r="N112" s="1" t="s">
        <v>2067</v>
      </c>
      <c r="O112" s="1" t="s">
        <v>2068</v>
      </c>
      <c r="R112" s="1" t="s">
        <v>2069</v>
      </c>
      <c r="T112" s="1" t="s">
        <v>2070</v>
      </c>
      <c r="U112" s="1" t="s">
        <v>2071</v>
      </c>
      <c r="V112" s="1" t="s">
        <v>2072</v>
      </c>
      <c r="W112" s="1" t="s">
        <v>2073</v>
      </c>
      <c r="X112" s="1" t="s">
        <v>2074</v>
      </c>
      <c r="Z112" s="1" t="s">
        <v>2075</v>
      </c>
      <c r="AF112" s="1" t="s">
        <v>465</v>
      </c>
      <c r="AH112" s="1" t="s">
        <v>261</v>
      </c>
      <c r="AI112" s="1" t="s">
        <v>1226</v>
      </c>
      <c r="AL112" s="1" t="s">
        <v>2076</v>
      </c>
      <c r="AN112" s="1" t="s">
        <v>2077</v>
      </c>
      <c r="AO112" s="6">
        <v>6362.0</v>
      </c>
      <c r="AV112" s="1" t="s">
        <v>2078</v>
      </c>
      <c r="BC112" s="1" t="s">
        <v>2079</v>
      </c>
      <c r="BO112" s="1" t="s">
        <v>2080</v>
      </c>
      <c r="BP112" s="1" t="s">
        <v>2081</v>
      </c>
      <c r="BS112" s="1" t="s">
        <v>2082</v>
      </c>
    </row>
    <row r="113">
      <c r="A113" s="1" t="s">
        <v>2083</v>
      </c>
      <c r="B113" s="1" t="str">
        <f>IFERROR(__xludf.DUMMYFUNCTION("GOOGLETRANSLATE(A:A, ""en"", ""te"")"),"కర్టిస్-రీడ్ రాంబ్లర్")</f>
        <v>కర్టిస్-రీడ్ రాంబ్లర్</v>
      </c>
      <c r="C113" s="1" t="s">
        <v>2084</v>
      </c>
      <c r="D113" s="2" t="str">
        <f>IFERROR(__xludf.DUMMYFUNCTION("GOOGLETRANSLATE(C:C, ""en"", ""te"")"),"రీడ్ రాంబ్లర్, తరువాత కర్టిస్-రీడ్ బ్రాండ్ కింద రీడ్ కొనుగోలు చేసిన తరువాత, కెన్టిస్ చేత కొనుగోలు చేయబడినది, 1930 ల ప్రారంభంలో కెనడాలో నిర్మించిన బైప్‌లేన్ ట్రైనర్/స్పోర్ట్ ఎయిర్‌క్రాఫ్ట్ మరియు రాయల్ కెనడియన్ వైమానిక దళం చేత తక్కువ సంఖ్యలో శిక్షకుడిగా ఉపయ"&amp;"ోగించబడింది. 1928 లో, విల్ఫ్రిడ్ టి. రీడ్ కెనడియన్ విక్కర్స్ కోసం ఇంజనీర్‌గా పనిచేసిన తరువాత మాంట్రియల్‌లో తన సొంత సంస్థను స్థాపించాడు. అతని మొట్టమొదటి రూపకల్పన ఒక తేలికపాటి విమానం, ఇది ఫ్లయింగ్ క్లబ్‌ల అభివృద్ధికి తోడ్పడటానికి కెనడియన్ ప్రభుత్వ కార్యక్రమ"&amp;"ాన్ని దోపిడీ చేయడానికి ఉద్దేశించబడింది. రీడ్ రాంబ్లర్ ప్రధానంగా శిక్షణా విమానం అని ఉద్దేశించబడింది. రాంబ్లర్ ఎక్కువగా సాంప్రదాయిక సెస్క్విప్లేన్ డిజైన్, ఇది వారెన్ ట్రస్సులతో రెక్కలతో ఉంటుంది మరియు రవాణా లేదా నిల్వ కోసం వెనుకకు ముడుచుకోవచ్చు. ఫ్యూజ్‌లేజ్ "&amp;"ఫాబ్రిక్ కప్పబడిన స్టీల్ ట్యూబ్ నిర్మాణం మరియు పైలట్ మరియు ఒకే ప్రయాణీకుడు టెన్డం, ఓపెన్ కాక్‌పిట్స్‌లో కూర్చున్నారు. [2] ప్రోటోటైప్ (రిజిస్ట్రేషన్ జి-కావో) ను మొదట కార్టివిల్లే విమానాశ్రయంలో 23 సెప్టెంబర్ 1928 న మార్టిన్ బెర్లిన్ ఎగురవేశారు. టెస్ట్ ఫ్లైట"&amp;"్ దాదాపు విపత్తుగా ఉంది, ఎందుకంటే ఐలెరాన్స్ స్వాధీనం చేసుకున్నారు, బెర్లిన్‌ను ప్రమాదకరమైన విధానం మరియు ల్యాండింగ్‌తో వదిలివేసింది. ఐలెరాన్ నియంత్రణ అనుసంధానం యొక్క మార్పు సమస్యను సరిదిద్దారు. రాంబ్లర్ అభివృద్ధి చెందడం కొనసాగింది, మరియు 1931 లో, మెరుగైన వ"&amp;"ెర్షన్, రాంబ్లర్ III, మరింత శక్తివంతమైన జిప్సీ III ఇంజిన్‌తో ఎగురవేయబడింది. జాన్ సి. వెబ్‌స్టర్ ఆ సంవత్సరం బ్రిటిష్ కింగ్స్ కప్ రేసులో MK III ప్రోటోటైప్‌ను ప్రయాణించారు. [2] డిసెంబర్ 1928 లో, కర్టిస్ ఎయిర్‌ప్లేన్ &amp; మోటార్ కంపెనీ రీడ్ ఎయిర్‌క్రాఫ్ట్ కంపెనీ"&amp;"ని కొనుగోలు చేసింది మరియు దీనికి కర్టిస్-రీడ్ ఎయిర్‌క్రాఫ్ట్ కంపెనీగా పేరు మార్చింది. కొత్త సంస్థ ప్రస్తుతమున్న రాంబ్లర్ ప్రాజెక్ట్ యొక్క నియంత్రణను పొందింది మరియు ఉత్పత్తి శ్రేణిని ఏర్పాటు చేసింది. అసలు ఐలెరాన్లను ఫ్రేజ్-స్టైల్ ఐలెరాన్‌లతో భర్తీ చేయడం, ఇ"&amp;"ంజిన్ కౌలింగ్, ఎగ్జాస్ట్ సిస్టమ్ మరియు టెయిల్‌స్కిడ్‌లో మార్పులతో పాటు అసమతుల్య చుక్కానిని పరిచయం చేయడం మరియు హెడ్ రెస్ట్‌ను జోడించడం వంటి ఉత్పత్తి శ్రేణికి అనేక మార్పులు జరిగాయి. [2] ఇది ప్రధానంగా పౌర ఉపయోగం కోసం ఉద్దేశించినప్పటికీ, రాయల్ కెనడియన్ వైమాని"&amp;"క దళం (RCAF) ఈ విమానాన్ని ప్రాథమిక శిక్షణా విమానంగా అంచనా వేసింది. RCAF సర్వవ్యాప్త డి హవిలాండ్ చిమ్మటతో సహా అనేక ఇతర AB-ఇన్సిటియో విమానాలను ఉపయోగించినప్పటికీ, సీనియర్ సైనిక సిబ్బంది తక్కువ సంఖ్యలో రాంబ్లర్లను కొనుగోలు చేయడానికి ఎన్నుకున్నారు. [2] కర్టిస్"&amp;"-రీడ్ రాంబ్లర్స్ పౌర మరియు సైనిక ఉపయోగంలో సాపేక్షంగా ఉత్పాదక మరియు సుదీర్ఘమైన వృత్తిని పొందారు. రెండవ ప్రపంచ యుద్ధ యుగంలో బాగా శాశ్వతంగా ఉంటుంది. [2] నుండి డేటా: 1909 నుండి కెనడియన్ విమానం [2] జేన్ యొక్క అన్ని ప్రపంచ విమానాల నుండి డేటా 1931, [3] కెనడియన్ "&amp;"విమానాలు 1909 నుండి [2] సాధారణ లక్షణాల పనితీరు")</f>
        <v>రీడ్ రాంబ్లర్, తరువాత కర్టిస్-రీడ్ బ్రాండ్ కింద రీడ్ కొనుగోలు చేసిన తరువాత, కెన్టిస్ చేత కొనుగోలు చేయబడినది, 1930 ల ప్రారంభంలో కెనడాలో నిర్మించిన బైప్‌లేన్ ట్రైనర్/స్పోర్ట్ ఎయిర్‌క్రాఫ్ట్ మరియు రాయల్ కెనడియన్ వైమానిక దళం చేత తక్కువ సంఖ్యలో శిక్షకుడిగా ఉపయోగించబడింది. 1928 లో, విల్ఫ్రిడ్ టి. రీడ్ కెనడియన్ విక్కర్స్ కోసం ఇంజనీర్‌గా పనిచేసిన తరువాత మాంట్రియల్‌లో తన సొంత సంస్థను స్థాపించాడు. అతని మొట్టమొదటి రూపకల్పన ఒక తేలికపాటి విమానం, ఇది ఫ్లయింగ్ క్లబ్‌ల అభివృద్ధికి తోడ్పడటానికి కెనడియన్ ప్రభుత్వ కార్యక్రమాన్ని దోపిడీ చేయడానికి ఉద్దేశించబడింది. రీడ్ రాంబ్లర్ ప్రధానంగా శిక్షణా విమానం అని ఉద్దేశించబడింది. రాంబ్లర్ ఎక్కువగా సాంప్రదాయిక సెస్క్విప్లేన్ డిజైన్, ఇది వారెన్ ట్రస్సులతో రెక్కలతో ఉంటుంది మరియు రవాణా లేదా నిల్వ కోసం వెనుకకు ముడుచుకోవచ్చు. ఫ్యూజ్‌లేజ్ ఫాబ్రిక్ కప్పబడిన స్టీల్ ట్యూబ్ నిర్మాణం మరియు పైలట్ మరియు ఒకే ప్రయాణీకుడు టెన్డం, ఓపెన్ కాక్‌పిట్స్‌లో కూర్చున్నారు. [2] ప్రోటోటైప్ (రిజిస్ట్రేషన్ జి-కావో) ను మొదట కార్టివిల్లే విమానాశ్రయంలో 23 సెప్టెంబర్ 1928 న మార్టిన్ బెర్లిన్ ఎగురవేశారు. టెస్ట్ ఫ్లైట్ దాదాపు విపత్తుగా ఉంది, ఎందుకంటే ఐలెరాన్స్ స్వాధీనం చేసుకున్నారు, బెర్లిన్‌ను ప్రమాదకరమైన విధానం మరియు ల్యాండింగ్‌తో వదిలివేసింది. ఐలెరాన్ నియంత్రణ అనుసంధానం యొక్క మార్పు సమస్యను సరిదిద్దారు. రాంబ్లర్ అభివృద్ధి చెందడం కొనసాగింది, మరియు 1931 లో, మెరుగైన వెర్షన్, రాంబ్లర్ III, మరింత శక్తివంతమైన జిప్సీ III ఇంజిన్‌తో ఎగురవేయబడింది. జాన్ సి. వెబ్‌స్టర్ ఆ సంవత్సరం బ్రిటిష్ కింగ్స్ కప్ రేసులో MK III ప్రోటోటైప్‌ను ప్రయాణించారు. [2] డిసెంబర్ 1928 లో, కర్టిస్ ఎయిర్‌ప్లేన్ &amp; మోటార్ కంపెనీ రీడ్ ఎయిర్‌క్రాఫ్ట్ కంపెనీని కొనుగోలు చేసింది మరియు దీనికి కర్టిస్-రీడ్ ఎయిర్‌క్రాఫ్ట్ కంపెనీగా పేరు మార్చింది. కొత్త సంస్థ ప్రస్తుతమున్న రాంబ్లర్ ప్రాజెక్ట్ యొక్క నియంత్రణను పొందింది మరియు ఉత్పత్తి శ్రేణిని ఏర్పాటు చేసింది. అసలు ఐలెరాన్లను ఫ్రేజ్-స్టైల్ ఐలెరాన్‌లతో భర్తీ చేయడం, ఇంజిన్ కౌలింగ్, ఎగ్జాస్ట్ సిస్టమ్ మరియు టెయిల్‌స్కిడ్‌లో మార్పులతో పాటు అసమతుల్య చుక్కానిని పరిచయం చేయడం మరియు హెడ్ రెస్ట్‌ను జోడించడం వంటి ఉత్పత్తి శ్రేణికి అనేక మార్పులు జరిగాయి. [2] ఇది ప్రధానంగా పౌర ఉపయోగం కోసం ఉద్దేశించినప్పటికీ, రాయల్ కెనడియన్ వైమానిక దళం (RCAF) ఈ విమానాన్ని ప్రాథమిక శిక్షణా విమానంగా అంచనా వేసింది. RCAF సర్వవ్యాప్త డి హవిలాండ్ చిమ్మటతో సహా అనేక ఇతర AB-ఇన్సిటియో విమానాలను ఉపయోగించినప్పటికీ, సీనియర్ సైనిక సిబ్బంది తక్కువ సంఖ్యలో రాంబ్లర్లను కొనుగోలు చేయడానికి ఎన్నుకున్నారు. [2] కర్టిస్-రీడ్ రాంబ్లర్స్ పౌర మరియు సైనిక ఉపయోగంలో సాపేక్షంగా ఉత్పాదక మరియు సుదీర్ఘమైన వృత్తిని పొందారు. రెండవ ప్రపంచ యుద్ధ యుగంలో బాగా శాశ్వతంగా ఉంటుంది. [2] నుండి డేటా: 1909 నుండి కెనడియన్ విమానం [2] జేన్ యొక్క అన్ని ప్రపంచ విమానాల నుండి డేటా 1931, [3] కెనడియన్ విమానాలు 1909 నుండి [2] సాధారణ లక్షణాల పనితీరు</v>
      </c>
      <c r="E113" s="1" t="s">
        <v>2085</v>
      </c>
      <c r="F113" s="1" t="s">
        <v>2086</v>
      </c>
      <c r="G113" s="1" t="str">
        <f>IFERROR(__xludf.DUMMYFUNCTION("GOOGLETRANSLATE(F:F, ""en"", ""te"")"),"స్పోర్ట్స్ ప్లేన్")</f>
        <v>స్పోర్ట్స్ ప్లేన్</v>
      </c>
      <c r="I113" s="1" t="s">
        <v>2087</v>
      </c>
      <c r="J113" s="1" t="str">
        <f>IFERROR(__xludf.DUMMYFUNCTION("GOOGLETRANSLATE(I:I, ""en"", ""te"")"),"రీడ్, కర్టిస్-రీడ్")</f>
        <v>రీడ్, కర్టిస్-రీడ్</v>
      </c>
      <c r="K113" s="1" t="s">
        <v>2088</v>
      </c>
      <c r="L113" s="1" t="s">
        <v>2089</v>
      </c>
      <c r="M113" s="2" t="str">
        <f>IFERROR(__xludf.DUMMYFUNCTION("GOOGLETRANSLATE(L:L, ""en"", ""te"")"),"విల్ఫ్రిడ్ టి. రీడ్")</f>
        <v>విల్ఫ్రిడ్ టి. రీడ్</v>
      </c>
      <c r="N113" s="1" t="s">
        <v>2090</v>
      </c>
      <c r="O113" s="1" t="s">
        <v>2091</v>
      </c>
      <c r="R113" s="1">
        <v>2.0</v>
      </c>
      <c r="T113" s="1" t="s">
        <v>2092</v>
      </c>
      <c r="V113" s="1" t="s">
        <v>2093</v>
      </c>
      <c r="W113" s="1" t="s">
        <v>2094</v>
      </c>
      <c r="X113" s="1" t="s">
        <v>2095</v>
      </c>
      <c r="Z113" s="1" t="s">
        <v>2096</v>
      </c>
      <c r="AA113" s="1" t="s">
        <v>2097</v>
      </c>
      <c r="AB113" s="1" t="s">
        <v>2098</v>
      </c>
      <c r="AC113" s="1" t="s">
        <v>2099</v>
      </c>
      <c r="AD113" s="1" t="s">
        <v>888</v>
      </c>
      <c r="AE113" s="1" t="s">
        <v>2100</v>
      </c>
      <c r="AH113" s="1" t="s">
        <v>2101</v>
      </c>
      <c r="AI113" s="1" t="s">
        <v>2102</v>
      </c>
      <c r="AK113" s="1" t="s">
        <v>2103</v>
      </c>
      <c r="AL113" s="1" t="s">
        <v>2104</v>
      </c>
      <c r="AN113" s="1" t="s">
        <v>2105</v>
      </c>
      <c r="AO113" s="5">
        <v>10493.0</v>
      </c>
      <c r="AP113" s="1" t="s">
        <v>2106</v>
      </c>
      <c r="AQ113" s="1" t="s">
        <v>2107</v>
      </c>
      <c r="AR113" s="1" t="s">
        <v>2108</v>
      </c>
      <c r="AU113" s="1" t="s">
        <v>2109</v>
      </c>
      <c r="AV113" s="1" t="s">
        <v>2110</v>
      </c>
      <c r="BA113" s="1" t="s">
        <v>2111</v>
      </c>
      <c r="BB113" s="1" t="s">
        <v>2112</v>
      </c>
      <c r="BY113" s="1" t="s">
        <v>2113</v>
      </c>
    </row>
    <row r="114">
      <c r="A114" s="1" t="s">
        <v>2114</v>
      </c>
      <c r="B114" s="1" t="str">
        <f>IFERROR(__xludf.DUMMYFUNCTION("GOOGLETRANSLATE(A:A, ""en"", ""te"")"),"గౌర్డౌ-లెసూర్రే జిఎల్ .30")</f>
        <v>గౌర్డౌ-లెసూర్రే జిఎల్ .30</v>
      </c>
      <c r="C114" s="1" t="s">
        <v>2115</v>
      </c>
      <c r="D114" s="2" t="str">
        <f>IFERROR(__xludf.DUMMYFUNCTION("GOOGLETRANSLATE(C:C, ""en"", ""te"")"),"గౌర్డౌ-లెసూర్రే జిఎల్. జిఎల్ -30 ఒక పారాసోల్-వింగ్ మోనోప్లేన్, ముడుచుకునే అండర్ క్యారేజ్ మరియు బ్రిస్టల్ బృహస్పతి ఇంజిన్. గోర్డౌ-లెర్రే యొక్క మునుపటి విమానంలో చాలావరకు, ఇది పారాసోల్ వింగ్ డిజైన్, కానీ దాని ప్లాన్‌ఫార్మ్ దీర్ఘచతురస్రాకారంగా కాకుండా ట్రాపెజ"&amp;"ోయిడల్. 1923 లో ఇది కూపే బ్యూమాంట్ కోర్సును గంటకు 360 కిమీ/గం (220 mph; 190 kn) వద్ద ప్రయాణించింది. GL.30 ఒక కొత్త ఫైటర్ యొక్క ఆధారం, GL.31, ఇది ఎక్కువ వ్యవధిని కలిగి ఉంది, దాదాపు రెట్టింపు ప్రాంతం, స్థిర అండర్ క్యారేజ్ మరియు గ్నోమ్-రోన్ 9A ఇంజిన్. ఇది నా"&amp;"లుగు మెషిన్ గన్స్, రెండు ఫార్వర్డ్ ఫ్యూజ్‌లేజ్‌లో మరియు రెక్కలలో రెండు సాయుధమైంది. GL. 31 1926 వరకు ఎగురవేయబడలేదు మరియు తరువాత వదిలివేయబడింది, కొత్త పోరాట యోధుడిని ఎన్నుకోవటానికి 1923 Aéronauctique మిలిటైర్ పోటీలో కంపెనీ ప్రవేశించిన GL.32 ను అధిగమించారు. "&amp;"ఇది దీర్ఘచతురస్రాకార ప్రణాళిక విభాగానికి తిరిగి వచ్చింది. ఈ నమూనా ఎగిరిన సమయానికి, గౌర్డౌ-లెసూర్‌ను లోయిర్ స్వాధీనం చేసుకుంది, అందువల్ల కొత్త విమానం LGL.32 గా నమోదు చేయబడింది. ట్రయల్స్‌లో రెండవ స్థానంలో నిలిచిన, టైప్ యొక్క పనితీరు జనవరి 1927 లో ఒక చిన్న బ"&amp;"్యాచ్ విమానాల కోసం ఆర్డర్‌కు దారితీసేంతగా ఆకట్టుకుంది - ఐదు మూల్యాంకన విమానం మరియు 20 ప్రిప్రొడక్షన్ యంత్రాలు. చివరికి, ఈ ప్రాథమిక సంస్కరణలో 475 ను LGL.32C.1 గా పిలుస్తారు, దీనిని ఏరోనటిక్ మిలీటైర్ మరియు 15 ఏళ్ళలో 15 ఏడాలోటిక్ మిలిటైర్ ఆదేశిస్తారు. రొమేని"&amp;"యా ఫ్రెంచ్ సేవలో ఉదాహరణల మాదిరిగానే 50 విమానాలను ఆదేశించింది, టర్కీ 12 (ఈ నియమించబడిన LGL.32-T) ను ఆదేశించింది మరియు మరొకటి జపాన్ కొనుగోలు చేసి ఉండవచ్చు. ఫ్రెంచ్ సేవలో, అభివృద్ధి యోధుల నుండి విమానాన్ని క్యారియర్-బర్న్ డైవ్ బాంబర్‌గా మార్చడం వరకు మారింది. "&amp;"వీటిలో ఎయిర్‌ఫ్రేమ్ యొక్క సాధారణ బలోపేతం, విభజించబడిన మెయిన్ అండర్ క్యారేజ్ యూనిట్లు మరియు ఫ్యూజ్‌లేజ్ కింద ""ఫోర్క్"" 50 కిలోల (110 ఎల్బి) బాంబును ఫ్యూజ్‌లేజ్ కింద నుండి విడుదల చేయగలవు. ఫలవంతమైనది అయితే, GL.32 దీర్ఘకాలికంగా లేదు, మరియు అట్రిషన్ వారిపై భా"&amp;"రీగా నష్టపోయింది. 1934 నాటికి, మిగిలిన అన్ని ఉదాహరణలు శిక్షణకు మరియు బోధనా ఎయిర్‌ఫ్రేమ్‌లుగా పంపబడ్డాయి; 1936 ప్రారంభంలో, కొనుగోలు చేసిన అసలు 380 లో 135 మాత్రమే మిగిలి ఉంది. వీటిలో చాలావరకు రెండవ స్పానిష్ రిపబ్లిక్ ప్రభుత్వానికి మరియు అటానమస్ బాస్క్ ప్రభు"&amp;"త్వానికి అమ్మబడ్డాయి. మునుపటి ఫ్రెంచ్ ప్రయోగాల తరహాలో డైవ్ బాంబర్‌గా సవరించబడిన 1937 లో మరో విమానం బాస్క్యూస్‌లకు సరఫరా చేయబడింది. GL.633 ను నియమించిన ఈ విమానం మిగ్యుల్ జాంబుడియో చేత జాతీయవాద యుద్ధనౌక ఎస్పానాపై దాడి చేయడానికి ఉపయోగించబడింది, నిర్ణయాత్మక హ"&amp;"ిట్‌లను స్కోర్ చేసింది, ఇది ఆమె మునిగిపోవడానికి గణనీయంగా దోహదపడింది. జేన్ యొక్క అన్ని ప్రపంచ విమానాల నుండి డేటా 1928 [2] సాధారణ లక్షణాలు పనితీరు ఆయుధ సంబంధిత జాబితాలు")</f>
        <v>గౌర్డౌ-లెసూర్రే జిఎల్. జిఎల్ -30 ఒక పారాసోల్-వింగ్ మోనోప్లేన్, ముడుచుకునే అండర్ క్యారేజ్ మరియు బ్రిస్టల్ బృహస్పతి ఇంజిన్. గోర్డౌ-లెర్రే యొక్క మునుపటి విమానంలో చాలావరకు, ఇది పారాసోల్ వింగ్ డిజైన్, కానీ దాని ప్లాన్‌ఫార్మ్ దీర్ఘచతురస్రాకారంగా కాకుండా ట్రాపెజోయిడల్. 1923 లో ఇది కూపే బ్యూమాంట్ కోర్సును గంటకు 360 కిమీ/గం (220 mph; 190 kn) వద్ద ప్రయాణించింది. GL.30 ఒక కొత్త ఫైటర్ యొక్క ఆధారం, GL.31, ఇది ఎక్కువ వ్యవధిని కలిగి ఉంది, దాదాపు రెట్టింపు ప్రాంతం, స్థిర అండర్ క్యారేజ్ మరియు గ్నోమ్-రోన్ 9A ఇంజిన్. ఇది నాలుగు మెషిన్ గన్స్, రెండు ఫార్వర్డ్ ఫ్యూజ్‌లేజ్‌లో మరియు రెక్కలలో రెండు సాయుధమైంది. GL. 31 1926 వరకు ఎగురవేయబడలేదు మరియు తరువాత వదిలివేయబడింది, కొత్త పోరాట యోధుడిని ఎన్నుకోవటానికి 1923 Aéronauctique మిలిటైర్ పోటీలో కంపెనీ ప్రవేశించిన GL.32 ను అధిగమించారు. ఇది దీర్ఘచతురస్రాకార ప్రణాళిక విభాగానికి తిరిగి వచ్చింది. ఈ నమూనా ఎగిరిన సమయానికి, గౌర్డౌ-లెసూర్‌ను లోయిర్ స్వాధీనం చేసుకుంది, అందువల్ల కొత్త విమానం LGL.32 గా నమోదు చేయబడింది. ట్రయల్స్‌లో రెండవ స్థానంలో నిలిచిన, టైప్ యొక్క పనితీరు జనవరి 1927 లో ఒక చిన్న బ్యాచ్ విమానాల కోసం ఆర్డర్‌కు దారితీసేంతగా ఆకట్టుకుంది - ఐదు మూల్యాంకన విమానం మరియు 20 ప్రిప్రొడక్షన్ యంత్రాలు. చివరికి, ఈ ప్రాథమిక సంస్కరణలో 475 ను LGL.32C.1 గా పిలుస్తారు, దీనిని ఏరోనటిక్ మిలీటైర్ మరియు 15 ఏళ్ళలో 15 ఏడాలోటిక్ మిలిటైర్ ఆదేశిస్తారు. రొమేనియా ఫ్రెంచ్ సేవలో ఉదాహరణల మాదిరిగానే 50 విమానాలను ఆదేశించింది, టర్కీ 12 (ఈ నియమించబడిన LGL.32-T) ను ఆదేశించింది మరియు మరొకటి జపాన్ కొనుగోలు చేసి ఉండవచ్చు. ఫ్రెంచ్ సేవలో, అభివృద్ధి యోధుల నుండి విమానాన్ని క్యారియర్-బర్న్ డైవ్ బాంబర్‌గా మార్చడం వరకు మారింది. వీటిలో ఎయిర్‌ఫ్రేమ్ యొక్క సాధారణ బలోపేతం, విభజించబడిన మెయిన్ అండర్ క్యారేజ్ యూనిట్లు మరియు ఫ్యూజ్‌లేజ్ కింద "ఫోర్క్" 50 కిలోల (110 ఎల్బి) బాంబును ఫ్యూజ్‌లేజ్ కింద నుండి విడుదల చేయగలవు. ఫలవంతమైనది అయితే, GL.32 దీర్ఘకాలికంగా లేదు, మరియు అట్రిషన్ వారిపై భారీగా నష్టపోయింది. 1934 నాటికి, మిగిలిన అన్ని ఉదాహరణలు శిక్షణకు మరియు బోధనా ఎయిర్‌ఫ్రేమ్‌లుగా పంపబడ్డాయి; 1936 ప్రారంభంలో, కొనుగోలు చేసిన అసలు 380 లో 135 మాత్రమే మిగిలి ఉంది. వీటిలో చాలావరకు రెండవ స్పానిష్ రిపబ్లిక్ ప్రభుత్వానికి మరియు అటానమస్ బాస్క్ ప్రభుత్వానికి అమ్మబడ్డాయి. మునుపటి ఫ్రెంచ్ ప్రయోగాల తరహాలో డైవ్ బాంబర్‌గా సవరించబడిన 1937 లో మరో విమానం బాస్క్యూస్‌లకు సరఫరా చేయబడింది. GL.633 ను నియమించిన ఈ విమానం మిగ్యుల్ జాంబుడియో చేత జాతీయవాద యుద్ధనౌక ఎస్పానాపై దాడి చేయడానికి ఉపయోగించబడింది, నిర్ణయాత్మక హిట్‌లను స్కోర్ చేసింది, ఇది ఆమె మునిగిపోవడానికి గణనీయంగా దోహదపడింది. జేన్ యొక్క అన్ని ప్రపంచ విమానాల నుండి డేటా 1928 [2] సాధారణ లక్షణాలు పనితీరు ఆయుధ సంబంధిత జాబితాలు</v>
      </c>
      <c r="E114" s="1" t="s">
        <v>2116</v>
      </c>
      <c r="F114" s="1" t="s">
        <v>1948</v>
      </c>
      <c r="G114" s="1" t="str">
        <f>IFERROR(__xludf.DUMMYFUNCTION("GOOGLETRANSLATE(F:F, ""en"", ""te"")"),"యుద్ధ")</f>
        <v>యుద్ధ</v>
      </c>
      <c r="I114" s="1" t="s">
        <v>2117</v>
      </c>
      <c r="J114" s="1" t="str">
        <f>IFERROR(__xludf.DUMMYFUNCTION("GOOGLETRANSLATE(I:I, ""en"", ""te"")"),"గౌర్డౌ-లెసూర్రే")</f>
        <v>గౌర్డౌ-లెసూర్రే</v>
      </c>
      <c r="K114" s="4" t="s">
        <v>2118</v>
      </c>
      <c r="M114" s="2"/>
      <c r="O114" s="1" t="s">
        <v>2119</v>
      </c>
      <c r="R114" s="1">
        <v>1.0</v>
      </c>
      <c r="T114" s="1" t="s">
        <v>2120</v>
      </c>
      <c r="U114" s="1" t="s">
        <v>2121</v>
      </c>
      <c r="V114" s="1" t="s">
        <v>2122</v>
      </c>
      <c r="W114" s="1" t="s">
        <v>2123</v>
      </c>
      <c r="X114" s="1" t="s">
        <v>2124</v>
      </c>
      <c r="Z114" s="1" t="s">
        <v>2125</v>
      </c>
      <c r="AC114" s="1" t="s">
        <v>1025</v>
      </c>
      <c r="AE114" s="1" t="s">
        <v>2126</v>
      </c>
      <c r="AF114" s="1" t="s">
        <v>465</v>
      </c>
      <c r="AI114" s="1" t="s">
        <v>2127</v>
      </c>
      <c r="AK114" s="1" t="s">
        <v>2128</v>
      </c>
      <c r="AL114" s="1" t="s">
        <v>2129</v>
      </c>
      <c r="AN114" s="1" t="s">
        <v>2130</v>
      </c>
      <c r="AO114" s="1">
        <v>1920.0</v>
      </c>
      <c r="AR114" s="1" t="s">
        <v>2131</v>
      </c>
      <c r="AU114" s="1" t="s">
        <v>2132</v>
      </c>
      <c r="BC114" s="1" t="s">
        <v>2133</v>
      </c>
      <c r="BO114" s="1" t="s">
        <v>2080</v>
      </c>
      <c r="BP114" s="1" t="s">
        <v>2081</v>
      </c>
      <c r="BS114" s="1" t="s">
        <v>2134</v>
      </c>
      <c r="CH114" s="1" t="s">
        <v>2135</v>
      </c>
    </row>
    <row r="115">
      <c r="A115" s="1" t="s">
        <v>2136</v>
      </c>
      <c r="B115" s="1" t="str">
        <f>IFERROR(__xludf.DUMMYFUNCTION("GOOGLETRANSLATE(A:A, ""en"", ""te"")"),"దార్ 1")</f>
        <v>దార్ 1</v>
      </c>
      <c r="C115" s="1" t="s">
        <v>2137</v>
      </c>
      <c r="D115" s="2" t="str">
        <f>IFERROR(__xludf.DUMMYFUNCTION("GOOGLETRANSLATE(C:C, ""en"", ""te"")"),"DAR 1 పెపెరా (సీతాకోకచిలుక) 1920 ల బల్గేరియన్ రెండు -సీట్ల టూరింగ్ లేదా ట్రైనర్ బైప్‌లేన్, ఇది హర్మన్ వింటర్ రూపొందించారు మరియు దార్ - డ్రెజావ్నా విమానం రెబోటిల్నిట్సా - రాష్ట్ర విమాన వర్క్‌షాప్‌లు. [1] [2] ఈ విమానం సాంప్రదాయిక రెండు-సీట్ల సింగిల్-బే బైప్"&amp;"‌లేన్, ఇది స్థిర టెయిల్‌స్కిడ్ ల్యాండింగ్ గేర్‌తో, 60 హెచ్‌పి (45 కిలోవాట్) వాల్టర్ ఎన్‌జెడ్ రేడియల్ ఇంజిన్‌తో శక్తినిస్తుంది. [1] [2] మరింత అభివృద్ధి ఫలితంగా డార్ 1 ఎ, ఇది 85 హెచ్‌పి వాల్టర్ వేగా ఇంజిన్, ఎనిమిది డార్ 1AS ఉత్పత్తి చేయబడుతోంది. తొలి ఫ్లైట్"&amp;" మరియు విజయవంతమైన విమాన పరీక్షల తరువాత 1926 లో DAR 1 ఉత్పత్తిలో ఉంచబడింది. [1] ఉత్పత్తి DAR 1A విమానం 1928 నుండి పంపిణీ చేయబడింది. [1] పన్నెండు డార్ 1 మరియు ఎనిమిది డార్ 1 ఎ విమానాలను కజాన్లాక్ ఎయిర్ స్కూల్ వద్ద బల్గేరియన్ వైమానిక దళం, ప్రాధమిక శిక్షణ కోస"&amp;"ం మరియు యాటో ఫైటర్ స్క్వాడ్రన్ కోసం కొనసాగింపు శిక్షణ కోసం 1926 నుండి 1940 ల ప్రారంభం వరకు ఉపయోగించారు. కొన్ని DAR 1A విమానాలను సివిల్ ఎయిర్ సర్వీస్ గ్లైడర్ టగ్‌లుగా కూడా ఉపయోగించారు. బాల్కన్ పక్షుల నుండి డేటా, [3] పే. 23. జనరల్ లక్షణాలు పనితీరు సంబంధిత జ"&amp;"ాబితాలు")</f>
        <v>DAR 1 పెపెరా (సీతాకోకచిలుక) 1920 ల బల్గేరియన్ రెండు -సీట్ల టూరింగ్ లేదా ట్రైనర్ బైప్‌లేన్, ఇది హర్మన్ వింటర్ రూపొందించారు మరియు దార్ - డ్రెజావ్నా విమానం రెబోటిల్నిట్సా - రాష్ట్ర విమాన వర్క్‌షాప్‌లు. [1] [2] ఈ విమానం సాంప్రదాయిక రెండు-సీట్ల సింగిల్-బే బైప్‌లేన్, ఇది స్థిర టెయిల్‌స్కిడ్ ల్యాండింగ్ గేర్‌తో, 60 హెచ్‌పి (45 కిలోవాట్) వాల్టర్ ఎన్‌జెడ్ రేడియల్ ఇంజిన్‌తో శక్తినిస్తుంది. [1] [2] మరింత అభివృద్ధి ఫలితంగా డార్ 1 ఎ, ఇది 85 హెచ్‌పి వాల్టర్ వేగా ఇంజిన్, ఎనిమిది డార్ 1AS ఉత్పత్తి చేయబడుతోంది. తొలి ఫ్లైట్ మరియు విజయవంతమైన విమాన పరీక్షల తరువాత 1926 లో DAR 1 ఉత్పత్తిలో ఉంచబడింది. [1] ఉత్పత్తి DAR 1A విమానం 1928 నుండి పంపిణీ చేయబడింది. [1] పన్నెండు డార్ 1 మరియు ఎనిమిది డార్ 1 ఎ విమానాలను కజాన్లాక్ ఎయిర్ స్కూల్ వద్ద బల్గేరియన్ వైమానిక దళం, ప్రాధమిక శిక్షణ కోసం మరియు యాటో ఫైటర్ స్క్వాడ్రన్ కోసం కొనసాగింపు శిక్షణ కోసం 1926 నుండి 1940 ల ప్రారంభం వరకు ఉపయోగించారు. కొన్ని DAR 1A విమానాలను సివిల్ ఎయిర్ సర్వీస్ గ్లైడర్ టగ్‌లుగా కూడా ఉపయోగించారు. బాల్కన్ పక్షుల నుండి డేటా, [3] పే. 23. జనరల్ లక్షణాలు పనితీరు సంబంధిత జాబితాలు</v>
      </c>
      <c r="E115" s="1" t="s">
        <v>2138</v>
      </c>
      <c r="F115" s="1" t="s">
        <v>2139</v>
      </c>
      <c r="G115" s="1" t="str">
        <f>IFERROR(__xludf.DUMMYFUNCTION("GOOGLETRANSLATE(F:F, ""en"", ""te"")"),"పౌర శిక్షణా విమానం")</f>
        <v>పౌర శిక్షణా విమానం</v>
      </c>
      <c r="I115" s="1" t="s">
        <v>2140</v>
      </c>
      <c r="J115" s="1" t="str">
        <f>IFERROR(__xludf.DUMMYFUNCTION("GOOGLETRANSLATE(I:I, ""en"", ""te"")"),"దార్")</f>
        <v>దార్</v>
      </c>
      <c r="K115" s="4" t="s">
        <v>2141</v>
      </c>
      <c r="L115" s="1" t="s">
        <v>2142</v>
      </c>
      <c r="M115" s="2" t="str">
        <f>IFERROR(__xludf.DUMMYFUNCTION("GOOGLETRANSLATE(L:L, ""en"", ""te"")"),"హర్మన్ వింటర్")</f>
        <v>హర్మన్ వింటర్</v>
      </c>
      <c r="O115" s="1" t="s">
        <v>2143</v>
      </c>
      <c r="R115" s="1" t="s">
        <v>637</v>
      </c>
      <c r="T115" s="1" t="s">
        <v>2144</v>
      </c>
      <c r="U115" s="1" t="s">
        <v>2145</v>
      </c>
      <c r="W115" s="1" t="s">
        <v>2146</v>
      </c>
      <c r="X115" s="1" t="s">
        <v>2147</v>
      </c>
      <c r="Z115" s="1" t="s">
        <v>2148</v>
      </c>
      <c r="AF115" s="1" t="s">
        <v>2149</v>
      </c>
      <c r="AH115" s="1" t="s">
        <v>261</v>
      </c>
      <c r="AL115" s="1" t="s">
        <v>2150</v>
      </c>
      <c r="AO115" s="1">
        <v>1926.0</v>
      </c>
    </row>
    <row r="116">
      <c r="A116" s="1" t="s">
        <v>2151</v>
      </c>
      <c r="B116" s="1" t="str">
        <f>IFERROR(__xludf.DUMMYFUNCTION("GOOGLETRANSLATE(A:A, ""en"", ""te"")"),"ఫౌగా CM.175 Zéphyr")</f>
        <v>ఫౌగా CM.175 Zéphyr</v>
      </c>
      <c r="C116" s="1" t="s">
        <v>2152</v>
      </c>
      <c r="D116" s="2" t="str">
        <f>IFERROR(__xludf.DUMMYFUNCTION("GOOGLETRANSLATE(C:C, ""en"", ""te"")"),"ఫౌగా జఫిర్ (కంపెనీ హోదా CM.175) ఫ్రెంచ్ నావికాదళానికి 1950 ల ఫ్రెంచ్ రెండు సీట్ల క్యారియర్-సామర్థ్యం గల జెట్ ట్రైనర్. ఇది భూమి ఆధారిత cm.170 మెజిస్టర్ నుండి అభివృద్ధి చేయబడింది. ఇది 1994 లో భర్తీ చేయబడింది. ఫ్రెంచ్ నేవీ యొక్క ఏనానావాలే ఫౌగా CM.170-1 మెజిస"&amp;"్టర్ యొక్క ఉత్పన్నాన్ని క్యారియర్ కార్యకలాపాలకు ప్రాథమిక శిక్షకుడిగా స్వీకరించారు. [1] వాస్తవానికి CM-170M ఎస్క్విఫ్‌ను నియమించారు, ఈ నమూనా మొదట 31 జూలై 1956 న ప్రయాణించింది మరియు వెంటనే CM.175 Zéphyr గా పున es రూపకల్పన చేయబడింది. ఆగష్టు 1957 మరియు మార్చి"&amp;" 1958 లో ఫ్రెంచ్ తీరంలో హెచ్‌ఎంఎస్ ఈగిల్ (R05) మరియు HMS బుల్వార్క్ (R08) నుండి క్యారియర్ ట్రయల్స్ నిర్వహించబడ్డాయి. [1] అరెస్టర్ హుక్ మరియు సవరించిన నిర్మాణం మరియు క్యారియర్ కార్యకలాపాల కోసం అండర్ క్యారేజ్ బలోపేతం కావడంలో జాఫిర్ మెజిస్టర్ నుండి విభిన్నంగ"&amp;"ా ఉంది. [1] జాఫిర్ ముక్కు-మౌంటెడ్ కాంతిని కూడా కలిగి ఉంది. దీనికి ఎజెక్షన్ సీట్లు లేనందున, జఫైర్ కొత్త స్లైడింగ్ పందిరి హుడ్స్ కలిగి ఉంది, ఇవి క్యారియర్ లాంచింగ్‌లు మరియు ల్యాండింగ్‌ల సమయంలో తెరిచి ఉంచబడతాయి. ఆయుధాల శిక్షణ కోసం ఒక ఆరు రౌండ్ల రాకెట్ పాడ్‌న"&amp;"ు ప్రతి రెక్క కింద అమర్చవచ్చు. ముక్కులో రెండు తుపాకులను అమర్చవచ్చు, కాని ఇవి చాలా అరుదుగా ఉన్నాయి. ముప్పై రెండు విమానాలు పంపిణీ చేయబడ్డాయి. [1] మొట్టమొదటి ఉత్పత్తి విమానం మొదట 30 మే 1959 న ప్రయాణించి, అక్టోబర్ 1959 లో 59 లలో హైరెస్‌లో డెక్ ల్యాండింగ్ స్కూ"&amp;"ల్‌తో సేవల్లోకి ప్రవేశించింది. స్క్వాడ్రన్ ఒకేసారి 14 విమానాలను మాత్రమే ఉపయోగించింది, ఇతరులను స్వల్పకాలిక నిల్వలో ఉంచారు మరియు క్రమానుగతంగా ఎగిరే గంటలకు కూడా తిప్పారు. 1962 లో, ఈ యూనిట్ జఫైర్ ఉపయోగించి ది ట్రాట్రోయిల్ డి వోల్టిజ్ డి హేయర్స్ అని పిలిచే ఏరో"&amp;"బాటిక్ బృందాన్ని ఏర్పాటు చేసింది. క్యారియర్ ఏవియేషన్ ఎయిర్ పవర్ డైరెక్టరీ నుండి డేటా [1] సాధారణ లక్షణాలు పనితీరు ఆయుధాల సంబంధిత అభివృద్ధి విమానం పోల్చదగిన పాత్ర, కాన్ఫిగరేషన్ మరియు ERA")</f>
        <v>ఫౌగా జఫిర్ (కంపెనీ హోదా CM.175) ఫ్రెంచ్ నావికాదళానికి 1950 ల ఫ్రెంచ్ రెండు సీట్ల క్యారియర్-సామర్థ్యం గల జెట్ ట్రైనర్. ఇది భూమి ఆధారిత cm.170 మెజిస్టర్ నుండి అభివృద్ధి చేయబడింది. ఇది 1994 లో భర్తీ చేయబడింది. ఫ్రెంచ్ నేవీ యొక్క ఏనానావాలే ఫౌగా CM.170-1 మెజిస్టర్ యొక్క ఉత్పన్నాన్ని క్యారియర్ కార్యకలాపాలకు ప్రాథమిక శిక్షకుడిగా స్వీకరించారు. [1] వాస్తవానికి CM-170M ఎస్క్విఫ్‌ను నియమించారు, ఈ నమూనా మొదట 31 జూలై 1956 న ప్రయాణించింది మరియు వెంటనే CM.175 Zéphyr గా పున es రూపకల్పన చేయబడింది. ఆగష్టు 1957 మరియు మార్చి 1958 లో ఫ్రెంచ్ తీరంలో హెచ్‌ఎంఎస్ ఈగిల్ (R05) మరియు HMS బుల్వార్క్ (R08) నుండి క్యారియర్ ట్రయల్స్ నిర్వహించబడ్డాయి. [1] అరెస్టర్ హుక్ మరియు సవరించిన నిర్మాణం మరియు క్యారియర్ కార్యకలాపాల కోసం అండర్ క్యారేజ్ బలోపేతం కావడంలో జాఫిర్ మెజిస్టర్ నుండి విభిన్నంగా ఉంది. [1] జాఫిర్ ముక్కు-మౌంటెడ్ కాంతిని కూడా కలిగి ఉంది. దీనికి ఎజెక్షన్ సీట్లు లేనందున, జఫైర్ కొత్త స్లైడింగ్ పందిరి హుడ్స్ కలిగి ఉంది, ఇవి క్యారియర్ లాంచింగ్‌లు మరియు ల్యాండింగ్‌ల సమయంలో తెరిచి ఉంచబడతాయి. ఆయుధాల శిక్షణ కోసం ఒక ఆరు రౌండ్ల రాకెట్ పాడ్‌ను ప్రతి రెక్క కింద అమర్చవచ్చు. ముక్కులో రెండు తుపాకులను అమర్చవచ్చు, కాని ఇవి చాలా అరుదుగా ఉన్నాయి. ముప్పై రెండు విమానాలు పంపిణీ చేయబడ్డాయి. [1] మొట్టమొదటి ఉత్పత్తి విమానం మొదట 30 మే 1959 న ప్రయాణించి, అక్టోబర్ 1959 లో 59 లలో హైరెస్‌లో డెక్ ల్యాండింగ్ స్కూల్‌తో సేవల్లోకి ప్రవేశించింది. స్క్వాడ్రన్ ఒకేసారి 14 విమానాలను మాత్రమే ఉపయోగించింది, ఇతరులను స్వల్పకాలిక నిల్వలో ఉంచారు మరియు క్రమానుగతంగా ఎగిరే గంటలకు కూడా తిప్పారు. 1962 లో, ఈ యూనిట్ జఫైర్ ఉపయోగించి ది ట్రాట్రోయిల్ డి వోల్టిజ్ డి హేయర్స్ అని పిలిచే ఏరోబాటిక్ బృందాన్ని ఏర్పాటు చేసింది. క్యారియర్ ఏవియేషన్ ఎయిర్ పవర్ డైరెక్టరీ నుండి డేటా [1] సాధారణ లక్షణాలు పనితీరు ఆయుధాల సంబంధిత అభివృద్ధి విమానం పోల్చదగిన పాత్ర, కాన్ఫిగరేషన్ మరియు ERA</v>
      </c>
      <c r="E116" s="1" t="s">
        <v>2153</v>
      </c>
      <c r="F116" s="1" t="s">
        <v>2154</v>
      </c>
      <c r="G116" s="1" t="str">
        <f>IFERROR(__xludf.DUMMYFUNCTION("GOOGLETRANSLATE(F:F, ""en"", ""te"")"),"క్యారియర్-సామర్థ్యం గల జెట్ ట్రైనర్")</f>
        <v>క్యారియర్-సామర్థ్యం గల జెట్ ట్రైనర్</v>
      </c>
      <c r="H116" s="1" t="s">
        <v>2155</v>
      </c>
      <c r="I116" s="1" t="s">
        <v>2156</v>
      </c>
      <c r="J116" s="1" t="str">
        <f>IFERROR(__xludf.DUMMYFUNCTION("GOOGLETRANSLATE(I:I, ""en"", ""te"")"),"ఫౌగా")</f>
        <v>ఫౌగా</v>
      </c>
      <c r="K116" s="4" t="s">
        <v>2157</v>
      </c>
      <c r="M116" s="2"/>
      <c r="O116" s="1">
        <v>32.0</v>
      </c>
      <c r="P116" s="1" t="s">
        <v>2158</v>
      </c>
      <c r="Q116" s="1" t="s">
        <v>2159</v>
      </c>
      <c r="R116" s="1">
        <v>2.0</v>
      </c>
      <c r="T116" s="1" t="s">
        <v>2160</v>
      </c>
      <c r="U116" s="1" t="s">
        <v>2161</v>
      </c>
      <c r="V116" s="1" t="s">
        <v>2162</v>
      </c>
      <c r="W116" s="1" t="s">
        <v>2163</v>
      </c>
      <c r="Y116" s="1" t="s">
        <v>2164</v>
      </c>
      <c r="Z116" s="1" t="s">
        <v>2165</v>
      </c>
      <c r="AC116" s="1" t="s">
        <v>2166</v>
      </c>
      <c r="AF116" s="1" t="s">
        <v>465</v>
      </c>
      <c r="AH116" s="1" t="s">
        <v>2167</v>
      </c>
      <c r="AI116" s="1" t="s">
        <v>858</v>
      </c>
      <c r="AL116" s="1" t="s">
        <v>2168</v>
      </c>
      <c r="AN116" s="1" t="s">
        <v>2169</v>
      </c>
      <c r="AO116" s="1" t="s">
        <v>2170</v>
      </c>
      <c r="AP116" s="1" t="s">
        <v>2171</v>
      </c>
      <c r="AQ116" s="1" t="s">
        <v>2172</v>
      </c>
      <c r="AX116" s="1">
        <v>1959.0</v>
      </c>
      <c r="BN116" s="1">
        <v>1994.0</v>
      </c>
    </row>
    <row r="117">
      <c r="A117" s="1" t="s">
        <v>2173</v>
      </c>
      <c r="B117" s="1" t="str">
        <f>IFERROR(__xludf.DUMMYFUNCTION("GOOGLETRANSLATE(A:A, ""en"", ""te"")"),"పోటెజ్ xv")</f>
        <v>పోటెజ్ xv</v>
      </c>
      <c r="C117" s="1" t="s">
        <v>2174</v>
      </c>
      <c r="D117" s="2" t="str">
        <f>IFERROR(__xludf.DUMMYFUNCTION("GOOGLETRANSLATE(C:C, ""en"", ""te"")"),"పోటెజ్ XV (తప్పుగా వ్రాసిన పోటెజ్ 15) ఒక ఫ్రెంచ్ సింగిల్-ఇంజిన్, రెండు-సీట్ల పరిశీలన బైప్‌లేన్, ఇది లూయిస్ కరోలర్ చేత ప్రైవేట్ వెంచర్‌గా రూపొందించబడింది మరియు పోటెజ్ చేత నిర్మించబడింది మరియు పోలాండ్‌లో లైసెన్స్ కింద నిర్మించబడింది. ఈ విమానం 1920 ల ప్రారంభ"&amp;"ంలో హెన్రీ కరోలర్ పోటెజ్ వర్క్స్‌లో రూపొందించబడింది. ఇది హెన్రీ పోటెజ్ మరియు కరోలర్ యొక్క మాజీ సంస్థ అయిన సోషియాట్ డి ఎట్యూడ్స్ ఏడొనాటిక్స్ నిర్మించిన ఫైటర్ సీ IV యొక్క అభివృద్ధి. అక్టోబర్ 1921 లో ఒక నమూనా ఎగురవేయబడింది మరియు ఆ సంవత్సరం పారిస్ ఎయిర్ షోలో "&amp;"చూపబడింది. ఇది స్థిరమైన టెయిల్స్కిడ్ ల్యాండింగ్ గేర్ మరియు ముక్కు-మౌంటెడ్ 276 కిలోవాట్ (370 హెచ్‌పి) లోరైన్ 12 డి ఇంజిన్‌తో సాంప్రదాయిక బైప్‌లేన్. ఇంజిన్ తరువాత 224 కిలోవాట్ల (300 హెచ్‌పి) రెనాల్ట్ 12FE చేత భర్తీ చేయబడింది. విజయవంతమైన మూల్యాంకనం తరువాత, ఈ"&amp;" విమానాన్ని ఏరోనటిక్ మిలిటియరే ఒక నిఘా విమానం అని ఆదేశించింది. మొట్టమొదటి విమానాన్ని 1923 చివరలో తయారు చేసి పంపిణీ చేశారు. సిరీస్ నిర్మించిన విమానం లోరైన్-డైట్రిచ్ 12 డిబి వి -12 ఇంజిన్లతో శక్తినిచ్చింది. 410 ఫ్రాన్స్‌లో నిర్మించారు. ఈ విమానం రెండు ప్రధాన"&amp;" సైనిక వైవిధ్యాలలో నిర్మించబడింది: పోటెజ్ XV A.2 నిఘా విమానం మరియు పోటెజ్ XV B.2 బాంబర్-రెకోనైసెన్స్ విమానం. ఫ్లోట్‌ప్లేన్ వేరియంట్ పోటెజ్ XV HO.2 యొక్క ఒకే నమూనా నిర్మించబడింది. 1923 యొక్క ఎగుమతి వేరియంట్ పోటెజ్ XVII కూడా ఉంది, అదే LD 12DB ఇంజిన్‌తో బల్గ"&amp;"ేరియా కోసం మాత్రమే నిర్మించబడింది. ఇప్పటికే 1923 లో, పోలాండ్ పోటెజ్ 15 కోసం లైసెన్స్ కొనుగోలు చేసి, వాటిని పోడ్లాస్కా వైట్వర్నియా సమోలోటవ్ (పిడబ్ల్యుఎస్, 35 1925 లో నిర్మించారు) మరియు ప్లేజ్ ఐ లాకివిచ్ ఎయిర్క్రాఫ్ట్ వర్క్స్ (100 1925-1926 లో నిర్మించారు) "&amp;"లో తయారు చేయడం ప్రారంభించింది. పోటెజ్ XV యొక్క అభివృద్ధి పోటెజ్ 27, పోటెజ్ 15 ల యొక్క ప్రాధమిక వినియోగదారు 1923 చివరి నుండి ఫ్రెంచ్ వైమానిక దళం. ప్రధాన వినియోగదారు పోలిష్ వైమానిక దళం అయ్యారు 110 విమానాలు మరియు 135 పోలాండ్‌లో తయారు చేయబడ్డాయి. పోలిష్ వైమాన"&amp;"ిక దళంలో, వాటిని 1924 చివరి నుండి ఉపయోగించారు. పోరాట విభాగాల నుండి వారు ఉపసంహరించుకోవడం 1927 లో ప్రారంభమైంది, తరువాత వాటిని 1930 ల మధ్య వరకు శిక్షణ కోసం ఉపయోగించారు. 120 విమానాలను రొమేనియా, 12, స్పెయిన్‌కు, ఎనిమిది డెన్మార్క్‌కు విక్రయించారు. ఆరు పోటెజ్ X"&amp;"VII లను బల్గేరియాకు విక్రయించారు. [1] 25 పోటెజ్ XV A.2 ను యుగోస్లేవియాలో ఉపయోగించారు. [2] ఇవి పోటెజ్ XV యొక్క ఇంజిన్, ఫ్యూజ్‌లేజ్, అండర్ క్యారేజ్ మరియు టెయిల్‌ఫిన్‌లను పంచుకున్నాయి, వాటిని కొత్త డిజైన్ నుండి రెక్కలు మరియు స్టెబిలైజర్‌లతో కలిపి 25. చెక్క న"&amp;"ిర్మాణ బైప్‌లేన్ స్థిర ల్యాండింగ్ గేర్‌తో. ఫ్రస్‌లేజ్ ఫ్రేమ్ చేయబడింది, ఫ్రంట్ ఇంజిన్ విభాగం కోసం మెటల్ కవరింగ్, మధ్యభాగం కోసం ప్లైవుడ్ కవరింగ్ మరియు తోక విభాగం కోసం కాన్వాస్ కవరింగ్. దీర్ఘచతురస్రాకార రెండు-స్పేర్ రెక్కలు, ప్లైవుడ్ (లీడింగ్ ఎడ్జ్) మరియు క"&amp;"ాన్వాస్ కవర్, సమాన వ్యవధి. ఇద్దరు సిబ్బంది, ఓపెన్ కాక్‌పిట్స్‌లో కలిసి కూర్చుని: ముందు పైలట్, వెనుక భాగంలో పరిశీలకుడు. సాంప్రదాయిక స్థిర ల్యాండింగ్ గేర్, సాధారణ స్ట్రెయిట్ ఇరుసు మరియు వెనుక స్కిడ్‌తో. ముందు ఇంజిన్, ల్యాండింగ్ గేర్ మధ్య ఫ్యూజ్‌లేజ్ క్రింద "&amp;"రెండు బారెల్-రకం వాటర్ లాంబ్లిన్ రేడియేటర్లు. రెండు-బ్లేడ్ చెక్క ప్రొపెల్లర్. ఫ్యూజ్‌లేజ్‌లో ఇంధన ట్యాంకులు. పైలట్‌లో ఒక స్థిర 7.7 మిమీ (.303 అంగుళాలు) విక్కర్స్ మెషిన్ గన్ ఇంటరప్టర్ గేర్‌తో ఉంది, పరిశీలకుడికి రింగ్ మౌంటుపై జంట 7.7 మిమీ (.303 అంగుళాలు) లూ"&amp;"యిస్ తుపాకులు ఉన్నాయి. పోల్స్కీ కాన్స్ట్రూక్జే లోట్నిక్జీ నుండి డేటా 1893-1939 [3] సాధారణ లక్షణాలు పనితీరు ఆయుధ సంబంధిత అభివృద్ధి సంబంధిత జాబితాలు")</f>
        <v>పోటెజ్ XV (తప్పుగా వ్రాసిన పోటెజ్ 15) ఒక ఫ్రెంచ్ సింగిల్-ఇంజిన్, రెండు-సీట్ల పరిశీలన బైప్‌లేన్, ఇది లూయిస్ కరోలర్ చేత ప్రైవేట్ వెంచర్‌గా రూపొందించబడింది మరియు పోటెజ్ చేత నిర్మించబడింది మరియు పోలాండ్‌లో లైసెన్స్ కింద నిర్మించబడింది. ఈ విమానం 1920 ల ప్రారంభంలో హెన్రీ కరోలర్ పోటెజ్ వర్క్స్‌లో రూపొందించబడింది. ఇది హెన్రీ పోటెజ్ మరియు కరోలర్ యొక్క మాజీ సంస్థ అయిన సోషియాట్ డి ఎట్యూడ్స్ ఏడొనాటిక్స్ నిర్మించిన ఫైటర్ సీ IV యొక్క అభివృద్ధి. అక్టోబర్ 1921 లో ఒక నమూనా ఎగురవేయబడింది మరియు ఆ సంవత్సరం పారిస్ ఎయిర్ షోలో చూపబడింది. ఇది స్థిరమైన టెయిల్స్కిడ్ ల్యాండింగ్ గేర్ మరియు ముక్కు-మౌంటెడ్ 276 కిలోవాట్ (370 హెచ్‌పి) లోరైన్ 12 డి ఇంజిన్‌తో సాంప్రదాయిక బైప్‌లేన్. ఇంజిన్ తరువాత 224 కిలోవాట్ల (300 హెచ్‌పి) రెనాల్ట్ 12FE చేత భర్తీ చేయబడింది. విజయవంతమైన మూల్యాంకనం తరువాత, ఈ విమానాన్ని ఏరోనటిక్ మిలిటియరే ఒక నిఘా విమానం అని ఆదేశించింది. మొట్టమొదటి విమానాన్ని 1923 చివరలో తయారు చేసి పంపిణీ చేశారు. సిరీస్ నిర్మించిన విమానం లోరైన్-డైట్రిచ్ 12 డిబి వి -12 ఇంజిన్లతో శక్తినిచ్చింది. 410 ఫ్రాన్స్‌లో నిర్మించారు. ఈ విమానం రెండు ప్రధాన సైనిక వైవిధ్యాలలో నిర్మించబడింది: పోటెజ్ XV A.2 నిఘా విమానం మరియు పోటెజ్ XV B.2 బాంబర్-రెకోనైసెన్స్ విమానం. ఫ్లోట్‌ప్లేన్ వేరియంట్ పోటెజ్ XV HO.2 యొక్క ఒకే నమూనా నిర్మించబడింది. 1923 యొక్క ఎగుమతి వేరియంట్ పోటెజ్ XVII కూడా ఉంది, అదే LD 12DB ఇంజిన్‌తో బల్గేరియా కోసం మాత్రమే నిర్మించబడింది. ఇప్పటికే 1923 లో, పోలాండ్ పోటెజ్ 15 కోసం లైసెన్స్ కొనుగోలు చేసి, వాటిని పోడ్లాస్కా వైట్వర్నియా సమోలోటవ్ (పిడబ్ల్యుఎస్, 35 1925 లో నిర్మించారు) మరియు ప్లేజ్ ఐ లాకివిచ్ ఎయిర్క్రాఫ్ట్ వర్క్స్ (100 1925-1926 లో నిర్మించారు) లో తయారు చేయడం ప్రారంభించింది. పోటెజ్ XV యొక్క అభివృద్ధి పోటెజ్ 27, పోటెజ్ 15 ల యొక్క ప్రాధమిక వినియోగదారు 1923 చివరి నుండి ఫ్రెంచ్ వైమానిక దళం. ప్రధాన వినియోగదారు పోలిష్ వైమానిక దళం అయ్యారు 110 విమానాలు మరియు 135 పోలాండ్‌లో తయారు చేయబడ్డాయి. పోలిష్ వైమానిక దళంలో, వాటిని 1924 చివరి నుండి ఉపయోగించారు. పోరాట విభాగాల నుండి వారు ఉపసంహరించుకోవడం 1927 లో ప్రారంభమైంది, తరువాత వాటిని 1930 ల మధ్య వరకు శిక్షణ కోసం ఉపయోగించారు. 120 విమానాలను రొమేనియా, 12, స్పెయిన్‌కు, ఎనిమిది డెన్మార్క్‌కు విక్రయించారు. ఆరు పోటెజ్ XVII లను బల్గేరియాకు విక్రయించారు. [1] 25 పోటెజ్ XV A.2 ను యుగోస్లేవియాలో ఉపయోగించారు. [2] ఇవి పోటెజ్ XV యొక్క ఇంజిన్, ఫ్యూజ్‌లేజ్, అండర్ క్యారేజ్ మరియు టెయిల్‌ఫిన్‌లను పంచుకున్నాయి, వాటిని కొత్త డిజైన్ నుండి రెక్కలు మరియు స్టెబిలైజర్‌లతో కలిపి 25. చెక్క నిర్మాణ బైప్‌లేన్ స్థిర ల్యాండింగ్ గేర్‌తో. ఫ్రస్‌లేజ్ ఫ్రేమ్ చేయబడింది, ఫ్రంట్ ఇంజిన్ విభాగం కోసం మెటల్ కవరింగ్, మధ్యభాగం కోసం ప్లైవుడ్ కవరింగ్ మరియు తోక విభాగం కోసం కాన్వాస్ కవరింగ్. దీర్ఘచతురస్రాకార రెండు-స్పేర్ రెక్కలు, ప్లైవుడ్ (లీడింగ్ ఎడ్జ్) మరియు కాన్వాస్ కవర్, సమాన వ్యవధి. ఇద్దరు సిబ్బంది, ఓపెన్ కాక్‌పిట్స్‌లో కలిసి కూర్చుని: ముందు పైలట్, వెనుక భాగంలో పరిశీలకుడు. సాంప్రదాయిక స్థిర ల్యాండింగ్ గేర్, సాధారణ స్ట్రెయిట్ ఇరుసు మరియు వెనుక స్కిడ్‌తో. ముందు ఇంజిన్, ల్యాండింగ్ గేర్ మధ్య ఫ్యూజ్‌లేజ్ క్రింద రెండు బారెల్-రకం వాటర్ లాంబ్లిన్ రేడియేటర్లు. రెండు-బ్లేడ్ చెక్క ప్రొపెల్లర్. ఫ్యూజ్‌లేజ్‌లో ఇంధన ట్యాంకులు. పైలట్‌లో ఒక స్థిర 7.7 మిమీ (.303 అంగుళాలు) విక్కర్స్ మెషిన్ గన్ ఇంటరప్టర్ గేర్‌తో ఉంది, పరిశీలకుడికి రింగ్ మౌంటుపై జంట 7.7 మిమీ (.303 అంగుళాలు) లూయిస్ తుపాకులు ఉన్నాయి. పోల్స్కీ కాన్స్ట్రూక్జే లోట్నిక్జీ నుండి డేటా 1893-1939 [3] సాధారణ లక్షణాలు పనితీరు ఆయుధ సంబంధిత అభివృద్ధి సంబంధిత జాబితాలు</v>
      </c>
      <c r="E117" s="1" t="s">
        <v>2175</v>
      </c>
      <c r="F117" s="1" t="s">
        <v>2176</v>
      </c>
      <c r="G117" s="1" t="str">
        <f>IFERROR(__xludf.DUMMYFUNCTION("GOOGLETRANSLATE(F:F, ""en"", ""te"")"),"నిఘా బాంబర్")</f>
        <v>నిఘా బాంబర్</v>
      </c>
      <c r="H117" s="1" t="s">
        <v>2177</v>
      </c>
      <c r="I117" s="1" t="s">
        <v>1934</v>
      </c>
      <c r="J117" s="1" t="str">
        <f>IFERROR(__xludf.DUMMYFUNCTION("GOOGLETRANSLATE(I:I, ""en"", ""te"")"),"పోటెజ్")</f>
        <v>పోటెజ్</v>
      </c>
      <c r="K117" s="4" t="s">
        <v>1935</v>
      </c>
      <c r="M117" s="2"/>
      <c r="O117" s="1">
        <v>687.0</v>
      </c>
      <c r="R117" s="1">
        <v>2.0</v>
      </c>
      <c r="T117" s="1" t="s">
        <v>252</v>
      </c>
      <c r="U117" s="1" t="s">
        <v>2178</v>
      </c>
      <c r="V117" s="1" t="s">
        <v>1466</v>
      </c>
      <c r="W117" s="1" t="s">
        <v>2179</v>
      </c>
      <c r="X117" s="1" t="s">
        <v>2180</v>
      </c>
      <c r="Z117" s="1" t="s">
        <v>2181</v>
      </c>
      <c r="AC117" s="1" t="s">
        <v>2182</v>
      </c>
      <c r="AD117" s="1" t="s">
        <v>2183</v>
      </c>
      <c r="AH117" s="1" t="s">
        <v>261</v>
      </c>
      <c r="AI117" s="1" t="s">
        <v>1639</v>
      </c>
      <c r="AL117" s="1" t="s">
        <v>2184</v>
      </c>
      <c r="AN117" s="1" t="s">
        <v>2185</v>
      </c>
      <c r="AO117" s="6">
        <v>7945.0</v>
      </c>
      <c r="AR117" s="1" t="s">
        <v>1719</v>
      </c>
      <c r="AX117" s="1">
        <v>1923.0</v>
      </c>
      <c r="BD117" s="1" t="s">
        <v>2186</v>
      </c>
      <c r="BJ117" s="1" t="s">
        <v>2187</v>
      </c>
      <c r="BO117" s="1" t="s">
        <v>2188</v>
      </c>
      <c r="BP117" s="1" t="s">
        <v>2189</v>
      </c>
      <c r="BS117" s="1" t="s">
        <v>2190</v>
      </c>
      <c r="CM117" s="1" t="s">
        <v>2191</v>
      </c>
    </row>
    <row r="118">
      <c r="A118" s="1" t="s">
        <v>2192</v>
      </c>
      <c r="B118" s="1" t="str">
        <f>IFERROR(__xludf.DUMMYFUNCTION("GOOGLETRANSLATE(A:A, ""en"", ""te"")"),"టక్కర్ XP-57")</f>
        <v>టక్కర్ XP-57</v>
      </c>
      <c r="C118" s="1" t="s">
        <v>2193</v>
      </c>
      <c r="D118" s="2" t="str">
        <f>IFERROR(__xludf.DUMMYFUNCTION("GOOGLETRANSLATE(C:C, ""en"", ""te"")"),"టక్కర్ ఎక్స్‌పి -57 అనేది తేలికపాటి ఫైటర్ యొక్క హోదా, దీనిని 1940 లో అమెరికా ఆర్మీ ఎయిర్ కార్ప్స్ (యుఎస్‌ఎఎసి) కు ప్రతిపాదించారు. దీనిని ""పీషూటర్"" అనే మారుపేరుతో, దీనిని ప్రెస్టన్ టక్కర్ ఆధ్వర్యంలో టక్కర్ ఏవియేషన్ కార్పొరేషన్ అభివృద్ధి చేసింది, తరువాత అ"&amp;"తను ప్రసిద్ది చెందాడు టక్కర్ '48 సెడాన్. బరువును తగ్గించడానికి, ఈ విమానం అల్యూమినియం స్కిన్ మరియు ప్లైవుడ్ రెక్కలతో స్టీల్ గొట్టపు చట్రాన్ని కలిగి ఉండాలి. ఇండీ 500 రేసింగ్ ఫేమ్ యొక్క హ్యారీ మిల్లెర్ రూపొందించిన ఇన్లైన్ -8 ఇంజిన్, పి -39 ఎయిరాకోబ్రా మాదిరి"&amp;"గానే కాన్ఫిగరేషన్‌లో పైలట్ వెనుక కూర్చోవడం. USAAC ఒకే XP-57 ప్రోటోటైప్‌ను ఆదేశించింది. ఏదేమైనా, సంస్థలో ఆర్థిక సమస్యల కారణంగా డిజైన్ ఆలస్యం అయినప్పుడు, ఒప్పందం కుదుర్చుకోవడానికి అనుమతించబడింది. USAAC పెద్ద యోధుల వైపు కదులుతున్నందున మరియు ప్రాజెక్ట్ పట్ల ఆ"&amp;"సక్తిని కోల్పోయినందున ఉత్పత్తి విమానం ఎప్పుడూ నిర్మించబడలేదు. సాధారణ లక్షణాలు పనితీరు ఆయుధాలు పోల్చదగిన పాత్ర, కాన్ఫిగరేషన్ మరియు ERA యొక్క ఆయుధ విమానం")</f>
        <v>టక్కర్ ఎక్స్‌పి -57 అనేది తేలికపాటి ఫైటర్ యొక్క హోదా, దీనిని 1940 లో అమెరికా ఆర్మీ ఎయిర్ కార్ప్స్ (యుఎస్‌ఎఎసి) కు ప్రతిపాదించారు. దీనిని "పీషూటర్" అనే మారుపేరుతో, దీనిని ప్రెస్టన్ టక్కర్ ఆధ్వర్యంలో టక్కర్ ఏవియేషన్ కార్పొరేషన్ అభివృద్ధి చేసింది, తరువాత అతను ప్రసిద్ది చెందాడు టక్కర్ '48 సెడాన్. బరువును తగ్గించడానికి, ఈ విమానం అల్యూమినియం స్కిన్ మరియు ప్లైవుడ్ రెక్కలతో స్టీల్ గొట్టపు చట్రాన్ని కలిగి ఉండాలి. ఇండీ 500 రేసింగ్ ఫేమ్ యొక్క హ్యారీ మిల్లెర్ రూపొందించిన ఇన్లైన్ -8 ఇంజిన్, పి -39 ఎయిరాకోబ్రా మాదిరిగానే కాన్ఫిగరేషన్‌లో పైలట్ వెనుక కూర్చోవడం. USAAC ఒకే XP-57 ప్రోటోటైప్‌ను ఆదేశించింది. ఏదేమైనా, సంస్థలో ఆర్థిక సమస్యల కారణంగా డిజైన్ ఆలస్యం అయినప్పుడు, ఒప్పందం కుదుర్చుకోవడానికి అనుమతించబడింది. USAAC పెద్ద యోధుల వైపు కదులుతున్నందున మరియు ప్రాజెక్ట్ పట్ల ఆసక్తిని కోల్పోయినందున ఉత్పత్తి విమానం ఎప్పుడూ నిర్మించబడలేదు. సాధారణ లక్షణాలు పనితీరు ఆయుధాలు పోల్చదగిన పాత్ర, కాన్ఫిగరేషన్ మరియు ERA యొక్క ఆయుధ విమానం</v>
      </c>
      <c r="E118" s="1" t="s">
        <v>2194</v>
      </c>
      <c r="F118" s="1" t="s">
        <v>1948</v>
      </c>
      <c r="G118" s="1" t="str">
        <f>IFERROR(__xludf.DUMMYFUNCTION("GOOGLETRANSLATE(F:F, ""en"", ""te"")"),"యుద్ధ")</f>
        <v>యుద్ధ</v>
      </c>
      <c r="I118" s="1" t="s">
        <v>2195</v>
      </c>
      <c r="J118" s="1" t="str">
        <f>IFERROR(__xludf.DUMMYFUNCTION("GOOGLETRANSLATE(I:I, ""en"", ""te"")"),"టక్కర్ ఏవియేషన్ కార్పొరేషన్")</f>
        <v>టక్కర్ ఏవియేషన్ కార్పొరేషన్</v>
      </c>
      <c r="K118" s="1" t="s">
        <v>2196</v>
      </c>
      <c r="L118" s="1" t="s">
        <v>2197</v>
      </c>
      <c r="M118" s="2" t="str">
        <f>IFERROR(__xludf.DUMMYFUNCTION("GOOGLETRANSLATE(L:L, ""en"", ""te"")"),"ప్రెస్టన్ టక్కర్")</f>
        <v>ప్రెస్టన్ టక్కర్</v>
      </c>
      <c r="N118" s="1" t="s">
        <v>2198</v>
      </c>
      <c r="O118" s="1" t="s">
        <v>1850</v>
      </c>
      <c r="AS118" s="1" t="s">
        <v>2199</v>
      </c>
    </row>
    <row r="119">
      <c r="A119" s="1" t="s">
        <v>2200</v>
      </c>
      <c r="B119" s="1" t="str">
        <f>IFERROR(__xludf.DUMMYFUNCTION("GOOGLETRANSLATE(A:A, ""en"", ""te"")"),"ముస్తాంగ్ ఏరోనాటిక్స్ మిడ్జెట్ ముస్తాంగ్")</f>
        <v>ముస్తాంగ్ ఏరోనాటిక్స్ మిడ్జెట్ ముస్తాంగ్</v>
      </c>
      <c r="C119" s="1" t="s">
        <v>2201</v>
      </c>
      <c r="D119" s="2" t="str">
        <f>IFERROR(__xludf.DUMMYFUNCTION("GOOGLETRANSLATE(C:C, ""en"", ""te"")"),"ముస్తాంగ్ ఏరోనాటిక్స్ మిడ్జెట్ ముస్తాంగ్ MM-1 అనేది హోమ్‌బిల్డింగ్ కోసం అమెరికాలో అభివృద్ధి చేయబడిన మరియు విక్రయించబడిన సింగిల్-సీట్ ఏరోబాటిక్ స్పోర్ట్స్ విమానం. [1] [2] దీనిని లాంగ్ మిడ్జెట్ అని కూడా అంటారు. ఇది ముస్తాంగ్ II కి పూర్వీకుడు, దీనిని బుష్బీ "&amp;"ముస్తాంగ్ అని కూడా పిలుస్తారు. మిడ్జెట్ ముస్తాంగ్ మరియు ముస్తాంగ్ II రెండింటికీ హక్కులు 1992 లో ముస్తాంగ్ ఏరోనాటిక్స్ కు విక్రయించబడ్డాయి. [3] ఇది లోహ నిర్మాణం యొక్క తక్కువ-వింగ్ కాంటిలివర్ మోనోప్లేన్, ప్రధానంగా 2024-టి 3 అల్యూమినియం మరియు చాలావరకు స్థిర "&amp;"టెయిల్‌వీల్ అండర్ క్యారేజీతో అమర్చబడి ఉంటాయి. 1948 లో పైపర్ ఇంజనీర్ డేవిడ్ లాంగ్ చేత అభివృద్ధి చేయబడిన, రెండు సంవత్సరాల తరువాత లాంగ్ మరణించిన సమయంలో ష్వీజర్ ద్వారా ఉత్పత్తి కోసం ప్రణాళికలు జరుగుతున్నాయి. అన్ని హక్కులు మరియు సాధనాలను 1959 లో రాబర్ట్ బుష్బీ"&amp;" కొనుగోలు చేశారు, వారు 90 హెచ్‌పి కాంటినెంటల్ శక్తితో కూడిన ఉదాహరణను నిర్మించారు మరియు 1992 వరకు ప్రణాళికలు మరియు వస్తు సామగ్రిని విక్రయించారు [4] ముస్తాంగ్ ఏరోనాటిక్స్‌కు హక్కులు విక్రయించే వరకు. మిడ్జెట్ ముస్తాంగ్ డిజైన్ 2016 లో విక్రయించబడుతోంది అసలు మ"&amp;"ాదిరిగానే ఉంటుంది, ఎగువ టెయిల్‌కోన్ యొక్క సరళ రేఖ స్థానంలో బబుల్ పందిరితో నిర్మించే అవకాశం మరియు లాంగ్ యొక్క అసలు డిజైన్ యొక్క అతుక్కొని పందిరి, ఇది M-IA గా మారుతుంది. [ 5] నిర్మాణానికి సుమారు 1000 గంటల బిల్డర్ సమయం అవసరం. [6] [7] [8] మిడ్జెట్ ముస్తాంగ్ ఎ"&amp;"యిర్ రేసింగ్ కోసం ఉద్దేశించబడింది. డేవిడ్ లాంగ్ 1948 లో క్లీవ్‌ల్యాండ్ ఎయిర్ రేస్‌లో ఒక స్నేహితుడిని ఉపయోగించటానికి ఒక విమానాన్ని రూపొందించాడు. ఆ విమానం చాలా కాలం నిర్మించబడింది మరియు దీనికి ""పీ షూటర్"" అని పేరు పెట్టారు. మిడ్జెట్ ముస్తాంగ్ ఒక రేసు విమాన"&amp;"ంగా మధ్యస్తంగా విజయవంతమైంది. అయినప్పటికీ, దాని రూపాన్ని మరియు కావాల్సిన విమాన లక్షణాలు దీనిని ఆదర్శవంతమైన క్రీడా విమానంగా మార్చాయి. క్లీవ్‌ల్యాండ్ రేసులో, రేసర్లు విమానంలో ""మమ్మీ"", ""మిస్ ఫోర్ట్ వర్త్"" మరియు ""స్లో పోక్"" వంటి పేర్లతో పోటీ పడ్డారు. కాల"&amp;"క్రమేణా, ఎయిర్ రేసర్లు ఈ విమానం 181 mph (291 కిమీ/గం) వేగంతో పోటీలో చేరుకున్నాయి. [9] ఈ రోజుల్లో, మిడ్జెట్ ముస్తాంగ్ 240 mph వద్ద క్రూజ్ చేయవచ్చు. జేన్ యొక్క అన్ని ప్రపంచ విమానాల నుండి డేటా 1982–83 [12] పోల్చదగిన పాత్ర, కాన్ఫిగరేషన్ మరియు ERA యొక్క సాధారణ"&amp;" లక్షణాల పనితీరు విమానం")</f>
        <v>ముస్తాంగ్ ఏరోనాటిక్స్ మిడ్జెట్ ముస్తాంగ్ MM-1 అనేది హోమ్‌బిల్డింగ్ కోసం అమెరికాలో అభివృద్ధి చేయబడిన మరియు విక్రయించబడిన సింగిల్-సీట్ ఏరోబాటిక్ స్పోర్ట్స్ విమానం. [1] [2] దీనిని లాంగ్ మిడ్జెట్ అని కూడా అంటారు. ఇది ముస్తాంగ్ II కి పూర్వీకుడు, దీనిని బుష్బీ ముస్తాంగ్ అని కూడా పిలుస్తారు. మిడ్జెట్ ముస్తాంగ్ మరియు ముస్తాంగ్ II రెండింటికీ హక్కులు 1992 లో ముస్తాంగ్ ఏరోనాటిక్స్ కు విక్రయించబడ్డాయి. [3] ఇది లోహ నిర్మాణం యొక్క తక్కువ-వింగ్ కాంటిలివర్ మోనోప్లేన్, ప్రధానంగా 2024-టి 3 అల్యూమినియం మరియు చాలావరకు స్థిర టెయిల్‌వీల్ అండర్ క్యారేజీతో అమర్చబడి ఉంటాయి. 1948 లో పైపర్ ఇంజనీర్ డేవిడ్ లాంగ్ చేత అభివృద్ధి చేయబడిన, రెండు సంవత్సరాల తరువాత లాంగ్ మరణించిన సమయంలో ష్వీజర్ ద్వారా ఉత్పత్తి కోసం ప్రణాళికలు జరుగుతున్నాయి. అన్ని హక్కులు మరియు సాధనాలను 1959 లో రాబర్ట్ బుష్బీ కొనుగోలు చేశారు, వారు 90 హెచ్‌పి కాంటినెంటల్ శక్తితో కూడిన ఉదాహరణను నిర్మించారు మరియు 1992 వరకు ప్రణాళికలు మరియు వస్తు సామగ్రిని విక్రయించారు [4] ముస్తాంగ్ ఏరోనాటిక్స్‌కు హక్కులు విక్రయించే వరకు. మిడ్జెట్ ముస్తాంగ్ డిజైన్ 2016 లో విక్రయించబడుతోంది అసలు మాదిరిగానే ఉంటుంది, ఎగువ టెయిల్‌కోన్ యొక్క సరళ రేఖ స్థానంలో బబుల్ పందిరితో నిర్మించే అవకాశం మరియు లాంగ్ యొక్క అసలు డిజైన్ యొక్క అతుక్కొని పందిరి, ఇది M-IA గా మారుతుంది. [ 5] నిర్మాణానికి సుమారు 1000 గంటల బిల్డర్ సమయం అవసరం. [6] [7] [8] మిడ్జెట్ ముస్తాంగ్ ఎయిర్ రేసింగ్ కోసం ఉద్దేశించబడింది. డేవిడ్ లాంగ్ 1948 లో క్లీవ్‌ల్యాండ్ ఎయిర్ రేస్‌లో ఒక స్నేహితుడిని ఉపయోగించటానికి ఒక విమానాన్ని రూపొందించాడు. ఆ విమానం చాలా కాలం నిర్మించబడింది మరియు దీనికి "పీ షూటర్" అని పేరు పెట్టారు. మిడ్జెట్ ముస్తాంగ్ ఒక రేసు విమానంగా మధ్యస్తంగా విజయవంతమైంది. అయినప్పటికీ, దాని రూపాన్ని మరియు కావాల్సిన విమాన లక్షణాలు దీనిని ఆదర్శవంతమైన క్రీడా విమానంగా మార్చాయి. క్లీవ్‌ల్యాండ్ రేసులో, రేసర్లు విమానంలో "మమ్మీ", "మిస్ ఫోర్ట్ వర్త్" మరియు "స్లో పోక్" వంటి పేర్లతో పోటీ పడ్డారు. కాలక్రమేణా, ఎయిర్ రేసర్లు ఈ విమానం 181 mph (291 కిమీ/గం) వేగంతో పోటీలో చేరుకున్నాయి. [9] ఈ రోజుల్లో, మిడ్జెట్ ముస్తాంగ్ 240 mph వద్ద క్రూజ్ చేయవచ్చు. జేన్ యొక్క అన్ని ప్రపంచ విమానాల నుండి డేటా 1982–83 [12] పోల్చదగిన పాత్ర, కాన్ఫిగరేషన్ మరియు ERA యొక్క సాధారణ లక్షణాల పనితీరు విమానం</v>
      </c>
      <c r="E119" s="1" t="s">
        <v>2202</v>
      </c>
      <c r="F119" s="1" t="s">
        <v>2203</v>
      </c>
      <c r="G119" s="1" t="str">
        <f>IFERROR(__xludf.DUMMYFUNCTION("GOOGLETRANSLATE(F:F, ""en"", ""te"")"),"ఏరోబాటిక్ స్పోర్ట్స్ ప్లేన్")</f>
        <v>ఏరోబాటిక్ స్పోర్ట్స్ ప్లేన్</v>
      </c>
      <c r="I119" s="1" t="s">
        <v>2204</v>
      </c>
      <c r="J119" s="1" t="str">
        <f>IFERROR(__xludf.DUMMYFUNCTION("GOOGLETRANSLATE(I:I, ""en"", ""te"")"),"హోమ్‌బిల్డింగ్ కోసం ముస్తాంగ్ ఏరోనాటిక్స్")</f>
        <v>హోమ్‌బిల్డింగ్ కోసం ముస్తాంగ్ ఏరోనాటిక్స్</v>
      </c>
      <c r="K119" s="1" t="s">
        <v>2205</v>
      </c>
      <c r="L119" s="1" t="s">
        <v>2206</v>
      </c>
      <c r="M119" s="2" t="str">
        <f>IFERROR(__xludf.DUMMYFUNCTION("GOOGLETRANSLATE(L:L, ""en"", ""te"")"),"డేవిడ్ లాంగ్")</f>
        <v>డేవిడ్ లాంగ్</v>
      </c>
      <c r="O119" s="1" t="s">
        <v>2207</v>
      </c>
      <c r="R119" s="1" t="s">
        <v>1219</v>
      </c>
      <c r="T119" s="1" t="s">
        <v>2208</v>
      </c>
      <c r="U119" s="1" t="s">
        <v>2209</v>
      </c>
      <c r="V119" s="1" t="s">
        <v>2210</v>
      </c>
      <c r="W119" s="1" t="s">
        <v>2211</v>
      </c>
      <c r="X119" s="1" t="s">
        <v>2212</v>
      </c>
      <c r="Z119" s="1" t="s">
        <v>2213</v>
      </c>
      <c r="AA119" s="1" t="s">
        <v>2214</v>
      </c>
      <c r="AC119" s="1" t="s">
        <v>2215</v>
      </c>
      <c r="AD119" s="1" t="s">
        <v>2216</v>
      </c>
      <c r="AH119" s="1" t="s">
        <v>261</v>
      </c>
      <c r="AI119" s="1" t="s">
        <v>2217</v>
      </c>
      <c r="AL119" s="1" t="s">
        <v>2218</v>
      </c>
      <c r="AN119" s="1" t="s">
        <v>2219</v>
      </c>
      <c r="AO119" s="1">
        <v>1948.0</v>
      </c>
      <c r="AS119" s="1" t="s">
        <v>2220</v>
      </c>
    </row>
    <row r="120">
      <c r="A120" s="1" t="s">
        <v>2221</v>
      </c>
      <c r="B120" s="1" t="str">
        <f>IFERROR(__xludf.DUMMYFUNCTION("GOOGLETRANSLATE(A:A, ""en"", ""te"")"),"మిచెల్ వింగ్ బి -10")</f>
        <v>మిచెల్ వింగ్ బి -10</v>
      </c>
      <c r="C120" s="1" t="s">
        <v>2222</v>
      </c>
      <c r="D120" s="2" t="str">
        <f>IFERROR(__xludf.DUMMYFUNCTION("GOOGLETRANSLATE(C:C, ""en"", ""te"")"),"మిచెల్ వింగ్ బి -10 అనేది ఒక అమెరికన్ హై-వింగ్, ఓపెన్ కాక్‌పిట్, సింగిల్-సీట్ అల్ట్రాలైట్ విమానం మరియు డాన్ మిచెల్ రూపొందించిన మోటారు గ్లైడర్ మరియు అతని మిచెల్ వింగ్ హాంగ్-గ్లైడర్ ఆధారంగా. దీనిని కిట్స్ రూపంలో వివిధ రకాల కంపెనీలు ఉత్పత్తి చేశాయి మరియు te "&amp;"త్సాహిక నిర్మాణం కోసం ప్రణాళికలు. [1] [2] 2012 లో ఈ విమానం ఇప్పటికీ ప్రణాళికలు మరియు కొన్ని పదార్థాల రూపంలో అందుబాటులో ఉంది, దీనిని కాలిఫోర్నియాలోని ఫ్రెస్నోకు చెందిన పసిఫిక్ అందించారు. [1] మిచెల్ వింగ్ మంచి పెరిగే పనితీరుతో ఫుట్-లాంచ్ హాంగ్ గ్లైడర్‌గా ప్"&amp;"రారంభమైంది. మిచెల్ తరువాత డిజైన్‌ను శక్తితో కూడిన అల్ట్రాలైట్ విమానంగా చక్రాల ట్రైసైకిల్ ల్యాండింగ్ గేర్‌తో బి -10 అని పిలుస్తారు. B-10F అనేది రెండు చక్రాలతో కూడిన ఫుట్-లాంచ్ వేరియంట్. [2] వర్గం యొక్క గరిష్ట ఖాళీ బరువు 254 పౌండ్లు (115 కిలోలు) తో సహా యుఎస"&amp;"్ ఫార్ 103 అల్ట్రాలైట్ వెహికల్స్ నిబంధనలకు అనుగుణంగా బి -10 రూపొందించబడింది. ఈ విమానం ప్రామాణిక ఖాళీ బరువు 245 lb (111 kg). [1] B-10 యొక్క ఫ్యూజ్‌లేజ్ అల్యూమినియం గొట్టాల నుండి తయారవుతుంది, అయితే రెక్కలో బిర్చ్ ప్లైవుడ్ డి-సెల్ ప్రముఖ అంచు మరియు నురుగు పక"&amp;"్కటెముకలు ఉన్నాయి, వీటిని డాక్రాన్ సెయిల్‌క్లాత్ లేదా డోప్డ్ ఎయిర్‌క్రాఫ్ట్ ఫాబ్రిక్‌తో కప్పారు. టైలెస్ వింగ్ మూడు వేరియంట్లకు సాధారణం. [2] ఇది దెబ్బతిన్న మరియు తేలికగా కొట్టుకుపోతుంది, ఇది NACA 23015 ఎయిర్‌ఫాయిల్‌ను ఉపయోగిస్తుంది. ఇది 36 అడుగుల (11.0 మీ)"&amp;" స్పాన్ వింగ్, 136 చదరపు అడుగుల విస్తీర్ణం, 8: 1 యొక్క కారక నిష్పత్తి. 8.5 అడుగుల (2.6 మీ) అవుట్‌బోర్డ్ వింగ్ ప్యానెల్స్‌లో 6 డిగ్రీల డైహెడ్రల్ ఉంటుంది మరియు వింగ్ మొత్తం 12 డిగ్రీల స్వీప్ కలిగి ఉంటుంది. నియంత్రణలు సాంప్రదాయిక మూడు అక్షాలు, వీటిలో వెనుకంజ"&amp;"లో ఉన్న ఎలివన్లు మరియు వింగ్ చిట్కా మౌంటెడ్ నిలువు రడ్డర్లు, మరియు టాప్-మౌంటెడ్ సెంటర్ స్టిక్ ద్వారా పనిచేస్తాయి. పైలట్ సీటు వెనుక అమర్చబడిన పషర్ కాన్ఫిగరేషన్‌లో ఒకే ఇంజిన్ ద్వారా శక్తి అందించబడుతుంది. 20 నుండి 30 హెచ్‌పి (15 నుండి 22 కిలోవాట్ల) పరిధిలోని"&amp;" చిన్న ఇంజిన్‌లను ఉపయోగించవచ్చు: ప్రోటోటైప్‌ను 12 హెచ్‌పి (9 కిలోవాట్ల) మెక్‌కలోచ్ ఎంసి 101 తో అమర్చారు, క్రిస్లర్ వెస్ట్ బెండ్ మరియు మెక్‌కలోచ్ రెండు-స్ట్రోక్‌లను సిఫారసు చేయబడ్డాయి. [2] [ సంపన్న మరియు 22 హెచ్‌పి (16 కిలోవాట్) యొక్క జెనోవా జి -25 అమర్చార"&amp;"ు. [సైటేషన్ అవసరం] సరఫరా చేసిన ప్రణాళికలకు నిర్మాణ సమయం 500 గంటలు అంచనా వేయబడింది. [1] భూమి రవాణా లేదా నిల్వ కోసం B-10 ను త్వరగా విడదీయవచ్చు. బయటి వింగ్ ప్యానెల్లు మడవబడతాయి లేదా తొలగించబడతాయి, ఫ్యూజ్‌లేజ్ కేజ్ వేరు చేయగలిగినది మరియు చిట్కా రడ్డర్లు త్వరగ"&amp;"ా తొలగించబడతాయి. [3] B-10 తరువాత A-10 మరియు రెండు-సీట్ల T-10 మరియు మిడ్-వింగ్ మిచెల్ U-2 సూపర్‌వింగ్‌గా అభివృద్ధి చేయబడింది. వరల్డ్ డైరెక్టరీ ఆఫ్ లీజర్ ఏవియేషన్ 2011-12 మరియు యుఎస్ పసిఫిక్ [1] [5] సాధారణ లక్షణాల పనితీరు నుండి డేటా")</f>
        <v>మిచెల్ వింగ్ బి -10 అనేది ఒక అమెరికన్ హై-వింగ్, ఓపెన్ కాక్‌పిట్, సింగిల్-సీట్ అల్ట్రాలైట్ విమానం మరియు డాన్ మిచెల్ రూపొందించిన మోటారు గ్లైడర్ మరియు అతని మిచెల్ వింగ్ హాంగ్-గ్లైడర్ ఆధారంగా. దీనిని కిట్స్ రూపంలో వివిధ రకాల కంపెనీలు ఉత్పత్తి చేశాయి మరియు te త్సాహిక నిర్మాణం కోసం ప్రణాళికలు. [1] [2] 2012 లో ఈ విమానం ఇప్పటికీ ప్రణాళికలు మరియు కొన్ని పదార్థాల రూపంలో అందుబాటులో ఉంది, దీనిని కాలిఫోర్నియాలోని ఫ్రెస్నోకు చెందిన పసిఫిక్ అందించారు. [1] మిచెల్ వింగ్ మంచి పెరిగే పనితీరుతో ఫుట్-లాంచ్ హాంగ్ గ్లైడర్‌గా ప్రారంభమైంది. మిచెల్ తరువాత డిజైన్‌ను శక్తితో కూడిన అల్ట్రాలైట్ విమానంగా చక్రాల ట్రైసైకిల్ ల్యాండింగ్ గేర్‌తో బి -10 అని పిలుస్తారు. B-10F అనేది రెండు చక్రాలతో కూడిన ఫుట్-లాంచ్ వేరియంట్. [2] వర్గం యొక్క గరిష్ట ఖాళీ బరువు 254 పౌండ్లు (115 కిలోలు) తో సహా యుఎస్ ఫార్ 103 అల్ట్రాలైట్ వెహికల్స్ నిబంధనలకు అనుగుణంగా బి -10 రూపొందించబడింది. ఈ విమానం ప్రామాణిక ఖాళీ బరువు 245 lb (111 kg). [1] B-10 యొక్క ఫ్యూజ్‌లేజ్ అల్యూమినియం గొట్టాల నుండి తయారవుతుంది, అయితే రెక్కలో బిర్చ్ ప్లైవుడ్ డి-సెల్ ప్రముఖ అంచు మరియు నురుగు పక్కటెముకలు ఉన్నాయి, వీటిని డాక్రాన్ సెయిల్‌క్లాత్ లేదా డోప్డ్ ఎయిర్‌క్రాఫ్ట్ ఫాబ్రిక్‌తో కప్పారు. టైలెస్ వింగ్ మూడు వేరియంట్లకు సాధారణం. [2] ఇది దెబ్బతిన్న మరియు తేలికగా కొట్టుకుపోతుంది, ఇది NACA 23015 ఎయిర్‌ఫాయిల్‌ను ఉపయోగిస్తుంది. ఇది 36 అడుగుల (11.0 మీ) స్పాన్ వింగ్, 136 చదరపు అడుగుల విస్తీర్ణం, 8: 1 యొక్క కారక నిష్పత్తి. 8.5 అడుగుల (2.6 మీ) అవుట్‌బోర్డ్ వింగ్ ప్యానెల్స్‌లో 6 డిగ్రీల డైహెడ్రల్ ఉంటుంది మరియు వింగ్ మొత్తం 12 డిగ్రీల స్వీప్ కలిగి ఉంటుంది. నియంత్రణలు సాంప్రదాయిక మూడు అక్షాలు, వీటిలో వెనుకంజలో ఉన్న ఎలివన్లు మరియు వింగ్ చిట్కా మౌంటెడ్ నిలువు రడ్డర్లు, మరియు టాప్-మౌంటెడ్ సెంటర్ స్టిక్ ద్వారా పనిచేస్తాయి. పైలట్ సీటు వెనుక అమర్చబడిన పషర్ కాన్ఫిగరేషన్‌లో ఒకే ఇంజిన్ ద్వారా శక్తి అందించబడుతుంది. 20 నుండి 30 హెచ్‌పి (15 నుండి 22 కిలోవాట్ల) పరిధిలోని చిన్న ఇంజిన్‌లను ఉపయోగించవచ్చు: ప్రోటోటైప్‌ను 12 హెచ్‌పి (9 కిలోవాట్ల) మెక్‌కలోచ్ ఎంసి 101 తో అమర్చారు, క్రిస్లర్ వెస్ట్ బెండ్ మరియు మెక్‌కలోచ్ రెండు-స్ట్రోక్‌లను సిఫారసు చేయబడ్డాయి. [2] [ సంపన్న మరియు 22 హెచ్‌పి (16 కిలోవాట్) యొక్క జెనోవా జి -25 అమర్చారు. [సైటేషన్ అవసరం] సరఫరా చేసిన ప్రణాళికలకు నిర్మాణ సమయం 500 గంటలు అంచనా వేయబడింది. [1] భూమి రవాణా లేదా నిల్వ కోసం B-10 ను త్వరగా విడదీయవచ్చు. బయటి వింగ్ ప్యానెల్లు మడవబడతాయి లేదా తొలగించబడతాయి, ఫ్యూజ్‌లేజ్ కేజ్ వేరు చేయగలిగినది మరియు చిట్కా రడ్డర్లు త్వరగా తొలగించబడతాయి. [3] B-10 తరువాత A-10 మరియు రెండు-సీట్ల T-10 మరియు మిడ్-వింగ్ మిచెల్ U-2 సూపర్‌వింగ్‌గా అభివృద్ధి చేయబడింది. వరల్డ్ డైరెక్టరీ ఆఫ్ లీజర్ ఏవియేషన్ 2011-12 మరియు యుఎస్ పసిఫిక్ [1] [5] సాధారణ లక్షణాల పనితీరు నుండి డేటా</v>
      </c>
      <c r="E120" s="1" t="s">
        <v>2223</v>
      </c>
      <c r="F120" s="1" t="s">
        <v>2224</v>
      </c>
      <c r="G120" s="1" t="str">
        <f>IFERROR(__xludf.DUMMYFUNCTION("GOOGLETRANSLATE(F:F, ""en"", ""te"")"),"అల్ట్రాలైట్ విమానం మరియు మోటారు గ్లైడర్")</f>
        <v>అల్ట్రాలైట్ విమానం మరియు మోటారు గ్లైడర్</v>
      </c>
      <c r="H120" s="1" t="s">
        <v>2225</v>
      </c>
      <c r="I120" s="1" t="s">
        <v>2226</v>
      </c>
      <c r="J120" s="1" t="str">
        <f>IFERROR(__xludf.DUMMYFUNCTION("GOOGLETRANSLATE(I:I, ""en"", ""te"")"),"మాకు పసిఫిక్")</f>
        <v>మాకు పసిఫిక్</v>
      </c>
      <c r="K120" s="1" t="s">
        <v>2227</v>
      </c>
      <c r="L120" s="1" t="s">
        <v>2228</v>
      </c>
      <c r="M120" s="2" t="str">
        <f>IFERROR(__xludf.DUMMYFUNCTION("GOOGLETRANSLATE(L:L, ""en"", ""te"")"),"డాన్ మిచెల్")</f>
        <v>డాన్ మిచెల్</v>
      </c>
      <c r="N120" s="1" t="s">
        <v>2229</v>
      </c>
      <c r="R120" s="1" t="s">
        <v>222</v>
      </c>
      <c r="T120" s="1" t="s">
        <v>2102</v>
      </c>
      <c r="U120" s="1" t="s">
        <v>2230</v>
      </c>
      <c r="V120" s="1" t="s">
        <v>2231</v>
      </c>
      <c r="W120" s="1" t="s">
        <v>2232</v>
      </c>
      <c r="X120" s="1" t="s">
        <v>2233</v>
      </c>
      <c r="Z120" s="1" t="s">
        <v>2234</v>
      </c>
      <c r="AA120" s="1" t="s">
        <v>556</v>
      </c>
      <c r="AB120" s="1" t="s">
        <v>2235</v>
      </c>
      <c r="AD120" s="1" t="s">
        <v>2236</v>
      </c>
      <c r="AF120" s="1" t="s">
        <v>206</v>
      </c>
      <c r="AG120" s="4" t="s">
        <v>207</v>
      </c>
      <c r="AH120" s="1" t="s">
        <v>2237</v>
      </c>
      <c r="AI120" s="1" t="s">
        <v>2238</v>
      </c>
      <c r="AJ120" s="1" t="s">
        <v>2239</v>
      </c>
      <c r="AK120" s="1" t="s">
        <v>2240</v>
      </c>
      <c r="AL120" s="1" t="s">
        <v>2241</v>
      </c>
      <c r="AN120" s="1" t="s">
        <v>2242</v>
      </c>
      <c r="AR120" s="1" t="s">
        <v>2243</v>
      </c>
      <c r="AS120" s="1" t="s">
        <v>470</v>
      </c>
      <c r="AT120" s="1" t="s">
        <v>2244</v>
      </c>
      <c r="AU120" s="1" t="s">
        <v>2245</v>
      </c>
      <c r="AW120" s="1">
        <v>16.0</v>
      </c>
      <c r="AX120" s="1" t="s">
        <v>2246</v>
      </c>
      <c r="BD120" s="1" t="s">
        <v>2247</v>
      </c>
      <c r="BE120" s="1">
        <v>8.0</v>
      </c>
    </row>
    <row r="121">
      <c r="A121" s="1" t="s">
        <v>2248</v>
      </c>
      <c r="B121" s="1" t="str">
        <f>IFERROR(__xludf.DUMMYFUNCTION("GOOGLETRANSLATE(A:A, ""en"", ""te"")"),"ముస్తాంగ్ ఏరోనాటిక్స్ ముస్తాంగ్ II")</f>
        <v>ముస్తాంగ్ ఏరోనాటిక్స్ ముస్తాంగ్ II</v>
      </c>
      <c r="C121" s="1" t="s">
        <v>2249</v>
      </c>
      <c r="D121" s="2" t="str">
        <f>IFERROR(__xludf.DUMMYFUNCTION("GOOGLETRANSLATE(C:C, ""en"", ""te"")"),"ముస్తాంగ్ ఏరోనాటిక్స్ ముస్తాంగ్ II అనేది రెండు-సీట్ల ఏరోబాటిక్ స్పోర్ట్స్ విమానం, ఇది అమెరికాలో హోమ్‌బిల్డింగ్ కోసం అభివృద్ధి చేయబడింది మరియు విక్రయించబడింది. [1] [2] [3] రాబర్ట్ బుష్బీ 1959 లో లాంగ్ మిడ్జెట్ ముస్తాంగ్ హక్కులను సంపాదించాడు మరియు నాలుగు సం"&amp;"వత్సరాల తరువాత రెండు-సీట్ల, పక్కపక్కనే వెర్షన్ అభివృద్ధిని ప్రారంభించాడు. ఇది చివరికి 1966 లో ప్రయాణించింది మరియు తరువాత ప్రణాళికలు అందుబాటులో ఉన్నాయి. [4] మిడ్జెట్ ముస్తాంగ్ మరియు ముస్తాంగ్ II రెండింటికీ హక్కులు 1992 లో ముస్తాంగ్ ఏరోనాటిక్స్ కు విక్రయించ"&amp;"బడ్డాయి. [5] ట్రాక్టర్ కాన్ఫిగరేషన్ విమానంలో ఒకే ఇంజిన్, ముస్తాంగ్ II కాంటిలివర్ లో-వింగ్, రెండు-సీట్ల-సైడ్-సైడ్ కాన్ఫిగరేషన్ కలిగి ఉంది బబుల్ పందిరి, స్థిర సాంప్రదాయ ల్యాండింగ్ గేర్, లేదా, ఐచ్ఛికంగా, ట్రైసైకిల్ ల్యాండింగ్ గేర్ కింద పరివేష్టిత కాక్‌పిట్. "&amp;"[2] [3] ఈ విమానం రివర్టెడ్ షీట్ అల్యూమినియం నుండి గుండ్రని తాబేలు డెక్ మరియు చదునైన వైపులా మరియు దిగువ తొక్కలతో తయారు చేయబడింది. [6] దాని 24.2 అడుగుల (7.4 మీ) స్పాన్ వింగ్ వింగ్ రూట్ వద్ద NACA 64A212 ఎయిర్‌ఫాయిల్‌ను ఉపయోగిస్తుంది, ఇది వింగ్‌టిప్ వద్ద NACA"&amp;" 64A210 కు మారుతుంది. ఉపయోగించిన ప్రామాణిక ఇంజిన్లలో 150 నుండి 160 హెచ్‌పి (112 నుండి 119 కిలోవాట్) లైమింగ్ ఓ -320, 180 హెచ్‌పి (134 కిలోవాట్) లైమింగ్ ఓ -360 మరియు ఇంధన-ఇంజెక్ట్ చేసిన 200 హెచ్‌పి (149 కిలోవాట్ . [[2] [7] ప్రామాణిక ఇంధన సామర్థ్యం 25 యుఎస్ "&amp;"గ్యాలన్లు, కానీ ఐచ్ఛిక తడి రెక్కలు ఇంధన సామర్థ్యాన్ని 61 యుఎస్ గ్యాలన్లకు పెంచుతాయి. [8] అనేక ఇతర ఇంధన ట్యాంక్ ఎంపికలు అందుబాటులో ఉన్నాయి. [9] మడత వింగ్ ఎంపికను ఇన్‌స్టాల్ చేయవచ్చు. [10] సాధారణ లక్షణాల పనితీరు")</f>
        <v>ముస్తాంగ్ ఏరోనాటిక్స్ ముస్తాంగ్ II అనేది రెండు-సీట్ల ఏరోబాటిక్ స్పోర్ట్స్ విమానం, ఇది అమెరికాలో హోమ్‌బిల్డింగ్ కోసం అభివృద్ధి చేయబడింది మరియు విక్రయించబడింది. [1] [2] [3] రాబర్ట్ బుష్బీ 1959 లో లాంగ్ మిడ్జెట్ ముస్తాంగ్ హక్కులను సంపాదించాడు మరియు నాలుగు సంవత్సరాల తరువాత రెండు-సీట్ల, పక్కపక్కనే వెర్షన్ అభివృద్ధిని ప్రారంభించాడు. ఇది చివరికి 1966 లో ప్రయాణించింది మరియు తరువాత ప్రణాళికలు అందుబాటులో ఉన్నాయి. [4] మిడ్జెట్ ముస్తాంగ్ మరియు ముస్తాంగ్ II రెండింటికీ హక్కులు 1992 లో ముస్తాంగ్ ఏరోనాటిక్స్ కు విక్రయించబడ్డాయి. [5] ట్రాక్టర్ కాన్ఫిగరేషన్ విమానంలో ఒకే ఇంజిన్, ముస్తాంగ్ II కాంటిలివర్ లో-వింగ్, రెండు-సీట్ల-సైడ్-సైడ్ కాన్ఫిగరేషన్ కలిగి ఉంది బబుల్ పందిరి, స్థిర సాంప్రదాయ ల్యాండింగ్ గేర్, లేదా, ఐచ్ఛికంగా, ట్రైసైకిల్ ల్యాండింగ్ గేర్ కింద పరివేష్టిత కాక్‌పిట్. [2] [3] ఈ విమానం రివర్టెడ్ షీట్ అల్యూమినియం నుండి గుండ్రని తాబేలు డెక్ మరియు చదునైన వైపులా మరియు దిగువ తొక్కలతో తయారు చేయబడింది. [6] దాని 24.2 అడుగుల (7.4 మీ) స్పాన్ వింగ్ వింగ్ రూట్ వద్ద NACA 64A212 ఎయిర్‌ఫాయిల్‌ను ఉపయోగిస్తుంది, ఇది వింగ్‌టిప్ వద్ద NACA 64A210 కు మారుతుంది. ఉపయోగించిన ప్రామాణిక ఇంజిన్లలో 150 నుండి 160 హెచ్‌పి (112 నుండి 119 కిలోవాట్) లైమింగ్ ఓ -320, 180 హెచ్‌పి (134 కిలోవాట్) లైమింగ్ ఓ -360 మరియు ఇంధన-ఇంజెక్ట్ చేసిన 200 హెచ్‌పి (149 కిలోవాట్ . [[2] [7] ప్రామాణిక ఇంధన సామర్థ్యం 25 యుఎస్ గ్యాలన్లు, కానీ ఐచ్ఛిక తడి రెక్కలు ఇంధన సామర్థ్యాన్ని 61 యుఎస్ గ్యాలన్లకు పెంచుతాయి. [8] అనేక ఇతర ఇంధన ట్యాంక్ ఎంపికలు అందుబాటులో ఉన్నాయి. [9] మడత వింగ్ ఎంపికను ఇన్‌స్టాల్ చేయవచ్చు. [10] సాధారణ లక్షణాల పనితీరు</v>
      </c>
      <c r="E121" s="1" t="s">
        <v>2250</v>
      </c>
      <c r="F121" s="1" t="s">
        <v>2203</v>
      </c>
      <c r="G121" s="1" t="str">
        <f>IFERROR(__xludf.DUMMYFUNCTION("GOOGLETRANSLATE(F:F, ""en"", ""te"")"),"ఏరోబాటిక్ స్పోర్ట్స్ ప్లేన్")</f>
        <v>ఏరోబాటిక్ స్పోర్ట్స్ ప్లేన్</v>
      </c>
      <c r="I121" s="1" t="s">
        <v>2204</v>
      </c>
      <c r="J121" s="1" t="str">
        <f>IFERROR(__xludf.DUMMYFUNCTION("GOOGLETRANSLATE(I:I, ""en"", ""te"")"),"హోమ్‌బిల్డింగ్ కోసం ముస్తాంగ్ ఏరోనాటిక్స్")</f>
        <v>హోమ్‌బిల్డింగ్ కోసం ముస్తాంగ్ ఏరోనాటిక్స్</v>
      </c>
      <c r="K121" s="1" t="s">
        <v>2205</v>
      </c>
      <c r="L121" s="1" t="s">
        <v>2251</v>
      </c>
      <c r="M121" s="2" t="str">
        <f>IFERROR(__xludf.DUMMYFUNCTION("GOOGLETRANSLATE(L:L, ""en"", ""te"")"),"రాబర్ట్ బుష్బీ")</f>
        <v>రాబర్ట్ బుష్బీ</v>
      </c>
      <c r="N121" s="1" t="s">
        <v>2252</v>
      </c>
      <c r="R121" s="1" t="s">
        <v>1219</v>
      </c>
      <c r="S121" s="1" t="s">
        <v>2253</v>
      </c>
      <c r="T121" s="1" t="s">
        <v>2254</v>
      </c>
      <c r="U121" s="1" t="s">
        <v>2255</v>
      </c>
      <c r="V121" s="1" t="s">
        <v>2256</v>
      </c>
      <c r="W121" s="1" t="s">
        <v>2257</v>
      </c>
      <c r="X121" s="1" t="s">
        <v>2258</v>
      </c>
      <c r="Z121" s="1" t="s">
        <v>2259</v>
      </c>
      <c r="AC121" s="1" t="s">
        <v>2260</v>
      </c>
      <c r="AI121" s="1" t="s">
        <v>2261</v>
      </c>
      <c r="AL121" s="1" t="s">
        <v>2262</v>
      </c>
      <c r="AN121" s="1" t="s">
        <v>2263</v>
      </c>
      <c r="AO121" s="5">
        <v>24297.0</v>
      </c>
      <c r="AS121" s="1" t="s">
        <v>2220</v>
      </c>
      <c r="BJ121" s="1" t="s">
        <v>2264</v>
      </c>
    </row>
    <row r="122">
      <c r="A122" s="1" t="s">
        <v>2265</v>
      </c>
      <c r="B122" s="1" t="str">
        <f>IFERROR(__xludf.DUMMYFUNCTION("GOOGLETRANSLATE(A:A, ""en"", ""te"")"),"బ్లెరియోట్ xxvii")</f>
        <v>బ్లెరియోట్ xxvii</v>
      </c>
      <c r="C122" s="1" t="s">
        <v>2266</v>
      </c>
      <c r="D122" s="2" t="str">
        <f>IFERROR(__xludf.DUMMYFUNCTION("GOOGLETRANSLATE(C:C, ""en"", ""te"")"),"బ్లెరియోట్ XXVII అనేది మిడిల్-వింగ్, సింగిల్-సీట్ రేసింగ్ విమానం, లూయిస్ బ్లెరియోట్ రూపొందించారు. [1] సాధారణ లక్షణాల నుండి డేటా")</f>
        <v>బ్లెరియోట్ XXVII అనేది మిడిల్-వింగ్, సింగిల్-సీట్ రేసింగ్ విమానం, లూయిస్ బ్లెరియోట్ రూపొందించారు. [1] సాధారణ లక్షణాల నుండి డేటా</v>
      </c>
      <c r="E122" s="1" t="s">
        <v>2267</v>
      </c>
      <c r="F122" s="1" t="s">
        <v>2268</v>
      </c>
      <c r="G122" s="1" t="str">
        <f>IFERROR(__xludf.DUMMYFUNCTION("GOOGLETRANSLATE(F:F, ""en"", ""te"")"),"రేసర్ విమానం")</f>
        <v>రేసర్ విమానం</v>
      </c>
      <c r="I122" s="1" t="s">
        <v>2269</v>
      </c>
      <c r="J122" s="1" t="str">
        <f>IFERROR(__xludf.DUMMYFUNCTION("GOOGLETRANSLATE(I:I, ""en"", ""te"")"),"రీరెర్చ్ అరోనాటిక్ లూయిస్ బ్లెరియోట్")</f>
        <v>రీరెర్చ్ అరోనాటిక్ లూయిస్ బ్లెరియోట్</v>
      </c>
      <c r="K122" s="1" t="s">
        <v>2270</v>
      </c>
      <c r="M122" s="2"/>
      <c r="O122" s="1">
        <v>1.0</v>
      </c>
      <c r="R122" s="1">
        <v>1.0</v>
      </c>
      <c r="T122" s="1" t="s">
        <v>2271</v>
      </c>
      <c r="U122" s="1" t="s">
        <v>2272</v>
      </c>
      <c r="V122" s="1" t="s">
        <v>458</v>
      </c>
      <c r="X122" s="1" t="s">
        <v>381</v>
      </c>
      <c r="Z122" s="1" t="s">
        <v>2273</v>
      </c>
      <c r="AF122" s="1" t="s">
        <v>465</v>
      </c>
      <c r="AG122" s="4" t="s">
        <v>466</v>
      </c>
      <c r="AL122" s="1" t="s">
        <v>2274</v>
      </c>
      <c r="AO122" s="6">
        <v>4262.0</v>
      </c>
      <c r="AR122" s="1" t="s">
        <v>372</v>
      </c>
    </row>
    <row r="123">
      <c r="A123" s="1" t="s">
        <v>2275</v>
      </c>
      <c r="B123" s="1" t="str">
        <f>IFERROR(__xludf.DUMMYFUNCTION("GOOGLETRANSLATE(A:A, ""en"", ""te"")"),"నికి 2004")</f>
        <v>నికి 2004</v>
      </c>
      <c r="C123" s="1" t="s">
        <v>2276</v>
      </c>
      <c r="D123" s="2" t="str">
        <f>IFERROR(__xludf.DUMMYFUNCTION("GOOGLETRANSLATE(C:C, ""en"", ""te"")"),"నికి 2004 అనేది బల్గేరియన్ ఆటోజిరోస్ యొక్క కుటుంబం, ఇది నికి రోటర్ ఏవియేషన్ ఆఫ్ ప్రేక్షకులచే రూపొందించబడింది మరియు నిర్మించింది. ఈ విమానం te త్సాహిక నిర్మాణానికి కిట్‌గా లేదా పూర్తి రెడీ-టు-ఫ్లై-ఎయిర్‌క్రాఫ్ట్‌గా సరఫరా చేయబడుతుంది. [1] నికి 2004 లో సింగిల"&amp;"్ మెయిన్ రోటర్, రెండు-సీట్ల సైడ్-బై-సైడ్ కాన్ఫిగరేషన్ పరివేష్టిత కాక్‌పిట్, ట్రైసైకిల్ ల్యాండింగ్ గేర్ మరియు నాలుగు సిలిండర్, ఎయిర్-కూల్డ్, ఫోర్-స్ట్రోక్, సింగిల్-ఇగ్నోషన్ 150 హెచ్‌పి (112 kW) ఉన్నాయి పషర్ కాన్ఫిగరేషన్‌లో సుబారు EJ22 ఆటో-కన్వర్షన్ ఇంజిన్."&amp;" [1] విమానం ఫ్యూజ్‌లేజ్ మోనోకోక్ అల్యూమినియం షీట్ నుండి తయారవుతుంది, స్టీల్ రోటర్ మాస్ట్ మరియు అల్యూమినియం గొట్టాలచే మద్దతు ఉన్న జంట తోకలు. ఈ సిరీస్ అమెరికన్ నిర్మిత వోర్టెక్ మరియు స్పోర్ట్‌కాప్టర్ రోటర్ బ్లేడ్‌లను 9.14 మీ (30.0 అడుగులు) వ్యాసం మరియు 20 స"&amp;"ెం.మీ (7.9 అంగుళాలు) తీగతో ఉపయోగిస్తుంది. 2004 మీ మోడల్ 350 కిలోల (772 పౌండ్లు) మరియు స్థూల బరువు 550 కిలోల (1,213 పౌండ్లు) ఖాళీ బరువును కలిగి ఉంది, ఇది 200 కిలోల (441 పౌండ్లు) ఉపయోగకరమైన లోడ్ ఇస్తుంది. [1] బేయర్ల్ నుండి డేటా [1] సాధారణ లక్షణాల పనితీరు")</f>
        <v>నికి 2004 అనేది బల్గేరియన్ ఆటోజిరోస్ యొక్క కుటుంబం, ఇది నికి రోటర్ ఏవియేషన్ ఆఫ్ ప్రేక్షకులచే రూపొందించబడింది మరియు నిర్మించింది. ఈ విమానం te త్సాహిక నిర్మాణానికి కిట్‌గా లేదా పూర్తి రెడీ-టు-ఫ్లై-ఎయిర్‌క్రాఫ్ట్‌గా సరఫరా చేయబడుతుంది. [1] నికి 2004 లో సింగిల్ మెయిన్ రోటర్, రెండు-సీట్ల సైడ్-బై-సైడ్ కాన్ఫిగరేషన్ పరివేష్టిత కాక్‌పిట్, ట్రైసైకిల్ ల్యాండింగ్ గేర్ మరియు నాలుగు సిలిండర్, ఎయిర్-కూల్డ్, ఫోర్-స్ట్రోక్, సింగిల్-ఇగ్నోషన్ 150 హెచ్‌పి (112 kW) ఉన్నాయి పషర్ కాన్ఫిగరేషన్‌లో సుబారు EJ22 ఆటో-కన్వర్షన్ ఇంజిన్. [1] విమానం ఫ్యూజ్‌లేజ్ మోనోకోక్ అల్యూమినియం షీట్ నుండి తయారవుతుంది, స్టీల్ రోటర్ మాస్ట్ మరియు అల్యూమినియం గొట్టాలచే మద్దతు ఉన్న జంట తోకలు. ఈ సిరీస్ అమెరికన్ నిర్మిత వోర్టెక్ మరియు స్పోర్ట్‌కాప్టర్ రోటర్ బ్లేడ్‌లను 9.14 మీ (30.0 అడుగులు) వ్యాసం మరియు 20 సెం.మీ (7.9 అంగుళాలు) తీగతో ఉపయోగిస్తుంది. 2004 మీ మోడల్ 350 కిలోల (772 పౌండ్లు) మరియు స్థూల బరువు 550 కిలోల (1,213 పౌండ్లు) ఖాళీ బరువును కలిగి ఉంది, ఇది 200 కిలోల (441 పౌండ్లు) ఉపయోగకరమైన లోడ్ ఇస్తుంది. [1] బేయర్ల్ నుండి డేటా [1] సాధారణ లక్షణాల పనితీరు</v>
      </c>
      <c r="F123" s="1" t="s">
        <v>875</v>
      </c>
      <c r="G123" s="1" t="str">
        <f>IFERROR(__xludf.DUMMYFUNCTION("GOOGLETRANSLATE(F:F, ""en"", ""te"")"),"ఆటోజీరో")</f>
        <v>ఆటోజీరో</v>
      </c>
      <c r="H123" s="4" t="s">
        <v>876</v>
      </c>
      <c r="I123" s="1" t="s">
        <v>2277</v>
      </c>
      <c r="J123" s="1" t="str">
        <f>IFERROR(__xludf.DUMMYFUNCTION("GOOGLETRANSLATE(I:I, ""en"", ""te"")"),"నికి రోటర్ ఏవియేషన్")</f>
        <v>నికి రోటర్ ఏవియేషన్</v>
      </c>
      <c r="K123" s="1" t="s">
        <v>2278</v>
      </c>
      <c r="M123" s="2"/>
      <c r="R123" s="1" t="s">
        <v>222</v>
      </c>
      <c r="S123" s="1" t="s">
        <v>250</v>
      </c>
      <c r="W123" s="1" t="s">
        <v>1341</v>
      </c>
      <c r="X123" s="1" t="s">
        <v>2279</v>
      </c>
      <c r="Z123" s="1" t="s">
        <v>2280</v>
      </c>
      <c r="AA123" s="1" t="s">
        <v>1228</v>
      </c>
      <c r="AD123" s="1" t="s">
        <v>356</v>
      </c>
      <c r="AF123" s="1" t="s">
        <v>2149</v>
      </c>
      <c r="AG123" s="4" t="s">
        <v>2281</v>
      </c>
      <c r="AH123" s="1" t="s">
        <v>261</v>
      </c>
      <c r="AK123" s="1" t="s">
        <v>2282</v>
      </c>
      <c r="AL123" s="1" t="s">
        <v>387</v>
      </c>
      <c r="AR123" s="1" t="s">
        <v>2283</v>
      </c>
      <c r="AS123" s="1" t="s">
        <v>570</v>
      </c>
      <c r="AX123" s="1">
        <v>2004.0</v>
      </c>
      <c r="BQ123" s="1" t="s">
        <v>2284</v>
      </c>
    </row>
    <row r="124">
      <c r="A124" s="1" t="s">
        <v>2285</v>
      </c>
      <c r="B124" s="1" t="str">
        <f>IFERROR(__xludf.DUMMYFUNCTION("GOOGLETRANSLATE(A:A, ""en"", ""te"")"),"బెయిలీ-మోయెస్ డ్రాగన్‌ఫ్లై")</f>
        <v>బెయిలీ-మోయెస్ డ్రాగన్‌ఫ్లై</v>
      </c>
      <c r="C124" s="1" t="s">
        <v>2286</v>
      </c>
      <c r="D124" s="2" t="str">
        <f>IFERROR(__xludf.DUMMYFUNCTION("GOOGLETRANSLATE(C:C, ""en"", ""te"")"),"బెయిలీ-మోయెస్ డ్రాగన్‌ఫ్లై ఒక ఆస్ట్రేలియన్-అమెరికన్ రెండు-సీట్ల-తారాగణం, హై-వింగ్, స్ట్రట్-బ్రేస్డ్, ఓపెన్ కాక్‌పిట్, సాంప్రదాయ ల్యాండింగ్ గేర్-అమర్చిన అల్ట్రాలైట్ విమానం. ఈ విమానం 1990 నుండి ఉత్పత్తిలో ఉంది మరియు హాంగ్ గ్లైడర్లు మరియు అల్ట్రాలైట్ సెయిల్‌"&amp;"ప్లేన్‌ల కోసం ప్రత్యేక-ప్రయోజన టగ్‌గా రూపొందించబడింది. ఇది పూర్తి విమానంగా లేదా te త్సాహిక నిర్మాణానికి కిట్‌గా లభిస్తుంది. ఈ విమానం మోయెస్ మైక్రోలైట్స్, బెయిలీ-మోయెస్ మైక్రోలైట్స్ మరియు ప్రస్తుతం న్యూ సౌత్ వేల్స్లోని బోటనీకి చెందిన లైట్‌ఫ్లైట్, ఒకే సంస్థ"&amp;" యొక్క అన్ని విభిన్న పునరావృత్తులు. [1] [3] [4] [5] [6] [[7] [8] [9] [9] [10] [11] డ్రాగన్‌ఫ్లై 1980 ల చివరలో ప్రత్యేకంగా ఫ్లాట్‌ల్యాండ్ ప్రాంతాలలో ఉపయోగం కోసం హాంగ్ గ్లైడర్ టగ్‌గా అభివృద్ధి చేయబడింది, ఇక్కడ సాధారణంగా హిల్ లాంచ్‌లపై ఆధారపడే హాంగ్ గ్లైడర్ "&amp;"ఎగిరేది సాధ్యం కాదు. ఈ పాత్రకు తక్కువ వేగంతో త్వరగా ఎక్కగల విమానం అవసరం. డ్రాగన్‌ఫ్లై ఈ లక్ష్యాన్ని సాధిస్తుంది, 170 చదరపు అడుగుల (16 మీ 2) పెద్ద ఏరియా వింగ్‌ను జంకర్స్-శైలి ఫ్లాపెరాన్‌లతో కలిపి 17 కెఎన్ల (31 కిమీ/గం) పవర్-ఆఫ్ స్టాల్ వేగంతో. 49 అడుగుల (15"&amp;" మీ) ఎత్తైన అడ్డంకిని క్లియర్ చేయడానికి అవసరమైన టేకాఫ్ దూరం 492 అడుగులు (150 మీ), అయితే సోలో ఎగురుతున్నప్పుడు మరియు గరిష్ట బరువు వద్ద 984 అడుగులు (300 మీ), 59 ° F (15 వద్ద గాలి లేని స్థాయి చిన్న పొడి గడ్డి మీద ° C). [10] ఈ విమానం హాంగ్ గ్లైడర్ టగ్‌గా విజయ"&amp;"వంతమైంది మరియు దాని స్వదేశంలో పశువుల సేకరణకు, అలాగే స్టోల్ సామర్థ్యాలు అవసరమయ్యే వినోదభరితమైన ఫ్లయింగ్ కోసం కూడా ఉపయోగించబడుతుంది. [1] [2] [5] [6] [7] [ 8] [[9] ఈ విమానం బోల్ట్ 6061-టి 6 అల్యూమినియంతో నిర్మించబడింది, రెండు సీట్లు ఫ్యూజ్‌లేజ్ బూమ్ ట్యూబ్‌ల"&amp;"ో అమర్చబడి, ముందు చుక్కాని పెడల్స్ నుండి తోక వరకు నడుస్తాయి. ల్యాండింగ్ గేర్ క్రోమ్ మాలిబ్డినం స్టీల్ గేర్ కాళ్ళు మరియు ఇరుసులపై రెండు ప్రధాన చక్రాలు మరియు తోక చక్రాల ఆకృతీకరణను కలిగి ఉంటుంది. టాక్సీ మరియు ల్యాండింగ్ సమయంలో సౌకర్యవంతమైన ఉక్కు ఇరుసులు షాక్"&amp;" అబ్జార్బర్‌లుగా పనిచేస్తాయి. తోక చక్రం చుక్కాని పెడల్స్ ద్వారా నడిపిస్తుంది. [10] ప్రామాణిక రోటాక్స్ 582 ఇంజిన్ రెక్క యొక్క వెనుకంజలో ఉన్న అంచు వెనుక పషర్ కాన్ఫిగరేషన్‌లో అమర్చబడి ఉంటుంది. ఇంజిన్ యొక్క లిక్విడ్-కూలింగ్ వెళ్ళుటలో వేగంగా అవరోహణలను అనుమతిస్"&amp;"తుంది, ఇంజిన్ సిలిండర్లను షాక్-కూలింగ్‌కు గురిచేయకుండా. రెక్కకు V- స్ట్రట్ మరియు జ్యూరీ స్ట్రట్స్ మద్దతు ఇస్తున్నాయి. రెక్క మరియు తోక ఉపరితలాలు ముందే కుట్టిన డాక్రాన్ ఎన్వలప్‌లలో ఉన్నాయి. ఒక ప్రత్యేక లక్షణం విస్తరించిన చుక్కాని పోస్ట్, ఇది రెక్కల నుండి స్"&amp;"టీల్ కేబుల్స్ చేత మద్దతు ఇస్తుంది మరియు TOW అటాచ్మెంట్ పాయింట్‌గా ఉపయోగించబడుతుంది. ఈ విమానం పైలట్ శిక్షణ కోసం ద్వంద్వ నియంత్రణలను కలిగి ఉంటుంది మరియు అవసరం లేనప్పుడు వెనుక సీటు తొలగించబడుతుంది. కిట్ నుండి సమావేశానికి విమానం 200 గంటలు పడుతుంది. [1] [3] [4"&amp;"] [5] [6] [7] [8] [9] [11] [12] ఈ డిజైన్ ఫెడరల్ ఏవియేషన్ అడ్మినిస్ట్రేషన్ ఆమోదించబడిన స్పెషల్ లైట్-స్పోర్ట్ విమానం, దీనిని కాలిఫోర్నియాలోని రెడ్ బ్లఫ్ యొక్క పిట్మాన్ ఎయిర్ నిర్మించింది. [13] [14] డ్రాగన్‌ఫ్లై 12 దేశాలకు ఎగుమతి చేయబడింది, ఇక్కడ ఇది ప్రధానం"&amp;"గా హాంగ్ గ్లైడర్ టగ్‌గా ఉపయోగించబడుతుంది. [12] క్లిచ్ మరియు లైట్‌ఫ్లైట్ నుండి డేటా [1] [10] [12] పోల్చదగిన పాత్ర, కాన్ఫిగరేషన్ మరియు ERA యొక్క సాధారణ లక్షణాల పనితీరు విమానం")</f>
        <v>బెయిలీ-మోయెస్ డ్రాగన్‌ఫ్లై ఒక ఆస్ట్రేలియన్-అమెరికన్ రెండు-సీట్ల-తారాగణం, హై-వింగ్, స్ట్రట్-బ్రేస్డ్, ఓపెన్ కాక్‌పిట్, సాంప్రదాయ ల్యాండింగ్ గేర్-అమర్చిన అల్ట్రాలైట్ విమానం. ఈ విమానం 1990 నుండి ఉత్పత్తిలో ఉంది మరియు హాంగ్ గ్లైడర్లు మరియు అల్ట్రాలైట్ సెయిల్‌ప్లేన్‌ల కోసం ప్రత్యేక-ప్రయోజన టగ్‌గా రూపొందించబడింది. ఇది పూర్తి విమానంగా లేదా te త్సాహిక నిర్మాణానికి కిట్‌గా లభిస్తుంది. ఈ విమానం మోయెస్ మైక్రోలైట్స్, బెయిలీ-మోయెస్ మైక్రోలైట్స్ మరియు ప్రస్తుతం న్యూ సౌత్ వేల్స్లోని బోటనీకి చెందిన లైట్‌ఫ్లైట్, ఒకే సంస్థ యొక్క అన్ని విభిన్న పునరావృత్తులు. [1] [3] [4] [5] [6] [[7] [8] [9] [9] [10] [11] డ్రాగన్‌ఫ్లై 1980 ల చివరలో ప్రత్యేకంగా ఫ్లాట్‌ల్యాండ్ ప్రాంతాలలో ఉపయోగం కోసం హాంగ్ గ్లైడర్ టగ్‌గా అభివృద్ధి చేయబడింది, ఇక్కడ సాధారణంగా హిల్ లాంచ్‌లపై ఆధారపడే హాంగ్ గ్లైడర్ ఎగిరేది సాధ్యం కాదు. ఈ పాత్రకు తక్కువ వేగంతో త్వరగా ఎక్కగల విమానం అవసరం. డ్రాగన్‌ఫ్లై ఈ లక్ష్యాన్ని సాధిస్తుంది, 170 చదరపు అడుగుల (16 మీ 2) పెద్ద ఏరియా వింగ్‌ను జంకర్స్-శైలి ఫ్లాపెరాన్‌లతో కలిపి 17 కెఎన్ల (31 కిమీ/గం) పవర్-ఆఫ్ స్టాల్ వేగంతో. 49 అడుగుల (15 మీ) ఎత్తైన అడ్డంకిని క్లియర్ చేయడానికి అవసరమైన టేకాఫ్ దూరం 492 అడుగులు (150 మీ), అయితే సోలో ఎగురుతున్నప్పుడు మరియు గరిష్ట బరువు వద్ద 984 అడుగులు (300 మీ), 59 ° F (15 వద్ద గాలి లేని స్థాయి చిన్న పొడి గడ్డి మీద ° C). [10] ఈ విమానం హాంగ్ గ్లైడర్ టగ్‌గా విజయవంతమైంది మరియు దాని స్వదేశంలో పశువుల సేకరణకు, అలాగే స్టోల్ సామర్థ్యాలు అవసరమయ్యే వినోదభరితమైన ఫ్లయింగ్ కోసం కూడా ఉపయోగించబడుతుంది. [1] [2] [5] [6] [7] [ 8] [[9] ఈ విమానం బోల్ట్ 6061-టి 6 అల్యూమినియంతో నిర్మించబడింది, రెండు సీట్లు ఫ్యూజ్‌లేజ్ బూమ్ ట్యూబ్‌లో అమర్చబడి, ముందు చుక్కాని పెడల్స్ నుండి తోక వరకు నడుస్తాయి. ల్యాండింగ్ గేర్ క్రోమ్ మాలిబ్డినం స్టీల్ గేర్ కాళ్ళు మరియు ఇరుసులపై రెండు ప్రధాన చక్రాలు మరియు తోక చక్రాల ఆకృతీకరణను కలిగి ఉంటుంది. టాక్సీ మరియు ల్యాండింగ్ సమయంలో సౌకర్యవంతమైన ఉక్కు ఇరుసులు షాక్ అబ్జార్బర్‌లుగా పనిచేస్తాయి. తోక చక్రం చుక్కాని పెడల్స్ ద్వారా నడిపిస్తుంది. [10] ప్రామాణిక రోటాక్స్ 582 ఇంజిన్ రెక్క యొక్క వెనుకంజలో ఉన్న అంచు వెనుక పషర్ కాన్ఫిగరేషన్‌లో అమర్చబడి ఉంటుంది. ఇంజిన్ యొక్క లిక్విడ్-కూలింగ్ వెళ్ళుటలో వేగంగా అవరోహణలను అనుమతిస్తుంది, ఇంజిన్ సిలిండర్లను షాక్-కూలింగ్‌కు గురిచేయకుండా. రెక్కకు V- స్ట్రట్ మరియు జ్యూరీ స్ట్రట్స్ మద్దతు ఇస్తున్నాయి. రెక్క మరియు తోక ఉపరితలాలు ముందే కుట్టిన డాక్రాన్ ఎన్వలప్‌లలో ఉన్నాయి. ఒక ప్రత్యేక లక్షణం విస్తరించిన చుక్కాని పోస్ట్, ఇది రెక్కల నుండి స్టీల్ కేబుల్స్ చేత మద్దతు ఇస్తుంది మరియు TOW అటాచ్మెంట్ పాయింట్‌గా ఉపయోగించబడుతుంది. ఈ విమానం పైలట్ శిక్షణ కోసం ద్వంద్వ నియంత్రణలను కలిగి ఉంటుంది మరియు అవసరం లేనప్పుడు వెనుక సీటు తొలగించబడుతుంది. కిట్ నుండి సమావేశానికి విమానం 200 గంటలు పడుతుంది. [1] [3] [4] [5] [6] [7] [8] [9] [11] [12] ఈ డిజైన్ ఫెడరల్ ఏవియేషన్ అడ్మినిస్ట్రేషన్ ఆమోదించబడిన స్పెషల్ లైట్-స్పోర్ట్ విమానం, దీనిని కాలిఫోర్నియాలోని రెడ్ బ్లఫ్ యొక్క పిట్మాన్ ఎయిర్ నిర్మించింది. [13] [14] డ్రాగన్‌ఫ్లై 12 దేశాలకు ఎగుమతి చేయబడింది, ఇక్కడ ఇది ప్రధానంగా హాంగ్ గ్లైడర్ టగ్‌గా ఉపయోగించబడుతుంది. [12] క్లిచ్ మరియు లైట్‌ఫ్లైట్ నుండి డేటా [1] [10] [12] పోల్చదగిన పాత్ర, కాన్ఫిగరేషన్ మరియు ERA యొక్క సాధారణ లక్షణాల పనితీరు విమానం</v>
      </c>
      <c r="E124" s="1" t="s">
        <v>2287</v>
      </c>
      <c r="F124" s="1" t="s">
        <v>2288</v>
      </c>
      <c r="G124" s="1" t="str">
        <f>IFERROR(__xludf.DUMMYFUNCTION("GOOGLETRANSLATE(F:F, ""en"", ""te"")"),"అల్ట్రాలైట్ గ్లైడర్ టగ్")</f>
        <v>అల్ట్రాలైట్ గ్లైడర్ టగ్</v>
      </c>
      <c r="H124" s="1" t="s">
        <v>2289</v>
      </c>
      <c r="I124" s="1" t="s">
        <v>2290</v>
      </c>
      <c r="J124" s="1" t="str">
        <f>IFERROR(__xludf.DUMMYFUNCTION("GOOGLETRANSLATE(I:I, ""en"", ""te"")"),"మోయెస్ మైక్రోలైట్స్‌బైలీ-మోయెస్ మైక్రోలైట్స్‌లైట్ఫ్లైట్ పిట్మాన్ ఎయిర్")</f>
        <v>మోయెస్ మైక్రోలైట్స్‌బైలీ-మోయెస్ మైక్రోలైట్స్‌లైట్ఫ్లైట్ పిట్మాన్ ఎయిర్</v>
      </c>
      <c r="K124" s="1" t="s">
        <v>2291</v>
      </c>
      <c r="L124" s="1" t="s">
        <v>2292</v>
      </c>
      <c r="M124" s="2" t="str">
        <f>IFERROR(__xludf.DUMMYFUNCTION("GOOGLETRANSLATE(L:L, ""en"", ""te"")"),"బాబ్ బెయిలీ")</f>
        <v>బాబ్ బెయిలీ</v>
      </c>
      <c r="N124" s="1" t="s">
        <v>2293</v>
      </c>
      <c r="O124" s="1" t="s">
        <v>2294</v>
      </c>
      <c r="R124" s="1" t="s">
        <v>222</v>
      </c>
      <c r="S124" s="1" t="s">
        <v>250</v>
      </c>
      <c r="T124" s="1" t="s">
        <v>2254</v>
      </c>
      <c r="U124" s="1" t="s">
        <v>2295</v>
      </c>
      <c r="V124" s="1" t="s">
        <v>2296</v>
      </c>
      <c r="W124" s="1" t="s">
        <v>2297</v>
      </c>
      <c r="X124" s="1" t="s">
        <v>2298</v>
      </c>
      <c r="Z124" s="1" t="s">
        <v>2299</v>
      </c>
      <c r="AA124" s="1" t="s">
        <v>2300</v>
      </c>
      <c r="AB124" s="1" t="s">
        <v>2301</v>
      </c>
      <c r="AC124" s="1" t="s">
        <v>2302</v>
      </c>
      <c r="AD124" s="1" t="s">
        <v>2303</v>
      </c>
      <c r="AF124" s="1" t="s">
        <v>2304</v>
      </c>
      <c r="AH124" s="1" t="s">
        <v>261</v>
      </c>
      <c r="AI124" s="1" t="s">
        <v>682</v>
      </c>
      <c r="AK124" s="1" t="s">
        <v>1011</v>
      </c>
      <c r="AM124" s="1" t="s">
        <v>2305</v>
      </c>
      <c r="AN124" s="1" t="s">
        <v>1884</v>
      </c>
      <c r="AS124" s="1" t="s">
        <v>240</v>
      </c>
      <c r="AX124" s="1">
        <v>1990.0</v>
      </c>
      <c r="BH124" s="1" t="s">
        <v>2306</v>
      </c>
      <c r="CU124" s="1">
        <v>7.0</v>
      </c>
    </row>
    <row r="125">
      <c r="A125" s="1" t="s">
        <v>2307</v>
      </c>
      <c r="B125" s="1" t="str">
        <f>IFERROR(__xludf.DUMMYFUNCTION("GOOGLETRANSLATE(A:A, ""en"", ""te"")"),"MRáz సోకోల్")</f>
        <v>MRáz సోకోల్</v>
      </c>
      <c r="C125" s="1" t="s">
        <v>2308</v>
      </c>
      <c r="D125" s="2" t="str">
        <f>IFERROR(__xludf.DUMMYFUNCTION("GOOGLETRANSLATE(C:C, ""en"", ""te"")"),"MRáz M.1 సోకోల్ (ఇంగ్లీష్: ""ఫాల్కన్"") అనేది రెండవ ప్రపంచ యుద్ధం ముగిసిన సంవత్సరాల్లో చెకోస్లోవేకియాలో నిర్మించిన తేలికపాటి విమానం. జర్మన్ ఆక్రమణ సమయంలో బెనెక్-మ్రాజ్ కర్మాగారంలో Zdeněk rublies రహస్యంగా రూపకల్పన చేయబడిన ఈ రకాన్ని 1946 లో ఉత్పత్తిలో ఉంచార"&amp;"ు. సోకోల్ ఒక సాంప్రదాయిక, తక్కువ-వింగ్ మోనోప్లేన్, ఇది యుద్ధానికి పూర్వం బెనెస్-మ్రాజ్ బీబీని దాని ప్రారంభ బిందువుగా తీసుకుంది . పరివేష్టిత క్యాబిన్‌లో రెండు సీట్లు పక్కపక్కనే అందించబడ్డాయి మరియు టెయిల్‌వీల్ అండర్ క్యారేజ్ యొక్క ప్రధాన యూనిట్లు ముడుచుకొని"&amp;" ఉన్నాయి. అంతటా నిర్మాణం చెక్కతో ఉంది. [1] ప్రోటోటైప్, M.1/1 ను నియమించింది మరియు ఓకే-ha ాగా నమోదు చేయబడింది, మొదట 9 మార్చి 1946 న ప్రయాణించింది. పరీక్ష తర్వాత, ప్రోటోటైప్ M.1A ను పున es రూపకల్పన చేసింది, ఈ రకం ఉత్పత్తిలోకి ప్రవేశించింది. రీ-ఇంజిన్డ్ టూ-స"&amp;"ీటర్లను 105 హెచ్‌పి (78 కిలోవాట్ల) జెఎల్‌ఎస్ టోమా 4 ఇంజిన్‌తో M.1B గా నియమించారు, 1946 మే 19 న మొదటిసారిగా ఎగురుతుంది, కాని ఎక్కువ M.1B లు నిర్మించబడలేదు. బదులుగా, M.1A వెనుక భాగంలో మూడవ సీటును జోడించడం ద్వారా సవరించబడింది, ఇది M.1C గా మారింది మరియు 16 ఫి"&amp;"బ్రవరి 1947 న ఎగురుతుంది. M.1C 183 విమానాలతో నిర్మించిన ప్రధాన ఉత్పత్తి వేరియంట్‌గా మారింది. [1] 1948 లో M.1C ను M.1D గా విస్తరించిన సింగిల్-పీస్ పందిరి మరియు సవరించిన చుక్కానితో అభివృద్ధి చేశారు. M.1D మొదట 4 అక్టోబర్ 1948 న మరియు 104 న ప్రయాణించారు. ఒక M"&amp;".1D స్థానికంగా ఉత్పత్తి చేయబడిన ఫ్లోట్లతో అమర్చబడి, M.1E ను తిరిగి రూపకల్పన చేసింది, ఇది మొదట సెప్టెంబర్ 1949 లో ప్రయాణించింది. పారాచూటిస్టులు విమానం నుండి బయలుదేరడానికి అనుమతించడానికి వెనుక స్లైడింగ్ పందిరితో అమర్చిన పారా-సోకోల్ ఒక చిన్న వేరియంట్. [[ 2] "&amp;"సుమారు 287 విమానాలు నిర్మించబడ్డాయి, కాని ఉపయోగించిన యూరియా-ఆధారిత జిగురు క్షీణించడం 1960 ల ప్రారంభంలో అనేక ఉదాహరణలను ఖండించింది మరియు ఉపయోగం నుండి ఉపసంహరించుకుంది. [2] పంతొమ్మిది సోకోల్స్ ఇప్పటికీ 2013 లో రిజిస్టర్ చేయబడినట్లుగా నమోదు చేయబడ్డాయి. [3] ఒక "&amp;"M-1C, రిజిస్ట్రేషన్ G-AIXN UK లో ఫ్లైబుల్ కండిషన్‌లో నిర్వహించబడుతుంది మరియు ఇది తుర్వెస్టన్ ఏరోడ్రోమ్ [5] వద్ద ఉంది [5] ఇతర వాయు ప్రయోజన ఉదాహరణలు చెక్ రిపబ్లిక్లో ప్రాగ్ టోన్నా విమానాశ్రయం (2016) మరియు జర్మనీ (2012) లో ఉన్నాయి. జేన్ యొక్క అన్ని ప్రపంచ వి"&amp;"మానాల నుండి డేటా 1951–52 [6] సాధారణ లక్షణాల పనితీరు సంబంధిత అభివృద్ధి")</f>
        <v>MRáz M.1 సోకోల్ (ఇంగ్లీష్: "ఫాల్కన్") అనేది రెండవ ప్రపంచ యుద్ధం ముగిసిన సంవత్సరాల్లో చెకోస్లోవేకియాలో నిర్మించిన తేలికపాటి విమానం. జర్మన్ ఆక్రమణ సమయంలో బెనెక్-మ్రాజ్ కర్మాగారంలో Zdeněk rublies రహస్యంగా రూపకల్పన చేయబడిన ఈ రకాన్ని 1946 లో ఉత్పత్తిలో ఉంచారు. సోకోల్ ఒక సాంప్రదాయిక, తక్కువ-వింగ్ మోనోప్లేన్, ఇది యుద్ధానికి పూర్వం బెనెస్-మ్రాజ్ బీబీని దాని ప్రారంభ బిందువుగా తీసుకుంది . పరివేష్టిత క్యాబిన్‌లో రెండు సీట్లు పక్కపక్కనే అందించబడ్డాయి మరియు టెయిల్‌వీల్ అండర్ క్యారేజ్ యొక్క ప్రధాన యూనిట్లు ముడుచుకొని ఉన్నాయి. అంతటా నిర్మాణం చెక్కతో ఉంది. [1] ప్రోటోటైప్, M.1/1 ను నియమించింది మరియు ఓకే-ha ాగా నమోదు చేయబడింది, మొదట 9 మార్చి 1946 న ప్రయాణించింది. పరీక్ష తర్వాత, ప్రోటోటైప్ M.1A ను పున es రూపకల్పన చేసింది, ఈ రకం ఉత్పత్తిలోకి ప్రవేశించింది. రీ-ఇంజిన్డ్ టూ-సీటర్లను 105 హెచ్‌పి (78 కిలోవాట్ల) జెఎల్‌ఎస్ టోమా 4 ఇంజిన్‌తో M.1B గా నియమించారు, 1946 మే 19 న మొదటిసారిగా ఎగురుతుంది, కాని ఎక్కువ M.1B లు నిర్మించబడలేదు. బదులుగా, M.1A వెనుక భాగంలో మూడవ సీటును జోడించడం ద్వారా సవరించబడింది, ఇది M.1C గా మారింది మరియు 16 ఫిబ్రవరి 1947 న ఎగురుతుంది. M.1C 183 విమానాలతో నిర్మించిన ప్రధాన ఉత్పత్తి వేరియంట్‌గా మారింది. [1] 1948 లో M.1C ను M.1D గా విస్తరించిన సింగిల్-పీస్ పందిరి మరియు సవరించిన చుక్కానితో అభివృద్ధి చేశారు. M.1D మొదట 4 అక్టోబర్ 1948 న మరియు 104 న ప్రయాణించారు. ఒక M.1D స్థానికంగా ఉత్పత్తి చేయబడిన ఫ్లోట్లతో అమర్చబడి, M.1E ను తిరిగి రూపకల్పన చేసింది, ఇది మొదట సెప్టెంబర్ 1949 లో ప్రయాణించింది. పారాచూటిస్టులు విమానం నుండి బయలుదేరడానికి అనుమతించడానికి వెనుక స్లైడింగ్ పందిరితో అమర్చిన పారా-సోకోల్ ఒక చిన్న వేరియంట్. [[ 2] సుమారు 287 విమానాలు నిర్మించబడ్డాయి, కాని ఉపయోగించిన యూరియా-ఆధారిత జిగురు క్షీణించడం 1960 ల ప్రారంభంలో అనేక ఉదాహరణలను ఖండించింది మరియు ఉపయోగం నుండి ఉపసంహరించుకుంది. [2] పంతొమ్మిది సోకోల్స్ ఇప్పటికీ 2013 లో రిజిస్టర్ చేయబడినట్లుగా నమోదు చేయబడ్డాయి. [3] ఒక M-1C, రిజిస్ట్రేషన్ G-AIXN UK లో ఫ్లైబుల్ కండిషన్‌లో నిర్వహించబడుతుంది మరియు ఇది తుర్వెస్టన్ ఏరోడ్రోమ్ [5] వద్ద ఉంది [5] ఇతర వాయు ప్రయోజన ఉదాహరణలు చెక్ రిపబ్లిక్లో ప్రాగ్ టోన్నా విమానాశ్రయం (2016) మరియు జర్మనీ (2012) లో ఉన్నాయి. జేన్ యొక్క అన్ని ప్రపంచ విమానాల నుండి డేటా 1951–52 [6] సాధారణ లక్షణాల పనితీరు సంబంధిత అభివృద్ధి</v>
      </c>
      <c r="E125" s="1" t="s">
        <v>2309</v>
      </c>
      <c r="F125" s="1" t="s">
        <v>2310</v>
      </c>
      <c r="G125" s="1" t="str">
        <f>IFERROR(__xludf.DUMMYFUNCTION("GOOGLETRANSLATE(F:F, ""en"", ""te"")"),"యుటిలిటీ విమానం")</f>
        <v>యుటిలిటీ విమానం</v>
      </c>
      <c r="I125" s="1" t="s">
        <v>2311</v>
      </c>
      <c r="J125" s="1" t="str">
        <f>IFERROR(__xludf.DUMMYFUNCTION("GOOGLETRANSLATE(I:I, ""en"", ""te"")"),"బెనె-మ్రాజ్, చోసెస్")</f>
        <v>బెనె-మ్రాజ్, చోసెస్</v>
      </c>
      <c r="K125" s="1" t="s">
        <v>2312</v>
      </c>
      <c r="L125" s="1" t="s">
        <v>2313</v>
      </c>
      <c r="M125" s="2" t="str">
        <f>IFERROR(__xludf.DUMMYFUNCTION("GOOGLETRANSLATE(L:L, ""en"", ""te"")"),"Zdeněk rublič")</f>
        <v>Zdeněk rublič</v>
      </c>
      <c r="N125" s="1" t="s">
        <v>2314</v>
      </c>
      <c r="O125" s="1">
        <v>287.0</v>
      </c>
      <c r="R125" s="1">
        <v>1.0</v>
      </c>
      <c r="S125" s="1" t="s">
        <v>2315</v>
      </c>
      <c r="T125" s="1" t="s">
        <v>2316</v>
      </c>
      <c r="U125" s="1" t="s">
        <v>328</v>
      </c>
      <c r="V125" s="1" t="s">
        <v>2317</v>
      </c>
      <c r="W125" s="1" t="s">
        <v>2318</v>
      </c>
      <c r="X125" s="1" t="s">
        <v>2319</v>
      </c>
      <c r="Z125" s="1" t="s">
        <v>2320</v>
      </c>
      <c r="AA125" s="1" t="s">
        <v>2321</v>
      </c>
      <c r="AC125" s="1" t="s">
        <v>2322</v>
      </c>
      <c r="AD125" s="1" t="s">
        <v>2018</v>
      </c>
      <c r="AF125" s="1" t="s">
        <v>2323</v>
      </c>
      <c r="AH125" s="1" t="s">
        <v>2324</v>
      </c>
      <c r="AI125" s="1" t="s">
        <v>2325</v>
      </c>
      <c r="AL125" s="1" t="s">
        <v>266</v>
      </c>
      <c r="AN125" s="1" t="s">
        <v>1901</v>
      </c>
      <c r="AO125" s="5">
        <v>16870.0</v>
      </c>
    </row>
    <row r="126">
      <c r="A126" s="1" t="s">
        <v>2326</v>
      </c>
      <c r="B126" s="1" t="str">
        <f>IFERROR(__xludf.DUMMYFUNCTION("GOOGLETRANSLATE(A:A, ""en"", ""te"")"),"మర్ఫీ మావెరిక్")</f>
        <v>మర్ఫీ మావెరిక్</v>
      </c>
      <c r="C126" s="1" t="s">
        <v>2327</v>
      </c>
      <c r="D126" s="2" t="str">
        <f>IFERROR(__xludf.DUMMYFUNCTION("GOOGLETRANSLATE(C:C, ""en"", ""te"")"),"మర్ఫీ మావెరిక్ కెనడియన్ రెండు-సీట్ల స్థిర-వింగ్ అల్ట్రాలైట్ మోనోప్లేన్, ఇది బ్రిటిష్ కొలంబియాకు చెందిన మర్ఫీ విమానాలు రూపొందించారు. [1] ఈ రకం ఇంటి నిర్మాణానికి లేదా పూర్తి రెడీ-టు-ఫ్లై విమానం కోసం కిట్‌గా విక్రయించబడుతుంది. [2] [3] [4] తిరుగుబాటుదారుడి యొ"&amp;"క్క చిన్న సంస్కరణగా రూపొందించబడిన, మావెరిక్ రెండు సైడ్-బై-సైడ్ సీట్లు మరియు టెయిల్‌వీల్ ల్యాండింగ్ గేర్‌తో కూడిన ఆల్-మెటల్ హై-వింగ్ బ్రాస్డ్ మోనోప్లేన్. [1] ఈ విమానం రోటాక్స్ 503 పవర్‌ప్లాంట్ చుట్టూ రూపొందించబడింది, ఆర్థిక అల్ట్రాలైట్ ట్రైనర్‌ను ఉత్పత్తి "&amp;"చేయాలనే లక్ష్యంతో. [5] హోమ్‌బిల్ట్ గా దీనిని హెచ్‌కెఎస్ 700, రోటాక్స్ 582 మరియు జబిరు 2200 తో సహా అనేక విభిన్న పిస్టన్ ఇంజిన్‌లతో అమర్చవచ్చు. [1] [3] [4] [6] ఈ విమానం ప్రధానంగా షీట్ అల్యూమినియం నుండి నిర్మించబడింది, బరువు ఆదా చేయడానికి కప్పబడిన రెక్కల ఫాబ"&amp;"్రిక్ యొక్క తోక మరియు వెనుక విభాగాలు ఉన్నాయి. [1] [3] రెక్కలు ""D"" సెల్ ఉపయోగించి నిర్మించబడతాయి, స్టాంప్డ్ పక్కటెముకలు మరియు ఒకే వింగ్ స్ట్రట్ ఉన్నాయి. మావెరిక్‌లో ప్రామాణిక వింగ్ స్పాన్ 29 అడుగుల 6 (8.99 మీ), అయితే రెక్క లోడింగ్ తగ్గించడానికి రెక్కలను "&amp;"పెంచడానికి ఐచ్ఛిక రెక్క పొడిగింపు అందుబాటులో ఉంది. [5] ప్రామాణిక ల్యాండింగ్ గేర్ టెయిల్‌డ్రాగర్ కాన్ఫిగరేషన్ మరియు బంగీ సస్పెండ్ చేయబడింది, మొలకెత్తిన స్టీల్ మెయిన్ గేర్ ఒక ఎంపికగా ఉంటుంది. అదనపు ఎంపికలలో 24 యుఎస్ గాల్ (91 ఎల్) వింగ్-మౌంటెడ్ ఇంధన ట్యాంకుల"&amp;"ు మరియు ఫ్లోట్లను వ్యవస్థాపించడానికి అమరికలు ఉన్నాయి. [5] వరల్డ్ డైరెక్టరీ ఆఫ్ లీజర్ ఏవియేషన్ [1] &amp; క్లిచ్ [5] సాధారణ లక్షణాల పనితీరు నుండి డేటా")</f>
        <v>మర్ఫీ మావెరిక్ కెనడియన్ రెండు-సీట్ల స్థిర-వింగ్ అల్ట్రాలైట్ మోనోప్లేన్, ఇది బ్రిటిష్ కొలంబియాకు చెందిన మర్ఫీ విమానాలు రూపొందించారు. [1] ఈ రకం ఇంటి నిర్మాణానికి లేదా పూర్తి రెడీ-టు-ఫ్లై విమానం కోసం కిట్‌గా విక్రయించబడుతుంది. [2] [3] [4] తిరుగుబాటుదారుడి యొక్క చిన్న సంస్కరణగా రూపొందించబడిన, మావెరిక్ రెండు సైడ్-బై-సైడ్ సీట్లు మరియు టెయిల్‌వీల్ ల్యాండింగ్ గేర్‌తో కూడిన ఆల్-మెటల్ హై-వింగ్ బ్రాస్డ్ మోనోప్లేన్. [1] ఈ విమానం రోటాక్స్ 503 పవర్‌ప్లాంట్ చుట్టూ రూపొందించబడింది, ఆర్థిక అల్ట్రాలైట్ ట్రైనర్‌ను ఉత్పత్తి చేయాలనే లక్ష్యంతో. [5] హోమ్‌బిల్ట్ గా దీనిని హెచ్‌కెఎస్ 700, రోటాక్స్ 582 మరియు జబిరు 2200 తో సహా అనేక విభిన్న పిస్టన్ ఇంజిన్‌లతో అమర్చవచ్చు. [1] [3] [4] [6] ఈ విమానం ప్రధానంగా షీట్ అల్యూమినియం నుండి నిర్మించబడింది, బరువు ఆదా చేయడానికి కప్పబడిన రెక్కల ఫాబ్రిక్ యొక్క తోక మరియు వెనుక విభాగాలు ఉన్నాయి. [1] [3] రెక్కలు "D" సెల్ ఉపయోగించి నిర్మించబడతాయి, స్టాంప్డ్ పక్కటెముకలు మరియు ఒకే వింగ్ స్ట్రట్ ఉన్నాయి. మావెరిక్‌లో ప్రామాణిక వింగ్ స్పాన్ 29 అడుగుల 6 (8.99 మీ), అయితే రెక్క లోడింగ్ తగ్గించడానికి రెక్కలను పెంచడానికి ఐచ్ఛిక రెక్క పొడిగింపు అందుబాటులో ఉంది. [5] ప్రామాణిక ల్యాండింగ్ గేర్ టెయిల్‌డ్రాగర్ కాన్ఫిగరేషన్ మరియు బంగీ సస్పెండ్ చేయబడింది, మొలకెత్తిన స్టీల్ మెయిన్ గేర్ ఒక ఎంపికగా ఉంటుంది. అదనపు ఎంపికలలో 24 యుఎస్ గాల్ (91 ఎల్) వింగ్-మౌంటెడ్ ఇంధన ట్యాంకులు మరియు ఫ్లోట్లను వ్యవస్థాపించడానికి అమరికలు ఉన్నాయి. [5] వరల్డ్ డైరెక్టరీ ఆఫ్ లీజర్ ఏవియేషన్ [1] &amp; క్లిచ్ [5] సాధారణ లక్షణాల పనితీరు నుండి డేటా</v>
      </c>
      <c r="E126" s="1" t="s">
        <v>2328</v>
      </c>
      <c r="F126" s="1" t="s">
        <v>2329</v>
      </c>
      <c r="G126" s="1" t="str">
        <f>IFERROR(__xludf.DUMMYFUNCTION("GOOGLETRANSLATE(F:F, ""en"", ""te"")"),"రెండు-సీట్ల హై-వింగ్ అల్ట్రాలైట్")</f>
        <v>రెండు-సీట్ల హై-వింగ్ అల్ట్రాలైట్</v>
      </c>
      <c r="H126" s="1" t="s">
        <v>2330</v>
      </c>
      <c r="I126" s="1" t="s">
        <v>2331</v>
      </c>
      <c r="J126" s="1" t="str">
        <f>IFERROR(__xludf.DUMMYFUNCTION("GOOGLETRANSLATE(I:I, ""en"", ""te"")"),"మర్ఫీ విమానం")</f>
        <v>మర్ఫీ విమానం</v>
      </c>
      <c r="K126" s="1" t="s">
        <v>2332</v>
      </c>
      <c r="M126" s="2"/>
      <c r="O126" s="1" t="s">
        <v>2333</v>
      </c>
      <c r="R126" s="1">
        <v>1.0</v>
      </c>
      <c r="S126" s="1" t="s">
        <v>736</v>
      </c>
      <c r="T126" s="1" t="s">
        <v>2334</v>
      </c>
      <c r="U126" s="1" t="s">
        <v>2335</v>
      </c>
      <c r="V126" s="1" t="s">
        <v>2336</v>
      </c>
      <c r="W126" s="1" t="s">
        <v>2337</v>
      </c>
      <c r="Z126" s="1" t="s">
        <v>2338</v>
      </c>
      <c r="AA126" s="1" t="s">
        <v>2339</v>
      </c>
      <c r="AC126" s="1" t="s">
        <v>2340</v>
      </c>
      <c r="AF126" s="1" t="s">
        <v>233</v>
      </c>
      <c r="AG126" s="4" t="s">
        <v>234</v>
      </c>
      <c r="AH126" s="1" t="s">
        <v>261</v>
      </c>
      <c r="AL126" s="1" t="s">
        <v>2341</v>
      </c>
      <c r="AN126" s="1" t="s">
        <v>2342</v>
      </c>
      <c r="AS126" s="1" t="s">
        <v>2343</v>
      </c>
      <c r="AT126" s="1" t="s">
        <v>2344</v>
      </c>
      <c r="AX126" s="1">
        <v>1993.0</v>
      </c>
      <c r="CV126" s="1" t="s">
        <v>2345</v>
      </c>
    </row>
    <row r="127">
      <c r="A127" s="1" t="s">
        <v>2346</v>
      </c>
      <c r="B127" s="1" t="str">
        <f>IFERROR(__xludf.DUMMYFUNCTION("GOOGLETRANSLATE(A:A, ""en"", ""te"")"),"మినీ-మాక్స్")</f>
        <v>మినీ-మాక్స్</v>
      </c>
      <c r="C127" s="1" t="s">
        <v>2347</v>
      </c>
      <c r="D127" s="2" t="str">
        <f>IFERROR(__xludf.DUMMYFUNCTION("GOOGLETRANSLATE(C:C, ""en"", ""te"")"),"టీం మినీ-మాక్స్ అనేది సింగిల్-సీట్, మిడ్-వింగ్, స్ట్రట్-బ్రెస్డ్, సింగిల్ ఇంజిన్ ఎయిర్క్రాఫ్ట్, te త్సాహిక నిర్మాణం కోసం కిట్ రూపంలో లభిస్తుంది. మొట్టమొదటి మినీ-మాక్స్ 1984 లో మొదటి విమానాన్ని కలిగి ఉంది. దీని పేరు దాని అసలు డిజైన్ లక్ష్యాలను సూచిస్తుంది:"&amp;" కనీస-ధర విమానం, దీనికి కనీస భవనం స్థలం, సమయం మరియు నైపుణ్యం అవసరం, కానీ ఇది గరిష్ట ఆనందం మరియు పనితీరును అందిస్తుంది. [1] [[2] [2] [3] [3] [4] [4] [5] [5] [6] [7] [7] మినీ-మాక్స్ కుటుంబాన్ని మొదట టేనస్సీలోని బ్రాడీవిల్లేతో కూడిన బృందం నిర్మించింది. ఆ సంస"&amp;"్థ ఒక దావాతో దివాళా తీసిన తరువాత, ఉత్పత్తిని టేనస్సీలోని బ్రాడీవిల్లేకు చెందిన ఐసన్ విమానాలకు మరియు ఇండియానాలోని నాప్పనీకి చెందిన జెడిటి మినీ-మాక్స్ పక్కన ఉత్పత్తి జరిగింది. ఈ సంస్థకు 2012 లో టీమ్ మినీ-మాక్స్ ఎల్‌ఎల్‌సిగా పేరు మార్చబడింది, మిచిగాన్‌లో నైల"&amp;"్స్‌లో ఉత్పత్తి ఉంది. [1] [2] [3] [4] [5] [6] [8] మినీ-మాక్స్ మోడల్స్ అన్నీ ప్రధానంగా వుడ్ ట్రస్ నుండి ప్లైవుడ్ గుస్సెట్స్‌తో నిర్మించబడ్డాయి మరియు డోప్డ్ ఎయిర్క్రాఫ్ట్ ఫాబ్రిక్‌తో కప్పబడి ఉంటాయి. ఎంచుకున్న మోడల్‌ను బట్టి మినీ-మాక్స్ పూర్తి చేయడానికి నిర్"&amp;"మాణ సమయం మారుతుంది. చాలా మోడల్స్ విండ్‌షీల్డ్‌లతో కూడిన ఓపెన్ కాక్‌పిట్‌లను కలిగి ఉంటాయి. అన్ని సంస్కరణల్లో 26.5 అడుగుల (8.1 మీ) వింగ్స్పాన్ ఉన్న వి-మాక్స్ మరియు 1600 ఆర్ ఎరోస్ మినహా 25 అడుగుల (7.6 మీ) కేవలం 25 అడుగుల (7.6 మీ) చిన్న-వింగ్ ఉంటుంది. రెక్కలు"&amp;" మరియు క్షితిజ సమాంతర స్టెబిలైజర్ రెండూ స్ట్రట్-బ్రెస్డ్: వింగ్ ల్యాండింగ్ గేర్‌కు కలుపుతారు మరియు తోక క్షితిజ సమాంతర తోక ఉపరితలం నుండి ఫిన్ వరకు కలుపుతారు. అన్ని మోడళ్లకు సాంప్రదాయిక ల్యాండింగ్ గేర్ ఉంది, వీల్ ప్యాంటు ఒక ఎంపికగా ఉంటుంది. రెక్కలు మెయిన్‌వ"&amp;"ీల్స్‌కు కలుపుతారు మరియు మెయిన్‌వీల్స్ కఠినమైన ఇరుసు ద్వారా అనుసంధానించబడి ఉన్నందున, న్యూమాటిక్ టైర్లు మాత్రమే సస్పెన్షన్‌ను అందిస్తాయి. [5] [6] ఈ విమానం మొదట యుఎస్ ఫార్ 103 అల్ట్రాలైట్ వెహికల్స్ కేటగిరీ యొక్క అవసరాలను తీర్చడానికి ఉద్దేశించబడింది, ఆ వర్గం"&amp;" యొక్క గరిష్ట 254 పౌండ్లు (115 కిలోల) ఖాళీ బరువుతో సహా. మినీ-మాక్స్ యొక్క అసలు అల్ట్రాలైట్ నమూనాలు ఆమోదయోగ్యమైన ఖాళీ బరువులు సాధించడానికి 28 హెచ్‌పి (21 కిలోవాట్ల) రోటాక్స్ 277 ఇంజిన్‌ను కలిగి ఉన్నాయి. ఈ రోజు 1030 ఎఫ్ మాక్స్ 103 మరియు 1100 ఎఫ్ మినీ-మాక్స్"&amp;" 28 హెచ్‌పి (21 కిలోవాట్ల) హిర్త్ ఎఫ్ -33 పవర్‌ప్లాంట్‌ను కలిగి ఉంటే ఆమోదయోగ్యమైన ఫార్ 103 ఖాళీ బరువును సాధిస్తాయి. ఇతర నమూనాలు భారీ ఇంజిన్లను ఉపయోగిస్తాయి, ఇవి యుఎస్ ప్రయోగాత్మక - te త్సాహిక -నిర్మిత వర్గంలో ఉంటాయి. [5] [9] [10] మినీ-మాక్స్ హై-వింగ్డ్ వె"&amp;"ర్షన్‌గా అభివృద్ధి చేయబడింది, దీనిని హై-మాక్స్ అని పిలుస్తారు. రెండు నమూనాలు భాగాలు మరియు డిజైన్ కాన్సెప్ట్ సామాన్యత యొక్క మార్గంలో చాలా పంచుకుంటాయి. [11] ఏరోక్రాఫ్టర్, కిట్‌ప్లాన్స్ &amp; జెడిటి వెబ్‌సైట్ [1] [2] [3] [4] [16] పోల్చదగిన పాత్ర, కాన్ఫిగరేషన్ మర"&amp;"ియు యుగం యొక్క సాధారణ లక్షణాల పనితీరు విమానం నుండి డేటా")</f>
        <v>టీం మినీ-మాక్స్ అనేది సింగిల్-సీట్, మిడ్-వింగ్, స్ట్రట్-బ్రెస్డ్, సింగిల్ ఇంజిన్ ఎయిర్క్రాఫ్ట్, te త్సాహిక నిర్మాణం కోసం కిట్ రూపంలో లభిస్తుంది. మొట్టమొదటి మినీ-మాక్స్ 1984 లో మొదటి విమానాన్ని కలిగి ఉంది. దీని పేరు దాని అసలు డిజైన్ లక్ష్యాలను సూచిస్తుంది: కనీస-ధర విమానం, దీనికి కనీస భవనం స్థలం, సమయం మరియు నైపుణ్యం అవసరం, కానీ ఇది గరిష్ట ఆనందం మరియు పనితీరును అందిస్తుంది. [1] [[2] [2] [3] [3] [4] [4] [5] [5] [6] [7] [7] మినీ-మాక్స్ కుటుంబాన్ని మొదట టేనస్సీలోని బ్రాడీవిల్లేతో కూడిన బృందం నిర్మించింది. ఆ సంస్థ ఒక దావాతో దివాళా తీసిన తరువాత, ఉత్పత్తిని టేనస్సీలోని బ్రాడీవిల్లేకు చెందిన ఐసన్ విమానాలకు మరియు ఇండియానాలోని నాప్పనీకి చెందిన జెడిటి మినీ-మాక్స్ పక్కన ఉత్పత్తి జరిగింది. ఈ సంస్థకు 2012 లో టీమ్ మినీ-మాక్స్ ఎల్‌ఎల్‌సిగా పేరు మార్చబడింది, మిచిగాన్‌లో నైల్స్‌లో ఉత్పత్తి ఉంది. [1] [2] [3] [4] [5] [6] [8] మినీ-మాక్స్ మోడల్స్ అన్నీ ప్రధానంగా వుడ్ ట్రస్ నుండి ప్లైవుడ్ గుస్సెట్స్‌తో నిర్మించబడ్డాయి మరియు డోప్డ్ ఎయిర్క్రాఫ్ట్ ఫాబ్రిక్‌తో కప్పబడి ఉంటాయి. ఎంచుకున్న మోడల్‌ను బట్టి మినీ-మాక్స్ పూర్తి చేయడానికి నిర్మాణ సమయం మారుతుంది. చాలా మోడల్స్ విండ్‌షీల్డ్‌లతో కూడిన ఓపెన్ కాక్‌పిట్‌లను కలిగి ఉంటాయి. అన్ని సంస్కరణల్లో 26.5 అడుగుల (8.1 మీ) వింగ్స్పాన్ ఉన్న వి-మాక్స్ మరియు 1600 ఆర్ ఎరోస్ మినహా 25 అడుగుల (7.6 మీ) కేవలం 25 అడుగుల (7.6 మీ) చిన్న-వింగ్ ఉంటుంది. రెక్కలు మరియు క్షితిజ సమాంతర స్టెబిలైజర్ రెండూ స్ట్రట్-బ్రెస్డ్: వింగ్ ల్యాండింగ్ గేర్‌కు కలుపుతారు మరియు తోక క్షితిజ సమాంతర తోక ఉపరితలం నుండి ఫిన్ వరకు కలుపుతారు. అన్ని మోడళ్లకు సాంప్రదాయిక ల్యాండింగ్ గేర్ ఉంది, వీల్ ప్యాంటు ఒక ఎంపికగా ఉంటుంది. రెక్కలు మెయిన్‌వీల్స్‌కు కలుపుతారు మరియు మెయిన్‌వీల్స్ కఠినమైన ఇరుసు ద్వారా అనుసంధానించబడి ఉన్నందున, న్యూమాటిక్ టైర్లు మాత్రమే సస్పెన్షన్‌ను అందిస్తాయి. [5] [6] ఈ విమానం మొదట యుఎస్ ఫార్ 103 అల్ట్రాలైట్ వెహికల్స్ కేటగిరీ యొక్క అవసరాలను తీర్చడానికి ఉద్దేశించబడింది, ఆ వర్గం యొక్క గరిష్ట 254 పౌండ్లు (115 కిలోల) ఖాళీ బరువుతో సహా. మినీ-మాక్స్ యొక్క అసలు అల్ట్రాలైట్ నమూనాలు ఆమోదయోగ్యమైన ఖాళీ బరువులు సాధించడానికి 28 హెచ్‌పి (21 కిలోవాట్ల) రోటాక్స్ 277 ఇంజిన్‌ను కలిగి ఉన్నాయి. ఈ రోజు 1030 ఎఫ్ మాక్స్ 103 మరియు 1100 ఎఫ్ మినీ-మాక్స్ 28 హెచ్‌పి (21 కిలోవాట్ల) హిర్త్ ఎఫ్ -33 పవర్‌ప్లాంట్‌ను కలిగి ఉంటే ఆమోదయోగ్యమైన ఫార్ 103 ఖాళీ బరువును సాధిస్తాయి. ఇతర నమూనాలు భారీ ఇంజిన్లను ఉపయోగిస్తాయి, ఇవి యుఎస్ ప్రయోగాత్మక - te త్సాహిక -నిర్మిత వర్గంలో ఉంటాయి. [5] [9] [10] మినీ-మాక్స్ హై-వింగ్డ్ వెర్షన్‌గా అభివృద్ధి చేయబడింది, దీనిని హై-మాక్స్ అని పిలుస్తారు. రెండు నమూనాలు భాగాలు మరియు డిజైన్ కాన్సెప్ట్ సామాన్యత యొక్క మార్గంలో చాలా పంచుకుంటాయి. [11] ఏరోక్రాఫ్టర్, కిట్‌ప్లాన్స్ &amp; జెడిటి వెబ్‌సైట్ [1] [2] [3] [4] [16] పోల్చదగిన పాత్ర, కాన్ఫిగరేషన్ మరియు యుగం యొక్క సాధారణ లక్షణాల పనితీరు విమానం నుండి డేటా</v>
      </c>
      <c r="E127" s="1" t="s">
        <v>2348</v>
      </c>
      <c r="F127" s="1" t="s">
        <v>215</v>
      </c>
      <c r="G127" s="1" t="str">
        <f>IFERROR(__xludf.DUMMYFUNCTION("GOOGLETRANSLATE(F:F, ""en"", ""te"")"),"కిట్ విమానం")</f>
        <v>కిట్ విమానం</v>
      </c>
      <c r="H127" s="1" t="s">
        <v>216</v>
      </c>
      <c r="I127" s="1" t="s">
        <v>2349</v>
      </c>
      <c r="J127" s="1" t="str">
        <f>IFERROR(__xludf.DUMMYFUNCTION("GOOGLETRANSLATE(I:I, ""en"", ""te"")"),"టీమ్ మినీ-మాక్స్")</f>
        <v>టీమ్ మినీ-మాక్స్</v>
      </c>
      <c r="K127" s="1" t="s">
        <v>2350</v>
      </c>
      <c r="L127" s="1" t="s">
        <v>2351</v>
      </c>
      <c r="M127" s="2" t="str">
        <f>IFERROR(__xludf.DUMMYFUNCTION("GOOGLETRANSLATE(L:L, ""en"", ""te"")"),"వేన్ ఐసన్")</f>
        <v>వేన్ ఐసన్</v>
      </c>
      <c r="N127" s="1" t="s">
        <v>2352</v>
      </c>
      <c r="O127" s="1" t="s">
        <v>2353</v>
      </c>
      <c r="R127" s="1" t="s">
        <v>222</v>
      </c>
      <c r="T127" s="1" t="s">
        <v>2354</v>
      </c>
      <c r="U127" s="1" t="s">
        <v>2355</v>
      </c>
      <c r="V127" s="1" t="s">
        <v>2356</v>
      </c>
      <c r="W127" s="1" t="s">
        <v>2357</v>
      </c>
      <c r="X127" s="1" t="s">
        <v>2358</v>
      </c>
      <c r="Z127" s="1" t="s">
        <v>2359</v>
      </c>
      <c r="AA127" s="1" t="s">
        <v>1012</v>
      </c>
      <c r="AB127" s="1" t="s">
        <v>2360</v>
      </c>
      <c r="AC127" s="1" t="s">
        <v>2361</v>
      </c>
      <c r="AD127" s="1" t="s">
        <v>434</v>
      </c>
      <c r="AF127" s="1" t="s">
        <v>206</v>
      </c>
      <c r="AG127" s="4" t="s">
        <v>207</v>
      </c>
      <c r="AH127" s="1" t="s">
        <v>261</v>
      </c>
      <c r="AI127" s="1" t="s">
        <v>2362</v>
      </c>
      <c r="AK127" s="1" t="s">
        <v>2363</v>
      </c>
      <c r="AL127" s="1" t="s">
        <v>2364</v>
      </c>
      <c r="AM127" s="1" t="s">
        <v>968</v>
      </c>
      <c r="AN127" s="1" t="s">
        <v>2242</v>
      </c>
      <c r="AO127" s="1">
        <v>1984.0</v>
      </c>
      <c r="AS127" s="1" t="s">
        <v>2365</v>
      </c>
      <c r="AT127" s="1" t="s">
        <v>2366</v>
      </c>
      <c r="AX127" s="1">
        <v>1984.0</v>
      </c>
      <c r="BD127" s="1" t="s">
        <v>2367</v>
      </c>
    </row>
    <row r="128">
      <c r="A128" s="1" t="s">
        <v>2368</v>
      </c>
      <c r="B128" s="1" t="str">
        <f>IFERROR(__xludf.DUMMYFUNCTION("GOOGLETRANSLATE(A:A, ""en"", ""te"")"),"మోనెట్ మోని")</f>
        <v>మోనెట్ మోని</v>
      </c>
      <c r="C128" s="1" t="s">
        <v>2369</v>
      </c>
      <c r="D128" s="2" t="str">
        <f>IFERROR(__xludf.DUMMYFUNCTION("GOOGLETRANSLATE(C:C, ""en"", ""te"")"),"మోనెట్ మోని 1980 ల ప్రారంభంలో అమెరికాలో అభివృద్ధి చేయబడిన ఒక క్రీడా విమానం మరియు హోమ్‌బిల్డింగ్ కోసం విక్రయించబడింది. ""ఎయిర్ రిక్రియేషన్ వెహికల్"" అనే పదాన్ని వివరించడానికి జాన్ మోన్నెట్ రూపొందించిన జాన్ మోన్నెట్, [1] ఇది తక్కువ, కాంటిలివర్ వింగ్ మరియు వ"&amp;"ి-తోక కలిగిన సింగిల్-సీట్ల మోటారు మెగ్లైడర్. నిర్మాణం అంతటా లోహంతో ఉంటుంది మరియు ఇది నిర్మించడానికి మరియు ఎగరడానికి సులభం మరియు చవకైనది. అనేక సెయిల్‌ప్లేన్‌ల మాదిరిగానే, ప్రధాన అండర్ క్యారేజ్ ఒకే మోనోహీల్, ఈ సందర్భంలో ఫ్యూజ్‌లేజ్ క్రింద ఒక క్రమబద్ధమైన ఫెయ"&amp;"ిరింగ్‌లో అమర్చబడి, ముడుచుకునేది కాదు, దాని వెనుక స్టీరేబుల్ టెయిల్‌వీల్ ఉంది. బిల్డర్లకు వారి ఉదాహరణను స్థిర ట్రైసైకిల్ అండర్ క్యారేజీతో నిర్మించే అవకాశం కూడా ఇవ్వబడుతుంది. [2] ఒక చిన్న రెండు సిలిండర్, అడ్డంగా వ్యతిరేకించిన, ఎయిర్-కూల్డ్ ఇంజిన్ ద్వారా శక"&amp;"్తిని అందిస్తారు. నేషనల్ ఎయిర్ అండ్ స్పేస్ మ్యూజియం, [3] మరియు EAA ఎయిర్‌వెంచర్ మ్యూజియం యొక్క స్టీవెన్ ఎఫ్. సోనెక్స్ జెనోస్ మోటర్‌గ్లైడర్ మోని యొక్క పరిణామం, మరియు సోనెక్స్ లైన్ ఆఫ్ విమానాల కోసం డిజైన్ ఫౌండేషన్‌ను అందించింది. [5] ఆల్-ఎలక్ట్రిక్-పవర్డ్ ఎల"&amp;"క్ట్రిక్ ఎయిర్‌క్రాఫ్ట్ కార్పొరేషన్ ఎలెక్ట్రాఫ్లైయర్-సి అనేది టెయిల్‌డ్రాగర్ కాన్ఫిగరేషన్‌లో సవరించిన మోనెట్ మోని. [6] [2] సాధారణ లక్షణాల పనితీరు నుండి డేటా")</f>
        <v>మోనెట్ మోని 1980 ల ప్రారంభంలో అమెరికాలో అభివృద్ధి చేయబడిన ఒక క్రీడా విమానం మరియు హోమ్‌బిల్డింగ్ కోసం విక్రయించబడింది. "ఎయిర్ రిక్రియేషన్ వెహికల్" అనే పదాన్ని వివరించడానికి జాన్ మోన్నెట్ రూపొందించిన జాన్ మోన్నెట్, [1] ఇది తక్కువ, కాంటిలివర్ వింగ్ మరియు వి-తోక కలిగిన సింగిల్-సీట్ల మోటారు మెగ్లైడర్. నిర్మాణం అంతటా లోహంతో ఉంటుంది మరియు ఇది నిర్మించడానికి మరియు ఎగరడానికి సులభం మరియు చవకైనది. అనేక సెయిల్‌ప్లేన్‌ల మాదిరిగానే, ప్రధాన అండర్ క్యారేజ్ ఒకే మోనోహీల్, ఈ సందర్భంలో ఫ్యూజ్‌లేజ్ క్రింద ఒక క్రమబద్ధమైన ఫెయిరింగ్‌లో అమర్చబడి, ముడుచుకునేది కాదు, దాని వెనుక స్టీరేబుల్ టెయిల్‌వీల్ ఉంది. బిల్డర్లకు వారి ఉదాహరణను స్థిర ట్రైసైకిల్ అండర్ క్యారేజీతో నిర్మించే అవకాశం కూడా ఇవ్వబడుతుంది. [2] ఒక చిన్న రెండు సిలిండర్, అడ్డంగా వ్యతిరేకించిన, ఎయిర్-కూల్డ్ ఇంజిన్ ద్వారా శక్తిని అందిస్తారు. నేషనల్ ఎయిర్ అండ్ స్పేస్ మ్యూజియం, [3] మరియు EAA ఎయిర్‌వెంచర్ మ్యూజియం యొక్క స్టీవెన్ ఎఫ్. సోనెక్స్ జెనోస్ మోటర్‌గ్లైడర్ మోని యొక్క పరిణామం, మరియు సోనెక్స్ లైన్ ఆఫ్ విమానాల కోసం డిజైన్ ఫౌండేషన్‌ను అందించింది. [5] ఆల్-ఎలక్ట్రిక్-పవర్డ్ ఎలక్ట్రిక్ ఎయిర్‌క్రాఫ్ట్ కార్పొరేషన్ ఎలెక్ట్రాఫ్లైయర్-సి అనేది టెయిల్‌డ్రాగర్ కాన్ఫిగరేషన్‌లో సవరించిన మోనెట్ మోని. [6] [2] సాధారణ లక్షణాల పనితీరు నుండి డేటా</v>
      </c>
      <c r="E128" s="1" t="s">
        <v>2370</v>
      </c>
      <c r="F128" s="1" t="s">
        <v>1236</v>
      </c>
      <c r="G128" s="1" t="str">
        <f>IFERROR(__xludf.DUMMYFUNCTION("GOOGLETRANSLATE(F:F, ""en"", ""te"")"),"క్రీడా విమానం")</f>
        <v>క్రీడా విమానం</v>
      </c>
      <c r="I128" s="1" t="s">
        <v>2371</v>
      </c>
      <c r="J128" s="1" t="str">
        <f>IFERROR(__xludf.DUMMYFUNCTION("GOOGLETRANSLATE(I:I, ""en"", ""te"")"),"హోమ్‌బిల్డింగ్ కోసం మోన్నెట్ ప్రయోగాత్మక ఎయిర్‌క్రాఫ్ట్ ఇంక్")</f>
        <v>హోమ్‌బిల్డింగ్ కోసం మోన్నెట్ ప్రయోగాత్మక ఎయిర్‌క్రాఫ్ట్ ఇంక్</v>
      </c>
      <c r="K128" s="1" t="s">
        <v>2372</v>
      </c>
      <c r="L128" s="1" t="s">
        <v>2373</v>
      </c>
      <c r="M128" s="2" t="str">
        <f>IFERROR(__xludf.DUMMYFUNCTION("GOOGLETRANSLATE(L:L, ""en"", ""te"")"),"జాన్ మోన్నెట్")</f>
        <v>జాన్ మోన్నెట్</v>
      </c>
      <c r="N128" s="1" t="s">
        <v>2374</v>
      </c>
      <c r="O128" s="1" t="s">
        <v>2375</v>
      </c>
      <c r="R128" s="1" t="s">
        <v>1219</v>
      </c>
      <c r="T128" s="1" t="s">
        <v>2376</v>
      </c>
      <c r="U128" s="1" t="s">
        <v>2377</v>
      </c>
      <c r="V128" s="1" t="s">
        <v>2378</v>
      </c>
      <c r="W128" s="1" t="s">
        <v>2379</v>
      </c>
      <c r="X128" s="1" t="s">
        <v>2380</v>
      </c>
      <c r="Z128" s="1" t="s">
        <v>2381</v>
      </c>
      <c r="AA128" s="1" t="s">
        <v>2382</v>
      </c>
      <c r="AC128" s="1" t="s">
        <v>2383</v>
      </c>
      <c r="AD128" s="1" t="s">
        <v>2384</v>
      </c>
      <c r="AF128" s="1" t="s">
        <v>206</v>
      </c>
      <c r="AH128" s="1" t="s">
        <v>261</v>
      </c>
      <c r="AI128" s="1" t="s">
        <v>2385</v>
      </c>
      <c r="AL128" s="1" t="s">
        <v>2386</v>
      </c>
      <c r="AN128" s="1" t="s">
        <v>2387</v>
      </c>
      <c r="AO128" s="7">
        <v>29791.0</v>
      </c>
      <c r="AW128" s="1">
        <v>20.0</v>
      </c>
      <c r="BD128" s="1" t="s">
        <v>2388</v>
      </c>
      <c r="BH128" s="1" t="s">
        <v>2389</v>
      </c>
    </row>
    <row r="129">
      <c r="A129" s="1" t="s">
        <v>2390</v>
      </c>
      <c r="B129" s="1" t="str">
        <f>IFERROR(__xludf.DUMMYFUNCTION("GOOGLETRANSLATE(A:A, ""en"", ""te"")"),"మోన్నెట్ సోనెరాయ్")</f>
        <v>మోన్నెట్ సోనెరాయ్</v>
      </c>
      <c r="C129" s="1" t="s">
        <v>2391</v>
      </c>
      <c r="D129" s="2" t="str">
        <f>IFERROR(__xludf.DUMMYFUNCTION("GOOGLETRANSLATE(C:C, ""en"", ""te"")"),"సోనెరాయ్ ఒక చిన్న, VW- శక్తితో కూడిన హోమ్‌బిల్ట్ విమానం, [1] జాన్ మోన్నెట్ రూపొందించారు. [2] సోనెరాయ్ సింగిల్-సీట్, మిడ్-వింగ్, టెయిల్‌వీల్ [3] ఫార్ములా-వి రేసర్ క్లాస్‌గా 1972 లో ఏర్పడింది. సోనెరాయ్ త్వరలోనే సోనెరాయ్ II అని పిలువబడే రెండు సీట్ల మోడల్‌గా "&amp;"పరిణామం చెందింది. [3] తరువాతి సంస్కరణల్లో తక్కువ-వింగ్ సోనెరాయ్ IIL, [3] ఒక ట్రైసైకిల్-గేర్ సోనెరాయ్ ఐల్ట్ [3] మరియు చివరకు విస్తరించిన సోనెరాయ్ ఐల్స్ మరియు ఐల్ట్స్ ఉన్నాయి. [3] [4] జాన్ మోన్నెట్ సోనిక్ మరియు కాస్మిక్-రే [5] పదాల కలయిక నుండి సోనెరాయ్ పేరు"&amp;"తో ముందుకు వచ్చారు మరియు చాలా మంది సోనెరైస్ నిర్మించబడింది మరియు మంచి వేగం మరియు యుక్తితో తక్కువ-ధర ప్రయోగాత్మక విమానాలను కోరుకునే వ్యక్తులకు ఇది చాలా ప్రాచుర్యం పొందిన డిజైన్. 1974 లో నిర్మించడానికి ఎయిర్‌ఫ్రేమ్ ఖర్చు $ 2,500 గా అంచనా వేయబడింది. 2010 ఎయి"&amp;"ర్‌ఫ్రేమ్ ఖర్చు సుమారు $ 6,000 (యుఎస్) మరియు మొత్తం ఖర్చు హార్డ్‌వేర్, ఇన్స్ట్రుమెంటేషన్, ఇంజిన్ మరియు ఇతర అవసరమైన వస్తువులతో పాటు సుమారు $ 15,000 (యుఎస్). నిర్మించాల్సిన సమయం 800 మరియు 1000 గంటల మధ్య ఉంటుంది. [6] 1971 EAA ఎయిర్‌షోలో ప్రదర్శించాల్సిన ఎగిర"&amp;"ే విమానం యొక్క లక్ష్యంతో సోనెరాయ్ I డిజైన్ అండ్ కన్స్ట్రక్షన్ 1970 లో ప్రారంభమైంది. ఈ విమానం 1600 సిసి వోక్స్వ్యాగన్ ఇంజిన్లచే నడిచే విమానాల కోసం కొత్త ఫార్ములా V నిబంధనలను మరియు ప్రొఫెషనల్ రేస్ పైలట్స్ అసోసియేషన్ (పిఆర్పిఎ) ను తీర్చడం (ఇది 1600 నుండి 280"&amp;"0 సిసి స్థానభ్రంశం వరకు VW ఇంజిన్లను అంగీకరిస్తుంది). [1] స్పిట్‌ఫైర్ నుండి ప్రేరణ పొందిన, ఎలిప్టికల్ టెయిల్ ప్రొఫైల్ విలీనం చేయబడింది. ఎలిప్టికల్ వింగ్టిప్స్ మరియు తక్కువ-వింగ్ కాన్ఫిగరేషన్ తొలగించబడ్డాయి, కాని తక్కువ-వింగ్ సోనెరాయ్ II వేరియంట్ తరువాత వి"&amp;"డుదల చేయబడింది. [7] సోనెరాయ్ నేను డైరెక్ట్ డ్రైవ్ 1,600 సిసి విడబ్ల్యు ఇంజిన్ [1] ను ఉపయోగించటానికి రూపొందించబడింది మరియు సోనెరాయ్ II 1700 సిసి విడబ్ల్యు ఇంజిన్‌ను ఉపయోగించడానికి రూపొందించబడింది. ట్రైలర్ మరియు కాంపాక్ట్ స్టోరేజ్ లేకుండా వెళ్ళుట కోసం ఫ్యూజ"&amp;"్‌లేజ్‌తో పాటు రెక్కలు మడవటానికి రూపొందించబడ్డాయి. [1] సోనెరాయ్ II వెనుక సీటు నుండి ఒంటరిగా ఉండేలా రూపొందించబడింది. ఈ విమానం ఫాబ్రిక్-కప్పబడిన స్టీల్-ట్యూబ్ ఫ్యూజ్‌లేజ్ మరియు తోక చుట్టూ నిర్మించబడింది, [1] ఆల్-అల్యూమినియం రెక్కలు [1] మరియు ఫైబర్‌గ్లాస్ కౌ"&amp;"ల్‌తో. ప్రణాళికలకు 1974 లో $ 50 మరియు $ 57 ఖర్చు అవుతుంది. [8] గ్రేట్ ప్లెయిన్స్ ఎయిర్క్రాఫ్ట్ సప్లై కంపెనీ 2015 వరకు సోనెరాయ్ సిరీస్ విమానాల హక్కులను కలిగి ఉంది. విస్కాన్సిన్‌లోని ఫ్రాంక్స్ విల్లెకు చెందిన సోనెరాయ్ వర్క్స్ ఎల్‌ఎల్‌సి, 2015 లో గ్రేట్ ప్లె"&amp;"యిన్స్ నుండి సోనెరాయ్ ప్రణాళికలు మరియు భాగాలను కొనుగోలు చేసింది. సోనెరాయ్ వర్క్స్ ఎల్‌ఎల్‌సి ఫ్రెడ్ కీప్ చేత ఏర్పాటు చేయబడింది. సోనెరాయ్ ఐఐఎల్ బిల్డర్, యజమాని మరియు పైలట్, అతను సోనెరాయ్ వార్తాలేఖ సంపాదకుడు మరియు ప్రచురణకర్త 1996 –2010, మరియు 28 సంవత్సరాలల"&amp;"ో సోనెరాయ్ బిల్డర్లకు సాంకేతిక సహాయక ప్రొవైడర్ (1987 నుండి EAA సాంకేతిక సలహాదారుడు). [3] [9] డిసెంబర్ 2019 లో ఈ డిజైన్‌ను సోనెక్స్ విమానం కొనుగోలు చేసింది. [10] విమానం కిట్‌గా అందుబాటులో లేదు మరియు కొన్ని భాగాలు అందుబాటులో ఉన్నప్పటికీ ప్రణాళికలను ఉపయోగించ"&amp;"ి నిర్మించబడ్డాయి. [11] విస్కాన్సిన్‌లోని ఓష్కోష్‌లోని ప్రయోగాత్మక ఎయిర్‌క్రాఫ్ట్ అసోసియేషన్ ఎయిర్‌షోలో సోనెరాయ్ 1 అనే ప్రోటోటైప్ సోనెరాయ్ 1 ప్రదర్శించబడింది, అక్కడ మోనెట్ చివరికి మకాం మార్చారు. ఈ విమానం ఒక ప్రకాశవంతమైన ఆకుపచ్చగా పెయింట్ చేయబడింది, ఇది భవ"&amp;"ిష్యత్ ప్రోటోటైప్స్ మరియు కంపెనీ మార్కెటింగ్ యొక్క అన్ని రంగుగా మారింది. నీడ 1971 డాడ్జ్ ఛార్జర్ జాన్ మోన్నెట్ పెయింట్ చేసిన సాసీ గడ్డి ఆకుపచ్చను చూశాడు. [12] బ్రియాన్ డెంప్సే ఒక సోనెరాయ్ I ను నిర్మించాడు, అది ప్రపంచ రికార్డును సృష్టించింది. C-1A/0 (ల్యాం"&amp;"డ్‌ప్లేన్స్: టేకాఫ్ బరువు 300 కిలోల కన్నా తక్కువ) వేగం 15/25 కిమీ కోర్సులో 292.15 కిమీ/గం (181.53 mph/157.74 kts) ఫిబ్రవరి 19, 1989 న. [13] డెంప్సే రికార్డు 20 సంవత్సరాలుగా నిలిచింది. ఆస్ట్రేలియాకు చెందిన రాబిన్ ఆస్టిన్ 100 హెచ్‌పి రోటాక్స్ ఇంజిన్‌తో సోనె"&amp;"రై ఐఐల్‌ను నిర్మించాడు. ఈ విమానం C-1A/0 (ల్యాండ్‌ప్లేన్స్: టేకాఫ్ బరువు 300 కిలోల కన్నా తక్కువ) కోసం ఈ క్రింది FAI రికార్డులను సెట్ చేసింది. [14] జేన్ యొక్క అన్ని ప్రపంచ విమానాల నుండి డేటా 1982–83 [21] సాధారణ లక్షణాల పనితీరు")</f>
        <v>సోనెరాయ్ ఒక చిన్న, VW- శక్తితో కూడిన హోమ్‌బిల్ట్ విమానం, [1] జాన్ మోన్నెట్ రూపొందించారు. [2] సోనెరాయ్ సింగిల్-సీట్, మిడ్-వింగ్, టెయిల్‌వీల్ [3] ఫార్ములా-వి రేసర్ క్లాస్‌గా 1972 లో ఏర్పడింది. సోనెరాయ్ త్వరలోనే సోనెరాయ్ II అని పిలువబడే రెండు సీట్ల మోడల్‌గా పరిణామం చెందింది. [3] తరువాతి సంస్కరణల్లో తక్కువ-వింగ్ సోనెరాయ్ IIL, [3] ఒక ట్రైసైకిల్-గేర్ సోనెరాయ్ ఐల్ట్ [3] మరియు చివరకు విస్తరించిన సోనెరాయ్ ఐల్స్ మరియు ఐల్ట్స్ ఉన్నాయి. [3] [4] జాన్ మోన్నెట్ సోనిక్ మరియు కాస్మిక్-రే [5] పదాల కలయిక నుండి సోనెరాయ్ పేరుతో ముందుకు వచ్చారు మరియు చాలా మంది సోనెరైస్ నిర్మించబడింది మరియు మంచి వేగం మరియు యుక్తితో తక్కువ-ధర ప్రయోగాత్మక విమానాలను కోరుకునే వ్యక్తులకు ఇది చాలా ప్రాచుర్యం పొందిన డిజైన్. 1974 లో నిర్మించడానికి ఎయిర్‌ఫ్రేమ్ ఖర్చు $ 2,500 గా అంచనా వేయబడింది. 2010 ఎయిర్‌ఫ్రేమ్ ఖర్చు సుమారు $ 6,000 (యుఎస్) మరియు మొత్తం ఖర్చు హార్డ్‌వేర్, ఇన్స్ట్రుమెంటేషన్, ఇంజిన్ మరియు ఇతర అవసరమైన వస్తువులతో పాటు సుమారు $ 15,000 (యుఎస్). నిర్మించాల్సిన సమయం 800 మరియు 1000 గంటల మధ్య ఉంటుంది. [6] 1971 EAA ఎయిర్‌షోలో ప్రదర్శించాల్సిన ఎగిరే విమానం యొక్క లక్ష్యంతో సోనెరాయ్ I డిజైన్ అండ్ కన్స్ట్రక్షన్ 1970 లో ప్రారంభమైంది. ఈ విమానం 1600 సిసి వోక్స్వ్యాగన్ ఇంజిన్లచే నడిచే విమానాల కోసం కొత్త ఫార్ములా V నిబంధనలను మరియు ప్రొఫెషనల్ రేస్ పైలట్స్ అసోసియేషన్ (పిఆర్పిఎ) ను తీర్చడం (ఇది 1600 నుండి 2800 సిసి స్థానభ్రంశం వరకు VW ఇంజిన్లను అంగీకరిస్తుంది). [1] స్పిట్‌ఫైర్ నుండి ప్రేరణ పొందిన, ఎలిప్టికల్ టెయిల్ ప్రొఫైల్ విలీనం చేయబడింది. ఎలిప్టికల్ వింగ్టిప్స్ మరియు తక్కువ-వింగ్ కాన్ఫిగరేషన్ తొలగించబడ్డాయి, కాని తక్కువ-వింగ్ సోనెరాయ్ II వేరియంట్ తరువాత విడుదల చేయబడింది. [7] సోనెరాయ్ నేను డైరెక్ట్ డ్రైవ్ 1,600 సిసి విడబ్ల్యు ఇంజిన్ [1] ను ఉపయోగించటానికి రూపొందించబడింది మరియు సోనెరాయ్ II 1700 సిసి విడబ్ల్యు ఇంజిన్‌ను ఉపయోగించడానికి రూపొందించబడింది. ట్రైలర్ మరియు కాంపాక్ట్ స్టోరేజ్ లేకుండా వెళ్ళుట కోసం ఫ్యూజ్‌లేజ్‌తో పాటు రెక్కలు మడవటానికి రూపొందించబడ్డాయి. [1] సోనెరాయ్ II వెనుక సీటు నుండి ఒంటరిగా ఉండేలా రూపొందించబడింది. ఈ విమానం ఫాబ్రిక్-కప్పబడిన స్టీల్-ట్యూబ్ ఫ్యూజ్‌లేజ్ మరియు తోక చుట్టూ నిర్మించబడింది, [1] ఆల్-అల్యూమినియం రెక్కలు [1] మరియు ఫైబర్‌గ్లాస్ కౌల్‌తో. ప్రణాళికలకు 1974 లో $ 50 మరియు $ 57 ఖర్చు అవుతుంది. [8] గ్రేట్ ప్లెయిన్స్ ఎయిర్క్రాఫ్ట్ సప్లై కంపెనీ 2015 వరకు సోనెరాయ్ సిరీస్ విమానాల హక్కులను కలిగి ఉంది. విస్కాన్సిన్‌లోని ఫ్రాంక్స్ విల్లెకు చెందిన సోనెరాయ్ వర్క్స్ ఎల్‌ఎల్‌సి, 2015 లో గ్రేట్ ప్లెయిన్స్ నుండి సోనెరాయ్ ప్రణాళికలు మరియు భాగాలను కొనుగోలు చేసింది. సోనెరాయ్ వర్క్స్ ఎల్‌ఎల్‌సి ఫ్రెడ్ కీప్ చేత ఏర్పాటు చేయబడింది. సోనెరాయ్ ఐఐఎల్ బిల్డర్, యజమాని మరియు పైలట్, అతను సోనెరాయ్ వార్తాలేఖ సంపాదకుడు మరియు ప్రచురణకర్త 1996 –2010, మరియు 28 సంవత్సరాలలో సోనెరాయ్ బిల్డర్లకు సాంకేతిక సహాయక ప్రొవైడర్ (1987 నుండి EAA సాంకేతిక సలహాదారుడు). [3] [9] డిసెంబర్ 2019 లో ఈ డిజైన్‌ను సోనెక్స్ విమానం కొనుగోలు చేసింది. [10] విమానం కిట్‌గా అందుబాటులో లేదు మరియు కొన్ని భాగాలు అందుబాటులో ఉన్నప్పటికీ ప్రణాళికలను ఉపయోగించి నిర్మించబడ్డాయి. [11] విస్కాన్సిన్‌లోని ఓష్కోష్‌లోని ప్రయోగాత్మక ఎయిర్‌క్రాఫ్ట్ అసోసియేషన్ ఎయిర్‌షోలో సోనెరాయ్ 1 అనే ప్రోటోటైప్ సోనెరాయ్ 1 ప్రదర్శించబడింది, అక్కడ మోనెట్ చివరికి మకాం మార్చారు. ఈ విమానం ఒక ప్రకాశవంతమైన ఆకుపచ్చగా పెయింట్ చేయబడింది, ఇది భవిష్యత్ ప్రోటోటైప్స్ మరియు కంపెనీ మార్కెటింగ్ యొక్క అన్ని రంగుగా మారింది. నీడ 1971 డాడ్జ్ ఛార్జర్ జాన్ మోన్నెట్ పెయింట్ చేసిన సాసీ గడ్డి ఆకుపచ్చను చూశాడు. [12] బ్రియాన్ డెంప్సే ఒక సోనెరాయ్ I ను నిర్మించాడు, అది ప్రపంచ రికార్డును సృష్టించింది. C-1A/0 (ల్యాండ్‌ప్లేన్స్: టేకాఫ్ బరువు 300 కిలోల కన్నా తక్కువ) వేగం 15/25 కిమీ కోర్సులో 292.15 కిమీ/గం (181.53 mph/157.74 kts) ఫిబ్రవరి 19, 1989 న. [13] డెంప్సే రికార్డు 20 సంవత్సరాలుగా నిలిచింది. ఆస్ట్రేలియాకు చెందిన రాబిన్ ఆస్టిన్ 100 హెచ్‌పి రోటాక్స్ ఇంజిన్‌తో సోనెరై ఐఐల్‌ను నిర్మించాడు. ఈ విమానం C-1A/0 (ల్యాండ్‌ప్లేన్స్: టేకాఫ్ బరువు 300 కిలోల కన్నా తక్కువ) కోసం ఈ క్రింది FAI రికార్డులను సెట్ చేసింది. [14] జేన్ యొక్క అన్ని ప్రపంచ విమానాల నుండి డేటా 1982–83 [21] సాధారణ లక్షణాల పనితీరు</v>
      </c>
      <c r="E129" s="1" t="s">
        <v>2392</v>
      </c>
      <c r="F129" s="1" t="s">
        <v>920</v>
      </c>
      <c r="G129" s="1" t="str">
        <f>IFERROR(__xludf.DUMMYFUNCTION("GOOGLETRANSLATE(F:F, ""en"", ""te"")"),"హోమ్‌బిల్ట్ విమానం")</f>
        <v>హోమ్‌బిల్ట్ విమానం</v>
      </c>
      <c r="I129" s="1" t="s">
        <v>2393</v>
      </c>
      <c r="J129" s="1" t="str">
        <f>IFERROR(__xludf.DUMMYFUNCTION("GOOGLETRANSLATE(I:I, ""en"", ""te"")"),"మోనెట్ విమానం")</f>
        <v>మోనెట్ విమానం</v>
      </c>
      <c r="L129" s="1" t="s">
        <v>2373</v>
      </c>
      <c r="M129" s="2" t="str">
        <f>IFERROR(__xludf.DUMMYFUNCTION("GOOGLETRANSLATE(L:L, ""en"", ""te"")"),"జాన్ మోన్నెట్")</f>
        <v>జాన్ మోన్నెట్</v>
      </c>
      <c r="N129" s="1" t="s">
        <v>2374</v>
      </c>
      <c r="R129" s="1">
        <v>1.0</v>
      </c>
      <c r="T129" s="1" t="s">
        <v>2394</v>
      </c>
      <c r="U129" s="1" t="s">
        <v>2395</v>
      </c>
      <c r="V129" s="1" t="s">
        <v>2396</v>
      </c>
      <c r="W129" s="1" t="s">
        <v>2380</v>
      </c>
      <c r="Y129" s="1" t="s">
        <v>2397</v>
      </c>
      <c r="Z129" s="1" t="s">
        <v>2398</v>
      </c>
      <c r="AA129" s="1" t="s">
        <v>2399</v>
      </c>
      <c r="AB129" s="1" t="s">
        <v>2400</v>
      </c>
      <c r="AC129" s="1" t="s">
        <v>2401</v>
      </c>
      <c r="AD129" s="1" t="s">
        <v>2384</v>
      </c>
      <c r="AH129" s="1" t="s">
        <v>2402</v>
      </c>
      <c r="AI129" s="1" t="s">
        <v>2362</v>
      </c>
      <c r="AJ129" s="1" t="s">
        <v>2403</v>
      </c>
      <c r="AK129" s="1" t="s">
        <v>2404</v>
      </c>
      <c r="AL129" s="1" t="s">
        <v>2405</v>
      </c>
      <c r="AO129" s="5">
        <v>26134.0</v>
      </c>
      <c r="AR129" s="1" t="s">
        <v>372</v>
      </c>
      <c r="AX129" s="1">
        <v>1971.0</v>
      </c>
    </row>
    <row r="130">
      <c r="A130" s="1" t="s">
        <v>2406</v>
      </c>
      <c r="B130" s="1" t="str">
        <f>IFERROR(__xludf.DUMMYFUNCTION("GOOGLETRANSLATE(A:A, ""en"", ""te"")"),"మర్ఫీ రెనెగేడ్")</f>
        <v>మర్ఫీ రెనెగేడ్</v>
      </c>
      <c r="C130" s="1" t="s">
        <v>2407</v>
      </c>
      <c r="D130" s="2" t="str">
        <f>IFERROR(__xludf.DUMMYFUNCTION("GOOGLETRANSLATE(C:C, ""en"", ""te"")"),"మర్ఫీ రెనెగేడ్ అనేది కెనడియన్ రెండు-సీట్ల-ఇన్-టాండెమ్, సింగిల్ ఇంజిన్, సాంప్రదాయిక ల్యాండింగ్ గేర్, బైప్‌లాన్‌లు, మర్ఫీ విమానాలచే ఉత్పత్తి చేయబడినది మరియు te త్సాహిక నిర్మాణం కోసం ఉద్దేశించబడింది. [1] [2] [3] [4] [5] [[ కెనడాలో అన్ని రెనెగేడ్ వేరియంట్లు t"&amp;"e త్సాహిక-కొనుగోలు, ప్రాథమిక అల్ట్రాలైట్స్ లేదా అధునాతన అల్ట్రాలైట్స్ గా నమోదు చేసుకోవడానికి అర్హులు. USA లో రెనెగేడ్ ప్రత్యేక లైట్-స్పోర్ట్ విమానాల జాబితాలో లేదు, కానీ ప్రయోగాత్మక-te త్సాహిక-నిర్మిత వర్గానికి అర్హమైనది. [8] [9] [10] రినెగేడ్ ప్రమాదం ఫలిత"&amp;"ంగా రూపొందించబడింది. డారిల్ మర్ఫీ ఒక మెకానికల్ ఇంజనీరింగ్ టెక్నాలజిస్ట్, అతను 1978 లో పాఠశాల ప్రాజెక్టుగా దృ wing మైన వింగ్ హాంగ్ గ్లైడర్‌ను రూపొందించాడు మరియు నిర్మించాడు, అదే సమయంలో సస్కట్చేవాన్‌లోని సాస్కాటూన్లోని సస్కట్చేవాన్ ఇన్స్టిట్యూట్ ఆఫ్ అప్లైడ్"&amp;" సైన్స్ అండ్ టెక్నాలజీకి హాజరయ్యాడు. 1984 లో మర్ఫీ ఏవియేషన్ ప్రమాదంలో ఉన్నాడు, అది అతన్ని నాలుగు నెలలు ఆసుపత్రిలో చేరింది. కోలుకునే సమయంలో అతను అప్పటి కొత్త కెనడియన్ అల్ట్రాలైట్ విభాగానికి సరిపోయేలా బిప్‌లేన్ రూపకల్పన చేయాలని నిర్ణయించుకున్నాడు. ఫలితంగా వ"&amp;"చ్చిన విమానం, సి-ఇడ్జీ, సింగిల్-సీట్ల మోడల్ మరియు ఉత్పత్తి ఉద్దేశాలు లేకుండా, తన సొంత ఉపయోగం కోసం ఒక-ఆఫ్ విమానంగా ఉద్దేశించబడ్డాయి. మర్ఫీ దీనికి రెనెగేడ్ అని పేరు పెట్టారు. [11] విమానాన్ని అనేక ఫ్లై-ఇన్‌లు మరియు ఇతర విమానయాన కార్యక్రమాలకు తీసుకువెళ్ళిన తర"&amp;"ువాత, మర్ఫీని వారి కోసం ఒకదాన్ని నిర్మించాలని కోరుకునే పెద్ద సంఖ్యలో ప్రజలు ప్రోత్సహించారు. 1985 లో అతను తన ఉద్యోగాన్ని విడిచిపెట్టి, మర్ఫీ ఏవియేషన్ (తరువాత మర్ఫీ ఎయిర్క్రాఫ్ట్ మాన్యుఫ్యాక్చరింగ్ గా పేరు మార్చారు), తన సోదరుడు బ్రయాన్‌తో కలిసి ఈ సంస్థను బ్"&amp;"రిటిష్ కొలంబియాలోని చిల్లివాక్‌లో కనుగొన్నాడు. సెంటర్ ఫ్యూజ్‌లేజ్ నుండి అప్పర్ వింగ్‌కు ఇంధన ట్యాంక్‌ను మార్చడం ద్వారా అసలు రెనెగేడ్ డిజైన్ రెండు సీట్లగా మార్చబడింది, రెండవ సీటును వ్యవస్థాపించడం మరియు దానిని రెనెగేడ్ II ని నియమించడం. మొదటి ఆరు నెలల్లో ఒకే"&amp;" ఒక కిట్ అమ్ముడవుతున్నందున ప్రారంభ అమ్మకాలు నిరాశపరిచాయి. ఏవియేషన్ ప్రెస్ విమానాన్ని సమీక్షించడం ప్రారంభించిన తర్వాత అమ్మకాలు బాగా మెరుగుపడ్డాయి. 1986 నాటికి ఈ సంస్థకు ఆర్డర్‌ల బ్యాక్‌లాగ్ ఉంది, వీటిలో ఉత్తర అమెరికా వెలుపల నుండి చాలా మంది ఉన్నారు. మర్ఫీ ఓ"&amp;"ష్కోష్ లోని EAA కన్వెన్షన్ వద్ద రెనెగేడ్‌ను ప్రదర్శించి, గణనీయమైన ఆర్డర్ పుస్తకంతో చిల్లివాక్‌కు తిరిగి వచ్చాడు. 1989 లో అమ్మకాలు మొత్తం 129 రెనెగేడ్ IIS. [11] [12] రెనెగేడ్ టూ మొదట్లో ఆరు వేర్వేరు కాన్ఫిగరేషన్లలో కొనుగోలుదారులకు అందించబడింది: [13] [14] మ"&amp;"ే 1987 లో బేసిక్ రెనెగేడ్ డిజైన్ యొక్క కొత్త వెర్షన్ మొదట ఎగిరింది. రెనెగేడ్ స్పిరిట్ అని పేరు పెట్టబడినది, ఇది రేడియల్ ఇంజిన్-స్టైల్ రౌండ్ కౌలింగ్ మరియు అదనపు ఫ్యూజ్‌లేజ్ స్ట్రింగర్‌లను జోడించి, విమానానికి గుండ్రని రూపాన్ని ఇస్తుంది. ప్రామాణిక ఇంజిన్ 64 "&amp;"HP (48 kW) రోటాక్స్ 532 మరియు తరువాత అదే అవుట్పుట్ యొక్క రోటాక్స్ 582, 80 HP (60 kW) నాలుగు-స్ట్రోక్ రోటాక్స్ 912UL తరువాత ఎంపికగా జోడించబడింది. ఫైబర్గ్లాస్ వీల్ ప్యాంటు కూడా ఒక ఎంపిక. [14] [15] [16] [17] తిరుగుబాటు ఫ్యూజ్‌లేజ్ అల్యూమినియం స్క్వేర్ గొట్టా"&amp;"ల ఎక్స్‌ట్రాషన్స్ మరియు ఫిట్టింగులతో నిర్మించబడింది, ఇది అవెక్స్ రివెట్‌లతో కట్టుబడి ఉంటుంది. తాబేలు డెక్ మరియు ఇంజిన్ కౌలింగ్ ఫైబర్గ్లాస్ నుండి తయారవుతాయి. ఫిన్, చుక్కాని, క్షితిజ సమాంతర స్టెబిలైజర్ మరియు ఎలివేటర్లు అల్యూమినియం గొట్టాలు మరియు ఛానల్ విభాగ"&amp;"ాల నుండి నిర్మించబడ్డాయి. తోక వైర్-బ్రేస్డ్. ఎలివేటర్‌పై అమర్చిన మాన్యువల్ ట్రిమ్ టాబ్ ఒక ఎంపిక. ల్యాండింగ్ గేర్ సాంప్రదాయిక కాన్ఫిగరేషన్ మరియు బంగీ సస్పెన్షన్‌ను కలిగి ఉంటుంది. వెల్డెడ్ ఇంజిన్ మౌంట్ 4130 స్టీల్. [13] [16] [18] రెనెగేడ్స్ రెక్కలు సానుకూల "&amp;"అస్థిరంగా ఉంటాయి మరియు ఒకే ఫెయిర్‌డ్ ఇంటర్‌ప్లేన్ స్ట్రట్ మరియు కాబేన్ స్ట్రట్‌లతో పాటు వైర్-బ్రేసింగ్‌ను కలిగి ఉంటాయి. టాప్ వింగ్ 21 అడుగుల (6.4 మీ) వ్యవధిని కలిగి ఉంది మరియు పైలట్ వెనుక సీటు నుండి దృశ్యమానతను మెరుగుపరచడానికి 10 డిగ్రీల స్వీప్‌ను కలిగి ఉ"&amp;"ంటుంది, ముందు సీటు ప్రయాణీకుడికి ప్రాప్యత మరియు ప్రతికూల యావ్ తగ్గిస్తుంది. దిగువ వింగ్ 3 డిగ్రీల డైహెడ్రల్ కలిగి ఉంది. ఐలెరాన్లు ఫ్రైసీ రకానికి చెందినవి, దిగువ వింగ్ ప్రమాణంపై రెండు ఐలెరాన్‌లు మరియు నాలుగు ఐలెరాన్‌లు ఐచ్ఛికం. ఫ్రంట్ వింగ్ స్పార్ ప్రారంభం"&amp;"లో 3 అంగుళాలు (7.6 సెం.మీ) అల్యూమినియం ట్యూబ్ మరియు వెనుక స్పార్ ""సి"" ఛానల్. 1 జనవరి 1989 నుండి ఫ్రంట్ స్పార్ దీర్ఘచతురస్రాకార స్పార్‌గా మార్చబడింది మరియు అవుట్‌బోర్డ్ డ్రాగ్ బ్రేస్ జోడించబడింది, ఇది రెక్క దృ g త్వాన్ని పెంచుతుంది. పక్కటెముకలు అల్యూమిని"&amp;"యం మరియు సహచరుడిని అల్యూమినియం షీట్ ప్రముఖ అంచుతో స్టాంప్ చేస్తారు. అన్ని ఉపరితలాలు విమాన ఫాబ్రిక్‌తో కప్పబడి ఉంటాయి. నియంత్రణలు టార్క్ గొట్టాల ద్వారా ఉంటాయి. [13] [18] రెనెగేడ్ II వింగ్ డిజైన్ ఇసుక -బ్యాగ్ 16 ఫిబ్రవరి 1988 న 4,050 పౌండ్లు (1,837 కిలోలు),"&amp;" లేదా +7.2 గ్రా వర్కింగ్ లోడ్, +10 మరియు -6 జిఎస్ అల్టిమేట్ లోడ్‌తో పరీక్షించబడింది. [13] [16] నిర్మాణ సమయం బిల్డర్ అనుభవాన్ని బట్టి 300–500 గంటల మధ్య మారుతుందని కంపెనీ సూచిస్తుంది. [18] రెనెగేడ్లు నీటి నుండి కార్యకలాపాల కోసం ఫ్లోట్లను కలిగి ఉన్నాయి. [19]"&amp;" తన 2015 సమీక్షలో మారినో బోరిక్ ఇలా అన్నాడు, ""రెనెగేడ్ రోటాక్స్ 582 వంటి తక్కువ శక్తివంతమైన ఇంజిన్లను తీసుకోవచ్చు, కాని 912 యొక్క అధిక శక్తి అది అర్హమైన అద్భుతమైన పనితీరును ఇస్తుంది."" [7] కిట్‌ప్లేన్స్ నుండి డేటా, [4] మర్ఫీ విమానాలు [ 13] మరియు ఎయిర్‌ఫా"&amp;"యిల్ వినియోగానికి అసంపూర్ణ గైడ్ [21] పోల్చదగిన పాత్ర, కాన్ఫిగరేషన్ మరియు ERA యొక్క సాధారణ లక్షణాలు పనితీరు విమానం")</f>
        <v>మర్ఫీ రెనెగేడ్ అనేది కెనడియన్ రెండు-సీట్ల-ఇన్-టాండెమ్, సింగిల్ ఇంజిన్, సాంప్రదాయిక ల్యాండింగ్ గేర్, బైప్‌లాన్‌లు, మర్ఫీ విమానాలచే ఉత్పత్తి చేయబడినది మరియు te త్సాహిక నిర్మాణం కోసం ఉద్దేశించబడింది. [1] [2] [3] [4] [5] [[ కెనడాలో అన్ని రెనెగేడ్ వేరియంట్లు te త్సాహిక-కొనుగోలు, ప్రాథమిక అల్ట్రాలైట్స్ లేదా అధునాతన అల్ట్రాలైట్స్ గా నమోదు చేసుకోవడానికి అర్హులు. USA లో రెనెగేడ్ ప్రత్యేక లైట్-స్పోర్ట్ విమానాల జాబితాలో లేదు, కానీ ప్రయోగాత్మక-te త్సాహిక-నిర్మిత వర్గానికి అర్హమైనది. [8] [9] [10] రినెగేడ్ ప్రమాదం ఫలితంగా రూపొందించబడింది. డారిల్ మర్ఫీ ఒక మెకానికల్ ఇంజనీరింగ్ టెక్నాలజిస్ట్, అతను 1978 లో పాఠశాల ప్రాజెక్టుగా దృ wing మైన వింగ్ హాంగ్ గ్లైడర్‌ను రూపొందించాడు మరియు నిర్మించాడు, అదే సమయంలో సస్కట్చేవాన్‌లోని సాస్కాటూన్లోని సస్కట్చేవాన్ ఇన్స్టిట్యూట్ ఆఫ్ అప్లైడ్ సైన్స్ అండ్ టెక్నాలజీకి హాజరయ్యాడు. 1984 లో మర్ఫీ ఏవియేషన్ ప్రమాదంలో ఉన్నాడు, అది అతన్ని నాలుగు నెలలు ఆసుపత్రిలో చేరింది. కోలుకునే సమయంలో అతను అప్పటి కొత్త కెనడియన్ అల్ట్రాలైట్ విభాగానికి సరిపోయేలా బిప్‌లేన్ రూపకల్పన చేయాలని నిర్ణయించుకున్నాడు. ఫలితంగా వచ్చిన విమానం, సి-ఇడ్జీ, సింగిల్-సీట్ల మోడల్ మరియు ఉత్పత్తి ఉద్దేశాలు లేకుండా, తన సొంత ఉపయోగం కోసం ఒక-ఆఫ్ విమానంగా ఉద్దేశించబడ్డాయి. మర్ఫీ దీనికి రెనెగేడ్ అని పేరు పెట్టారు. [11] విమానాన్ని అనేక ఫ్లై-ఇన్‌లు మరియు ఇతర విమానయాన కార్యక్రమాలకు తీసుకువెళ్ళిన తరువాత, మర్ఫీని వారి కోసం ఒకదాన్ని నిర్మించాలని కోరుకునే పెద్ద సంఖ్యలో ప్రజలు ప్రోత్సహించారు. 1985 లో అతను తన ఉద్యోగాన్ని విడిచిపెట్టి, మర్ఫీ ఏవియేషన్ (తరువాత మర్ఫీ ఎయిర్క్రాఫ్ట్ మాన్యుఫ్యాక్చరింగ్ గా పేరు మార్చారు), తన సోదరుడు బ్రయాన్‌తో కలిసి ఈ సంస్థను బ్రిటిష్ కొలంబియాలోని చిల్లివాక్‌లో కనుగొన్నాడు. సెంటర్ ఫ్యూజ్‌లేజ్ నుండి అప్పర్ వింగ్‌కు ఇంధన ట్యాంక్‌ను మార్చడం ద్వారా అసలు రెనెగేడ్ డిజైన్ రెండు సీట్లగా మార్చబడింది, రెండవ సీటును వ్యవస్థాపించడం మరియు దానిని రెనెగేడ్ II ని నియమించడం. మొదటి ఆరు నెలల్లో ఒకే ఒక కిట్ అమ్ముడవుతున్నందున ప్రారంభ అమ్మకాలు నిరాశపరిచాయి. ఏవియేషన్ ప్రెస్ విమానాన్ని సమీక్షించడం ప్రారంభించిన తర్వాత అమ్మకాలు బాగా మెరుగుపడ్డాయి. 1986 నాటికి ఈ సంస్థకు ఆర్డర్‌ల బ్యాక్‌లాగ్ ఉంది, వీటిలో ఉత్తర అమెరికా వెలుపల నుండి చాలా మంది ఉన్నారు. మర్ఫీ ఓష్కోష్ లోని EAA కన్వెన్షన్ వద్ద రెనెగేడ్‌ను ప్రదర్శించి, గణనీయమైన ఆర్డర్ పుస్తకంతో చిల్లివాక్‌కు తిరిగి వచ్చాడు. 1989 లో అమ్మకాలు మొత్తం 129 రెనెగేడ్ IIS. [11] [12] రెనెగేడ్ టూ మొదట్లో ఆరు వేర్వేరు కాన్ఫిగరేషన్లలో కొనుగోలుదారులకు అందించబడింది: [13] [14] మే 1987 లో బేసిక్ రెనెగేడ్ డిజైన్ యొక్క కొత్త వెర్షన్ మొదట ఎగిరింది. రెనెగేడ్ స్పిరిట్ అని పేరు పెట్టబడినది, ఇది రేడియల్ ఇంజిన్-స్టైల్ రౌండ్ కౌలింగ్ మరియు అదనపు ఫ్యూజ్‌లేజ్ స్ట్రింగర్‌లను జోడించి, విమానానికి గుండ్రని రూపాన్ని ఇస్తుంది. ప్రామాణిక ఇంజిన్ 64 HP (48 kW) రోటాక్స్ 532 మరియు తరువాత అదే అవుట్పుట్ యొక్క రోటాక్స్ 582, 80 HP (60 kW) నాలుగు-స్ట్రోక్ రోటాక్స్ 912UL తరువాత ఎంపికగా జోడించబడింది. ఫైబర్గ్లాస్ వీల్ ప్యాంటు కూడా ఒక ఎంపిక. [14] [15] [16] [17] తిరుగుబాటు ఫ్యూజ్‌లేజ్ అల్యూమినియం స్క్వేర్ గొట్టాల ఎక్స్‌ట్రాషన్స్ మరియు ఫిట్టింగులతో నిర్మించబడింది, ఇది అవెక్స్ రివెట్‌లతో కట్టుబడి ఉంటుంది. తాబేలు డెక్ మరియు ఇంజిన్ కౌలింగ్ ఫైబర్గ్లాస్ నుండి తయారవుతాయి. ఫిన్, చుక్కాని, క్షితిజ సమాంతర స్టెబిలైజర్ మరియు ఎలివేటర్లు అల్యూమినియం గొట్టాలు మరియు ఛానల్ విభాగాల నుండి నిర్మించబడ్డాయి. తోక వైర్-బ్రేస్డ్. ఎలివేటర్‌పై అమర్చిన మాన్యువల్ ట్రిమ్ టాబ్ ఒక ఎంపిక. ల్యాండింగ్ గేర్ సాంప్రదాయిక కాన్ఫిగరేషన్ మరియు బంగీ సస్పెన్షన్‌ను కలిగి ఉంటుంది. వెల్డెడ్ ఇంజిన్ మౌంట్ 4130 స్టీల్. [13] [16] [18] రెనెగేడ్స్ రెక్కలు సానుకూల అస్థిరంగా ఉంటాయి మరియు ఒకే ఫెయిర్‌డ్ ఇంటర్‌ప్లేన్ స్ట్రట్ మరియు కాబేన్ స్ట్రట్‌లతో పాటు వైర్-బ్రేసింగ్‌ను కలిగి ఉంటాయి. టాప్ వింగ్ 21 అడుగుల (6.4 మీ) వ్యవధిని కలిగి ఉంది మరియు పైలట్ వెనుక సీటు నుండి దృశ్యమానతను మెరుగుపరచడానికి 10 డిగ్రీల స్వీప్‌ను కలిగి ఉంటుంది, ముందు సీటు ప్రయాణీకుడికి ప్రాప్యత మరియు ప్రతికూల యావ్ తగ్గిస్తుంది. దిగువ వింగ్ 3 డిగ్రీల డైహెడ్రల్ కలిగి ఉంది. ఐలెరాన్లు ఫ్రైసీ రకానికి చెందినవి, దిగువ వింగ్ ప్రమాణంపై రెండు ఐలెరాన్‌లు మరియు నాలుగు ఐలెరాన్‌లు ఐచ్ఛికం. ఫ్రంట్ వింగ్ స్పార్ ప్రారంభంలో 3 అంగుళాలు (7.6 సెం.మీ) అల్యూమినియం ట్యూబ్ మరియు వెనుక స్పార్ "సి" ఛానల్. 1 జనవరి 1989 నుండి ఫ్రంట్ స్పార్ దీర్ఘచతురస్రాకార స్పార్‌గా మార్చబడింది మరియు అవుట్‌బోర్డ్ డ్రాగ్ బ్రేస్ జోడించబడింది, ఇది రెక్క దృ g త్వాన్ని పెంచుతుంది. పక్కటెముకలు అల్యూమినియం మరియు సహచరుడిని అల్యూమినియం షీట్ ప్రముఖ అంచుతో స్టాంప్ చేస్తారు. అన్ని ఉపరితలాలు విమాన ఫాబ్రిక్‌తో కప్పబడి ఉంటాయి. నియంత్రణలు టార్క్ గొట్టాల ద్వారా ఉంటాయి. [13] [18] రెనెగేడ్ II వింగ్ డిజైన్ ఇసుక -బ్యాగ్ 16 ఫిబ్రవరి 1988 న 4,050 పౌండ్లు (1,837 కిలోలు), లేదా +7.2 గ్రా వర్కింగ్ లోడ్, +10 మరియు -6 జిఎస్ అల్టిమేట్ లోడ్‌తో పరీక్షించబడింది. [13] [16] నిర్మాణ సమయం బిల్డర్ అనుభవాన్ని బట్టి 300–500 గంటల మధ్య మారుతుందని కంపెనీ సూచిస్తుంది. [18] రెనెగేడ్లు నీటి నుండి కార్యకలాపాల కోసం ఫ్లోట్లను కలిగి ఉన్నాయి. [19] తన 2015 సమీక్షలో మారినో బోరిక్ ఇలా అన్నాడు, "రెనెగేడ్ రోటాక్స్ 582 వంటి తక్కువ శక్తివంతమైన ఇంజిన్లను తీసుకోవచ్చు, కాని 912 యొక్క అధిక శక్తి అది అర్హమైన అద్భుతమైన పనితీరును ఇస్తుంది." [7] కిట్‌ప్లేన్స్ నుండి డేటా, [4] మర్ఫీ విమానాలు [ 13] మరియు ఎయిర్‌ఫాయిల్ వినియోగానికి అసంపూర్ణ గైడ్ [21] పోల్చదగిన పాత్ర, కాన్ఫిగరేషన్ మరియు ERA యొక్క సాధారణ లక్షణాలు పనితీరు విమానం</v>
      </c>
      <c r="E130" s="1" t="s">
        <v>2408</v>
      </c>
      <c r="F130" s="1" t="s">
        <v>215</v>
      </c>
      <c r="G130" s="1" t="str">
        <f>IFERROR(__xludf.DUMMYFUNCTION("GOOGLETRANSLATE(F:F, ""en"", ""te"")"),"కిట్ విమానం")</f>
        <v>కిట్ విమానం</v>
      </c>
      <c r="H130" s="1" t="s">
        <v>216</v>
      </c>
      <c r="I130" s="1" t="s">
        <v>2331</v>
      </c>
      <c r="J130" s="1" t="str">
        <f>IFERROR(__xludf.DUMMYFUNCTION("GOOGLETRANSLATE(I:I, ""en"", ""te"")"),"మర్ఫీ విమానం")</f>
        <v>మర్ఫీ విమానం</v>
      </c>
      <c r="K130" s="1" t="s">
        <v>2332</v>
      </c>
      <c r="L130" s="1" t="s">
        <v>2409</v>
      </c>
      <c r="M130" s="2" t="str">
        <f>IFERROR(__xludf.DUMMYFUNCTION("GOOGLETRANSLATE(L:L, ""en"", ""te"")"),"డారిల్ మర్ఫీ")</f>
        <v>డారిల్ మర్ఫీ</v>
      </c>
      <c r="N130" s="1" t="s">
        <v>2410</v>
      </c>
      <c r="O130" s="1" t="s">
        <v>2411</v>
      </c>
      <c r="R130" s="1" t="s">
        <v>222</v>
      </c>
      <c r="S130" s="1" t="s">
        <v>250</v>
      </c>
      <c r="T130" s="1" t="s">
        <v>2412</v>
      </c>
      <c r="V130" s="1" t="s">
        <v>2413</v>
      </c>
      <c r="W130" s="1" t="s">
        <v>2414</v>
      </c>
      <c r="X130" s="1" t="s">
        <v>2415</v>
      </c>
      <c r="Z130" s="1" t="s">
        <v>2416</v>
      </c>
      <c r="AA130" s="1" t="s">
        <v>1012</v>
      </c>
      <c r="AB130" s="1" t="s">
        <v>2360</v>
      </c>
      <c r="AC130" s="1" t="s">
        <v>2417</v>
      </c>
      <c r="AD130" s="1" t="s">
        <v>2418</v>
      </c>
      <c r="AF130" s="1" t="s">
        <v>233</v>
      </c>
      <c r="AG130" s="4" t="s">
        <v>234</v>
      </c>
      <c r="AH130" s="1" t="s">
        <v>261</v>
      </c>
      <c r="AI130" s="1" t="s">
        <v>2419</v>
      </c>
      <c r="AJ130" s="1" t="s">
        <v>973</v>
      </c>
      <c r="AK130" s="1" t="s">
        <v>2420</v>
      </c>
      <c r="AL130" s="1" t="s">
        <v>2421</v>
      </c>
      <c r="AM130" s="1" t="s">
        <v>438</v>
      </c>
      <c r="AR130" s="1" t="s">
        <v>2422</v>
      </c>
      <c r="AT130" s="1" t="s">
        <v>2423</v>
      </c>
      <c r="BA130" s="1" t="s">
        <v>2424</v>
      </c>
      <c r="BB130" s="1" t="s">
        <v>2425</v>
      </c>
      <c r="BJ130" s="1" t="s">
        <v>2426</v>
      </c>
    </row>
    <row r="131">
      <c r="A131" s="1" t="s">
        <v>2427</v>
      </c>
      <c r="B131" s="1" t="str">
        <f>IFERROR(__xludf.DUMMYFUNCTION("GOOGLETRANSLATE(A:A, ""en"", ""te"")"),"మిస్ వీడోల్")</f>
        <v>మిస్ వీడోల్</v>
      </c>
      <c r="C131" s="1" t="s">
        <v>2428</v>
      </c>
      <c r="D131" s="2" t="str">
        <f>IFERROR(__xludf.DUMMYFUNCTION("GOOGLETRANSLATE(C:C, ""en"", ""te"")"),"పసిఫిక్ మహాసముద్రం మీదుగా నాన్-స్టాప్ ఎగురుతున్న మొదటి విమానం మిస్ వీడోల్. [2] అక్టోబర్ 5, 1931 న, క్లైడ్ పాంగ్బోర్న్ మరియు కో-పైలట్ హ్యూ హెర్ండన్ వాషింగ్టన్లోని తూర్పు వెనాట్చీ కొండలలో క్రాష్-ల్యాండ్ చేశారు, ఉత్తర పసిఫిక్ అంతటా జపాన్లోని మిసావాలోని సబిషి"&amp;"రో బీచ్ నుండి 41 గంటల విమాన ప్రయాణం తరువాత. ఆ సంవత్సరానికి విమానంలో గొప్ప విజయాన్ని గుర్తించి ఫ్లైట్ 1931 హార్మోన్ ట్రోఫీని గెలుచుకుంది. [3] మిస్ వీడోల్ తరువాత అమ్ముడై అమెరికన్ నర్సుగా పేరు మార్చారు. ఏవియేషన్ మెడిసిన్ రీసెర్చ్ కోసం 1932 లో న్యూయార్క్ నగరం"&amp;" నుండి రోమ్ వరకు జరిగిన విమానంలో, ఆమె చివరిసారిగా తూర్పు అట్లాంటిక్‌లోని ఓషన్ లైనర్ చేత కనిపించాడు, ట్రేస్ లేకుండా కనుమరుగయ్యే ముందు. మిస్ వీడోల్ 1931 బెల్లాంకా CH-400 [4] [5] లేదా బెల్లాంకా J-300 లాంగ్-డిస్టెన్స్ స్పెషల్, [6] రిజిస్ట్రేషన్ NR796W. [7] ఇద"&amp;"ి డెలావేర్లోని న్యూ కాజిల్‌లోని బెల్లాంకా ఎయిర్‌ఫీల్డ్‌లో నిర్మించబడింది. ఇది 696 యుఎస్ గ్యాలన్లు (2,630 ఎల్) ఇంధనాన్ని మోయగలదు. క్లైడ్ పాంగ్బోర్న్ మరియు హ్యూ హెర్ండన్ జపాన్లో జరుగుతున్నప్పుడు మిస్ వీడోల్ను సవరించారు - గూ ying చర్యం యొక్క నిరాధారమైన అనుమా"&amp;"నాలపై - ఎక్కువ ఇంధనాన్ని మోయగలగాలి, మరియు ల్యాండింగ్ గేర్‌ను జెట్టిసన్ చేయగలుగుతారు. మిస్ వీడోల్ తన రికార్డ్ బ్రేకింగ్ విమానంలో 915 యుఎస్ గ్యాలన్ల (3,460 ఎల్) విమానయాన గ్యాసోలిన్ యొక్క ప్రారంభ లోడ్‌ను కలిగి ఉంది. [8] మిస్ వీడోల్ మోటార్ ఆయిల్ బ్రాండ్ కోసం "&amp;"పేరు పెట్టబడింది, [9] దీనిని వీడోల్ తయారీదారు టైడ్‌వాటర్ ఆయిల్ కంపెనీ (టైడోల్) స్పాన్సర్ చేసింది. [10] [11] [12] హెర్ండన్ తల్లి, ఆలిస్ కార్టర్ హెర్ండన్, టైడ్‌వాటర్ ఆయిల్ కంపెనీకి వారసురాలు. [12] పాంగ్బోర్న్ మరియు హెర్ండన్ ఒక రౌండ్-ది-వరల్డ్ ఫ్లైట్ కోసం స్"&amp;"పీడ్ రికార్డ్ సృష్టించడానికి ప్రయత్నిస్తున్నారు, కాని సోవియట్ ఫార్ ఈస్ట్‌లో ఖబరోవ్స్క్‌లో నష్టపరిచే ల్యాండింగ్‌తో సహా అనేక ఆలస్యం తరువాత, వారు షెడ్యూల్ మరియు షెడ్యూల్ వెనుక 27 గంటల వెనుక ఉన్నారు ఆ సంవత్సరం ప్రారంభంలో [13] విలే పోస్ట్ మరియు హెరాల్డ్ గాటీ ర"&amp;"ూపొందించిన రికార్డును అంగీకరించాల్సి వచ్చింది. సెట్ చేయడానికి విలువైన ఏవియేషన్ రికార్డ్ కోసం వెతుకుతున్న వారు, వారు మిస్ వీడోల్‌ను మొదటి నాన్-స్టాప్ ట్రాన్స్-పసిఫిక్ ఫ్లైట్‌ను సవరించాలని నిర్ణయించుకున్నారు, దీని కోసం జపనీస్ వార్తాపత్రిక అసహి షింబున్ $ 25,"&amp;"000 [14] బహుమతిని ఇచ్చింది. [15] తయారీదారు యొక్క గరిష్ట ఆపరేటింగ్ బరువుకు మించి, అక్టోబర్ 4, 1931 న (జపనీస్ సమయం), మిస్ వీడోల్ మాత్రమే సబిషిరో బీచ్ యొక్క ప్రత్యేకంగా తయారుచేసిన ప్రాంతం నుండి బయలుదేరలేదు. టేకాఫ్ చేసిన మూడు గంటల తర్వాత ల్యాండింగ్ గేర్ అనుకు"&amp;"న్నట్లుగా జెట్టిసన్ చేయబడింది, కాని రెండు సహాయక స్ట్రట్‌లు జతచేయబడ్డాయి, పాంగ్‌బోర్న్ వాటిని మానవీయంగా తొలగించడానికి విమానంలో రెక్కల స్ట్రట్‌లపైకి ఎక్కడం అవసరం. [9] ఇంజిన్ ఇంధనంతో ఆకలితో మారడానికి అనుమతించడంలో నిర్లక్ష్యం చేసినట్లు పాంగ్బోర్న్ తరువాత హెర్"&amp;"ండన్ నిర్లక్ష్యం చేసినట్లు విమర్శించాడు. ఇంజిన్ పున ar ప్రారంభించబడటానికి ముందు పాంగ్బోర్న్ విమానాన్ని 1400 అడుగుల [16] వరకు డైవ్ చేయాల్సి వచ్చింది. [17] తరువాత, పాంగ్బోర్న్, కొంత నిద్ర అవసరం, కెనడాలోని వాంకోవర్ యొక్క నగర లైట్లను చూసినప్పుడు హెర్ండన్ అతని"&amp;"ని మేల్కొలపమని ఆదేశించాడు. ఏదేమైనా, హెర్ండన్ ఆఫ్-కోర్సు తిరిగాడు మరియు వాంకోవర్ మరియు సీటెల్ రెండింటినీ కోల్పోయాడు. [17] పసిఫిక్ నార్త్‌వెస్ట్‌కు చేరుకున్న తరువాత, వాతావరణం మేఘావృతం మరియు వర్షంగా ఉందని వారు కనుగొన్నారు. వారు మొదట బోయిస్, ఇడాహోకు వెళ్లాలని"&amp;" భావించారు. త్వరలో, వాతావరణం బోయిస్‌లో తమ ల్యాండింగ్‌ను నిరోధిస్తుందని వారు కనుగొన్నారు, కాబట్టి వారు వాషింగ్టన్‌లోని స్పోకనే వైపు తిరిగారు. వాతావరణం కూడా అక్కడ ల్యాండింగ్‌ను నిరోధించినప్పుడు, వారు రాష్ట్రంలోని ట్రై-సిటీస్ ప్రాంతంలో పాస్కో వైపు నైరుతి దిశ"&amp;"లో వెళ్ళారు. అది విఫలమైనప్పుడు, వారు చివరకు పట్టణానికి దూరంగా ఉన్న ఫాంచర్ ఫీల్డ్ వద్ద దిగడానికి వెనాట్చీ వైపు వెళ్ళారు. [18] అక్కడ, వారు పశ్చిమ పసిఫిక్ మీదుగా మిస్ వీడోల్ ల్యాండింగ్ గేర్‌ను పారవేసినందున వారు బొడ్డు ల్యాండింగ్ చేయవలసి వచ్చింది. ఆమె దెబ్బతి"&amp;"ంది, కానీ మరమ్మతు చేయదగినది, మరియు ఆమె ప్రొపెల్లర్ ధ్వంసమైంది, కానీ హెర్ండన్ మరియు పాంగ్బోర్న్ ల్యాండింగ్ ద్వారా సరిగ్గా వచ్చారు. [3] మిస్ వీడోల్ యొక్క బెంట్ ప్రొపెల్లర్, ఇప్పటికీ ఉన్న విమానం యొక్క ఏకైక భాగం, వాషింగ్టన్లోని వెనాట్చీలోని వెనాట్చీ వ్యాలీ మ్"&amp;"యూజియం &amp; కల్చరల్ సెంటర్‌లో ప్రదర్శించబడింది. [19] పాంగ్బోర్న్ మరియు హెర్ండన్ (జపనీస్) ఇంపీరియల్ ఏరోనాటిక్స్ అసోసియేషన్ (ఇది జపనీస్ ఏవియేటర్లకు పరిమితం చేయబడింది) లేదా సీటెల్ వ్యాపారవేత్తల బృందం అందించే, 000 28,000 బహుమతికి (ఇది సీటెల్‌లో ఉద్భవించి, ముగుస్"&amp;"తుంది. జపాన్). [15] హెర్ండన్ మరియు అతని తల్లి విమానంలో ప్రధాన ఆర్థిక మద్దతుదారులు కాబట్టి, వారు దాదాపు అన్ని అసహి షింబున్ బహుమతి డబ్బును మరియు మిస్ వీడోల్ అమ్మకం ద్వారా వచ్చే ఆదాయాన్ని ఉంచారు. [3] పాంగ్బోర్న్ తన భాగానికి కేవలం $ 2500 అందుకున్నాడు మరియు ఎయ"&amp;"ిర్ మెయిల్ పైలట్, ఎయిర్ రేసర్ మరియు ఒక పరీక్ష మరియు ప్రదర్శన పైలట్ గా మునుపటిలాగే కొనసాగించాడు. [17] మిస్ వీడోల్ తరువాత విక్రయించబడింది మరియు చివరికి డాక్టర్ లియోన్ మార్టోకో-జనాభా (సాధారణంగా పిస్కుల్లి అని పిలుస్తారు) సహా ఒక సమూహం యాజమాన్యంలో ఉంది, వారు ప"&amp;"ైలట్ విలియం ఉల్బ్రిచ్ మరియు కోపిలోట్ గ్లాడిస్ బ్రామ్‌హాల్ విల్నర్‌ను నియమించారు (13 ఆగస్టు 1910-3 జూలై 2009) [20] రోమ్ విమానానికి న్యూయార్క్ నగరం రికార్డు కోసం. ప్రణాళికలు ఇటలీలోని ఫ్లోరెన్స్ యొక్క ఫ్లైఓవర్ను కలిగి ఉన్నాయి, ఇక్కడ విల్నర్, పైలట్, నర్సు మరి"&amp;"యు పారాచూట్ జంపర్, ఫ్లోరెన్స్ నైటింగేల్ గౌరవార్థం పారాచూట్ భూమికి పారాచూట్ చేయవలసి ఉంది. [1] పిస్కుల్లి విమానానికి కమాండర్. అతను గైనకాలజిస్ట్ [1] మరియు వైద్య పరికరాల కోసం కనీసం మూడు పేటెంట్లను కలిగి ఉన్నాడు (ఫార్మాల్డిహైడ్ థర్మామీటర్-హోల్డర్, [21] ఒక ated"&amp;" షధ పెస్సరీ [22] మరియు టాంపోన్ యొక్క ఒక రూపం, [23]) మరియు ఒక బొమ్మ కోసం పేటెంట్ పనిచేస్తుంది ఓయిజా బోర్డు వలె అదే సూత్రం. [24] అతను ఇటలీలో జన్మించాడు [25] మరియు 25 జూన్ 1917 మరియు 8 అక్టోబర్ 1919 మధ్య సహజీకరించిన యుఎస్ పౌరుడు అయ్యాడు (అతని రెండు తొలి పేటె"&amp;"ంట్ అనువర్తనాలను పోల్చడం ద్వారా వెల్లడించారు). పిస్కుల్లి ఫ్లైట్ సమయంలో 53 సంవత్సరాలు [1] మరియు న్యూయార్క్‌లోని యోన్కర్స్ లో నివసించారు. [25] అతను అమెరికన్ నర్సెస్ ఏవియేషన్ సర్వీస్, ఇంక్ యొక్క వ్యవస్థాపకుడు మరియు డైరెక్టర్, ఇది విమానయానంలో మరియు ఇతరులకు వ"&amp;"ిమానయానంలో వైద్య సంరక్షణను ప్రోత్సహించడానికి ప్రయత్నించింది. [1] [26] ఈ విమానాన్ని అమెరికన్ నర్సుల ఏవియేషన్ సర్వీస్, ఇంక్ స్పాన్సర్ చేసినందున, ఈ విమానం అమెరికన్ నర్సుగా పేరు మార్చబడింది. పైలట్, విలియం ఉల్బ్రిచ్, డెన్మార్క్‌లో జన్మించాడు మరియు న్యూయార్క్‌ల"&amp;"ోని మినోలా నివాసి. [1] [25] ఫ్లైట్ సమయంలో అతనికి 31 సంవత్సరాలు. [1] మునుపటి సంవత్సరాల్లో బార్న్‌స్టార్మర్ మరియు ఫ్లైట్ బోధకుడు, సెప్టెంబర్ 1932 లో, ఉల్బ్రిచ్ రవాణా పైలట్ లైసెన్స్ కలిగి ఉన్నాడు మరియు 3,800 గంటల ఎగిరే అనుభవాన్ని కలిగి ఉన్నాడు. [25] సిబ్బంది"&amp;" యొక్క మూడవ సభ్యుడు మొదట గ్లాడిస్ బ్రామ్‌హాల్ విల్నర్ (13 ఆగస్టు 1910 - 3 జూలై 2009) [20] గా ఉండటానికి ఉద్దేశించబడింది, అతను ఈ పాత్రకు ఆదర్శంగా సరిపోతాడు, అర్హతగల నర్సు, లైసెన్స్ పొందిన పైలట్ మరియు అనుభవజ్ఞుడైన పారాచూట్ జంపర్. అయితే, ఆమె విమానంలో పాల్గొనడ"&amp;"ానికి నిరాకరించింది. [27] ఆమె స్థానంలో ఎడ్నా న్యూకమర్ (28 సంవత్సరాల వయస్సు) విలియమ్స్పోర్ట్, పెన్సిల్వేనియాకు చెందినవారు, ఆమె నర్సు, పైలట్ మరియు పారాచూట్ జంపర్ కూడా. [25] విల్నర్ ఫ్లోరిడాలోని జాక్సన్విల్లేలో 98 సంవత్సరాల వయస్సులో మరణించాడు; మిస్ వీడోల్ (అ"&amp;"మెరికన్ నర్సుగా) లో ఎగిరిన చివరి వ్యక్తి ఆమె. [27] ఫ్లైట్ కోసం డాక్టర్ పిస్కుల్లి యొక్క ఉద్దేశ్యం ఏమిటంటే, సుదూర విమానయానంలో అలసట యొక్క ప్రభావాలను అధ్యయనం చేయడం మరియు సిబ్బంది కంపార్ట్మెంట్లో కార్బన్ మోనాక్సైడ్ యొక్క నిర్మాణాన్ని కోల్పోవడం వల్ల మునుపటి సు"&amp;"దూర విమానాల నష్టం జరిగిందనే అతని పరికల్పనను పరీక్షించడం. [1 ] మొదటి అధ్యయనం యొక్క ప్రయోజనం కోసం, ముగ్గురు సిబ్బంది సభ్యులు ప్రీ-ఫ్లైట్ శారీరక పరీక్షలు, బేసల్ జీవక్రియ పరీక్షలు, ఎలక్ట్రో కార్డియోగ్రామ్‌లు మరియు రక్త కెమిస్ట్రీ పరీక్షలకు గురయ్యారు. విమానంలో"&amp;" పిస్కుల్లి రక్త నమూనాలను తీసుకోవాలి, మరియు బేసల్ జీవక్రియ పరీక్షలు రోమ్‌కు వచ్చినప్పుడు పునరావృతమవుతాయి. [26] తన రెండవ ఆందోళనకు సంబంధించి, అతను ఈ జంతువుల వాయువుకు సున్నితత్వం కారణంగా కార్బన్ మోనాక్సైడ్ డిటెక్టర్‌గా, విమానంలో ""టెయిల్ విండ్"" అనే వుడ్‌చక్"&amp;"‌ను తీసుకువచ్చాడు. [1] . తద్వారా వారు ఈ నైపుణ్యాలను అత్యవసర వైద్యంలో ఉపయోగించుకోవచ్చు. [25] పిస్కుల్లి అనేక యూరోపియన్ నగరాల పర్యటనను ప్లాన్ చేసింది మరియు అమెరికన్ నర్సు 1933 వసంత in తువులో ఐర్లాండ్ ద్వారా అమెరికాకు తిరిగి వస్తుంది. [25] 32 గంటల విమానానికి"&amp;" ఇంధనం మోస్తున్న అమెరికన్ నర్సు 13 సెప్టెంబర్ 1932 న 6:16 AM EST వద్ద ఫ్లాయిడ్ బెన్నెట్ ఫీల్డ్ నుండి బయలుదేరాడు. [25] క్లైడ్ పాంగ్బోర్న్ తన పూర్వ విమానం బయలుదేరడాన్ని చూడటానికి హాజరయ్యాడు. [1] ఉత్తర అట్లాంటిక్‌లో వాతావరణం విమానానికి అనువైనదిగా నివేదించబడి"&amp;"ంది. [25] ఉల్బ్రిచ్ ఉత్తర అట్లాంటిక్ మీదుగా ""దక్షిణ"" మార్గాన్ని తీసుకొని స్పెయిన్లోని కేప్ ఫినిస్టెరె సమీపంలో ల్యాండ్ ఫాల్ చేయడానికి ప్రణాళిక వేశారు. 6,884-కిలోమీటర్లు (4,278 మైళ్ళు) విమానానికి 25 నుండి 26 గంటలు పట్టాలని ఆయన అంచనా వేశారు. [25] ఈ విమానం "&amp;"తరువాత మసాచుసెట్స్‌లోని కేప్ కాడ్, తరువాత అమెరికన్ ఆయిల్ కో. [[ అమెరికన్ నర్సు మరియు దాని సిబ్బంది యొక్క మరింత జాడ కనుగొనబడలేదు. సార్డినియాపై విమానం కనిపించలేదని నివేదికలు ధృవీకరించబడలేదు, లేదా మధ్య ఇటాలియన్ పర్వతాల శోధన దాని యొక్క సంకేతాన్ని వెల్లడించలేద"&amp;"ు. [29] ట్రాన్స్-పసిఫిక్ ల్యాండింగ్‌లో దెబ్బతిన్న మిస్ వీడోల్ యొక్క ప్రొపెల్లర్, వాషింగ్టన్‌లోని వెనాట్చీలోని వెనాట్చీ వ్యాలీ మ్యూజియం &amp; కల్చరల్ సెంటర్‌లో ప్రదర్శించబడింది. [19] పాంగ్బోర్న్-హెర్న్డాన్ మెమోరియల్ సైట్ వాషింగ్టన్లోని ఈస్ట్ వెనాట్చీకి ఈశాన్యం"&amp;"గా ఉంది; ప్రధాన లక్షణం వాల్టర్ గ్రాహం రూపొందించిన బసాల్ట్ కాలమ్. ఈ సైట్ కొలంబియా నది మరియు తూర్పు వెనాట్చీ మరియు వెనాట్చీ లోయల దృశ్యాలను ఇస్తుంది. [30] [31] మిస్ వీడోల్ యొక్క పసిఫిక్ క్రాసింగ్‌ను వర్ణించే తూర్పు వెనాట్చీలో బహిరంగ కుడ్యచిత్రం కూడా ఉంది. మి"&amp;"సావా ఏవియేషన్ అండ్ సైన్స్ మ్యూజియంలో మిస్ వీడోల్ ప్రతిరూపంతో పాటు, .MW- పార్సర్-అవుట్పుట్ .జియో-డిఫాల్ట్, .MW- పార్సర్-అవుట్పుట్ .జియో వద్ద సబీషిరో బీచ్‌లో ఆరుబయట ప్రదర్శనలో మిస్ వీడోల్ యొక్క కొంతవరకు క్రూడర్ ప్రతిరూపం ఉంది. . -ట్పుట్ .లాంగిట్యూడ్, .MW- ప"&amp;"ార్సర్-అవుట్పుట్ .లేటిట్యూడ్ {వైట్-స్పేస్: నౌరాప్} 40 ° 44′43.8 ″ N 141 ° 24′55.3 ″ E / 40.745500 ° N 141.415361 ° E / 40.745500; 141.415361 (సబీషిరో బీచ్) 11 మార్చి 2011 సునామీలో నాశనం అయ్యే వరకు, ఈశాన్య హోన్షు తీరప్రాంతంలో విస్తృతంగా నష్టం వాటిల్లింది. "&amp;"ప్రతిరూపం 2013 నాటికి భర్తీ చేయబడింది. [32] మిస్ వీడోల్ యొక్క ఎగిరే ప్రతిరూపం నాలుగు-ప్లస్ సంవత్సరాల కాలంలో ప్రయోగాత్మక విమాన సంఘం చాప్టర్ 424. ఈ ప్రతిరూపం (స్పిరిట్ ఆఫ్ వెనాట్చీ అని కూడా పిలుస్తారు) మే 2003 లో మొదట ఎగిరింది. ఈ విమానం వాషింగ్టన్ లోని ఈస్ట"&amp;"్ వెనాట్చీ వద్ద ఉంది. [[ 33] [34]")</f>
        <v>పసిఫిక్ మహాసముద్రం మీదుగా నాన్-స్టాప్ ఎగురుతున్న మొదటి విమానం మిస్ వీడోల్. [2] అక్టోబర్ 5, 1931 న, క్లైడ్ పాంగ్బోర్న్ మరియు కో-పైలట్ హ్యూ హెర్ండన్ వాషింగ్టన్లోని తూర్పు వెనాట్చీ కొండలలో క్రాష్-ల్యాండ్ చేశారు, ఉత్తర పసిఫిక్ అంతటా జపాన్లోని మిసావాలోని సబిషిరో బీచ్ నుండి 41 గంటల విమాన ప్రయాణం తరువాత. ఆ సంవత్సరానికి విమానంలో గొప్ప విజయాన్ని గుర్తించి ఫ్లైట్ 1931 హార్మోన్ ట్రోఫీని గెలుచుకుంది. [3] మిస్ వీడోల్ తరువాత అమ్ముడై అమెరికన్ నర్సుగా పేరు మార్చారు. ఏవియేషన్ మెడిసిన్ రీసెర్చ్ కోసం 1932 లో న్యూయార్క్ నగరం నుండి రోమ్ వరకు జరిగిన విమానంలో, ఆమె చివరిసారిగా తూర్పు అట్లాంటిక్‌లోని ఓషన్ లైనర్ చేత కనిపించాడు, ట్రేస్ లేకుండా కనుమరుగయ్యే ముందు. మిస్ వీడోల్ 1931 బెల్లాంకా CH-400 [4] [5] లేదా బెల్లాంకా J-300 లాంగ్-డిస్టెన్స్ స్పెషల్, [6] రిజిస్ట్రేషన్ NR796W. [7] ఇది డెలావేర్లోని న్యూ కాజిల్‌లోని బెల్లాంకా ఎయిర్‌ఫీల్డ్‌లో నిర్మించబడింది. ఇది 696 యుఎస్ గ్యాలన్లు (2,630 ఎల్) ఇంధనాన్ని మోయగలదు. క్లైడ్ పాంగ్బోర్న్ మరియు హ్యూ హెర్ండన్ జపాన్లో జరుగుతున్నప్పుడు మిస్ వీడోల్ను సవరించారు - గూ ying చర్యం యొక్క నిరాధారమైన అనుమానాలపై - ఎక్కువ ఇంధనాన్ని మోయగలగాలి, మరియు ల్యాండింగ్ గేర్‌ను జెట్టిసన్ చేయగలుగుతారు. మిస్ వీడోల్ తన రికార్డ్ బ్రేకింగ్ విమానంలో 915 యుఎస్ గ్యాలన్ల (3,460 ఎల్) విమానయాన గ్యాసోలిన్ యొక్క ప్రారంభ లోడ్‌ను కలిగి ఉంది. [8] మిస్ వీడోల్ మోటార్ ఆయిల్ బ్రాండ్ కోసం పేరు పెట్టబడింది, [9] దీనిని వీడోల్ తయారీదారు టైడ్‌వాటర్ ఆయిల్ కంపెనీ (టైడోల్) స్పాన్సర్ చేసింది. [10] [11] [12] హెర్ండన్ తల్లి, ఆలిస్ కార్టర్ హెర్ండన్, టైడ్‌వాటర్ ఆయిల్ కంపెనీకి వారసురాలు. [12] పాంగ్బోర్న్ మరియు హెర్ండన్ ఒక రౌండ్-ది-వరల్డ్ ఫ్లైట్ కోసం స్పీడ్ రికార్డ్ సృష్టించడానికి ప్రయత్నిస్తున్నారు, కాని సోవియట్ ఫార్ ఈస్ట్‌లో ఖబరోవ్స్క్‌లో నష్టపరిచే ల్యాండింగ్‌తో సహా అనేక ఆలస్యం తరువాత, వారు షెడ్యూల్ మరియు షెడ్యూల్ వెనుక 27 గంటల వెనుక ఉన్నారు ఆ సంవత్సరం ప్రారంభంలో [13] విలే పోస్ట్ మరియు హెరాల్డ్ గాటీ రూపొందించిన రికార్డును అంగీకరించాల్సి వచ్చింది. సెట్ చేయడానికి విలువైన ఏవియేషన్ రికార్డ్ కోసం వెతుకుతున్న వారు, వారు మిస్ వీడోల్‌ను మొదటి నాన్-స్టాప్ ట్రాన్స్-పసిఫిక్ ఫ్లైట్‌ను సవరించాలని నిర్ణయించుకున్నారు, దీని కోసం జపనీస్ వార్తాపత్రిక అసహి షింబున్ $ 25,000 [14] బహుమతిని ఇచ్చింది. [15] తయారీదారు యొక్క గరిష్ట ఆపరేటింగ్ బరువుకు మించి, అక్టోబర్ 4, 1931 న (జపనీస్ సమయం), మిస్ వీడోల్ మాత్రమే సబిషిరో బీచ్ యొక్క ప్రత్యేకంగా తయారుచేసిన ప్రాంతం నుండి బయలుదేరలేదు. టేకాఫ్ చేసిన మూడు గంటల తర్వాత ల్యాండింగ్ గేర్ అనుకున్నట్లుగా జెట్టిసన్ చేయబడింది, కాని రెండు సహాయక స్ట్రట్‌లు జతచేయబడ్డాయి, పాంగ్‌బోర్న్ వాటిని మానవీయంగా తొలగించడానికి విమానంలో రెక్కల స్ట్రట్‌లపైకి ఎక్కడం అవసరం. [9] ఇంజిన్ ఇంధనంతో ఆకలితో మారడానికి అనుమతించడంలో నిర్లక్ష్యం చేసినట్లు పాంగ్బోర్న్ తరువాత హెర్ండన్ నిర్లక్ష్యం చేసినట్లు విమర్శించాడు. ఇంజిన్ పున ar ప్రారంభించబడటానికి ముందు పాంగ్బోర్న్ విమానాన్ని 1400 అడుగుల [16] వరకు డైవ్ చేయాల్సి వచ్చింది. [17] తరువాత, పాంగ్బోర్న్, కొంత నిద్ర అవసరం, కెనడాలోని వాంకోవర్ యొక్క నగర లైట్లను చూసినప్పుడు హెర్ండన్ అతనిని మేల్కొలపమని ఆదేశించాడు. ఏదేమైనా, హెర్ండన్ ఆఫ్-కోర్సు తిరిగాడు మరియు వాంకోవర్ మరియు సీటెల్ రెండింటినీ కోల్పోయాడు. [17] పసిఫిక్ నార్త్‌వెస్ట్‌కు చేరుకున్న తరువాత, వాతావరణం మేఘావృతం మరియు వర్షంగా ఉందని వారు కనుగొన్నారు. వారు మొదట బోయిస్, ఇడాహోకు వెళ్లాలని భావించారు. త్వరలో, వాతావరణం బోయిస్‌లో తమ ల్యాండింగ్‌ను నిరోధిస్తుందని వారు కనుగొన్నారు, కాబట్టి వారు వాషింగ్టన్‌లోని స్పోకనే వైపు తిరిగారు. వాతావరణం కూడా అక్కడ ల్యాండింగ్‌ను నిరోధించినప్పుడు, వారు రాష్ట్రంలోని ట్రై-సిటీస్ ప్రాంతంలో పాస్కో వైపు నైరుతి దిశలో వెళ్ళారు. అది విఫలమైనప్పుడు, వారు చివరకు పట్టణానికి దూరంగా ఉన్న ఫాంచర్ ఫీల్డ్ వద్ద దిగడానికి వెనాట్చీ వైపు వెళ్ళారు. [18] అక్కడ, వారు పశ్చిమ పసిఫిక్ మీదుగా మిస్ వీడోల్ ల్యాండింగ్ గేర్‌ను పారవేసినందున వారు బొడ్డు ల్యాండింగ్ చేయవలసి వచ్చింది. ఆమె దెబ్బతింది, కానీ మరమ్మతు చేయదగినది, మరియు ఆమె ప్రొపెల్లర్ ధ్వంసమైంది, కానీ హెర్ండన్ మరియు పాంగ్బోర్న్ ల్యాండింగ్ ద్వారా సరిగ్గా వచ్చారు. [3] మిస్ వీడోల్ యొక్క బెంట్ ప్రొపెల్లర్, ఇప్పటికీ ఉన్న విమానం యొక్క ఏకైక భాగం, వాషింగ్టన్లోని వెనాట్చీలోని వెనాట్చీ వ్యాలీ మ్యూజియం &amp; కల్చరల్ సెంటర్‌లో ప్రదర్శించబడింది. [19] పాంగ్బోర్న్ మరియు హెర్ండన్ (జపనీస్) ఇంపీరియల్ ఏరోనాటిక్స్ అసోసియేషన్ (ఇది జపనీస్ ఏవియేటర్లకు పరిమితం చేయబడింది) లేదా సీటెల్ వ్యాపారవేత్తల బృందం అందించే, 000 28,000 బహుమతికి (ఇది సీటెల్‌లో ఉద్భవించి, ముగుస్తుంది. జపాన్). [15] హెర్ండన్ మరియు అతని తల్లి విమానంలో ప్రధాన ఆర్థిక మద్దతుదారులు కాబట్టి, వారు దాదాపు అన్ని అసహి షింబున్ బహుమతి డబ్బును మరియు మిస్ వీడోల్ అమ్మకం ద్వారా వచ్చే ఆదాయాన్ని ఉంచారు. [3] పాంగ్బోర్న్ తన భాగానికి కేవలం $ 2500 అందుకున్నాడు మరియు ఎయిర్ మెయిల్ పైలట్, ఎయిర్ రేసర్ మరియు ఒక పరీక్ష మరియు ప్రదర్శన పైలట్ గా మునుపటిలాగే కొనసాగించాడు. [17] మిస్ వీడోల్ తరువాత విక్రయించబడింది మరియు చివరికి డాక్టర్ లియోన్ మార్టోకో-జనాభా (సాధారణంగా పిస్కుల్లి అని పిలుస్తారు) సహా ఒక సమూహం యాజమాన్యంలో ఉంది, వారు పైలట్ విలియం ఉల్బ్రిచ్ మరియు కోపిలోట్ గ్లాడిస్ బ్రామ్‌హాల్ విల్నర్‌ను నియమించారు (13 ఆగస్టు 1910-3 జూలై 2009) [20] రోమ్ విమానానికి న్యూయార్క్ నగరం రికార్డు కోసం. ప్రణాళికలు ఇటలీలోని ఫ్లోరెన్స్ యొక్క ఫ్లైఓవర్ను కలిగి ఉన్నాయి, ఇక్కడ విల్నర్, పైలట్, నర్సు మరియు పారాచూట్ జంపర్, ఫ్లోరెన్స్ నైటింగేల్ గౌరవార్థం పారాచూట్ భూమికి పారాచూట్ చేయవలసి ఉంది. [1] పిస్కుల్లి విమానానికి కమాండర్. అతను గైనకాలజిస్ట్ [1] మరియు వైద్య పరికరాల కోసం కనీసం మూడు పేటెంట్లను కలిగి ఉన్నాడు (ఫార్మాల్డిహైడ్ థర్మామీటర్-హోల్డర్, [21] ఒక ated షధ పెస్సరీ [22] మరియు టాంపోన్ యొక్క ఒక రూపం, [23]) మరియు ఒక బొమ్మ కోసం పేటెంట్ పనిచేస్తుంది ఓయిజా బోర్డు వలె అదే సూత్రం. [24] అతను ఇటలీలో జన్మించాడు [25] మరియు 25 జూన్ 1917 మరియు 8 అక్టోబర్ 1919 మధ్య సహజీకరించిన యుఎస్ పౌరుడు అయ్యాడు (అతని రెండు తొలి పేటెంట్ అనువర్తనాలను పోల్చడం ద్వారా వెల్లడించారు). పిస్కుల్లి ఫ్లైట్ సమయంలో 53 సంవత్సరాలు [1] మరియు న్యూయార్క్‌లోని యోన్కర్స్ లో నివసించారు. [25] అతను అమెరికన్ నర్సెస్ ఏవియేషన్ సర్వీస్, ఇంక్ యొక్క వ్యవస్థాపకుడు మరియు డైరెక్టర్, ఇది విమానయానంలో మరియు ఇతరులకు విమానయానంలో వైద్య సంరక్షణను ప్రోత్సహించడానికి ప్రయత్నించింది. [1] [26] ఈ విమానాన్ని అమెరికన్ నర్సుల ఏవియేషన్ సర్వీస్, ఇంక్ స్పాన్సర్ చేసినందున, ఈ విమానం అమెరికన్ నర్సుగా పేరు మార్చబడింది. పైలట్, విలియం ఉల్బ్రిచ్, డెన్మార్క్‌లో జన్మించాడు మరియు న్యూయార్క్‌లోని మినోలా నివాసి. [1] [25] ఫ్లైట్ సమయంలో అతనికి 31 సంవత్సరాలు. [1] మునుపటి సంవత్సరాల్లో బార్న్‌స్టార్మర్ మరియు ఫ్లైట్ బోధకుడు, సెప్టెంబర్ 1932 లో, ఉల్బ్రిచ్ రవాణా పైలట్ లైసెన్స్ కలిగి ఉన్నాడు మరియు 3,800 గంటల ఎగిరే అనుభవాన్ని కలిగి ఉన్నాడు. [25] సిబ్బంది యొక్క మూడవ సభ్యుడు మొదట గ్లాడిస్ బ్రామ్‌హాల్ విల్నర్ (13 ఆగస్టు 1910 - 3 జూలై 2009) [20] గా ఉండటానికి ఉద్దేశించబడింది, అతను ఈ పాత్రకు ఆదర్శంగా సరిపోతాడు, అర్హతగల నర్సు, లైసెన్స్ పొందిన పైలట్ మరియు అనుభవజ్ఞుడైన పారాచూట్ జంపర్. అయితే, ఆమె విమానంలో పాల్గొనడానికి నిరాకరించింది. [27] ఆమె స్థానంలో ఎడ్నా న్యూకమర్ (28 సంవత్సరాల వయస్సు) విలియమ్స్పోర్ట్, పెన్సిల్వేనియాకు చెందినవారు, ఆమె నర్సు, పైలట్ మరియు పారాచూట్ జంపర్ కూడా. [25] విల్నర్ ఫ్లోరిడాలోని జాక్సన్విల్లేలో 98 సంవత్సరాల వయస్సులో మరణించాడు; మిస్ వీడోల్ (అమెరికన్ నర్సుగా) లో ఎగిరిన చివరి వ్యక్తి ఆమె. [27] ఫ్లైట్ కోసం డాక్టర్ పిస్కుల్లి యొక్క ఉద్దేశ్యం ఏమిటంటే, సుదూర విమానయానంలో అలసట యొక్క ప్రభావాలను అధ్యయనం చేయడం మరియు సిబ్బంది కంపార్ట్మెంట్లో కార్బన్ మోనాక్సైడ్ యొక్క నిర్మాణాన్ని కోల్పోవడం వల్ల మునుపటి సుదూర విమానాల నష్టం జరిగిందనే అతని పరికల్పనను పరీక్షించడం. [1 ] మొదటి అధ్యయనం యొక్క ప్రయోజనం కోసం, ముగ్గురు సిబ్బంది సభ్యులు ప్రీ-ఫ్లైట్ శారీరక పరీక్షలు, బేసల్ జీవక్రియ పరీక్షలు, ఎలక్ట్రో కార్డియోగ్రామ్‌లు మరియు రక్త కెమిస్ట్రీ పరీక్షలకు గురయ్యారు. విమానంలో పిస్కుల్లి రక్త నమూనాలను తీసుకోవాలి, మరియు బేసల్ జీవక్రియ పరీక్షలు రోమ్‌కు వచ్చినప్పుడు పునరావృతమవుతాయి. [26] తన రెండవ ఆందోళనకు సంబంధించి, అతను ఈ జంతువుల వాయువుకు సున్నితత్వం కారణంగా కార్బన్ మోనాక్సైడ్ డిటెక్టర్‌గా, విమానంలో "టెయిల్ విండ్" అనే వుడ్‌చక్‌ను తీసుకువచ్చాడు. [1] . తద్వారా వారు ఈ నైపుణ్యాలను అత్యవసర వైద్యంలో ఉపయోగించుకోవచ్చు. [25] పిస్కుల్లి అనేక యూరోపియన్ నగరాల పర్యటనను ప్లాన్ చేసింది మరియు అమెరికన్ నర్సు 1933 వసంత in తువులో ఐర్లాండ్ ద్వారా అమెరికాకు తిరిగి వస్తుంది. [25] 32 గంటల విమానానికి ఇంధనం మోస్తున్న అమెరికన్ నర్సు 13 సెప్టెంబర్ 1932 న 6:16 AM EST వద్ద ఫ్లాయిడ్ బెన్నెట్ ఫీల్డ్ నుండి బయలుదేరాడు. [25] క్లైడ్ పాంగ్బోర్న్ తన పూర్వ విమానం బయలుదేరడాన్ని చూడటానికి హాజరయ్యాడు. [1] ఉత్తర అట్లాంటిక్‌లో వాతావరణం విమానానికి అనువైనదిగా నివేదించబడింది. [25] ఉల్బ్రిచ్ ఉత్తర అట్లాంటిక్ మీదుగా "దక్షిణ" మార్గాన్ని తీసుకొని స్పెయిన్లోని కేప్ ఫినిస్టెరె సమీపంలో ల్యాండ్ ఫాల్ చేయడానికి ప్రణాళిక వేశారు. 6,884-కిలోమీటర్లు (4,278 మైళ్ళు) విమానానికి 25 నుండి 26 గంటలు పట్టాలని ఆయన అంచనా వేశారు. [25] ఈ విమానం తరువాత మసాచుసెట్స్‌లోని కేప్ కాడ్, తరువాత అమెరికన్ ఆయిల్ కో. [[ అమెరికన్ నర్సు మరియు దాని సిబ్బంది యొక్క మరింత జాడ కనుగొనబడలేదు. సార్డినియాపై విమానం కనిపించలేదని నివేదికలు ధృవీకరించబడలేదు, లేదా మధ్య ఇటాలియన్ పర్వతాల శోధన దాని యొక్క సంకేతాన్ని వెల్లడించలేదు. [29] ట్రాన్స్-పసిఫిక్ ల్యాండింగ్‌లో దెబ్బతిన్న మిస్ వీడోల్ యొక్క ప్రొపెల్లర్, వాషింగ్టన్‌లోని వెనాట్చీలోని వెనాట్చీ వ్యాలీ మ్యూజియం &amp; కల్చరల్ సెంటర్‌లో ప్రదర్శించబడింది. [19] పాంగ్బోర్న్-హెర్న్డాన్ మెమోరియల్ సైట్ వాషింగ్టన్లోని ఈస్ట్ వెనాట్చీకి ఈశాన్యంగా ఉంది; ప్రధాన లక్షణం వాల్టర్ గ్రాహం రూపొందించిన బసాల్ట్ కాలమ్. ఈ సైట్ కొలంబియా నది మరియు తూర్పు వెనాట్చీ మరియు వెనాట్చీ లోయల దృశ్యాలను ఇస్తుంది. [30] [31] మిస్ వీడోల్ యొక్క పసిఫిక్ క్రాసింగ్‌ను వర్ణించే తూర్పు వెనాట్చీలో బహిరంగ కుడ్యచిత్రం కూడా ఉంది. మిసావా ఏవియేషన్ అండ్ సైన్స్ మ్యూజియంలో మిస్ వీడోల్ ప్రతిరూపంతో పాటు, .MW- పార్సర్-అవుట్పుట్ .జియో-డిఫాల్ట్, .MW- పార్సర్-అవుట్పుట్ .జియో వద్ద సబీషిరో బీచ్‌లో ఆరుబయట ప్రదర్శనలో మిస్ వీడోల్ యొక్క కొంతవరకు క్రూడర్ ప్రతిరూపం ఉంది. . -ట్పుట్ .లాంగిట్యూడ్, .MW- పార్సర్-అవుట్పుట్ .లేటిట్యూడ్ {వైట్-స్పేస్: నౌరాప్} 40 ° 44′43.8 ″ N 141 ° 24′55.3 ″ E / 40.745500 ° N 141.415361 ° E / 40.745500; 141.415361 (సబీషిరో బీచ్) 11 మార్చి 2011 సునామీలో నాశనం అయ్యే వరకు, ఈశాన్య హోన్షు తీరప్రాంతంలో విస్తృతంగా నష్టం వాటిల్లింది. ప్రతిరూపం 2013 నాటికి భర్తీ చేయబడింది. [32] మిస్ వీడోల్ యొక్క ఎగిరే ప్రతిరూపం నాలుగు-ప్లస్ సంవత్సరాల కాలంలో ప్రయోగాత్మక విమాన సంఘం చాప్టర్ 424. ఈ ప్రతిరూపం (స్పిరిట్ ఆఫ్ వెనాట్చీ అని కూడా పిలుస్తారు) మే 2003 లో మొదట ఎగిరింది. ఈ విమానం వాషింగ్టన్ లోని ఈస్ట్ వెనాట్చీ వద్ద ఉంది. [[ 33] [34]</v>
      </c>
      <c r="E131" s="1" t="s">
        <v>2429</v>
      </c>
      <c r="G131" s="1" t="str">
        <f>IFERROR(__xludf.DUMMYFUNCTION("GOOGLETRANSLATE(F:F, ""en"", ""te"")"),"#VALUE!")</f>
        <v>#VALUE!</v>
      </c>
      <c r="M131" s="2"/>
      <c r="CW131" s="1" t="s">
        <v>2430</v>
      </c>
      <c r="CX131" s="1" t="s">
        <v>2431</v>
      </c>
      <c r="CY131" s="1" t="s">
        <v>2432</v>
      </c>
      <c r="CZ131" s="1" t="s">
        <v>2433</v>
      </c>
      <c r="DA131" s="1" t="s">
        <v>2434</v>
      </c>
    </row>
    <row r="132">
      <c r="A132" s="1" t="s">
        <v>2435</v>
      </c>
      <c r="B132" s="1" t="str">
        <f>IFERROR(__xludf.DUMMYFUNCTION("GOOGLETRANSLATE(A:A, ""en"", ""te"")"),"మిచెల్ యు -2 సూపర్‌వింగ్")</f>
        <v>మిచెల్ యు -2 సూపర్‌వింగ్</v>
      </c>
      <c r="C132" s="1" t="s">
        <v>2436</v>
      </c>
      <c r="D132" s="2" t="str">
        <f>IFERROR(__xludf.DUMMYFUNCTION("GOOGLETRANSLATE(C:C, ""en"", ""te"")"),"మిచెల్ యు -2 సూపర్‌వింగ్ అనేది ఒక అమెరికన్ టైలెస్ అల్ట్రాలైట్ విమానం, దీనిని డాన్ మిచెల్ te త్సాహిక నిర్మాణం కోసం రూపొందించారు. [1] యుఎస్ ఫార్ 103 అల్ట్రాలైట్ వెహికల్స్ నియమాలు అమల్లోకి రాకముందే ఈ విమానం రూపొందించబడినప్పటికీ, U-2 సూపర్‌వింగ్ ఏమైనప్పటికీ వ"&amp;"ాటికి అనుగుణంగా ఉంటుంది (వర్గం యొక్క గరిష్ట ఖాళీ బరువు 254 పౌండ్లు (115 కిలోలు) తో సహా). ఈ విమానం ప్రామాణిక ఖాళీ బరువు 240 పౌండ్లు (109 కిలోలు). ఇది కాంటిలివర్ మిడ్-వింగ్, సింగిల్-సీట్ల పరివేష్టిత కాక్‌పిట్, ట్రైసైకిల్ ల్యాండింగ్ గేర్ మరియు పషర్ కాన్ఫిగరే"&amp;"షన్‌లో ఒకే ఇంజిన్ కలిగి ఉంది. U-2 అనేది హై-వింగ్ B-10 యొక్క అభివృద్ధి. [1] విమానం ఫ్యూజ్‌లేజ్ వెల్డెడ్ స్టీల్ ట్యూబ్ నుండి తయారవుతుంది, అయితే రెక్క కలప మరియు నురుగుతో ఉంటుంది, డోప్డ్ ఎయిర్క్రాఫ్ట్ ఫాబ్రిక్ కవరింగ్ ఉంటుంది. దాని 34 అడుగుల (10.4 మీ) స్పాన్ "&amp;"వింగ్ సవరించిన వోర్ట్‌మన్ FX05-191 ఎయిర్‌ఫాయిల్‌ను ఉపయోగిస్తుంది. విమాన నియంత్రణలు అసాధారణమైనవి; పిచ్ మరియు రోల్ ఎలివన్లచే నియంత్రించబడతాయి మరియు YAW రెక్క చిట్కా రడ్డర్లచే నియంత్రించబడుతుంది. ప్రధాన ల్యాండింగ్ గేర్ సస్పెన్షన్ కలిగి ఉంది మరియు ముక్కు చక్ర"&amp;"ం నడిచేది మరియు బ్రేక్‌తో అమర్చబడి ఉంటుంది. [1] [2] U-2 పషర్ కాన్ఫిగరేషన్‌లో అమర్చిన 25 నుండి 40 హెచ్‌పి (19 నుండి 30 కిలోవాట్) వరకు వివిధ రకాల ఇంజిన్‌లను అంగీకరించవచ్చు. [3] క్లిచ్ నుండి డేటా [1] పోల్చదగిన పాత్ర, కాన్ఫిగరేషన్ మరియు ERA యొక్క సాధారణ లక్షణ"&amp;"ాల పనితీరు విమానం")</f>
        <v>మిచెల్ యు -2 సూపర్‌వింగ్ అనేది ఒక అమెరికన్ టైలెస్ అల్ట్రాలైట్ విమానం, దీనిని డాన్ మిచెల్ te త్సాహిక నిర్మాణం కోసం రూపొందించారు. [1] యుఎస్ ఫార్ 103 అల్ట్రాలైట్ వెహికల్స్ నియమాలు అమల్లోకి రాకముందే ఈ విమానం రూపొందించబడినప్పటికీ, U-2 సూపర్‌వింగ్ ఏమైనప్పటికీ వాటికి అనుగుణంగా ఉంటుంది (వర్గం యొక్క గరిష్ట ఖాళీ బరువు 254 పౌండ్లు (115 కిలోలు) తో సహా). ఈ విమానం ప్రామాణిక ఖాళీ బరువు 240 పౌండ్లు (109 కిలోలు). ఇది కాంటిలివర్ మిడ్-వింగ్, సింగిల్-సీట్ల పరివేష్టిత కాక్‌పిట్, ట్రైసైకిల్ ల్యాండింగ్ గేర్ మరియు పషర్ కాన్ఫిగరేషన్‌లో ఒకే ఇంజిన్ కలిగి ఉంది. U-2 అనేది హై-వింగ్ B-10 యొక్క అభివృద్ధి. [1] విమానం ఫ్యూజ్‌లేజ్ వెల్డెడ్ స్టీల్ ట్యూబ్ నుండి తయారవుతుంది, అయితే రెక్క కలప మరియు నురుగుతో ఉంటుంది, డోప్డ్ ఎయిర్క్రాఫ్ట్ ఫాబ్రిక్ కవరింగ్ ఉంటుంది. దాని 34 అడుగుల (10.4 మీ) స్పాన్ వింగ్ సవరించిన వోర్ట్‌మన్ FX05-191 ఎయిర్‌ఫాయిల్‌ను ఉపయోగిస్తుంది. విమాన నియంత్రణలు అసాధారణమైనవి; పిచ్ మరియు రోల్ ఎలివన్లచే నియంత్రించబడతాయి మరియు YAW రెక్క చిట్కా రడ్డర్లచే నియంత్రించబడుతుంది. ప్రధాన ల్యాండింగ్ గేర్ సస్పెన్షన్ కలిగి ఉంది మరియు ముక్కు చక్రం నడిచేది మరియు బ్రేక్‌తో అమర్చబడి ఉంటుంది. [1] [2] U-2 పషర్ కాన్ఫిగరేషన్‌లో అమర్చిన 25 నుండి 40 హెచ్‌పి (19 నుండి 30 కిలోవాట్) వరకు వివిధ రకాల ఇంజిన్‌లను అంగీకరించవచ్చు. [3] క్లిచ్ నుండి డేటా [1] పోల్చదగిన పాత్ర, కాన్ఫిగరేషన్ మరియు ERA యొక్క సాధారణ లక్షణాల పనితీరు విమానం</v>
      </c>
      <c r="E132" s="1" t="s">
        <v>2437</v>
      </c>
      <c r="F132" s="1" t="s">
        <v>343</v>
      </c>
      <c r="G132" s="1" t="str">
        <f>IFERROR(__xludf.DUMMYFUNCTION("GOOGLETRANSLATE(F:F, ""en"", ""te"")"),"అల్ట్రాలైట్ విమానం")</f>
        <v>అల్ట్రాలైట్ విమానం</v>
      </c>
      <c r="H132" s="1" t="s">
        <v>344</v>
      </c>
      <c r="I132" s="1" t="s">
        <v>2438</v>
      </c>
      <c r="J132" s="1" t="str">
        <f>IFERROR(__xludf.DUMMYFUNCTION("GOOGLETRANSLATE(I:I, ""en"", ""te"")"),"మిచెల్ వింగ్ కంపెనీ")</f>
        <v>మిచెల్ వింగ్ కంపెనీ</v>
      </c>
      <c r="K132" s="1" t="s">
        <v>2439</v>
      </c>
      <c r="L132" s="1" t="s">
        <v>2228</v>
      </c>
      <c r="M132" s="2" t="str">
        <f>IFERROR(__xludf.DUMMYFUNCTION("GOOGLETRANSLATE(L:L, ""en"", ""te"")"),"డాన్ మిచెల్")</f>
        <v>డాన్ మిచెల్</v>
      </c>
      <c r="N132" s="1" t="s">
        <v>2229</v>
      </c>
      <c r="P132" s="1" t="s">
        <v>2221</v>
      </c>
      <c r="Q132" s="1" t="s">
        <v>2440</v>
      </c>
      <c r="R132" s="1" t="s">
        <v>222</v>
      </c>
      <c r="U132" s="1" t="s">
        <v>2230</v>
      </c>
      <c r="V132" s="1" t="s">
        <v>2231</v>
      </c>
      <c r="W132" s="1" t="s">
        <v>2441</v>
      </c>
      <c r="X132" s="1" t="s">
        <v>2442</v>
      </c>
      <c r="Z132" s="1" t="s">
        <v>2443</v>
      </c>
      <c r="AB132" s="1" t="s">
        <v>2444</v>
      </c>
      <c r="AC132" s="1" t="s">
        <v>2445</v>
      </c>
      <c r="AD132" s="1" t="s">
        <v>2446</v>
      </c>
      <c r="AF132" s="1" t="s">
        <v>206</v>
      </c>
      <c r="AG132" s="4" t="s">
        <v>207</v>
      </c>
      <c r="AK132" s="1" t="s">
        <v>2447</v>
      </c>
      <c r="AO132" s="1">
        <v>1980.0</v>
      </c>
      <c r="AS132" s="1" t="s">
        <v>2448</v>
      </c>
      <c r="AU132" s="1" t="s">
        <v>2449</v>
      </c>
      <c r="AW132" s="1">
        <v>20.0</v>
      </c>
    </row>
    <row r="133">
      <c r="A133" s="1" t="s">
        <v>2450</v>
      </c>
      <c r="B133" s="1" t="str">
        <f>IFERROR(__xludf.DUMMYFUNCTION("GOOGLETRANSLATE(A:A, ""en"", ""te"")"),"మిత్సుబిషి హెచ్ -60")</f>
        <v>మిత్సుబిషి హెచ్ -60</v>
      </c>
      <c r="C133" s="1" t="s">
        <v>2451</v>
      </c>
      <c r="D133" s="2" t="str">
        <f>IFERROR(__xludf.DUMMYFUNCTION("GOOGLETRANSLATE(C:C, ""en"", ""te"")"),"అమెరికా మిత్సుబిషి హెచ్ -60 సిరీస్ జపాన్ స్వీయ-రక్షణ దళాలు (జెఎస్డిఎఫ్) ఉపయోగం కోసం సికోర్స్కీ ఎస్ -70 హెలికాప్టర్ కుటుంబం ఆధారంగా ట్విన్-టర్బోషాఫ్ట్ ఇంజిన్ హెలికాప్టర్. SH-60J/K/L జపాన్ మారిటైమ్ స్వీయ-రక్షణ శక్తి (JMSDF) కోసం యాంటీ-సబ్‌మెరైన్ పెట్రోలింగ్"&amp;" వెర్షన్లు. [1] UH-60J అనేది జపాన్ ఎయిర్ సెల్ఫ్-డిఫెన్స్ ఫోర్స్ (JASDF) మరియు JMSDF కోసం శోధన మరియు రెస్క్యూ వెర్షన్. UH-60JA అనేది జపాన్ గ్రౌండ్ సెల్ఫ్-డిఫెన్స్ ఫోర్స్ (JGSDF) కోసం యుటిలిటీ వెర్షన్. [2] JMSDF S-70B ని మిత్సుబిషి HSS-2B సీ కింగ్ వారసుడిగా"&amp;" ఎంచుకుంది. SH-X (తరువాత SH-60J) ప్రాజెక్ట్ ప్రారంభమైనప్పుడు, HSS-2B ను సేవలో ఉంచిన వెంటనే ఇది జరిగింది, కాబట్టి ప్రారంభంలో HSS-2B యొక్క మిషన్ సిస్టమ్‌ను SH-60B యొక్క బేర్ విమానంతో అనుసంధానించడానికి ప్రణాళిక చేయబడింది, కానీ చివరగా టిఆర్డిఐ కొత్తగా అభివృద్"&amp;"ధి చేసిన వ్యవస్థను స్వీకరించారు. ఇది హెలికాప్టర్‌లో కంప్యూటర్‌తో అమర్చబడి, డేటా లింక్ ద్వారా మదర్ షిప్ యొక్క పోరాట దిశ వ్యవస్థకు కనెక్ట్ చేయబడిన లాంప్స్ Mk.iii కి సమానంగా ఉంటుంది, అయితే దీనికి ముంచిన సోనార్‌తో పాటు SH-60 ఎఫ్ కూడా ఉంది. [3] డిఫెన్స్ ఏజెన్స"&amp;"ీ సికోర్స్కీ నుండి రెండు XSH-60J లను million 27 మిలియన్లకు ఆదేశించింది. వారి మొదటి విమానాలు ఆగస్టు 31 న మరియు అక్టోబర్ 1987 లో ఉన్నాయి. రక్షణ సంస్థ SH-60J మోడల్‌ను నియమించింది. అవి జపనీస్ ఏవియానిక్స్ వ్యవస్థలతో అమర్చబడ్డాయి మరియు JMSDF చే పరీక్షించబడ్డాయి"&amp;". [4] SH-60J జపాన్‌లో సికోర్స్కీ నుండి లైసెన్స్ కింద నిర్మించబడింది. ఇది ఆగస్టు 1991 లో డెలివరీలను ప్రారంభించింది మరియు ఆ తరువాత సేవలోకి ప్రవేశించింది. JMSDF యొక్క భావన ఆధారంగా, HQS-103 డిప్పింగ్ సోనార్, HPS-104 యాక్టివ్ ఎలక్ట్రానిక్ స్కాన్ చేసిన అర్రే సె"&amp;"ర్చ్ రాడార్ మరియు SH-60B యొక్క ఏవియానిక్స్ యొక్క HLR-108 ESM సిస్టమ్ పరికరాలు భిన్నంగా ఉంటాయి. [3] ఇంజిన్ GE/IHI T700-IIHI-701C టర్బోషాఫ్ట్, ఇది లైసెన్స్ కింద ఉత్పత్తి చేయబడిన ఇషికావాజిమా-హరిమా భారీ పరిశ్రమలు. ఇది ఏవియానిక్స్ మినహా SH-60B మరియు SH-60F యొక"&amp;"్క హైబ్రిడ్. సిబ్బందిలో పైలట్, కోపిలోట్ మరియు సెన్సార్ ఆపరేటర్ ఉన్నారు. ఆటోమేటిక్ ఫ్లైట్ మేనేజ్‌మెంట్ సిస్టమ్ మరియు జడత్వ నావిగేషన్ సిస్టమ్ సహాయంతో కోపిలోట్ వ్యూహాత్మక సమన్వయకర్త పాత్రపై దృష్టి పెట్టవచ్చు. [5] [6] 2007 నాటికి 100 SH-60J లు ఉత్పత్తి చేయబడ్"&amp;"డాయి. [7] SH-60K అనేది SH-60J యొక్క అప్‌గ్రేడ్ వెర్షన్. [8] JMSDF కోసం పనితీరు మరియు బహుముఖ ప్రజ్ఞను బలోపేతం చేసిన SH-60K యాంటీ-సబ్‌మెరైన్ హెలికాప్టర్. మిత్సుబిషి 1997 లో అభివృద్ధిని ప్రారంభించాడు. SH-60K గతంలో SH-60KAI అని పిలుస్తారు. [9] రక్షణ సంస్థ డైర"&amp;"ెక్టర్ జనరల్ మార్చి 2005 లో దత్తత తీసుకున్నారు. [10] మిత్సుబిషి కొత్త మెయిన్ రోటర్ బ్లేడ్, షిప్ ల్యాండింగ్ అసిస్ట్ సిస్టమ్, న్యూ ఏవియానిక్స్ సిస్టమ్ మరియు ఇతర వ్యవస్థలను అభివృద్ధి చేసింది. SH-60J లను సవరించడం ద్వారా రెండు ప్రోటోటైప్స్ SH-60K లు నిర్మించబడ"&amp;"్డాయి. ఈ ప్రోటోటైప్‌లు జూన్ 2002 నాటికి పూర్తయ్యాయి మరియు పంపిణీ చేయబడ్డాయి. SH-60K యొక్క క్యాబిన్ SH-60J తో పోలిస్తే 30 సెం.మీ (11.8 అంగుళాలు) మరియు ఎత్తులో 15 సెం.మీ (5.91 అంగుళాలు) విస్తరించింది. [10] పెద్ద క్యాబిన్ కొత్త ఏవియానిక్స్ వ్యవస్థను అనుమతిస్"&amp;"తుంది. [11] ఆ మరియు ఎయిర్‌ఫ్రేమ్ మార్పులు T700-IIHI-401C2 ఇంజిన్ మార్పిడి ద్వారా భర్తీ చేయబడతాయి. మొదటి ఉత్పత్తి SH-60K 10 ఆగస్టు 2005 న JMSDF కి పంపిణీ చేయబడింది. [10] కొత్త ఉత్పత్తిలో మొత్తం 50 SH-60K లు సరఫరా చేయబడుతున్నాయి. [9] SH-60K యొక్క మరింత అప్‌"&amp;"గ్రేడ్ వెర్షన్ ప్రణాళిక మరియు అభివృద్ధిలో ఉంది. ఇది మల్టీ-స్టాటిక్ సోనార్ సిస్టమ్ మరియు కొత్త అడాప్టివ్ కంట్రోల్ మిల్లీమెట్రిక్ వేవ్ అల్ట్రా-హై-స్పీడ్ కమ్యూనికేషన్ సిస్టమ్ (క్లిక్ సిస్టమ్) తో పాటు మెరుగైన ఇంజిన్ ట్రాన్స్మిషన్ పనితీరును కలిగి ఉంటుంది. [12]"&amp;" [13] ప్రోటోటైప్ యొక్క మొదటి ఫ్లైట్, XSH-60L, మే 11, 2021 న జరిగింది. [14] 1988 లో, జపాన్ ఎయిర్ స్వీయ-రక్షణ శక్తి దాని KV-107 మరియు సికోర్స్కీ S-62 హెలికాప్టర్లను భర్తీ చేయడానికి UH-60L ను ఎన్నుకుంటుంది. [15] [16] మొట్టమొదటి విమానం సికోర్స్కీ చేత నిర్మించ"&amp;"బడింది, కంపెనీ హోదా S-70A-12, మరియు మరో రెండు మిత్సుబిషి హెవీ ఇండస్ట్రీస్ చేత సమావేశమయ్యాయి. [2] [17] మిత్సుబిషి మిగిలిన UH-60J లను లైసెన్స్ క్రింద ఉత్పత్తి చేస్తోంది. [18] [19] జపాన్ మెరైన్ ఆత్మరక్షణ దళం 1989 లో S-61A ని భర్తీ చేయడానికి శోధన మరియు రెస్క్"&amp;"యూ, మరియు యుటిలిటీ హెలికాప్టర్లను ఎంచుకుంది. UH-60J జపాన్లోని ఇషికావాజిమా-హరిమా హెవీ ఇండస్ట్రీస్ చేత T700 ఇంజిన్ల లైసెన్స్-నిర్మించిన T700 ఇంజిన్ల ద్వారా శక్తిని పొందింది. ఇది బాహ్య ఇంధన ట్యాంకులు, బాహ్య రెస్క్యూ వించ్, జపాన్ నిర్మించిన రాడార్, ముక్కులో స"&amp;"రసమైన టరెట్ మరియు పరిశీలకులకు బబుల్ సైడ్ విండోస్ ఉన్నాయి. [16] జపాన్ ఎయిర్ స్వీయ-రక్షణ శక్తి యంత్రాలు T700-IIH-701A ఇంజిన్‌లతో అమర్చబడి ఉన్నాయి, అయితే జపాన్ సముద్ర ఆత్మరక్షణ శక్తి యంత్రాలు మెరినైజ్డ్ T700-IIH-401C ఇంజిన్‌లతో అమర్చబడ్డాయి. [17] ఇంధన ట్యాంక"&amp;"ులను స్టబ్ రెక్కలపై పైలాన్లతో జతచేయవచ్చు. UH-60J లు 1991 లో డెలివరీలను ప్రారంభించి 1992 లో సేవలోకి ప్రవేశించాయి. [20] మొత్తం 40 UH-60J లు 2010 లో సేవలో ఉన్నాయి. పాత UH-60J లను భర్తీ చేయడం ప్రారంభించడానికి JASDF డిసెంబర్ 2010 లో 40 కొత్త UH-60J లను ఆదేశించ"&amp;"ింది. [21] మిత్సుబిషి మరియు సికోర్స్కీ సెల్ఫ్ డిఫెన్స్ ఫోర్స్ యొక్క మిషన్ అవసరాలకు మద్దతుగా జతకట్టారు. UH-60J+ ఆధునిక SAR మిషన్ కోసం వివిధ నవీకరణలను కలిగి ఉంటుంది. [22] 2006 నాటికి జపాన్ యొక్క రక్షణ బడ్జెట్, UH-60J లు 2009 లో ఇంధనం నింపే దర్యాప్తును ప్రార"&amp;"ంభిస్తాయి. [23] ఈ UH-60J లు అమెరికా వైమానిక దళంతో శిక్షణ పూర్తి చేశాయి మరియు SAR మిషన్‌లో వారి కార్యకలాపాలను విస్తృతం చేశాయి. [24] జపాన్ గ్రౌండ్ స్వీయ-రక్షణ శక్తి 1995 లో UH-60L నియమించబడిన UH-60JA యొక్క యుటిలిటీ వేరియంట్‌ను ఆదేశించింది. [20] JGSDF 1997 ల"&amp;"ో UH-60JA ను స్వీకరించడం ప్రారంభించింది. [2] ఇది FLIR, కలర్ వెదర్ రాడార్, GPS రిసీవర్, నైట్ విజన్ గాగుల్ అనుకూల కాక్‌పిట్ మరియు వైర్ కట్టర్‌తో సహా మెరుగైన ఏవియానిక్‌లను కలిగి ఉంది. [17] [20] JGSDF 70 ను సంపాదించాలని యోచిస్తోంది. [25] JGSDF ప్రణాళిక దాని U"&amp;"H-1H హెలికాప్టర్లను వాడుకలో లేదు. బడ్జెట్ పరిమితుల కారణంగా రోటరీ వింగ్ విమానాలను UH-60JA మరియు UH-1J (నవీకరించబడిన UH-1H) యొక్క అధిక-తక్కువ కలయికతో భర్తీ చేయాలని నిర్ణయించారు, UH-60JA అధికంగా మరియు UH-1J తక్కువ. [[ 2004 నాటికి బడ్జెట్ అడ్డంకులు JGSDF ను U"&amp;"H-60JA లేదా UH-1J ను విమానాల నుండి తొలగించడాన్ని తీవ్రంగా పరిగణించటానికి మరియు యుటిలిటీ మిషన్ కోసం కేవలం ఒక రకమైన ఎయిర్‌ఫ్రేమ్‌ను కొనుగోలు చేశాయి. [27] UH-60JS శోధన మరియు రెస్క్యూ వింగ్. 26 ఆగస్టు 2017 న, జపాన్ సముద్ర ఆత్మరక్షణ శక్తి SH-60J ఉత్తర జపాన్లో "&amp;"అమోరి ప్రిఫెక్చర్ నుండి జపాన్ సముద్రంలో కూలిపోయింది. హెలికాప్టర్ టేకాఫ్ మరియు ల్యాండింగ్ కసరత్తులు నిర్వహిస్తోంది మరియు డిస్ట్రాయర్ సెటోగిరి నుండి బయలుదేరింది. ఇది అమోరిలోని ముట్సులోని JMSDF యొక్క ఒమినాటో బేస్ వద్ద ఉంది. ఒక సిబ్బందిని రక్షించారు, మిగతా ము"&amp;"గ్గురు తప్పిపోయారు. [30] [31] [32] JMSDF మానవ లోపానికి క్రాష్ కారణమని పేర్కొంది. [33] శిధిలాలు తరువాత సుమారు 2,600 మీటర్ల లోతులో కనుగొనబడ్డాయి. [34] [35] అక్టోబర్లో శిధిలాలు రక్షించబడ్డాయి మరియు పైలట్ మరియు కో-పైలట్ యొక్క రెండు మృతదేహాలు కనుగొనబడ్డాయి. ఒక"&amp;" సిబ్బంది సభ్యుడు తప్పిపోయాడు. [36] 17 అక్టోబర్ 2017 న, ఎయిర్ రెస్క్యూ వింగ్ హమామాట్సు నిర్లిప్తత యొక్క UH-60J 58-4596 రాత్రి రెస్క్యూ కసరత్తులు నిర్వహిస్తున్నప్పుడు షిజుకా ప్రిఫెక్చర్ నుండి సముద్రంలో కూలిపోయింది. కొన్ని శిధిలాలు కనుగొనబడ్డాయి, కాని నలుగు"&amp;"రు సిబ్బంది సభ్యులు లేరు. [37] [38] ఇతర భాగాలు కోలుకున్న SDF ఆస్తులతో ప్రధాన శోధనలు కొనసాగాయి. [39] [40] ఒక ప్రైవేట్ సాల్వేజ్ సంస్థ నవంబర్ 2 నుండి పనిని ప్రారంభించింది మరియు ఫ్యూజ్‌లేజ్‌లో భాగంగా ఉంది. [41] [42] నవంబరులో, విమానాల యొక్క భాగాలు ఫ్లైట్ డేటా "&amp;"రికార్డర్ (బ్లాక్ బాక్స్) తో సహా హమామాట్సు ఎయిర్ బేస్కు దక్షిణాన సుమారు 31 కిలోమీటర్ల దూరంలో ఉన్న ప్రదేశం నుండి తిరిగి పొందబడ్డాయి. [43] [44] నవంబర్ 29 న సిబ్బందిలో ఒకరి మృతదేహం శిధిలాలలో కనుగొనబడింది. [45] [46] జేన్ యొక్క అన్ని ప్రపంచ విమానాల నుండి డేటా "&amp;"2004-05 [47] సాధారణ లక్షణాలు పనితీరు ఆయుధాల ఏవియానిక్స్ సంబంధిత అభివృద్ధి విమానం పోల్చదగిన పాత్ర, కాన్ఫిగరేషన్ మరియు ERA సంబంధిత జాబితాలు")</f>
        <v>అమెరికా మిత్సుబిషి హెచ్ -60 సిరీస్ జపాన్ స్వీయ-రక్షణ దళాలు (జెఎస్డిఎఫ్) ఉపయోగం కోసం సికోర్స్కీ ఎస్ -70 హెలికాప్టర్ కుటుంబం ఆధారంగా ట్విన్-టర్బోషాఫ్ట్ ఇంజిన్ హెలికాప్టర్. SH-60J/K/L జపాన్ మారిటైమ్ స్వీయ-రక్షణ శక్తి (JMSDF) కోసం యాంటీ-సబ్‌మెరైన్ పెట్రోలింగ్ వెర్షన్లు. [1] UH-60J అనేది జపాన్ ఎయిర్ సెల్ఫ్-డిఫెన్స్ ఫోర్స్ (JASDF) మరియు JMSDF కోసం శోధన మరియు రెస్క్యూ వెర్షన్. UH-60JA అనేది జపాన్ గ్రౌండ్ సెల్ఫ్-డిఫెన్స్ ఫోర్స్ (JGSDF) కోసం యుటిలిటీ వెర్షన్. [2] JMSDF S-70B ని మిత్సుబిషి HSS-2B సీ కింగ్ వారసుడిగా ఎంచుకుంది. SH-X (తరువాత SH-60J) ప్రాజెక్ట్ ప్రారంభమైనప్పుడు, HSS-2B ను సేవలో ఉంచిన వెంటనే ఇది జరిగింది, కాబట్టి ప్రారంభంలో HSS-2B యొక్క మిషన్ సిస్టమ్‌ను SH-60B యొక్క బేర్ విమానంతో అనుసంధానించడానికి ప్రణాళిక చేయబడింది, కానీ చివరగా టిఆర్డిఐ కొత్తగా అభివృద్ధి చేసిన వ్యవస్థను స్వీకరించారు. ఇది హెలికాప్టర్‌లో కంప్యూటర్‌తో అమర్చబడి, డేటా లింక్ ద్వారా మదర్ షిప్ యొక్క పోరాట దిశ వ్యవస్థకు కనెక్ట్ చేయబడిన లాంప్స్ Mk.iii కి సమానంగా ఉంటుంది, అయితే దీనికి ముంచిన సోనార్‌తో పాటు SH-60 ఎఫ్ కూడా ఉంది. [3] డిఫెన్స్ ఏజెన్సీ సికోర్స్కీ నుండి రెండు XSH-60J లను million 27 మిలియన్లకు ఆదేశించింది. వారి మొదటి విమానాలు ఆగస్టు 31 న మరియు అక్టోబర్ 1987 లో ఉన్నాయి. రక్షణ సంస్థ SH-60J మోడల్‌ను నియమించింది. అవి జపనీస్ ఏవియానిక్స్ వ్యవస్థలతో అమర్చబడ్డాయి మరియు JMSDF చే పరీక్షించబడ్డాయి. [4] SH-60J జపాన్‌లో సికోర్స్కీ నుండి లైసెన్స్ కింద నిర్మించబడింది. ఇది ఆగస్టు 1991 లో డెలివరీలను ప్రారంభించింది మరియు ఆ తరువాత సేవలోకి ప్రవేశించింది. JMSDF యొక్క భావన ఆధారంగా, HQS-103 డిప్పింగ్ సోనార్, HPS-104 యాక్టివ్ ఎలక్ట్రానిక్ స్కాన్ చేసిన అర్రే సెర్చ్ రాడార్ మరియు SH-60B యొక్క ఏవియానిక్స్ యొక్క HLR-108 ESM సిస్టమ్ పరికరాలు భిన్నంగా ఉంటాయి. [3] ఇంజిన్ GE/IHI T700-IIHI-701C టర్బోషాఫ్ట్, ఇది లైసెన్స్ కింద ఉత్పత్తి చేయబడిన ఇషికావాజిమా-హరిమా భారీ పరిశ్రమలు. ఇది ఏవియానిక్స్ మినహా SH-60B మరియు SH-60F యొక్క హైబ్రిడ్. సిబ్బందిలో పైలట్, కోపిలోట్ మరియు సెన్సార్ ఆపరేటర్ ఉన్నారు. ఆటోమేటిక్ ఫ్లైట్ మేనేజ్‌మెంట్ సిస్టమ్ మరియు జడత్వ నావిగేషన్ సిస్టమ్ సహాయంతో కోపిలోట్ వ్యూహాత్మక సమన్వయకర్త పాత్రపై దృష్టి పెట్టవచ్చు. [5] [6] 2007 నాటికి 100 SH-60J లు ఉత్పత్తి చేయబడ్డాయి. [7] SH-60K అనేది SH-60J యొక్క అప్‌గ్రేడ్ వెర్షన్. [8] JMSDF కోసం పనితీరు మరియు బహుముఖ ప్రజ్ఞను బలోపేతం చేసిన SH-60K యాంటీ-సబ్‌మెరైన్ హెలికాప్టర్. మిత్సుబిషి 1997 లో అభివృద్ధిని ప్రారంభించాడు. SH-60K గతంలో SH-60KAI అని పిలుస్తారు. [9] రక్షణ సంస్థ డైరెక్టర్ జనరల్ మార్చి 2005 లో దత్తత తీసుకున్నారు. [10] మిత్సుబిషి కొత్త మెయిన్ రోటర్ బ్లేడ్, షిప్ ల్యాండింగ్ అసిస్ట్ సిస్టమ్, న్యూ ఏవియానిక్స్ సిస్టమ్ మరియు ఇతర వ్యవస్థలను అభివృద్ధి చేసింది. SH-60J లను సవరించడం ద్వారా రెండు ప్రోటోటైప్స్ SH-60K లు నిర్మించబడ్డాయి. ఈ ప్రోటోటైప్‌లు జూన్ 2002 నాటికి పూర్తయ్యాయి మరియు పంపిణీ చేయబడ్డాయి. SH-60K యొక్క క్యాబిన్ SH-60J తో పోలిస్తే 30 సెం.మీ (11.8 అంగుళాలు) మరియు ఎత్తులో 15 సెం.మీ (5.91 అంగుళాలు) విస్తరించింది. [10] పెద్ద క్యాబిన్ కొత్త ఏవియానిక్స్ వ్యవస్థను అనుమతిస్తుంది. [11] ఆ మరియు ఎయిర్‌ఫ్రేమ్ మార్పులు T700-IIHI-401C2 ఇంజిన్ మార్పిడి ద్వారా భర్తీ చేయబడతాయి. మొదటి ఉత్పత్తి SH-60K 10 ఆగస్టు 2005 న JMSDF కి పంపిణీ చేయబడింది. [10] కొత్త ఉత్పత్తిలో మొత్తం 50 SH-60K లు సరఫరా చేయబడుతున్నాయి. [9] SH-60K యొక్క మరింత అప్‌గ్రేడ్ వెర్షన్ ప్రణాళిక మరియు అభివృద్ధిలో ఉంది. ఇది మల్టీ-స్టాటిక్ సోనార్ సిస్టమ్ మరియు కొత్త అడాప్టివ్ కంట్రోల్ మిల్లీమెట్రిక్ వేవ్ అల్ట్రా-హై-స్పీడ్ కమ్యూనికేషన్ సిస్టమ్ (క్లిక్ సిస్టమ్) తో పాటు మెరుగైన ఇంజిన్ ట్రాన్స్మిషన్ పనితీరును కలిగి ఉంటుంది. [12] [13] ప్రోటోటైప్ యొక్క మొదటి ఫ్లైట్, XSH-60L, మే 11, 2021 న జరిగింది. [14] 1988 లో, జపాన్ ఎయిర్ స్వీయ-రక్షణ శక్తి దాని KV-107 మరియు సికోర్స్కీ S-62 హెలికాప్టర్లను భర్తీ చేయడానికి UH-60L ను ఎన్నుకుంటుంది. [15] [16] మొట్టమొదటి విమానం సికోర్స్కీ చేత నిర్మించబడింది, కంపెనీ హోదా S-70A-12, మరియు మరో రెండు మిత్సుబిషి హెవీ ఇండస్ట్రీస్ చేత సమావేశమయ్యాయి. [2] [17] మిత్సుబిషి మిగిలిన UH-60J లను లైసెన్స్ క్రింద ఉత్పత్తి చేస్తోంది. [18] [19] జపాన్ మెరైన్ ఆత్మరక్షణ దళం 1989 లో S-61A ని భర్తీ చేయడానికి శోధన మరియు రెస్క్యూ, మరియు యుటిలిటీ హెలికాప్టర్లను ఎంచుకుంది. UH-60J జపాన్లోని ఇషికావాజిమా-హరిమా హెవీ ఇండస్ట్రీస్ చేత T700 ఇంజిన్ల లైసెన్స్-నిర్మించిన T700 ఇంజిన్ల ద్వారా శక్తిని పొందింది. ఇది బాహ్య ఇంధన ట్యాంకులు, బాహ్య రెస్క్యూ వించ్, జపాన్ నిర్మించిన రాడార్, ముక్కులో సరసమైన టరెట్ మరియు పరిశీలకులకు బబుల్ సైడ్ విండోస్ ఉన్నాయి. [16] జపాన్ ఎయిర్ స్వీయ-రక్షణ శక్తి యంత్రాలు T700-IIH-701A ఇంజిన్‌లతో అమర్చబడి ఉన్నాయి, అయితే జపాన్ సముద్ర ఆత్మరక్షణ శక్తి యంత్రాలు మెరినైజ్డ్ T700-IIH-401C ఇంజిన్‌లతో అమర్చబడ్డాయి. [17] ఇంధన ట్యాంకులను స్టబ్ రెక్కలపై పైలాన్లతో జతచేయవచ్చు. UH-60J లు 1991 లో డెలివరీలను ప్రారంభించి 1992 లో సేవలోకి ప్రవేశించాయి. [20] మొత్తం 40 UH-60J లు 2010 లో సేవలో ఉన్నాయి. పాత UH-60J లను భర్తీ చేయడం ప్రారంభించడానికి JASDF డిసెంబర్ 2010 లో 40 కొత్త UH-60J లను ఆదేశించింది. [21] మిత్సుబిషి మరియు సికోర్స్కీ సెల్ఫ్ డిఫెన్స్ ఫోర్స్ యొక్క మిషన్ అవసరాలకు మద్దతుగా జతకట్టారు. UH-60J+ ఆధునిక SAR మిషన్ కోసం వివిధ నవీకరణలను కలిగి ఉంటుంది. [22] 2006 నాటికి జపాన్ యొక్క రక్షణ బడ్జెట్, UH-60J లు 2009 లో ఇంధనం నింపే దర్యాప్తును ప్రారంభిస్తాయి. [23] ఈ UH-60J లు అమెరికా వైమానిక దళంతో శిక్షణ పూర్తి చేశాయి మరియు SAR మిషన్‌లో వారి కార్యకలాపాలను విస్తృతం చేశాయి. [24] జపాన్ గ్రౌండ్ స్వీయ-రక్షణ శక్తి 1995 లో UH-60L నియమించబడిన UH-60JA యొక్క యుటిలిటీ వేరియంట్‌ను ఆదేశించింది. [20] JGSDF 1997 లో UH-60JA ను స్వీకరించడం ప్రారంభించింది. [2] ఇది FLIR, కలర్ వెదర్ రాడార్, GPS రిసీవర్, నైట్ విజన్ గాగుల్ అనుకూల కాక్‌పిట్ మరియు వైర్ కట్టర్‌తో సహా మెరుగైన ఏవియానిక్‌లను కలిగి ఉంది. [17] [20] JGSDF 70 ను సంపాదించాలని యోచిస్తోంది. [25] JGSDF ప్రణాళిక దాని UH-1H హెలికాప్టర్లను వాడుకలో లేదు. బడ్జెట్ పరిమితుల కారణంగా రోటరీ వింగ్ విమానాలను UH-60JA మరియు UH-1J (నవీకరించబడిన UH-1H) యొక్క అధిక-తక్కువ కలయికతో భర్తీ చేయాలని నిర్ణయించారు, UH-60JA అధికంగా మరియు UH-1J తక్కువ. [[ 2004 నాటికి బడ్జెట్ అడ్డంకులు JGSDF ను UH-60JA లేదా UH-1J ను విమానాల నుండి తొలగించడాన్ని తీవ్రంగా పరిగణించటానికి మరియు యుటిలిటీ మిషన్ కోసం కేవలం ఒక రకమైన ఎయిర్‌ఫ్రేమ్‌ను కొనుగోలు చేశాయి. [27] UH-60JS శోధన మరియు రెస్క్యూ వింగ్. 26 ఆగస్టు 2017 న, జపాన్ సముద్ర ఆత్మరక్షణ శక్తి SH-60J ఉత్తర జపాన్లో అమోరి ప్రిఫెక్చర్ నుండి జపాన్ సముద్రంలో కూలిపోయింది. హెలికాప్టర్ టేకాఫ్ మరియు ల్యాండింగ్ కసరత్తులు నిర్వహిస్తోంది మరియు డిస్ట్రాయర్ సెటోగిరి నుండి బయలుదేరింది. ఇది అమోరిలోని ముట్సులోని JMSDF యొక్క ఒమినాటో బేస్ వద్ద ఉంది. ఒక సిబ్బందిని రక్షించారు, మిగతా ముగ్గురు తప్పిపోయారు. [30] [31] [32] JMSDF మానవ లోపానికి క్రాష్ కారణమని పేర్కొంది. [33] శిధిలాలు తరువాత సుమారు 2,600 మీటర్ల లోతులో కనుగొనబడ్డాయి. [34] [35] అక్టోబర్లో శిధిలాలు రక్షించబడ్డాయి మరియు పైలట్ మరియు కో-పైలట్ యొక్క రెండు మృతదేహాలు కనుగొనబడ్డాయి. ఒక సిబ్బంది సభ్యుడు తప్పిపోయాడు. [36] 17 అక్టోబర్ 2017 న, ఎయిర్ రెస్క్యూ వింగ్ హమామాట్సు నిర్లిప్తత యొక్క UH-60J 58-4596 రాత్రి రెస్క్యూ కసరత్తులు నిర్వహిస్తున్నప్పుడు షిజుకా ప్రిఫెక్చర్ నుండి సముద్రంలో కూలిపోయింది. కొన్ని శిధిలాలు కనుగొనబడ్డాయి, కాని నలుగురు సిబ్బంది సభ్యులు లేరు. [37] [38] ఇతర భాగాలు కోలుకున్న SDF ఆస్తులతో ప్రధాన శోధనలు కొనసాగాయి. [39] [40] ఒక ప్రైవేట్ సాల్వేజ్ సంస్థ నవంబర్ 2 నుండి పనిని ప్రారంభించింది మరియు ఫ్యూజ్‌లేజ్‌లో భాగంగా ఉంది. [41] [42] నవంబరులో, విమానాల యొక్క భాగాలు ఫ్లైట్ డేటా రికార్డర్ (బ్లాక్ బాక్స్) తో సహా హమామాట్సు ఎయిర్ బేస్కు దక్షిణాన సుమారు 31 కిలోమీటర్ల దూరంలో ఉన్న ప్రదేశం నుండి తిరిగి పొందబడ్డాయి. [43] [44] నవంబర్ 29 న సిబ్బందిలో ఒకరి మృతదేహం శిధిలాలలో కనుగొనబడింది. [45] [46] జేన్ యొక్క అన్ని ప్రపంచ విమానాల నుండి డేటా 2004-05 [47] సాధారణ లక్షణాలు పనితీరు ఆయుధాల ఏవియానిక్స్ సంబంధిత అభివృద్ధి విమానం పోల్చదగిన పాత్ర, కాన్ఫిగరేషన్ మరియు ERA సంబంధిత జాబితాలు</v>
      </c>
      <c r="E133" s="1" t="s">
        <v>2452</v>
      </c>
      <c r="F133" s="1" t="s">
        <v>2453</v>
      </c>
      <c r="G133" s="1" t="str">
        <f>IFERROR(__xludf.DUMMYFUNCTION("GOOGLETRANSLATE(F:F, ""en"", ""te"")"),"ASW/SAR హెలికాప్టర్")</f>
        <v>ASW/SAR హెలికాప్టర్</v>
      </c>
      <c r="H133" s="1" t="s">
        <v>2454</v>
      </c>
      <c r="I133" s="1" t="s">
        <v>2455</v>
      </c>
      <c r="J133" s="1" t="str">
        <f>IFERROR(__xludf.DUMMYFUNCTION("GOOGLETRANSLATE(I:I, ""en"", ""te"")"),"సికోర్స్కీ విమానం మిత్సుబిషి హెవీ ఇండస్ట్రీస్")</f>
        <v>సికోర్స్కీ విమానం మిత్సుబిషి హెవీ ఇండస్ట్రీస్</v>
      </c>
      <c r="K133" s="1" t="s">
        <v>2456</v>
      </c>
      <c r="M133" s="2"/>
      <c r="O133" s="1">
        <v>178.0</v>
      </c>
      <c r="P133" s="1" t="s">
        <v>2457</v>
      </c>
      <c r="Q133" s="1" t="s">
        <v>2458</v>
      </c>
      <c r="R133" s="1" t="s">
        <v>2459</v>
      </c>
      <c r="T133" s="1" t="s">
        <v>2460</v>
      </c>
      <c r="Y133" s="1" t="s">
        <v>2461</v>
      </c>
      <c r="Z133" s="1" t="s">
        <v>2462</v>
      </c>
      <c r="AC133" s="1" t="s">
        <v>2463</v>
      </c>
      <c r="AF133" s="1" t="s">
        <v>2464</v>
      </c>
      <c r="AG133" s="1" t="s">
        <v>2465</v>
      </c>
      <c r="AH133" s="1" t="s">
        <v>2466</v>
      </c>
      <c r="AI133" s="1" t="s">
        <v>2467</v>
      </c>
      <c r="AL133" s="1" t="s">
        <v>2468</v>
      </c>
      <c r="AN133" s="1" t="s">
        <v>2469</v>
      </c>
      <c r="AO133" s="5">
        <v>32020.0</v>
      </c>
      <c r="AP133" s="1" t="s">
        <v>2470</v>
      </c>
      <c r="AQ133" s="1" t="s">
        <v>2471</v>
      </c>
      <c r="AS133" s="1" t="s">
        <v>70</v>
      </c>
      <c r="AX133" s="1">
        <v>1991.0</v>
      </c>
      <c r="BQ133" s="1" t="s">
        <v>2472</v>
      </c>
      <c r="BR133" s="1" t="s">
        <v>2473</v>
      </c>
      <c r="DB133" s="1" t="s">
        <v>2474</v>
      </c>
    </row>
    <row r="134">
      <c r="A134" s="1" t="s">
        <v>2475</v>
      </c>
      <c r="B134" s="1" t="str">
        <f>IFERROR(__xludf.DUMMYFUNCTION("GOOGLETRANSLATE(A:A, ""en"", ""te"")"),"మోనోకౌప్ 90")</f>
        <v>మోనోకౌప్ 90</v>
      </c>
      <c r="C134" s="1" t="s">
        <v>2476</v>
      </c>
      <c r="D134" s="2" t="str">
        <f>IFERROR(__xludf.DUMMYFUNCTION("GOOGLETRANSLATE(C:C, ""en"", ""te"")"),"మోనోకౌప్ 90 మోనోకౌప్ విమానాల కోసం డోనాల్డ్ ఎ. లుస్కోంబే నిర్మించిన రెండు-సీట్ల, తేలికపాటి క్యాబిన్ విమానం. [2] మొట్టమొదటి మోనోకౌప్ (మోడల్ 5) అయోవాలోని డావెన్‌పోర్ట్‌లో ఒక పాడుబడిన చర్చిలో నిర్మించబడింది మరియు మొదట ఏప్రిల్ 1, 1927 న ప్రయాణించారు. [3] 1940 "&amp;"ల చివరి వరకు వివిధ నమూనాలు ఉత్పత్తిలో ఉన్నాయి. మోనోకూప్స్ మిశ్రమ కలప మరియు స్టీల్-ట్యూబ్ బేసిక్ నిర్మాణం యొక్క రెండు-సైట్ లైట్ ప్లాన్స్, ఫాబ్రిక్ కవరింగ్. స్థిర టెయిల్స్కిడ్ ల్యాండింగ్ గేర్‌తో కూడిన బ్రేస్డ్ హై-వింగ్ మోనోప్లేన్, మరియు మోనోకౌప్స్ యొక్క సంత"&amp;"కం ఐడెంటిఫైయర్ లక్షణాలలో ఒకటిగా మారే రివర్స్ కర్వ్ రియర్ ఫ్యూజ్‌లేజ్ లైన్లు. [2] ఫ్యూజ్‌లేజ్ ఫ్రేమ్‌వర్క్ సైడ్ ప్యానెల్ నిర్మాణాల కోసం దృ, మైన, త్రిభుజాకార-ఫ్రేమ్డ్ వారెన్ ట్రస్ రూపంలో వెల్డెడ్ స్టీల్ గొట్టాలతో నిర్మించబడింది, డ్యూరల్ మెటల్ షీట్ ఫార్మర్‌ల"&amp;"ు మరియు చెక్క ఫెయిరింగ్ స్ట్రిప్స్‌తో ఆకారం చేయడానికి భారీగా ఫెయిర్ చేయబడింది. రెక్కలు బాస్‌వుడ్ వెబ్‌లు మరియు స్ప్రూస్ క్యాప్-స్ట్రిప్స్‌తో వింగ్ పక్కటెముకలతో ఘన స్ప్రూస్ స్పార్‌లతో నిర్మించబడ్డాయి. ప్రముఖ అంచులు డ్యూరల్ మెటల్ షీట్‌తో కప్పబడి ఉన్నాయి మరి"&amp;"యు మొత్తం ఫ్రేమ్‌వర్క్ ఫాబ్రిక్‌తో కప్పబడి ఉంది. [4] ఈ విమానం మొదట 60 హెచ్‌పి (45 కిలోవాట్) అంజని ఇంజిన్ లేదా విజయవంతం కాని 65 హెచ్‌పి (48 కిలోవాట్) డెట్రాయిట్ ఎయిర్-క్యాట్ రేడియల్. [2] మోడల్ 22 మొదటి లైట్ ఎయిర్క్రాఫ్ట్ టైప్ సర్టిఫికేట్ (సంఖ్య 22) మరియు 1"&amp;"930 లో దీనిని వెలీ M-5 62 HP (46 kW) ఐదు-సిలిండర్ రేడియల్ ఇంజిన్‌తో అమర్చారు. మోడల్ 70 గా మారింది. [3] 1930 లో మోనోకౌప్ మోడల్ 90 ను శుద్ధి చేసిన పంక్తులు మరియు కొంచెం పొడవుగా మరియు వెడల్పుగా ఉన్న ఫ్యూజ్‌లేజ్‌తో ప్రవేశపెట్టింది, ఇది మోడల్ 90 మరియు మోడల్ 90"&amp;" ఎ వెర్షన్లలో 90 హెచ్‌పి (67 కిలోవాట్) లాంబెర్ట్ ఆర్ -266 రేడియల్ ఇంజిన్‌తో విక్రయించబడింది. మోనోకౌప్ 90 డీలక్స్ వెనుకంజలో ఉన్న ఎడ్జ్ ఫ్లాప్స్, వీల్ స్పీడ్ ఫెయిరింగ్స్ మరియు మెరుగైన ఇంజిన్ కౌలింగ్‌ను ప్రవేశపెట్టింది. మోడల్ 90 ఎఫ్‌కు 115 హెచ్‌పి (86 కిలోవా"&amp;"ట్) ఫ్రాంక్లిన్ ఇంజిన్‌తో అమర్చారు. మోడల్ 90AL లో AVCO లైమింగ్ ఇంజన్లు ఉన్నాయి. మోడల్ 90J ను 1930 లో 90 హెచ్‌పి (67 కిలోవాట్) వార్నర్ స్కార్బ్ జెఆర్ ఇంజిన్‌తో ప్రవేశపెట్టారు. మోడల్ 90 నుండి అభివృద్ధి చేయబడిన చివరి రెండు హై పెర్ఫార్మెన్స్ మోనోకౌప్ మోడల్స్ "&amp;"110 హెచ్‌పి (82 కిలోవాట్) వార్నర్ స్కార్బ్‌తో మోడల్ 110, మరియు 125 హెచ్‌పి (93 కిలోవాట్ల) కిన్నర్ బి -5 ఇంజిన్‌తో మోడల్ 125. మోనోకౌప్ 110 స్పెషల్ క్లిప్డ్ వింగ్ రేసింగ్ విమానం. 1932 యొక్క మోనోకౌప్ మోడల్ 70 వి, తక్కువ శక్తితో కూడిన 65 హెచ్‌పి (48-కెడబ్ల్యు"&amp;") వెలీ ఎం -5 ఇంజిన్ పనితీరులో పతనం ఖర్చుతో మరింత ఆర్థిక ఆపరేషన్ చేయడానికి తిరిగి ప్రవేశపెట్టబడింది. [2] 1941 లో మోనోకౌప్ మరో మూడు కంపెనీలతో కలిపి యూనివర్సల్ అచ్చుపోసిన ప్రొడక్ట్స్ కార్పొరేషన్. 20 మోడల్ 90 ఎఫ్లను యుఎస్ఎఎఫ్ కొనుగోలు చేసింది, వారు ఉచిత ఫ్రెం"&amp;"చ్ దళాలకు బదిలీ చేయడానికి యూనివర్సల్ ఎల్ -7 ను నియమించారు. డెలివరీ సమయంలో ఒకటి పోయింది. [5] రెండవ ప్రపంచ యుద్ధంలో విమాన ఉత్పత్తి ఆగిపోయింది, 1948-1950లో మోనోకౌప్ విమానం మరియు ఇంజిన్ కార్పొరేషన్ పేరుతో క్లుప్తంగా తిరిగి ప్రారంభమైంది. . ] నిర్మించబోయే 90 లల"&amp;"ో ఎక్కువ భాగం ప్రైవేట్ పైలట్ యజమానులు విక్రయించారు మరియు విక్రయించారు. 19 1943 ప్రారంభంలో సముద్రం ద్వారా ఈజిప్టులోని అబూ స్వీర్‌కు పంపిణీ చేయబడింది, రాఫ్ ము 109 చేత తిరిగి కలపబడుతుంది. [5] సెప్టెంబర్ 1, 1943 న సిరియాలోని రాయక్‌లో ఫ్లయింగ్ స్కూల్ (GE 11) న"&amp;"ు రూపొందించడానికి ప్రధాన డెలివరీ. మోనోకౌప్ 90 ప్రాథమిక శిక్షణ కోసం చాలా సున్నితంగా ఉంది మరియు పాఠశాల రద్దు జనవరి 4, 1944 వరకు అనేక ప్రమాదాలు జరిగాయి. [5] ఒక విమానం యుద్ధం నుండి బయటపడింది మరియు 1962 లో వ్రాసిన వరకు ఫ్రెంచ్ సివిల్ రిజిస్టర్‌లో ఉంది. [8] 5 వ"&amp;"ిమానాలు సెప్టెంబర్ 1943 ప్రారంభంలో మడగాస్కార్‌కు పంపిణీ చేయబడ్డాయి మరియు ఎస్కాడ్రిల్ డి'అవియన్స్ శానిటైర్స్ ఎట్ డి లైజన్ (ఈస్ట్ఎల్ = లైజన్ అండ్ మెడికల్ ఫ్లైట్) చేత నిర్వహించబడుతున్నాయి. [8] EASL జనవరి 1, 1944 న ఎస్కాడ్రిల్ డి లైజన్ ఎట్ డి కమాండ్మెంట్ (ELC"&amp;") గా మారింది, తరువాత సాల్ -51 మరియు చివరి SLA-50. చివరి రెండు మోనోకౌప్‌లను 1948 లో స్థానిక ఏరో-క్లబ్‌కు విక్రయించారు. [8] అమెరికన్ విమానాల స్పెసిఫికేషన్ల నుండి డేటా [9] సాధారణ లక్షణాలు పనితీరు సంబంధిత అభివృద్ధి విమానం పోల్చదగిన పాత్ర, కాన్ఫిగరేషన్ మరియు E"&amp;"RA")</f>
        <v>మోనోకౌప్ 90 మోనోకౌప్ విమానాల కోసం డోనాల్డ్ ఎ. లుస్కోంబే నిర్మించిన రెండు-సీట్ల, తేలికపాటి క్యాబిన్ విమానం. [2] మొట్టమొదటి మోనోకౌప్ (మోడల్ 5) అయోవాలోని డావెన్‌పోర్ట్‌లో ఒక పాడుబడిన చర్చిలో నిర్మించబడింది మరియు మొదట ఏప్రిల్ 1, 1927 న ప్రయాణించారు. [3] 1940 ల చివరి వరకు వివిధ నమూనాలు ఉత్పత్తిలో ఉన్నాయి. మోనోకూప్స్ మిశ్రమ కలప మరియు స్టీల్-ట్యూబ్ బేసిక్ నిర్మాణం యొక్క రెండు-సైట్ లైట్ ప్లాన్స్, ఫాబ్రిక్ కవరింగ్. స్థిర టెయిల్స్కిడ్ ల్యాండింగ్ గేర్‌తో కూడిన బ్రేస్డ్ హై-వింగ్ మోనోప్లేన్, మరియు మోనోకౌప్స్ యొక్క సంతకం ఐడెంటిఫైయర్ లక్షణాలలో ఒకటిగా మారే రివర్స్ కర్వ్ రియర్ ఫ్యూజ్‌లేజ్ లైన్లు. [2] ఫ్యూజ్‌లేజ్ ఫ్రేమ్‌వర్క్ సైడ్ ప్యానెల్ నిర్మాణాల కోసం దృ, మైన, త్రిభుజాకార-ఫ్రేమ్డ్ వారెన్ ట్రస్ రూపంలో వెల్డెడ్ స్టీల్ గొట్టాలతో నిర్మించబడింది, డ్యూరల్ మెటల్ షీట్ ఫార్మర్‌లు మరియు చెక్క ఫెయిరింగ్ స్ట్రిప్స్‌తో ఆకారం చేయడానికి భారీగా ఫెయిర్ చేయబడింది. రెక్కలు బాస్‌వుడ్ వెబ్‌లు మరియు స్ప్రూస్ క్యాప్-స్ట్రిప్స్‌తో వింగ్ పక్కటెముకలతో ఘన స్ప్రూస్ స్పార్‌లతో నిర్మించబడ్డాయి. ప్రముఖ అంచులు డ్యూరల్ మెటల్ షీట్‌తో కప్పబడి ఉన్నాయి మరియు మొత్తం ఫ్రేమ్‌వర్క్ ఫాబ్రిక్‌తో కప్పబడి ఉంది. [4] ఈ విమానం మొదట 60 హెచ్‌పి (45 కిలోవాట్) అంజని ఇంజిన్ లేదా విజయవంతం కాని 65 హెచ్‌పి (48 కిలోవాట్) డెట్రాయిట్ ఎయిర్-క్యాట్ రేడియల్. [2] మోడల్ 22 మొదటి లైట్ ఎయిర్క్రాఫ్ట్ టైప్ సర్టిఫికేట్ (సంఖ్య 22) మరియు 1930 లో దీనిని వెలీ M-5 62 HP (46 kW) ఐదు-సిలిండర్ రేడియల్ ఇంజిన్‌తో అమర్చారు. మోడల్ 70 గా మారింది. [3] 1930 లో మోనోకౌప్ మోడల్ 90 ను శుద్ధి చేసిన పంక్తులు మరియు కొంచెం పొడవుగా మరియు వెడల్పుగా ఉన్న ఫ్యూజ్‌లేజ్‌తో ప్రవేశపెట్టింది, ఇది మోడల్ 90 మరియు మోడల్ 90 ఎ వెర్షన్లలో 90 హెచ్‌పి (67 కిలోవాట్) లాంబెర్ట్ ఆర్ -266 రేడియల్ ఇంజిన్‌తో విక్రయించబడింది. మోనోకౌప్ 90 డీలక్స్ వెనుకంజలో ఉన్న ఎడ్జ్ ఫ్లాప్స్, వీల్ స్పీడ్ ఫెయిరింగ్స్ మరియు మెరుగైన ఇంజిన్ కౌలింగ్‌ను ప్రవేశపెట్టింది. మోడల్ 90 ఎఫ్‌కు 115 హెచ్‌పి (86 కిలోవాట్) ఫ్రాంక్లిన్ ఇంజిన్‌తో అమర్చారు. మోడల్ 90AL లో AVCO లైమింగ్ ఇంజన్లు ఉన్నాయి. మోడల్ 90J ను 1930 లో 90 హెచ్‌పి (67 కిలోవాట్) వార్నర్ స్కార్బ్ జెఆర్ ఇంజిన్‌తో ప్రవేశపెట్టారు. మోడల్ 90 నుండి అభివృద్ధి చేయబడిన చివరి రెండు హై పెర్ఫార్మెన్స్ మోనోకౌప్ మోడల్స్ 110 హెచ్‌పి (82 కిలోవాట్) వార్నర్ స్కార్బ్‌తో మోడల్ 110, మరియు 125 హెచ్‌పి (93 కిలోవాట్ల) కిన్నర్ బి -5 ఇంజిన్‌తో మోడల్ 125. మోనోకౌప్ 110 స్పెషల్ క్లిప్డ్ వింగ్ రేసింగ్ విమానం. 1932 యొక్క మోనోకౌప్ మోడల్ 70 వి, తక్కువ శక్తితో కూడిన 65 హెచ్‌పి (48-కెడబ్ల్యు) వెలీ ఎం -5 ఇంజిన్ పనితీరులో పతనం ఖర్చుతో మరింత ఆర్థిక ఆపరేషన్ చేయడానికి తిరిగి ప్రవేశపెట్టబడింది. [2] 1941 లో మోనోకౌప్ మరో మూడు కంపెనీలతో కలిపి యూనివర్సల్ అచ్చుపోసిన ప్రొడక్ట్స్ కార్పొరేషన్. 20 మోడల్ 90 ఎఫ్లను యుఎస్ఎఎఫ్ కొనుగోలు చేసింది, వారు ఉచిత ఫ్రెంచ్ దళాలకు బదిలీ చేయడానికి యూనివర్సల్ ఎల్ -7 ను నియమించారు. డెలివరీ సమయంలో ఒకటి పోయింది. [5] రెండవ ప్రపంచ యుద్ధంలో విమాన ఉత్పత్తి ఆగిపోయింది, 1948-1950లో మోనోకౌప్ విమానం మరియు ఇంజిన్ కార్పొరేషన్ పేరుతో క్లుప్తంగా తిరిగి ప్రారంభమైంది. . ] నిర్మించబోయే 90 లలో ఎక్కువ భాగం ప్రైవేట్ పైలట్ యజమానులు విక్రయించారు మరియు విక్రయించారు. 19 1943 ప్రారంభంలో సముద్రం ద్వారా ఈజిప్టులోని అబూ స్వీర్‌కు పంపిణీ చేయబడింది, రాఫ్ ము 109 చేత తిరిగి కలపబడుతుంది. [5] సెప్టెంబర్ 1, 1943 న సిరియాలోని రాయక్‌లో ఫ్లయింగ్ స్కూల్ (GE 11) ను రూపొందించడానికి ప్రధాన డెలివరీ. మోనోకౌప్ 90 ప్రాథమిక శిక్షణ కోసం చాలా సున్నితంగా ఉంది మరియు పాఠశాల రద్దు జనవరి 4, 1944 వరకు అనేక ప్రమాదాలు జరిగాయి. [5] ఒక విమానం యుద్ధం నుండి బయటపడింది మరియు 1962 లో వ్రాసిన వరకు ఫ్రెంచ్ సివిల్ రిజిస్టర్‌లో ఉంది. [8] 5 విమానాలు సెప్టెంబర్ 1943 ప్రారంభంలో మడగాస్కార్‌కు పంపిణీ చేయబడ్డాయి మరియు ఎస్కాడ్రిల్ డి'అవియన్స్ శానిటైర్స్ ఎట్ డి లైజన్ (ఈస్ట్ఎల్ = లైజన్ అండ్ మెడికల్ ఫ్లైట్) చేత నిర్వహించబడుతున్నాయి. [8] EASL జనవరి 1, 1944 న ఎస్కాడ్రిల్ డి లైజన్ ఎట్ డి కమాండ్మెంట్ (ELC) గా మారింది, తరువాత సాల్ -51 మరియు చివరి SLA-50. చివరి రెండు మోనోకౌప్‌లను 1948 లో స్థానిక ఏరో-క్లబ్‌కు విక్రయించారు. [8] అమెరికన్ విమానాల స్పెసిఫికేషన్ల నుండి డేటా [9] సాధారణ లక్షణాలు పనితీరు సంబంధిత అభివృద్ధి విమానం పోల్చదగిన పాత్ర, కాన్ఫిగరేషన్ మరియు ERA</v>
      </c>
      <c r="E134" s="1" t="s">
        <v>2477</v>
      </c>
      <c r="F134" s="1" t="s">
        <v>2478</v>
      </c>
      <c r="G134" s="1" t="str">
        <f>IFERROR(__xludf.DUMMYFUNCTION("GOOGLETRANSLATE(F:F, ""en"", ""te"")"),"లైట్ ట్రైనర్ మరియు రేసర్")</f>
        <v>లైట్ ట్రైనర్ మరియు రేసర్</v>
      </c>
      <c r="I134" s="1" t="s">
        <v>2479</v>
      </c>
      <c r="J134" s="1" t="str">
        <f>IFERROR(__xludf.DUMMYFUNCTION("GOOGLETRANSLATE(I:I, ""en"", ""te"")"),"మోనోకౌప్ విమానం")</f>
        <v>మోనోకౌప్ విమానం</v>
      </c>
      <c r="K134" s="1" t="s">
        <v>2480</v>
      </c>
      <c r="L134" s="1" t="s">
        <v>2481</v>
      </c>
      <c r="M134" s="2" t="str">
        <f>IFERROR(__xludf.DUMMYFUNCTION("GOOGLETRANSLATE(L:L, ""en"", ""te"")"),"డాన్ ఎ. లుస్కోంబే")</f>
        <v>డాన్ ఎ. లుస్కోంబే</v>
      </c>
      <c r="O134" s="1" t="s">
        <v>2482</v>
      </c>
      <c r="R134" s="1">
        <v>1.0</v>
      </c>
      <c r="S134" s="1" t="s">
        <v>736</v>
      </c>
      <c r="T134" s="1" t="s">
        <v>2483</v>
      </c>
      <c r="U134" s="1" t="s">
        <v>552</v>
      </c>
      <c r="V134" s="1" t="s">
        <v>2484</v>
      </c>
      <c r="W134" s="1" t="s">
        <v>2485</v>
      </c>
      <c r="X134" s="1" t="s">
        <v>2486</v>
      </c>
      <c r="Z134" s="1" t="s">
        <v>2487</v>
      </c>
      <c r="AA134" s="1" t="s">
        <v>968</v>
      </c>
      <c r="AB134" s="1" t="s">
        <v>2488</v>
      </c>
      <c r="AC134" s="1" t="s">
        <v>1712</v>
      </c>
      <c r="AD134" s="1" t="s">
        <v>2489</v>
      </c>
      <c r="AH134" s="1" t="s">
        <v>2490</v>
      </c>
      <c r="AI134" s="1" t="s">
        <v>2491</v>
      </c>
      <c r="AK134" s="1" t="s">
        <v>2492</v>
      </c>
      <c r="AL134" s="1" t="s">
        <v>2493</v>
      </c>
      <c r="AN134" s="1" t="s">
        <v>1884</v>
      </c>
      <c r="AO134" s="7">
        <v>9953.0</v>
      </c>
      <c r="AX134" s="1">
        <v>1928.0</v>
      </c>
      <c r="BO134" s="1" t="s">
        <v>2494</v>
      </c>
      <c r="BP134" s="1" t="s">
        <v>2495</v>
      </c>
    </row>
    <row r="135">
      <c r="A135" s="1" t="s">
        <v>2496</v>
      </c>
      <c r="B135" s="1" t="str">
        <f>IFERROR(__xludf.DUMMYFUNCTION("GOOGLETRANSLATE(A:A, ""en"", ""te"")"),"N104RB రెడ్ బారన్")</f>
        <v>N104RB రెడ్ బారన్</v>
      </c>
      <c r="C135" s="1" t="s">
        <v>2497</v>
      </c>
      <c r="D135" s="2" t="str">
        <f>IFERROR(__xludf.DUMMYFUNCTION("GOOGLETRANSLATE(C:C, ""en"", ""te"")"),"రెడ్ బారన్ అత్యంత సవరించిన లాక్‌హీడ్ ఎఫ్ -104 స్టార్‌ఫైటర్, ఇది FAI క్లాస్ సి -1 గ్రూప్ III 3 కిమీ స్పీడ్ రికార్డును గంటకు 1,590.45 కిలోమీటర్ల (988.26 mph), 1977 లో, ఇప్పటికీ ఉంది. [1] దీనిని డారిల్ గ్రీనమైర్ సమీకరించారు మరియు ఎడ్ బ్రౌనింగ్ మరియు ఇడాహోలోన"&amp;"ి ఇడాహో ఫాల్స్ యొక్క రెడ్ బారన్ ఫ్లయింగ్ సర్వీస్ స్పాన్సర్ చేసింది. 1978 లో జరిగిన ప్రమాదంలో ఈ విమానం ధ్వంసమైంది. గ్రీనమియర్ 13 సంవత్సరాల కాలంలో అనేక భాగాలను సేకరించి కలిసి ఉంచడం ద్వారా స్టార్‌ఫైటర్‌ను నిర్మించాడు. కాక్‌పిట్ సైడ్ ప్యానెల్లు మరియు రెడ్ బార"&amp;"న్ యొక్క కొన్ని కంట్రోల్ కాలమ్ బేరింగ్లు 22 సంవత్సరాల క్రితం కాలిఫోర్నియాలోని పామ్‌డేల్‌లో క్రాష్ అయిన మొట్టమొదటి ఉత్పత్తి F-104A నుండి వచ్చాయి. రెడ్ బారన్ యొక్క తోక, మైనస్ స్టెబిలైజర్స్, కాలిఫోర్నియాలోని అంటారియోలోని ఒక జంక్యార్డ్ నుండి వచ్చింది. స్టెబిల"&amp;"ైజర్లు మరియు కొన్ని ముక్కు చక్రాల భాగాలు ఫ్లోరిడాలోని టక్సన్ మరియు హోమ్‌స్టెడ్‌లోని స్క్రాప్ పైల్స్ నుండి వచ్చాయి. ఎలివేటర్ నియంత్రణలు, ఎజెక్షన్ సీట్ పట్టాలు మరియు కొన్ని ఎలక్ట్రికల్ రిలేలు ఎఫ్ -104 నుండి వచ్చాయి, ఇవి మోజావే ఎడారి అంచున ఉన్న ఎడ్వర్డ్స్ ఎయ"&amp;"ిర్ ఫోర్స్ బేస్ వద్ద క్రాష్ అయ్యాయి. రెనో ఎయిర్ రేసుల్లో అతను కలుసుకున్న టేనస్సీ ఫ్లయింగ్ బఫ్ నుండి గ్రీనమియర్ తన థొరెటల్ క్వాడ్రంట్ పొందాడు. ముక్కు గేర్ కోసం ట్రూనియన్ మౌంట్ అవుతుంది, కొన్ని శీతలీకరణ-వ్యవస్థ కవాటాలు మరియు ఎరుపు బారన్ పై కొన్ని రిలేలు ఎగ్"&amp;"లిన్ ఎయిర్ ఫోర్స్ బేస్ వద్ద గ్రీనమైర్ కొన్న 25-టన్నుల వ్యర్థ కుప్ప నుండి వచ్చాయి. నాసాతో ఒక స్వాప్లో, అతను లాక్హీడ్ NF-104A యొక్క ముక్కును పొందాడు, దాని ప్రతిచర్య నియంత్రణలతో. అన్ని ముఖ్యమైన J79-GE-10 ఇంజిన్ US నేవీ నుండి పొందబడింది. [2] గ్రీన్‌మైర్ యొక్క"&amp;" అంతిమ లక్ష్యం సోవియట్ మిగ్ -25 ఫాక్స్బాట్ చేత సెట్ చేయబడిన ఆల్టిట్యూడ్ రికార్డును తిరిగి పొందడం. స్పీడ్ రికార్డ్ వద్ద అతని ప్రయత్నం ఎత్తు ప్రయత్నాన్ని ప్రారంభించడానికి తగినంత నిధులను సేకరించడం కోసం. అధిక ఎత్తు యొక్క ప్రభావాలను ఎదుర్కోవటానికి, గ్రీనమైర్ ఇ"&amp;"ంజిన్ తీసుకోవడం వద్ద గాలిని నీటి-చల్లగా ఉండే వ్యవస్థను అభివృద్ధి చేసింది-గాలి సాంద్రతను సమర్థవంతంగా పెంచుతుంది. నియంత్రణ ఉపరితలాలు ప్రభావాన్ని కోల్పోయినందున అదనపు దిశాత్మక స్థిరత్వాన్ని అందించడానికి అతను లాక్హీడ్ NF-104A యొక్క ముక్కును ముక్కు చుట్టూ ఎనిమి"&amp;"ది హైడ్రోజన్ పెరాక్సైడ్ థ్రస్టర్‌లతో ఏర్పాటు చేశాడు. [3] 2 అక్టోబర్ 1976 న, గ్రీన్‌అమైర్ నెవాడాలోని టోనోపా సమీపంలోని మడ్ సరస్సు వద్ద గంటకు సగటున 1,630 కిలోమీటర్లు (1,010 mph) ప్రయాణించారు. ట్రాకింగ్ కెమెరా పనిచేయకపోవడం అధికారిక రికార్డులకు అవసరమైన రుజువున"&amp;"ు తొలగించింది. 24 అక్టోబర్ 1977 న గ్రీన్‌మైయర్ గంటకు 1,590.45 కిలోమీటర్ల (988.26 mph) 3 కిలోమీటర్ల అధికారిక FAI రికార్డ్ ఫ్లైట్‌ను ఎగురవేసాడు. [4] 26 ఫిబ్రవరి 1978 న గ్రీన్‌మైర్ ఆల్టిట్యూడ్ రికార్డ్ ప్రయత్నం కోసం ప్రాక్టీస్ రన్ చేశాడు. ప్రయత్నం తరువాత, అత"&amp;"ను ఎడమ చక్రంలో లాక్ లైట్ పొందలేకపోయాడు; ఎడ్వర్డ్స్ ఎయిర్ ఫోర్స్ బేస్ రన్వేలో బహుళ టచ్-అండ్-గో పరీక్షల తరువాత, అతను దిగడం సురక్షితం కాదని అతను నిర్ణయించాడు. అతను బయటకు తీశాడు, మరియు N104RB ఎడారిలో కూలిపోయింది. [5] [సైటేషన్ అవసరం] నుండి డేటా సాధారణ లక్షణాల "&amp;"పనితీరు")</f>
        <v>రెడ్ బారన్ అత్యంత సవరించిన లాక్‌హీడ్ ఎఫ్ -104 స్టార్‌ఫైటర్, ఇది FAI క్లాస్ సి -1 గ్రూప్ III 3 కిమీ స్పీడ్ రికార్డును గంటకు 1,590.45 కిలోమీటర్ల (988.26 mph), 1977 లో, ఇప్పటికీ ఉంది. [1] దీనిని డారిల్ గ్రీనమైర్ సమీకరించారు మరియు ఎడ్ బ్రౌనింగ్ మరియు ఇడాహోలోని ఇడాహో ఫాల్స్ యొక్క రెడ్ బారన్ ఫ్లయింగ్ సర్వీస్ స్పాన్సర్ చేసింది. 1978 లో జరిగిన ప్రమాదంలో ఈ విమానం ధ్వంసమైంది. గ్రీనమియర్ 13 సంవత్సరాల కాలంలో అనేక భాగాలను సేకరించి కలిసి ఉంచడం ద్వారా స్టార్‌ఫైటర్‌ను నిర్మించాడు. కాక్‌పిట్ సైడ్ ప్యానెల్లు మరియు రెడ్ బారన్ యొక్క కొన్ని కంట్రోల్ కాలమ్ బేరింగ్లు 22 సంవత్సరాల క్రితం కాలిఫోర్నియాలోని పామ్‌డేల్‌లో క్రాష్ అయిన మొట్టమొదటి ఉత్పత్తి F-104A నుండి వచ్చాయి. రెడ్ బారన్ యొక్క తోక, మైనస్ స్టెబిలైజర్స్, కాలిఫోర్నియాలోని అంటారియోలోని ఒక జంక్యార్డ్ నుండి వచ్చింది. స్టెబిలైజర్లు మరియు కొన్ని ముక్కు చక్రాల భాగాలు ఫ్లోరిడాలోని టక్సన్ మరియు హోమ్‌స్టెడ్‌లోని స్క్రాప్ పైల్స్ నుండి వచ్చాయి. ఎలివేటర్ నియంత్రణలు, ఎజెక్షన్ సీట్ పట్టాలు మరియు కొన్ని ఎలక్ట్రికల్ రిలేలు ఎఫ్ -104 నుండి వచ్చాయి, ఇవి మోజావే ఎడారి అంచున ఉన్న ఎడ్వర్డ్స్ ఎయిర్ ఫోర్స్ బేస్ వద్ద క్రాష్ అయ్యాయి. రెనో ఎయిర్ రేసుల్లో అతను కలుసుకున్న టేనస్సీ ఫ్లయింగ్ బఫ్ నుండి గ్రీనమియర్ తన థొరెటల్ క్వాడ్రంట్ పొందాడు. ముక్కు గేర్ కోసం ట్రూనియన్ మౌంట్ అవుతుంది, కొన్ని శీతలీకరణ-వ్యవస్థ కవాటాలు మరియు ఎరుపు బారన్ పై కొన్ని రిలేలు ఎగ్లిన్ ఎయిర్ ఫోర్స్ బేస్ వద్ద గ్రీనమైర్ కొన్న 25-టన్నుల వ్యర్థ కుప్ప నుండి వచ్చాయి. నాసాతో ఒక స్వాప్లో, అతను లాక్హీడ్ NF-104A యొక్క ముక్కును పొందాడు, దాని ప్రతిచర్య నియంత్రణలతో. అన్ని ముఖ్యమైన J79-GE-10 ఇంజిన్ US నేవీ నుండి పొందబడింది. [2] గ్రీన్‌మైర్ యొక్క అంతిమ లక్ష్యం సోవియట్ మిగ్ -25 ఫాక్స్బాట్ చేత సెట్ చేయబడిన ఆల్టిట్యూడ్ రికార్డును తిరిగి పొందడం. స్పీడ్ రికార్డ్ వద్ద అతని ప్రయత్నం ఎత్తు ప్రయత్నాన్ని ప్రారంభించడానికి తగినంత నిధులను సేకరించడం కోసం. అధిక ఎత్తు యొక్క ప్రభావాలను ఎదుర్కోవటానికి, గ్రీనమైర్ ఇంజిన్ తీసుకోవడం వద్ద గాలిని నీటి-చల్లగా ఉండే వ్యవస్థను అభివృద్ధి చేసింది-గాలి సాంద్రతను సమర్థవంతంగా పెంచుతుంది. నియంత్రణ ఉపరితలాలు ప్రభావాన్ని కోల్పోయినందున అదనపు దిశాత్మక స్థిరత్వాన్ని అందించడానికి అతను లాక్హీడ్ NF-104A యొక్క ముక్కును ముక్కు చుట్టూ ఎనిమిది హైడ్రోజన్ పెరాక్సైడ్ థ్రస్టర్‌లతో ఏర్పాటు చేశాడు. [3] 2 అక్టోబర్ 1976 న, గ్రీన్‌అమైర్ నెవాడాలోని టోనోపా సమీపంలోని మడ్ సరస్సు వద్ద గంటకు సగటున 1,630 కిలోమీటర్లు (1,010 mph) ప్రయాణించారు. ట్రాకింగ్ కెమెరా పనిచేయకపోవడం అధికారిక రికార్డులకు అవసరమైన రుజువును తొలగించింది. 24 అక్టోబర్ 1977 న గ్రీన్‌మైయర్ గంటకు 1,590.45 కిలోమీటర్ల (988.26 mph) 3 కిలోమీటర్ల అధికారిక FAI రికార్డ్ ఫ్లైట్‌ను ఎగురవేసాడు. [4] 26 ఫిబ్రవరి 1978 న గ్రీన్‌మైర్ ఆల్టిట్యూడ్ రికార్డ్ ప్రయత్నం కోసం ప్రాక్టీస్ రన్ చేశాడు. ప్రయత్నం తరువాత, అతను ఎడమ చక్రంలో లాక్ లైట్ పొందలేకపోయాడు; ఎడ్వర్డ్స్ ఎయిర్ ఫోర్స్ బేస్ రన్వేలో బహుళ టచ్-అండ్-గో పరీక్షల తరువాత, అతను దిగడం సురక్షితం కాదని అతను నిర్ణయించాడు. అతను బయటకు తీశాడు, మరియు N104RB ఎడారిలో కూలిపోయింది. [5] [సైటేషన్ అవసరం] నుండి డేటా సాధారణ లక్షణాల పనితీరు</v>
      </c>
      <c r="G135" s="1" t="str">
        <f>IFERROR(__xludf.DUMMYFUNCTION("GOOGLETRANSLATE(F:F, ""en"", ""te"")"),"#VALUE!")</f>
        <v>#VALUE!</v>
      </c>
      <c r="M135" s="2"/>
      <c r="R135" s="1">
        <v>1.0</v>
      </c>
      <c r="T135" s="1" t="s">
        <v>2498</v>
      </c>
      <c r="U135" s="1" t="s">
        <v>2499</v>
      </c>
      <c r="V135" s="1" t="s">
        <v>2500</v>
      </c>
      <c r="W135" s="1" t="s">
        <v>2501</v>
      </c>
      <c r="Z135" s="1" t="s">
        <v>2502</v>
      </c>
      <c r="AI135" s="1" t="s">
        <v>2503</v>
      </c>
      <c r="AJ135" s="1" t="s">
        <v>2504</v>
      </c>
      <c r="AL135" s="1" t="s">
        <v>2505</v>
      </c>
      <c r="CW135" s="1" t="s">
        <v>2506</v>
      </c>
      <c r="CX135" s="1" t="s">
        <v>2507</v>
      </c>
      <c r="CY135" s="1" t="s">
        <v>2508</v>
      </c>
      <c r="DA135" s="1" t="s">
        <v>2509</v>
      </c>
      <c r="DC135" s="1" t="s">
        <v>2510</v>
      </c>
    </row>
    <row r="136">
      <c r="A136" s="1" t="s">
        <v>2511</v>
      </c>
      <c r="B136" s="1" t="str">
        <f>IFERROR(__xludf.DUMMYFUNCTION("GOOGLETRANSLATE(A:A, ""en"", ""te"")"),"తదుపరి లక్ష్యం")</f>
        <v>తదుపరి లక్ష్యం</v>
      </c>
      <c r="C136" s="1" t="s">
        <v>2512</v>
      </c>
      <c r="D136" s="2" t="str">
        <f>IFERROR(__xludf.DUMMYFUNCTION("GOOGLETRANSLATE(C:C, ""en"", ""te"")"),"తదుపరి లక్ష్యం బోయింగ్ బి -29-36-మో సూపర్ ఫోర్ట్రెస్, 44-27299, విక్టర్ 86, రెండవ ప్రపంచ యుద్ధంలో అణు బాంబును తీసుకెళ్లడానికి సవరించబడింది. 393 డి బాంబ్ స్క్వాడ్రన్, 509 వ మిశ్రమ సమూహానికి కేటాయించబడిన ఇది 509 వ తేదీ ఉపయోగించే 15 సిల్వర్‌ప్లేట్ B-29 లలో ఒ"&amp;"కటి. తదుపరి లక్ష్యం నెబ్రాస్కాలోని ఒమాహాలోని గ్లెన్ ఎల్. మార్టిన్ ఎయిర్క్రాఫ్ట్ ప్లాంట్ వద్ద బ్లాక్ 35 విమానంగా నిర్మించబడింది. ఇది సిల్వర్‌ప్లేట్‌గా సవరించబడిన 10 లో ఒకటి మరియు ""బ్లాక్ 36"" ను తిరిగి నియమించారు. 20 మార్చి 1945 న, USAAF కి, దీనిని క్రూ A"&amp;"-3 (1 వ లెఫ్టినెంట్ రాల్ఫ్ ఎన్. డెవోర్, ఎయిర్క్రాఫ్ట్ కమాండర్) కు కేటాయించారు మరియు ఉటాలోని వెన్డోవర్ ఆర్మీ ఎయిర్ ఫీల్డ్‌కు వెళ్లారు. ఇది 11 జూన్ 1945 న వెన్డోవర్ నుండి నార్త్ ఫీల్డ్, టినియన్ నుండి బయలుదేరి 17 జూన్ 17 వచ్చింది. ఇది మొదట విక్టర్ (యూనిట్-కే"&amp;"టాయించిన ఐడెంటిఫికేషన్) సంఖ్య 6 ను కేటాయించారు, కాని ఆగస్టు 1 న 444 వ బాంబ్ గ్రూప్ యొక్క త్రిభుజం n తోక గుర్తులు భద్రతా కొలతగా ఇవ్వబడ్డాయి మరియు వాస్తవ 444 వ బిజి విమానంతో తప్పుగా గుర్తించకుండా ఉండటానికి దాని విజేత 86 కి మార్చారు. దీనికి తదుపరి లక్ష్యం అన"&amp;"ి పేరు పెట్టారు మరియు దాని ముక్కు కళ అణు బాంబు మిషన్ల తరువాత వర్తించబడుతుంది. టినియన్ వద్ద ఉన్నప్పుడు, డెవోర్ మరియు క్రూ ఎ -3 తోయామా, నిహామా మరియు నాగోయా వద్ద జపనీస్ పారిశ్రామిక లక్ష్యాలకు వ్యతిరేకంగా 12 ప్రాక్టీస్ బాంబు మిషన్లు మరియు మూడు గుమ్మడికాయ బాంబ"&amp;"ు మిషన్లపై తదుపరి లక్ష్యాన్ని ఎగురవేసారు మరియు ఇది గర్భస్రావం చేయబడింది. 393 డి బిఎస్ యొక్క కమాండింగ్ ఆఫీసర్ మేజర్ చార్లెస్ స్వీనీ, జూలై 26 మరియు 29 తేదీలలో డమ్మీ ""లిటిల్ బాయ్"" టెస్ట్ అసెంబ్లీని ఉపయోగించి విధానాలను రిహార్సల్ చేయడానికి బాంబర్‌ను ఉపయోగించ"&amp;"ారు. తరువాతి మిషన్‌లో తదుపరి ఆబ్జెక్టివ్ ఇవో జిమాలో దిగి, జడ బాంబును అన్‌లోడ్ చేశారు, తరువాత ఒక ఆకస్మికతను అభ్యసించడానికి రీలోడ్ చేయబడింది, దీనిలో విడి విమానం మిషన్‌ను స్వాధీనం చేసుకుంది. నవంబర్ 1945 లో ఇది 509 వ స్థానంలో న్యూ మెక్సికోలోని రోస్‌వెల్ ఆర్మీ"&amp;" ఎయిర్ ఫీల్డ్‌కు తిరిగి వచ్చింది. మార్చి నుండి ఆగస్టు 1946 వరకు దీనిని ఆపరేషన్ క్రాస్‌రోడ్స్ టాస్క్‌ఫోర్స్‌కు కేటాయించారు, తరువాత రోస్‌వెల్ వద్ద 509 వ బిజిలో తిరిగి చేరాడు. ఏప్రిల్ 1949 లో, తదుపరి లక్ష్యం టెక్సాస్‌లోని బిగ్స్ ఎయిర్ ఫోర్స్ బేస్ వద్ద 97 వ బ"&amp;"ాంబు సమూహానికి బదిలీ చేయబడింది. 25 మే 1949 న, 44-27299 నావిగేషన్ శిక్షణా మిషన్‌కు కేటాయించబడింది. టేకాఫ్ చేసిన కొద్దిసేపటికే కుడి అవుట్‌బోర్డ్ ఇంజిన్‌లో ఇంజిన్ అగ్నిప్రమాదం జరిగింది, ఫలితంగా సిబ్బంది బెయిలౌట్ వచ్చింది. కేటాయించిన నావిగేటర్ అతను విమానం నుం"&amp;"డి నిష్క్రమించినప్పుడు ముక్కు ల్యాండింగ్ గేర్‌ను నడుపుతున్న యంత్రాలపై తల కొట్టింది మరియు అతని పారాచూట్ మోహరించనప్పుడు చంపబడ్డాడు. ఎల్ పాసోకు ఈశాన్యంగా 35 మైళ్ళ దూరం క్రాష్ అయ్యే ముందు పైలట్‌లెస్ నెక్స్ట్ ఆబ్జెక్టివ్ రెండు-మైళ్ల కక్ష్యలో ప్రదక్షిణలు చేసింద"&amp;"ి, ఇక్కడ అది ప్రభావంపై పేలింది. USAF 509 వ బాంబ్ వింగ్ యొక్క రెండు FB-111A వ్యూహాత్మక బాంబర్లు, సీరియల్స్ 68-0257 మరియు 68-0284, వారి నోస్‌వీల్ తలుపులపై తదుపరి లక్ష్యాన్ని కలిగి ఉన్నాయి, మరియు 68-0257 B-29 ముక్కు కళను కలిగి ఉంది, పీస్ ఎయిర్ ఫోర్స్ వద్ద ఉం"&amp;"ది బేస్, న్యూ హాంప్‌షైర్, 1970 మరియు 1980 లలో.")</f>
        <v>తదుపరి లక్ష్యం బోయింగ్ బి -29-36-మో సూపర్ ఫోర్ట్రెస్, 44-27299, విక్టర్ 86, రెండవ ప్రపంచ యుద్ధంలో అణు బాంబును తీసుకెళ్లడానికి సవరించబడింది. 393 డి బాంబ్ స్క్వాడ్రన్, 509 వ మిశ్రమ సమూహానికి కేటాయించబడిన ఇది 509 వ తేదీ ఉపయోగించే 15 సిల్వర్‌ప్లేట్ B-29 లలో ఒకటి. తదుపరి లక్ష్యం నెబ్రాస్కాలోని ఒమాహాలోని గ్లెన్ ఎల్. మార్టిన్ ఎయిర్క్రాఫ్ట్ ప్లాంట్ వద్ద బ్లాక్ 35 విమానంగా నిర్మించబడింది. ఇది సిల్వర్‌ప్లేట్‌గా సవరించబడిన 10 లో ఒకటి మరియు "బ్లాక్ 36" ను తిరిగి నియమించారు. 20 మార్చి 1945 న, USAAF కి, దీనిని క్రూ A-3 (1 వ లెఫ్టినెంట్ రాల్ఫ్ ఎన్. డెవోర్, ఎయిర్క్రాఫ్ట్ కమాండర్) కు కేటాయించారు మరియు ఉటాలోని వెన్డోవర్ ఆర్మీ ఎయిర్ ఫీల్డ్‌కు వెళ్లారు. ఇది 11 జూన్ 1945 న వెన్డోవర్ నుండి నార్త్ ఫీల్డ్, టినియన్ నుండి బయలుదేరి 17 జూన్ 17 వచ్చింది. ఇది మొదట విక్టర్ (యూనిట్-కేటాయించిన ఐడెంటిఫికేషన్) సంఖ్య 6 ను కేటాయించారు, కాని ఆగస్టు 1 న 444 వ బాంబ్ గ్రూప్ యొక్క త్రిభుజం n తోక గుర్తులు భద్రతా కొలతగా ఇవ్వబడ్డాయి మరియు వాస్తవ 444 వ బిజి విమానంతో తప్పుగా గుర్తించకుండా ఉండటానికి దాని విజేత 86 కి మార్చారు. దీనికి తదుపరి లక్ష్యం అని పేరు పెట్టారు మరియు దాని ముక్కు కళ అణు బాంబు మిషన్ల తరువాత వర్తించబడుతుంది. టినియన్ వద్ద ఉన్నప్పుడు, డెవోర్ మరియు క్రూ ఎ -3 తోయామా, నిహామా మరియు నాగోయా వద్ద జపనీస్ పారిశ్రామిక లక్ష్యాలకు వ్యతిరేకంగా 12 ప్రాక్టీస్ బాంబు మిషన్లు మరియు మూడు గుమ్మడికాయ బాంబు మిషన్లపై తదుపరి లక్ష్యాన్ని ఎగురవేసారు మరియు ఇది గర్భస్రావం చేయబడింది. 393 డి బిఎస్ యొక్క కమాండింగ్ ఆఫీసర్ మేజర్ చార్లెస్ స్వీనీ, జూలై 26 మరియు 29 తేదీలలో డమ్మీ "లిటిల్ బాయ్" టెస్ట్ అసెంబ్లీని ఉపయోగించి విధానాలను రిహార్సల్ చేయడానికి బాంబర్‌ను ఉపయోగించారు. తరువాతి మిషన్‌లో తదుపరి ఆబ్జెక్టివ్ ఇవో జిమాలో దిగి, జడ బాంబును అన్‌లోడ్ చేశారు, తరువాత ఒక ఆకస్మికతను అభ్యసించడానికి రీలోడ్ చేయబడింది, దీనిలో విడి విమానం మిషన్‌ను స్వాధీనం చేసుకుంది. నవంబర్ 1945 లో ఇది 509 వ స్థానంలో న్యూ మెక్సికోలోని రోస్‌వెల్ ఆర్మీ ఎయిర్ ఫీల్డ్‌కు తిరిగి వచ్చింది. మార్చి నుండి ఆగస్టు 1946 వరకు దీనిని ఆపరేషన్ క్రాస్‌రోడ్స్ టాస్క్‌ఫోర్స్‌కు కేటాయించారు, తరువాత రోస్‌వెల్ వద్ద 509 వ బిజిలో తిరిగి చేరాడు. ఏప్రిల్ 1949 లో, తదుపరి లక్ష్యం టెక్సాస్‌లోని బిగ్స్ ఎయిర్ ఫోర్స్ బేస్ వద్ద 97 వ బాంబు సమూహానికి బదిలీ చేయబడింది. 25 మే 1949 న, 44-27299 నావిగేషన్ శిక్షణా మిషన్‌కు కేటాయించబడింది. టేకాఫ్ చేసిన కొద్దిసేపటికే కుడి అవుట్‌బోర్డ్ ఇంజిన్‌లో ఇంజిన్ అగ్నిప్రమాదం జరిగింది, ఫలితంగా సిబ్బంది బెయిలౌట్ వచ్చింది. కేటాయించిన నావిగేటర్ అతను విమానం నుండి నిష్క్రమించినప్పుడు ముక్కు ల్యాండింగ్ గేర్‌ను నడుపుతున్న యంత్రాలపై తల కొట్టింది మరియు అతని పారాచూట్ మోహరించనప్పుడు చంపబడ్డాడు. ఎల్ పాసోకు ఈశాన్యంగా 35 మైళ్ళ దూరం క్రాష్ అయ్యే ముందు పైలట్‌లెస్ నెక్స్ట్ ఆబ్జెక్టివ్ రెండు-మైళ్ల కక్ష్యలో ప్రదక్షిణలు చేసింది, ఇక్కడ అది ప్రభావంపై పేలింది. USAF 509 వ బాంబ్ వింగ్ యొక్క రెండు FB-111A వ్యూహాత్మక బాంబర్లు, సీరియల్స్ 68-0257 మరియు 68-0284, వారి నోస్‌వీల్ తలుపులపై తదుపరి లక్ష్యాన్ని కలిగి ఉన్నాయి, మరియు 68-0257 B-29 ముక్కు కళను కలిగి ఉంది, పీస్ ఎయిర్ ఫోర్స్ వద్ద ఉంది బేస్, న్యూ హాంప్‌షైర్, 1970 మరియు 1980 లలో.</v>
      </c>
      <c r="G136" s="1" t="str">
        <f>IFERROR(__xludf.DUMMYFUNCTION("GOOGLETRANSLATE(F:F, ""en"", ""te"")"),"#VALUE!")</f>
        <v>#VALUE!</v>
      </c>
      <c r="I136" s="1" t="s">
        <v>1827</v>
      </c>
      <c r="J136" s="1" t="str">
        <f>IFERROR(__xludf.DUMMYFUNCTION("GOOGLETRANSLATE(I:I, ""en"", ""te"")"),"గ్లెన్ ఎల్. మార్టిన్ కంపెనీ")</f>
        <v>గ్లెన్ ఎల్. మార్టిన్ కంపెనీ</v>
      </c>
      <c r="K136" s="1" t="s">
        <v>1828</v>
      </c>
      <c r="M136" s="2"/>
      <c r="BW136" s="1" t="s">
        <v>2513</v>
      </c>
      <c r="BX136" s="1" t="s">
        <v>2514</v>
      </c>
      <c r="CW136" s="1" t="s">
        <v>2515</v>
      </c>
      <c r="CX136" s="1" t="s">
        <v>2516</v>
      </c>
      <c r="CZ136" s="1" t="s">
        <v>2517</v>
      </c>
      <c r="DA136" s="1" t="s">
        <v>2518</v>
      </c>
      <c r="DD136" s="1" t="s">
        <v>2519</v>
      </c>
      <c r="DE136" s="1" t="s">
        <v>2520</v>
      </c>
      <c r="DF136" s="1" t="s">
        <v>2521</v>
      </c>
    </row>
    <row r="137">
      <c r="A137" s="1" t="s">
        <v>2522</v>
      </c>
      <c r="B137" s="1" t="str">
        <f>IFERROR(__xludf.DUMMYFUNCTION("GOOGLETRANSLATE(A:A, ""en"", ""te"")"),"మిలీనియం MH-1")</f>
        <v>మిలీనియం MH-1</v>
      </c>
      <c r="C137" s="1" t="s">
        <v>2523</v>
      </c>
      <c r="D137" s="2" t="str">
        <f>IFERROR(__xludf.DUMMYFUNCTION("GOOGLETRANSLATE(C:C, ""en"", ""te"")"),"మిలీనియం MH-1 అనేది ఒక అమెరికన్ హెలికాప్టర్, ఇది ఇప్పుడు ఉత్పత్తి విప్లవం మినీ -500 మరియు మిలీనియం హెలికాప్టర్ చేత ఉత్పత్తి చేయబడింది. ఈ విమానం ఇప్పటికే ఉన్న మినీ 500 ల యొక్క te త్సాహిక మార్పు కోసం మరియు మొదటి నుండి నిర్మించడానికి కొత్త కిట్‌గా కిట్‌ల శ్ర"&amp;"ేణిగా సరఫరా చేయబడుతుంది. [1] [2] MH-1 మొదట పాత మినీ -500 ఎయిర్‌ఫ్రేమ్‌లను అప్‌గ్రేడ్ చేయడానికి కిట్‌ల శ్రేణిగా అందించబడింది, ఇది యజమాని వాటిని MH-1 ప్రమాణాలకు సవరించడానికి అనుమతిస్తుంది. కిట్లలో 130 హెచ్‌పి (97 కిలోవాట్) యొక్క కొత్త యమహా ఇంజిన్ ఉంది, ఇది "&amp;"మినీ -500 యొక్క 64 హెచ్‌పి (48 కిలోవాట్ల) రోటాక్స్ 582 మరియు యమహా ఇంజిన్ కోసం కొత్త మౌంట్‌ను భర్తీ చేస్తుంది. మిగిలిన కిట్లు ప్రధాన ప్రసారం, తోక, మెయిన్ డ్రైవ్ మరియు క్లచ్ బాస్కెట్, రేడియేటర్ అభిమానులు మరియు రిలే మరియు రోటర్ హెడ్‌కు సవరణలను కలిగి ఉన్నాయి."&amp;" ఈ విమానం పూర్తి కిట్ నుండి కొత్తగా నిర్మించవచ్చు. ఈ రెండు సందర్భాల్లోనూ MH-1 US ప్రయోగాత్మక-te త్సాహిక-నిర్మిత నియమాలకు అనుగుణంగా ఉంటుంది. [1] [2] [3] MH-1 లో రెండు-బ్లేడెడ్ టెయిల్ రోటర్, విండ్‌షీల్డ్ మరియు స్కిడ్-టైప్ ల్యాండింగ్ గేర్‌తో ఒకే-సీటు పరివేష్"&amp;"టిత కాక్‌పిట్ ఉన్నాయి. దీని 19 అడుగుల (5.8 మీ) వ్యాసం రెండు-బ్లేడెడ్ రోటర్ 8 అంగుళాల (20.3 సెం.మీ) తీగను కలిగి ఉంది. ఈ విమానం ఖాళీ బరువు 600 ఎల్బి (272 కిలోలు) మరియు స్థూల బరువు 1,100 ఎల్బి (499 కిలోలు), ఇది 500 ఎల్బి (227 కిలోల) ఉపయోగకరమైన లోడ్ ఇస్తుంది."&amp;" [1] ఫెడరల్ ఏవియేషన్ అడ్మినిస్ట్రేషన్ MH-1 మార్పిడిని ప్రత్యేకమైన విమాన రకంగా ఆమోదించింది. [1] బేయర్ల్ నుండి డేటా [1] సాధారణ లక్షణాల పనితీరు")</f>
        <v>మిలీనియం MH-1 అనేది ఒక అమెరికన్ హెలికాప్టర్, ఇది ఇప్పుడు ఉత్పత్తి విప్లవం మినీ -500 మరియు మిలీనియం హెలికాప్టర్ చేత ఉత్పత్తి చేయబడింది. ఈ విమానం ఇప్పటికే ఉన్న మినీ 500 ల యొక్క te త్సాహిక మార్పు కోసం మరియు మొదటి నుండి నిర్మించడానికి కొత్త కిట్‌గా కిట్‌ల శ్రేణిగా సరఫరా చేయబడుతుంది. [1] [2] MH-1 మొదట పాత మినీ -500 ఎయిర్‌ఫ్రేమ్‌లను అప్‌గ్రేడ్ చేయడానికి కిట్‌ల శ్రేణిగా అందించబడింది, ఇది యజమాని వాటిని MH-1 ప్రమాణాలకు సవరించడానికి అనుమతిస్తుంది. కిట్లలో 130 హెచ్‌పి (97 కిలోవాట్) యొక్క కొత్త యమహా ఇంజిన్ ఉంది, ఇది మినీ -500 యొక్క 64 హెచ్‌పి (48 కిలోవాట్ల) రోటాక్స్ 582 మరియు యమహా ఇంజిన్ కోసం కొత్త మౌంట్‌ను భర్తీ చేస్తుంది. మిగిలిన కిట్లు ప్రధాన ప్రసారం, తోక, మెయిన్ డ్రైవ్ మరియు క్లచ్ బాస్కెట్, రేడియేటర్ అభిమానులు మరియు రిలే మరియు రోటర్ హెడ్‌కు సవరణలను కలిగి ఉన్నాయి. ఈ విమానం పూర్తి కిట్ నుండి కొత్తగా నిర్మించవచ్చు. ఈ రెండు సందర్భాల్లోనూ MH-1 US ప్రయోగాత్మక-te త్సాహిక-నిర్మిత నియమాలకు అనుగుణంగా ఉంటుంది. [1] [2] [3] MH-1 లో రెండు-బ్లేడెడ్ టెయిల్ రోటర్, విండ్‌షీల్డ్ మరియు స్కిడ్-టైప్ ల్యాండింగ్ గేర్‌తో ఒకే-సీటు పరివేష్టిత కాక్‌పిట్ ఉన్నాయి. దీని 19 అడుగుల (5.8 మీ) వ్యాసం రెండు-బ్లేడెడ్ రోటర్ 8 అంగుళాల (20.3 సెం.మీ) తీగను కలిగి ఉంది. ఈ విమానం ఖాళీ బరువు 600 ఎల్బి (272 కిలోలు) మరియు స్థూల బరువు 1,100 ఎల్బి (499 కిలోలు), ఇది 500 ఎల్బి (227 కిలోల) ఉపయోగకరమైన లోడ్ ఇస్తుంది. [1] ఫెడరల్ ఏవియేషన్ అడ్మినిస్ట్రేషన్ MH-1 మార్పిడిని ప్రత్యేకమైన విమాన రకంగా ఆమోదించింది. [1] బేయర్ల్ నుండి డేటా [1] సాధారణ లక్షణాల పనితీరు</v>
      </c>
      <c r="F137" s="1" t="s">
        <v>2524</v>
      </c>
      <c r="G137" s="1" t="str">
        <f>IFERROR(__xludf.DUMMYFUNCTION("GOOGLETRANSLATE(F:F, ""en"", ""te"")"),"హెలికాప్టర్")</f>
        <v>హెలికాప్టర్</v>
      </c>
      <c r="H137" s="4" t="s">
        <v>2525</v>
      </c>
      <c r="I137" s="1" t="s">
        <v>2526</v>
      </c>
      <c r="J137" s="1" t="str">
        <f>IFERROR(__xludf.DUMMYFUNCTION("GOOGLETRANSLATE(I:I, ""en"", ""te"")"),"మిలీనియం హెలికాప్టర్")</f>
        <v>మిలీనియం హెలికాప్టర్</v>
      </c>
      <c r="K137" s="1" t="s">
        <v>2527</v>
      </c>
      <c r="M137" s="2"/>
      <c r="P137" s="1" t="s">
        <v>2528</v>
      </c>
      <c r="Q137" s="1" t="s">
        <v>2529</v>
      </c>
      <c r="R137" s="1" t="s">
        <v>222</v>
      </c>
      <c r="W137" s="1" t="s">
        <v>1008</v>
      </c>
      <c r="X137" s="1" t="s">
        <v>2530</v>
      </c>
      <c r="Z137" s="1" t="s">
        <v>2531</v>
      </c>
      <c r="AF137" s="1" t="s">
        <v>206</v>
      </c>
      <c r="AG137" s="4" t="s">
        <v>207</v>
      </c>
      <c r="AL137" s="1" t="s">
        <v>2532</v>
      </c>
      <c r="AS137" s="1" t="s">
        <v>2343</v>
      </c>
      <c r="BQ137" s="1" t="s">
        <v>2533</v>
      </c>
    </row>
    <row r="138">
      <c r="A138" s="1" t="s">
        <v>2534</v>
      </c>
      <c r="B138" s="1" t="str">
        <f>IFERROR(__xludf.DUMMYFUNCTION("GOOGLETRANSLATE(A:A, ""en"", ""te"")"),"మూనీ M10 క్యాడెట్")</f>
        <v>మూనీ M10 క్యాడెట్</v>
      </c>
      <c r="C138" s="1" t="s">
        <v>2535</v>
      </c>
      <c r="D138" s="2" t="str">
        <f>IFERROR(__xludf.DUMMYFUNCTION("GOOGLETRANSLATE(C:C, ""en"", ""te"")"),"మూనీ M10 క్యాడెట్ అనేది 1969 మరియు 1970 లో మూనీ ఎయిర్క్రాఫ్ట్ కంపెనీ చేత తయారు చేయబడిన తేలికపాటి విమానం. M10 ERCO ఎర్కౌప్ నుండి తీసుకోబడింది, ఈ రకం ధృవపత్రాలు 1967 లో మూనీ నుండి కొనుగోలు చేశాయి. [1] M10 అలోన్ A2-A కి సమానంగా ఉంటుంది, మరియు మూనీ యొక్క ఉత్ప"&amp;"త్తి శ్రేణిని మార్చడానికి ముందు 1968 లో కెర్విల్లేలో ""మూనీ A2-AS"" యొక్క కొన్ని నిర్మించబడ్డాయి. [3] FAA టైప్ సర్టిఫికేట్ డేటా షీట్ ప్రకారం, [4] ""మోడల్ 10 మోడల్ A2-A కి సమానంగా ఉంటుంది, కొత్త డిజైన్ ఎంపెనేజ్, ఐలెరాన్స్ మరియు ఇంధన ట్యాంక్ వెంట్ మినహా."" "&amp;"చాలా స్పష్టమైన వ్యత్యాసం ఏమిటంటే, M10 ఐకానిక్ ఎర్కౌప్-శైలి డ్యూయల్ లంబ స్టెబిలైజర్‌ను విమానం స్పిన్ చేయడానికి అనుమతించడానికి రూపొందించిన తోకతో భర్తీ చేస్తుంది. A2-A యొక్క తోకను భర్తీ చేయడంతో పాటు, ఐలెరాన్‌లలో మార్పులు, M10 ని శిక్షకుడిగా మార్కెట్ చేయాలనే "&amp;"మూనీ యొక్క ఉద్దేశంతో ప్రేరేపించబడ్డాయి: స్పిన్‌నెబుల్ కాని విమానంలో విద్యార్థి పైలట్లు శిక్షణ పొందుతున్నారు, ఎర్కౌప్ ఉన్నట్లుగా, FAA పైలట్ సర్టిఫికెట్లు జారీ చేయబడ్డాయి. వారు ""స్పిన్నింగ్ యొక్క లక్షణంగా అసమర్థంగా ఉండే"" విమానాలను మాత్రమే ఎగురుతున్న పరిమి"&amp;"తి; అందువల్ల A2-A ను సాధారణ-ప్రయోజన శిక్షకుడిగా మార్చడానికి స్పిన్ చేయగల తోక అవసరం. వారు తోకను భర్తీ చేస్తున్నందున, మూనీ యొక్క ఇంజనీర్లు M20 సిరీస్ యొక్క ""వెనుకబడిన"" ప్రొఫైల్ లక్షణాన్ని ఇవ్వడానికి ఎంచుకున్నారు. M10 యొక్క ఎంపెనేజ్‌లో ""బిగ్ మూనీస్"" మాది"&amp;"రిగానే సిల్హౌట్ ఉన్నప్పటికీ, ఇది M20 యొక్క విధానాన్ని మార్చదు; క్యాడెట్ యొక్క తోక అనేది స్థిర క్షితిజ సమాంతర స్టెబిలైజర్, హింగ్డ్ ఎలివేటర్ మరియు ట్రిమ్ ట్యాబ్‌లతో కూడిన సాంప్రదాయిక రూపకల్పన. మూనీ ఎం 10 తో సహా అన్ని ఎర్కౌప్ వేరియంట్‌లను కవర్ చేసే రెండు రకం"&amp;" ధృవపత్రాలు ప్రస్తుతం యుఎస్‌ఎలోని అరోరాలో యూనివైర్ ఎయిర్‌క్రాఫ్ట్ కార్పొరేషన్ యాజమాన్యంలో ఉన్నాయి. జేన్ యొక్క అన్ని ప్రపంచ విమానాల నుండి డేటా 1969-70 [5] సాధారణ లక్షణాల పనితీరు")</f>
        <v>మూనీ M10 క్యాడెట్ అనేది 1969 మరియు 1970 లో మూనీ ఎయిర్క్రాఫ్ట్ కంపెనీ చేత తయారు చేయబడిన తేలికపాటి విమానం. M10 ERCO ఎర్కౌప్ నుండి తీసుకోబడింది, ఈ రకం ధృవపత్రాలు 1967 లో మూనీ నుండి కొనుగోలు చేశాయి. [1] M10 అలోన్ A2-A కి సమానంగా ఉంటుంది, మరియు మూనీ యొక్క ఉత్పత్తి శ్రేణిని మార్చడానికి ముందు 1968 లో కెర్విల్లేలో "మూనీ A2-AS" యొక్క కొన్ని నిర్మించబడ్డాయి. [3] FAA టైప్ సర్టిఫికేట్ డేటా షీట్ ప్రకారం, [4] "మోడల్ 10 మోడల్ A2-A కి సమానంగా ఉంటుంది, కొత్త డిజైన్ ఎంపెనేజ్, ఐలెరాన్స్ మరియు ఇంధన ట్యాంక్ వెంట్ మినహా." చాలా స్పష్టమైన వ్యత్యాసం ఏమిటంటే, M10 ఐకానిక్ ఎర్కౌప్-శైలి డ్యూయల్ లంబ స్టెబిలైజర్‌ను విమానం స్పిన్ చేయడానికి అనుమతించడానికి రూపొందించిన తోకతో భర్తీ చేస్తుంది. A2-A యొక్క తోకను భర్తీ చేయడంతో పాటు, ఐలెరాన్‌లలో మార్పులు, M10 ని శిక్షకుడిగా మార్కెట్ చేయాలనే మూనీ యొక్క ఉద్దేశంతో ప్రేరేపించబడ్డాయి: స్పిన్‌నెబుల్ కాని విమానంలో విద్యార్థి పైలట్లు శిక్షణ పొందుతున్నారు, ఎర్కౌప్ ఉన్నట్లుగా, FAA పైలట్ సర్టిఫికెట్లు జారీ చేయబడ్డాయి. వారు "స్పిన్నింగ్ యొక్క లక్షణంగా అసమర్థంగా ఉండే" విమానాలను మాత్రమే ఎగురుతున్న పరిమితి; అందువల్ల A2-A ను సాధారణ-ప్రయోజన శిక్షకుడిగా మార్చడానికి స్పిన్ చేయగల తోక అవసరం. వారు తోకను భర్తీ చేస్తున్నందున, మూనీ యొక్క ఇంజనీర్లు M20 సిరీస్ యొక్క "వెనుకబడిన" ప్రొఫైల్ లక్షణాన్ని ఇవ్వడానికి ఎంచుకున్నారు. M10 యొక్క ఎంపెనేజ్‌లో "బిగ్ మూనీస్" మాదిరిగానే సిల్హౌట్ ఉన్నప్పటికీ, ఇది M20 యొక్క విధానాన్ని మార్చదు; క్యాడెట్ యొక్క తోక అనేది స్థిర క్షితిజ సమాంతర స్టెబిలైజర్, హింగ్డ్ ఎలివేటర్ మరియు ట్రిమ్ ట్యాబ్‌లతో కూడిన సాంప్రదాయిక రూపకల్పన. మూనీ ఎం 10 తో సహా అన్ని ఎర్కౌప్ వేరియంట్‌లను కవర్ చేసే రెండు రకం ధృవపత్రాలు ప్రస్తుతం యుఎస్‌ఎలోని అరోరాలో యూనివైర్ ఎయిర్‌క్రాఫ్ట్ కార్పొరేషన్ యాజమాన్యంలో ఉన్నాయి. జేన్ యొక్క అన్ని ప్రపంచ విమానాల నుండి డేటా 1969-70 [5] సాధారణ లక్షణాల పనితీరు</v>
      </c>
      <c r="E138" s="1" t="s">
        <v>2536</v>
      </c>
      <c r="F138" s="1" t="s">
        <v>2537</v>
      </c>
      <c r="G138" s="1" t="str">
        <f>IFERROR(__xludf.DUMMYFUNCTION("GOOGLETRANSLATE(F:F, ""en"", ""te"")"),"సింగిల్-ఇంజిన్ ట్రైనర్")</f>
        <v>సింగిల్-ఇంజిన్ ట్రైనర్</v>
      </c>
      <c r="I138" s="1" t="s">
        <v>2538</v>
      </c>
      <c r="J138" s="1" t="str">
        <f>IFERROR(__xludf.DUMMYFUNCTION("GOOGLETRANSLATE(I:I, ""en"", ""te"")"),"మూనీ")</f>
        <v>మూనీ</v>
      </c>
      <c r="K138" s="4" t="s">
        <v>2539</v>
      </c>
      <c r="L138" s="1" t="s">
        <v>2538</v>
      </c>
      <c r="M138" s="2" t="str">
        <f>IFERROR(__xludf.DUMMYFUNCTION("GOOGLETRANSLATE(L:L, ""en"", ""te"")"),"మూనీ")</f>
        <v>మూనీ</v>
      </c>
      <c r="N138" s="4" t="s">
        <v>2539</v>
      </c>
      <c r="O138" s="1" t="s">
        <v>2540</v>
      </c>
      <c r="P138" s="1" t="s">
        <v>2541</v>
      </c>
      <c r="Q138" s="1" t="s">
        <v>2542</v>
      </c>
      <c r="R138" s="1" t="s">
        <v>1138</v>
      </c>
      <c r="T138" s="1" t="s">
        <v>2334</v>
      </c>
      <c r="U138" s="1" t="s">
        <v>427</v>
      </c>
      <c r="V138" s="1" t="s">
        <v>2543</v>
      </c>
      <c r="W138" s="1" t="s">
        <v>2397</v>
      </c>
      <c r="Y138" s="1" t="s">
        <v>2544</v>
      </c>
      <c r="Z138" s="1" t="s">
        <v>2545</v>
      </c>
      <c r="AB138" s="1" t="s">
        <v>2546</v>
      </c>
      <c r="AC138" s="1" t="s">
        <v>2547</v>
      </c>
      <c r="AD138" s="1" t="s">
        <v>2548</v>
      </c>
      <c r="AI138" s="1" t="s">
        <v>2549</v>
      </c>
      <c r="AJ138" s="1" t="s">
        <v>2550</v>
      </c>
      <c r="AK138" s="1" t="s">
        <v>2551</v>
      </c>
      <c r="AL138" s="1" t="s">
        <v>2552</v>
      </c>
      <c r="AM138" s="1" t="s">
        <v>2553</v>
      </c>
      <c r="AN138" s="1" t="s">
        <v>1998</v>
      </c>
      <c r="AO138" s="1" t="s">
        <v>2554</v>
      </c>
      <c r="AR138" s="1" t="s">
        <v>2555</v>
      </c>
      <c r="BE138" s="1">
        <v>6.31</v>
      </c>
    </row>
    <row r="139">
      <c r="A139" s="1" t="s">
        <v>2556</v>
      </c>
      <c r="B139" s="1" t="str">
        <f>IFERROR(__xludf.DUMMYFUNCTION("GOOGLETRANSLATE(A:A, ""en"", ""te"")"),"మొరాన్-సాల్నియర్ i")</f>
        <v>మొరాన్-సాల్నియర్ i</v>
      </c>
      <c r="C139" s="1" t="s">
        <v>2557</v>
      </c>
      <c r="D139" s="2" t="str">
        <f>IFERROR(__xludf.DUMMYFUNCTION("GOOGLETRANSLATE(C:C, ""en"", ""te"")"),"మొరాన్-సాల్నియర్ I, మొరాన్-సాల్నియర్ టైప్ I అని కూడా పిలుస్తారు, ఇది 1910 లలో ఫ్రెంచ్ ఫైటర్. తప్పనిసరిగా సవరించిన మొరాన్-సాల్నియర్ ఎన్, రాయల్ ఫ్లయింగ్ కార్ప్స్ మొదటి ప్రపంచ యుద్ధంలో చాలా మందిని కలిగి ఉన్నారు. లార్డ్ ట్రెంచార్డ్ సలహా మేరకు, రాయల్ ఫ్లయింగ్ "&amp;"కార్ప్స్ 1916 లో జనాదరణ పొందిన మొరాన్-సాల్నియర్ యొక్క మరింత శక్తివంతమైన సంస్కరణ కోసం ఒక ఉత్తర్వును ఉంచారు. ఎన్. మొరాన్-సాల్నియర్ 110 హెచ్‌పి లే రోన్ ఇంజిన్‌ను ఒక రకం ఎన్ కు అమర్చడం ద్వారా స్పందిస్తూ, వారు టైప్ I అని పిలిచే వాటిని సృష్టించారు. ఒక ఆర్డర్ మొ"&amp;"దట్లో ఒక విమానానికి ఉంచబడింది, మార్చి 1916 నాటికి పదమూడుకు విస్తరించింది. అయినప్పటికీ, నాలుగు విమానాలు మాత్రమే ఎప్పుడూ ఉన్నాయి జూలై 1916 నాటికి RFC కి పంపిణీ చేయబడింది, ఈ విమానం ఆ సంవత్సరం మార్చిలో RFC ట్రయల్స్ కింద మొట్టమొదట ఎగిరింది. మోరనే-సాల్నియర్ V మ"&amp;"రింత అనుకూలమైన లక్షణాలను కలిగి ఉన్నందున తదుపరి ఉత్పత్తి జరగలేదు. ఏదేమైనా, ఈ రకాన్ని ముందు భాగంలో పోరాట విమానాలు మరియు అక్టోబర్ 1916 నాటికి ఉపయోగించారు. రాయల్ ఫ్లయింగ్ కార్ప్స్ (మిలిటరీ వింగ్) యొక్క విమానాల నుండి డేటా [1] సాధారణ లక్షణాలు పనితీరు ఆయుధాలు")</f>
        <v>మొరాన్-సాల్నియర్ I, మొరాన్-సాల్నియర్ టైప్ I అని కూడా పిలుస్తారు, ఇది 1910 లలో ఫ్రెంచ్ ఫైటర్. తప్పనిసరిగా సవరించిన మొరాన్-సాల్నియర్ ఎన్, రాయల్ ఫ్లయింగ్ కార్ప్స్ మొదటి ప్రపంచ యుద్ధంలో చాలా మందిని కలిగి ఉన్నారు. లార్డ్ ట్రెంచార్డ్ సలహా మేరకు, రాయల్ ఫ్లయింగ్ కార్ప్స్ 1916 లో జనాదరణ పొందిన మొరాన్-సాల్నియర్ యొక్క మరింత శక్తివంతమైన సంస్కరణ కోసం ఒక ఉత్తర్వును ఉంచారు. ఎన్. మొరాన్-సాల్నియర్ 110 హెచ్‌పి లే రోన్ ఇంజిన్‌ను ఒక రకం ఎన్ కు అమర్చడం ద్వారా స్పందిస్తూ, వారు టైప్ I అని పిలిచే వాటిని సృష్టించారు. ఒక ఆర్డర్ మొదట్లో ఒక విమానానికి ఉంచబడింది, మార్చి 1916 నాటికి పదమూడుకు విస్తరించింది. అయినప్పటికీ, నాలుగు విమానాలు మాత్రమే ఎప్పుడూ ఉన్నాయి జూలై 1916 నాటికి RFC కి పంపిణీ చేయబడింది, ఈ విమానం ఆ సంవత్సరం మార్చిలో RFC ట్రయల్స్ కింద మొట్టమొదట ఎగిరింది. మోరనే-సాల్నియర్ V మరింత అనుకూలమైన లక్షణాలను కలిగి ఉన్నందున తదుపరి ఉత్పత్తి జరగలేదు. ఏదేమైనా, ఈ రకాన్ని ముందు భాగంలో పోరాట విమానాలు మరియు అక్టోబర్ 1916 నాటికి ఉపయోగించారు. రాయల్ ఫ్లయింగ్ కార్ప్స్ (మిలిటరీ వింగ్) యొక్క విమానాల నుండి డేటా [1] సాధారణ లక్షణాలు పనితీరు ఆయుధాలు</v>
      </c>
      <c r="F139" s="1" t="s">
        <v>1948</v>
      </c>
      <c r="G139" s="1" t="str">
        <f>IFERROR(__xludf.DUMMYFUNCTION("GOOGLETRANSLATE(F:F, ""en"", ""te"")"),"యుద్ధ")</f>
        <v>యుద్ధ</v>
      </c>
      <c r="I139" s="1" t="s">
        <v>2558</v>
      </c>
      <c r="J139" s="1" t="str">
        <f>IFERROR(__xludf.DUMMYFUNCTION("GOOGLETRANSLATE(I:I, ""en"", ""te"")"),"మొరాన్-సాల్నియర్")</f>
        <v>మొరాన్-సాల్నియర్</v>
      </c>
      <c r="K139" s="4" t="s">
        <v>2559</v>
      </c>
      <c r="M139" s="2"/>
      <c r="O139" s="1">
        <v>4.0</v>
      </c>
      <c r="P139" s="1" t="s">
        <v>2560</v>
      </c>
      <c r="Q139" s="1" t="s">
        <v>2561</v>
      </c>
      <c r="R139" s="1">
        <v>1.0</v>
      </c>
      <c r="T139" s="1" t="s">
        <v>2562</v>
      </c>
      <c r="U139" s="1" t="s">
        <v>2563</v>
      </c>
      <c r="V139" s="1" t="s">
        <v>2564</v>
      </c>
      <c r="W139" s="1" t="s">
        <v>2565</v>
      </c>
      <c r="X139" s="1" t="s">
        <v>718</v>
      </c>
      <c r="Z139" s="1" t="s">
        <v>2566</v>
      </c>
      <c r="AF139" s="1" t="s">
        <v>465</v>
      </c>
      <c r="AH139" s="1" t="s">
        <v>261</v>
      </c>
      <c r="AI139" s="1" t="s">
        <v>1582</v>
      </c>
      <c r="AL139" s="1" t="s">
        <v>2567</v>
      </c>
      <c r="AN139" s="1" t="s">
        <v>2568</v>
      </c>
      <c r="AO139" s="6">
        <v>5905.0</v>
      </c>
      <c r="AP139" s="1" t="s">
        <v>655</v>
      </c>
      <c r="AQ139" s="1" t="s">
        <v>656</v>
      </c>
      <c r="AV139" s="1" t="s">
        <v>2569</v>
      </c>
    </row>
    <row r="140">
      <c r="A140" s="1" t="s">
        <v>2570</v>
      </c>
      <c r="B140" s="1" t="str">
        <f>IFERROR(__xludf.DUMMYFUNCTION("GOOGLETRANSLATE(A:A, ""en"", ""te"")"),"నా గాల్ సాల్ (విమానం)")</f>
        <v>నా గాల్ సాల్ (విమానం)</v>
      </c>
      <c r="C140" s="1" t="s">
        <v>2571</v>
      </c>
      <c r="D140" s="2" t="str">
        <f>IFERROR(__xludf.DUMMYFUNCTION("GOOGLETRANSLATE(C:C, ""en"", ""te"")"),"నా గాల్ సాల్ B-17E-BO ఫ్లయింగ్ కోట, దీని పైలట్ రెండవ ప్రపంచ యుద్ధంలో గ్రీన్లాండ్ ఐస్‌క్యాప్‌లో ల్యాండ్ చేయవలసి వచ్చింది. చాలా సంవత్సరాల తరువాత, దీనిని తిరిగి పొందారు మరియు పునరుద్ధరించడానికి యుఎస్ వద్దకు తీసుకువెళ్లారు. ఇది ఉనికిలో ఉన్న మూడు చెక్కుచెదరకుం"&amp;"డా ఉన్న B-17 లలో ఒకటి. 27 జూన్ 1942 న, బి -17 ఇ, 41-9032-97 వ బాంబ్ గ్రూప్ యొక్క 342 వ బాంబ్ స్క్వాడ్రన్లో భాగం-13 బి -17 లలో ఒకటి, లాబ్రడార్-టు-గ్రీన్లాండ్ కాలును యునైటెడ్ కింగ్‌డమ్‌కు ఫెర్రీ ఫ్లైట్ యొక్క భాగంగా ఎగురుతుంది. ఆపరేషన్ బొలెరో, ఐరోపాలో సైనిక "&amp;"నిర్మాణం. ప్రతికూల వాతావరణం విమానాన్ని విచ్ఛిన్నం చేసింది; ఐదు బి -17 లు లాబ్రడార్‌కు తిరిగి వచ్చాయి, మిగిలినవి గ్రీన్‌ల్యాండ్‌కు కొనసాగాయి. గ్రీన్లాండ్ మీదుగా విమానాలు మూడు నా గాల్ సాల్ తో సహా వాతావరణం ద్వారా దిగవలసి వచ్చింది. [1] ల్యాండింగ్ వల్ల విమానం "&amp;"యొక్క ప్రొపెల్లర్లు దెబ్బతిన్నాయి, ఇది రేడియోను ఉపయోగించడానికి అవసరమైన శక్తిని ఉత్పత్తి చేయడానికి ఇంజిన్లను పరుగులు చేయకుండా ఉంచింది. ఇది ఒక రోజు మొత్తం పట్టింది, కాని సిబ్బంది ప్రొపెల్లర్లలో ఒకరి చిట్కాలను కత్తిరించారు, తద్వారా ఇంజిన్ అమలు చేయవచ్చు మరియు"&amp;" వారు పరిచయం చేసుకోగలిగారు. రెస్క్యూ విమానం వచ్చే వరకు విమానం సిబ్బంది తొమ్మిది రోజులు బి -17 లో క్యాంప్ చేశారు. వారు 26 మైళ్ళ దూరంలో ఒక సరస్సుకి పెరగవలసి వచ్చింది, అక్కడ రెస్క్యూ విమానం దిగగలిగింది. [2] ఈ విమానం వదిలివేయబడింది, USAF నిఘా విమానం 1964 లో ఓ"&amp;"వర్‌ఫ్లైట్ వరకు మళ్లీ చూడకూడదు. ఆ సమయంలో, నా గాల్ సాల్ చెక్కుచెదరకుండా కనిపించింది. ముప్పై ఒక్క సంవత్సరాల తరువాత, నా గాల్ సాల్ మంచు నుండి తిరిగి పొందబడింది, అయినప్పటికీ అధిక గాలులు మరియు వదలిపెట్టిన 53 సంవత్సరాలలో మంచు కదలిక ఎయిర్ఫ్రేమ్‌ను దెబ్బతీసింది, మ"&amp;"ిగిలిన విమానాల నుండి ఫ్యూజ్‌లేజ్ యొక్క తోక విభాగాన్ని వేరు చేసి, అదనపు కారణమైంది అంతటా నష్టం. ఈ విమానం సిన్సినాటి-బ్లూ యాష్ విమానాశ్రయం (ఐకావో హోదా: ​​కిస్జ్) వద్ద సిన్సినాటి [3] లోని స్టాటిక్ కాన్ఫిగరేషన్‌కు పునరుద్ధరించబడింది మరియు ఇప్పుడు లూసియానాలోని "&amp;"న్యూ ఓర్లీన్స్‌లోని నేషనల్ వార్ II మ్యూజియం సేకరణలో భాగం. జూలై 15, 1942 న, 1 వ ఫైటర్ గ్రూప్ యొక్క ఆరు పి -38 ఎఫ్లు మరియు వారి బి -17 ఎస్కార్ట్ కూడా ఐస్లాండ్కు వెళ్లడానికి విఫలమైన తరువాత ప్రతికూల వాతావరణం ద్వారా గ్రీన్లాండ్ ఐస్కేప్ మీద బలవంతం చేయబడ్డాయి. ప"&amp;"ి -38 లలో ఒకటి తిరిగి పొందబడింది మరియు హిమానీనదం అమ్మాయిగా పునరుద్ధరించబడింది.")</f>
        <v>నా గాల్ సాల్ B-17E-BO ఫ్లయింగ్ కోట, దీని పైలట్ రెండవ ప్రపంచ యుద్ధంలో గ్రీన్లాండ్ ఐస్‌క్యాప్‌లో ల్యాండ్ చేయవలసి వచ్చింది. చాలా సంవత్సరాల తరువాత, దీనిని తిరిగి పొందారు మరియు పునరుద్ధరించడానికి యుఎస్ వద్దకు తీసుకువెళ్లారు. ఇది ఉనికిలో ఉన్న మూడు చెక్కుచెదరకుండా ఉన్న B-17 లలో ఒకటి. 27 జూన్ 1942 న, బి -17 ఇ, 41-9032-97 వ బాంబ్ గ్రూప్ యొక్క 342 వ బాంబ్ స్క్వాడ్రన్లో భాగం-13 బి -17 లలో ఒకటి, లాబ్రడార్-టు-గ్రీన్లాండ్ కాలును యునైటెడ్ కింగ్‌డమ్‌కు ఫెర్రీ ఫ్లైట్ యొక్క భాగంగా ఎగురుతుంది. ఆపరేషన్ బొలెరో, ఐరోపాలో సైనిక నిర్మాణం. ప్రతికూల వాతావరణం విమానాన్ని విచ్ఛిన్నం చేసింది; ఐదు బి -17 లు లాబ్రడార్‌కు తిరిగి వచ్చాయి, మిగిలినవి గ్రీన్‌ల్యాండ్‌కు కొనసాగాయి. గ్రీన్లాండ్ మీదుగా విమానాలు మూడు నా గాల్ సాల్ తో సహా వాతావరణం ద్వారా దిగవలసి వచ్చింది. [1] ల్యాండింగ్ వల్ల విమానం యొక్క ప్రొపెల్లర్లు దెబ్బతిన్నాయి, ఇది రేడియోను ఉపయోగించడానికి అవసరమైన శక్తిని ఉత్పత్తి చేయడానికి ఇంజిన్లను పరుగులు చేయకుండా ఉంచింది. ఇది ఒక రోజు మొత్తం పట్టింది, కాని సిబ్బంది ప్రొపెల్లర్లలో ఒకరి చిట్కాలను కత్తిరించారు, తద్వారా ఇంజిన్ అమలు చేయవచ్చు మరియు వారు పరిచయం చేసుకోగలిగారు. రెస్క్యూ విమానం వచ్చే వరకు విమానం సిబ్బంది తొమ్మిది రోజులు బి -17 లో క్యాంప్ చేశారు. వారు 26 మైళ్ళ దూరంలో ఒక సరస్సుకి పెరగవలసి వచ్చింది, అక్కడ రెస్క్యూ విమానం దిగగలిగింది. [2] ఈ విమానం వదిలివేయబడింది, USAF నిఘా విమానం 1964 లో ఓవర్‌ఫ్లైట్ వరకు మళ్లీ చూడకూడదు. ఆ సమయంలో, నా గాల్ సాల్ చెక్కుచెదరకుండా కనిపించింది. ముప్పై ఒక్క సంవత్సరాల తరువాత, నా గాల్ సాల్ మంచు నుండి తిరిగి పొందబడింది, అయినప్పటికీ అధిక గాలులు మరియు వదలిపెట్టిన 53 సంవత్సరాలలో మంచు కదలిక ఎయిర్ఫ్రేమ్‌ను దెబ్బతీసింది, మిగిలిన విమానాల నుండి ఫ్యూజ్‌లేజ్ యొక్క తోక విభాగాన్ని వేరు చేసి, అదనపు కారణమైంది అంతటా నష్టం. ఈ విమానం సిన్సినాటి-బ్లూ యాష్ విమానాశ్రయం (ఐకావో హోదా: ​​కిస్జ్) వద్ద సిన్సినాటి [3] లోని స్టాటిక్ కాన్ఫిగరేషన్‌కు పునరుద్ధరించబడింది మరియు ఇప్పుడు లూసియానాలోని న్యూ ఓర్లీన్స్‌లోని నేషనల్ వార్ II మ్యూజియం సేకరణలో భాగం. జూలై 15, 1942 న, 1 వ ఫైటర్ గ్రూప్ యొక్క ఆరు పి -38 ఎఫ్లు మరియు వారి బి -17 ఎస్కార్ట్ కూడా ఐస్లాండ్కు వెళ్లడానికి విఫలమైన తరువాత ప్రతికూల వాతావరణం ద్వారా గ్రీన్లాండ్ ఐస్కేప్ మీద బలవంతం చేయబడ్డాయి. పి -38 లలో ఒకటి తిరిగి పొందబడింది మరియు హిమానీనదం అమ్మాయిగా పునరుద్ధరించబడింది.</v>
      </c>
      <c r="E140" s="1" t="s">
        <v>2572</v>
      </c>
      <c r="G140" s="1" t="str">
        <f>IFERROR(__xludf.DUMMYFUNCTION("GOOGLETRANSLATE(F:F, ""en"", ""te"")"),"#VALUE!")</f>
        <v>#VALUE!</v>
      </c>
      <c r="I140" s="1" t="s">
        <v>985</v>
      </c>
      <c r="J140" s="1" t="str">
        <f>IFERROR(__xludf.DUMMYFUNCTION("GOOGLETRANSLATE(I:I, ""en"", ""te"")"),"బోయింగ్")</f>
        <v>బోయింగ్</v>
      </c>
      <c r="K140" s="4" t="s">
        <v>986</v>
      </c>
      <c r="M140" s="2"/>
      <c r="CW140" s="1" t="s">
        <v>2573</v>
      </c>
      <c r="CX140" s="1" t="s">
        <v>2574</v>
      </c>
      <c r="DG140" s="1" t="s">
        <v>2575</v>
      </c>
      <c r="DH140" s="1" t="s">
        <v>2576</v>
      </c>
    </row>
    <row r="141">
      <c r="A141" s="1" t="s">
        <v>2577</v>
      </c>
      <c r="B141" s="1" t="str">
        <f>IFERROR(__xludf.DUMMYFUNCTION("GOOGLETRANSLATE(A:A, ""en"", ""te"")"),"మైస్కీ ఎంఎస్ వన్")</f>
        <v>మైస్కీ ఎంఎస్ వన్</v>
      </c>
      <c r="C141" s="1" t="s">
        <v>2578</v>
      </c>
      <c r="D141" s="2" t="str">
        <f>IFERROR(__xludf.DUMMYFUNCTION("GOOGLETRANSLATE(C:C, ""en"", ""te"")"),"మైస్కీ ఎంఎస్ వన్ అనేది ఒక అమెరికన్ లైట్-స్పోర్ట్ విమానం, ఇది ఫ్లోరిడాలోని పోర్ట్ ఆరెంజ్ యొక్క మైస్కీ విమానం రూపొందించింది మరియు నిర్మించింది. ఈ విమానం 2009 లో ఎయిర్‌వెంచర్‌లో ప్రవేశపెట్టబడింది. MS వన్ పూర్తి రెడీ-టు-ఫ్లై-విమానయానంగా సరఫరా చేయబడింది. [1] ["&amp;"2] ఈ విమానం యుఎస్ లైట్-స్పోర్ట్ ఎయిర్క్రాఫ్ట్ నిబంధనలను పాటించేలా రూపొందించబడింది. ఇది కాంటిలివర్ లో-వింగ్, బబుల్ పందిరి కింద రెండు-సీట్ల-టెన్డం పరివేష్టిత కాక్‌పిట్, స్థిర ట్రైసైకిల్ ల్యాండింగ్ గేర్ మరియు ట్రాక్టర్ కాన్ఫిగరేషన్‌లో ఒకే ఇంజిన్ కలిగి ఉంది. "&amp;"[1] [2] MS వన్ మిశ్రమాల నుండి తయారవుతుంది. దీని 30 అడుగుల (9.1 మీ) స్పాన్ వింగ్‌లో 125 చదరపు అడుగులు (11.6 మీ 2) మరియు ఫ్లాప్‌లు ఉన్నాయి. అందుబాటులో ఉన్న ప్రామాణిక ఇంజిన్ 120 హెచ్‌పి (89 కిలోవాట్) జబీరు 3300 ఫోర్-స్ట్రోక్ పవర్‌ప్లాంట్, అయితే 250 హెచ్‌పి ("&amp;"186 కిలోవాట్) వరకు ఇంజన్లు అమర్చవచ్చు. ఎయిర్ఫ్రేమ్ +/- 10g కోసం ఇంజనీరింగ్ చేయబడింది. [1] [2] అసలు ఉద్దేశ్యం 2010 లో డిజైన్‌ను అంగీకరించబడిన ఎల్‌ఎస్‌ఏగా కలిగి ఉండటమే, కాని ఆర్థిక పరిస్థితుల ద్వారా ప్రణాళికలు ఆలస్యం అయ్యాయి. [2] ఫిబ్రవరి 2017 నాటికి, ఫెడరల"&amp;"్ ఏవియేషన్ అడ్మినిస్ట్రేషన్ యొక్క ఆమోదించబడిన ప్రత్యేక లైట్-స్పోర్ట్ విమానాల జాబితాలో డిజైన్ కనిపించదు. [3] బేయర్ల్ నుండి డేటా [1] సాధారణ లక్షణాల పనితీరు")</f>
        <v>మైస్కీ ఎంఎస్ వన్ అనేది ఒక అమెరికన్ లైట్-స్పోర్ట్ విమానం, ఇది ఫ్లోరిడాలోని పోర్ట్ ఆరెంజ్ యొక్క మైస్కీ విమానం రూపొందించింది మరియు నిర్మించింది. ఈ విమానం 2009 లో ఎయిర్‌వెంచర్‌లో ప్రవేశపెట్టబడింది. MS వన్ పూర్తి రెడీ-టు-ఫ్లై-విమానయానంగా సరఫరా చేయబడింది. [1] [2] ఈ విమానం యుఎస్ లైట్-స్పోర్ట్ ఎయిర్క్రాఫ్ట్ నిబంధనలను పాటించేలా రూపొందించబడింది. ఇది కాంటిలివర్ లో-వింగ్, బబుల్ పందిరి కింద రెండు-సీట్ల-టెన్డం పరివేష్టిత కాక్‌పిట్, స్థిర ట్రైసైకిల్ ల్యాండింగ్ గేర్ మరియు ట్రాక్టర్ కాన్ఫిగరేషన్‌లో ఒకే ఇంజిన్ కలిగి ఉంది. [1] [2] MS వన్ మిశ్రమాల నుండి తయారవుతుంది. దీని 30 అడుగుల (9.1 మీ) స్పాన్ వింగ్‌లో 125 చదరపు అడుగులు (11.6 మీ 2) మరియు ఫ్లాప్‌లు ఉన్నాయి. అందుబాటులో ఉన్న ప్రామాణిక ఇంజిన్ 120 హెచ్‌పి (89 కిలోవాట్) జబీరు 3300 ఫోర్-స్ట్రోక్ పవర్‌ప్లాంట్, అయితే 250 హెచ్‌పి (186 కిలోవాట్) వరకు ఇంజన్లు అమర్చవచ్చు. ఎయిర్ఫ్రేమ్ +/- 10g కోసం ఇంజనీరింగ్ చేయబడింది. [1] [2] అసలు ఉద్దేశ్యం 2010 లో డిజైన్‌ను అంగీకరించబడిన ఎల్‌ఎస్‌ఏగా కలిగి ఉండటమే, కాని ఆర్థిక పరిస్థితుల ద్వారా ప్రణాళికలు ఆలస్యం అయ్యాయి. [2] ఫిబ్రవరి 2017 నాటికి, ఫెడరల్ ఏవియేషన్ అడ్మినిస్ట్రేషన్ యొక్క ఆమోదించబడిన ప్రత్యేక లైట్-స్పోర్ట్ విమానాల జాబితాలో డిజైన్ కనిపించదు. [3] బేయర్ల్ నుండి డేటా [1] సాధారణ లక్షణాల పనితీరు</v>
      </c>
      <c r="E141" s="1" t="s">
        <v>2579</v>
      </c>
      <c r="F141" s="1" t="s">
        <v>246</v>
      </c>
      <c r="G141" s="1" t="str">
        <f>IFERROR(__xludf.DUMMYFUNCTION("GOOGLETRANSLATE(F:F, ""en"", ""te"")"),"లైట్-స్పోర్ట్ విమానం")</f>
        <v>లైట్-స్పోర్ట్ విమానం</v>
      </c>
      <c r="H141" s="1" t="s">
        <v>247</v>
      </c>
      <c r="I141" s="1" t="s">
        <v>2580</v>
      </c>
      <c r="J141" s="1" t="str">
        <f>IFERROR(__xludf.DUMMYFUNCTION("GOOGLETRANSLATE(I:I, ""en"", ""te"")"),"మైస్కీ విమానం")</f>
        <v>మైస్కీ విమానం</v>
      </c>
      <c r="K141" s="1" t="s">
        <v>2581</v>
      </c>
      <c r="M141" s="2"/>
      <c r="R141" s="1" t="s">
        <v>222</v>
      </c>
      <c r="S141" s="1" t="s">
        <v>250</v>
      </c>
      <c r="U141" s="1" t="s">
        <v>427</v>
      </c>
      <c r="V141" s="1" t="s">
        <v>2582</v>
      </c>
      <c r="W141" s="1" t="s">
        <v>1753</v>
      </c>
      <c r="X141" s="1" t="s">
        <v>2583</v>
      </c>
      <c r="Z141" s="1" t="s">
        <v>2584</v>
      </c>
      <c r="AA141" s="1" t="s">
        <v>2585</v>
      </c>
      <c r="AB141" s="1" t="s">
        <v>2586</v>
      </c>
      <c r="AF141" s="1" t="s">
        <v>206</v>
      </c>
      <c r="AG141" s="4" t="s">
        <v>207</v>
      </c>
      <c r="AK141" s="1" t="s">
        <v>2587</v>
      </c>
      <c r="AL141" s="1" t="s">
        <v>2588</v>
      </c>
      <c r="AR141" s="1" t="s">
        <v>2589</v>
      </c>
      <c r="AS141" s="1" t="s">
        <v>339</v>
      </c>
      <c r="AU141" s="1" t="s">
        <v>2590</v>
      </c>
      <c r="AX141" s="1">
        <v>2009.0</v>
      </c>
    </row>
    <row r="142">
      <c r="A142" s="1" t="s">
        <v>2591</v>
      </c>
      <c r="B142" s="1" t="str">
        <f>IFERROR(__xludf.DUMMYFUNCTION("GOOGLETRANSLATE(A:A, ""en"", ""te"")"),"నావల్ ఎయిర్క్రాఫ్ట్ ఫ్యాక్టరీ N2N")</f>
        <v>నావల్ ఎయిర్క్రాఫ్ట్ ఫ్యాక్టరీ N2N</v>
      </c>
      <c r="C142" s="1" t="s">
        <v>2592</v>
      </c>
      <c r="D142" s="2" t="str">
        <f>IFERROR(__xludf.DUMMYFUNCTION("GOOGLETRANSLATE(C:C, ""en"", ""te"")"),"నావికాదళ విమాన కర్మాగారం N2N అనేది ఒక అమెరికన్ రెండు-సీట్ల ఓపెన్-కాక్‌పిట్ ప్రైమరీ ట్రైనింగ్ బైప్‌లేన్, ఇది నావికాదళ విమాన కర్మాగారం రూపొందించి నిర్మించబడింది. [1] N2N ను జంట-ఫ్లోట్లతో అమర్చవచ్చు మరియు 200 HP లారెన్స్ J-1 రేడియల్ ఇంజిన్‌తో శక్తినిస్తుంది,"&amp;" మూడు N2N-1 లు మాత్రమే నిర్మించబడ్డాయి. [2] [2] నుండి డేటా సాధారణ లక్షణాల పనితీరు సంబంధిత జాబితాలు")</f>
        <v>నావికాదళ విమాన కర్మాగారం N2N అనేది ఒక అమెరికన్ రెండు-సీట్ల ఓపెన్-కాక్‌పిట్ ప్రైమరీ ట్రైనింగ్ బైప్‌లేన్, ఇది నావికాదళ విమాన కర్మాగారం రూపొందించి నిర్మించబడింది. [1] N2N ను జంట-ఫ్లోట్లతో అమర్చవచ్చు మరియు 200 HP లారెన్స్ J-1 రేడియల్ ఇంజిన్‌తో శక్తినిస్తుంది, మూడు N2N-1 లు మాత్రమే నిర్మించబడ్డాయి. [2] [2] నుండి డేటా సాధారణ లక్షణాల పనితీరు సంబంధిత జాబితాలు</v>
      </c>
      <c r="E142" s="1" t="s">
        <v>2593</v>
      </c>
      <c r="F142" s="1" t="s">
        <v>421</v>
      </c>
      <c r="G142" s="1" t="str">
        <f>IFERROR(__xludf.DUMMYFUNCTION("GOOGLETRANSLATE(F:F, ""en"", ""te"")"),"శిక్షణ బిప్‌లేన్")</f>
        <v>శిక్షణ బిప్‌లేన్</v>
      </c>
      <c r="H142" s="1" t="s">
        <v>2594</v>
      </c>
      <c r="I142" s="1" t="s">
        <v>2595</v>
      </c>
      <c r="J142" s="1" t="str">
        <f>IFERROR(__xludf.DUMMYFUNCTION("GOOGLETRANSLATE(I:I, ""en"", ""te"")"),"నావికాదళ విమాన కర్మాగారం")</f>
        <v>నావికాదళ విమాన కర్మాగారం</v>
      </c>
      <c r="K142" s="1" t="s">
        <v>2596</v>
      </c>
      <c r="M142" s="2"/>
      <c r="O142" s="1">
        <v>3.0</v>
      </c>
      <c r="R142" s="1">
        <v>2.0</v>
      </c>
      <c r="T142" s="1" t="s">
        <v>2597</v>
      </c>
      <c r="U142" s="1" t="s">
        <v>2598</v>
      </c>
      <c r="Z142" s="1" t="s">
        <v>2599</v>
      </c>
      <c r="AF142" s="1" t="s">
        <v>206</v>
      </c>
      <c r="AH142" s="1" t="s">
        <v>261</v>
      </c>
      <c r="AL142" s="1" t="s">
        <v>2600</v>
      </c>
      <c r="AN142" s="1" t="s">
        <v>2601</v>
      </c>
      <c r="AO142" s="1">
        <v>1924.0</v>
      </c>
      <c r="AP142" s="1" t="s">
        <v>2602</v>
      </c>
      <c r="AQ142" s="1" t="s">
        <v>2603</v>
      </c>
    </row>
    <row r="143">
      <c r="A143" s="1" t="s">
        <v>2604</v>
      </c>
      <c r="B143" s="1" t="str">
        <f>IFERROR(__xludf.DUMMYFUNCTION("GOOGLETRANSLATE(A:A, ""en"", ""te"")"),"NS క్లాస్ ఎయిర్‌షిప్")</f>
        <v>NS క్లాస్ ఎయిర్‌షిప్</v>
      </c>
      <c r="C143" s="1" t="s">
        <v>2605</v>
      </c>
      <c r="D143" s="2" t="str">
        <f>IFERROR(__xludf.DUMMYFUNCTION("GOOGLETRANSLATE(C:C, ""en"", ""te"")"),"బ్రిటీష్ ఎన్ఎస్ (నార్త్ సీ) తరగతి నాన్-రిజిడ్ ఎయిర్‌షిప్‌లు అతిపెద్దవి మరియు చివరివి ""బ్లింప్స్"" యొక్క వరుసగా ఉన్నాయి, ఇవి మొదటి ప్రపంచ యుద్ధంలో రాయల్ నావల్ ఎయిర్ సర్వీస్‌తో పనిచేశాయి; సుదూర పెట్రోలింగ్‌పై బ్రిటన్ యొక్క తూర్పు తీరంలో పనిచేయడానికి మునుపట"&amp;"ి తరగతులతో పొందిన అనుభవాల నుండి అభివృద్ధి చేయబడింది. [1] ప్రారంభ సమస్యలు ఉన్నప్పటికీ, తరగతి యొక్క ఉదాహరణలు రిజిడ్ కాని ఎయిర్‌షిప్‌ల కోసం అన్ని ఎగిరే రికార్డులను బద్దలు కొట్టాయి, [2] మరియు ఈ రకం ఈ రకమైన అత్యంత సమర్థవంతంగా పరిగణించబడింది. [3] గ్రేట్ బ్రిటన్"&amp;" యొక్క పశ్చిమ తీరంలో సుదూర జలాంతర్గామి వ్యతిరేక పెట్రోలింగ్ మరియు కాన్వాయ్ ఎస్కార్ట్ విధులను నిర్వహించడానికి ఆర్‌ఎన్‌ఏల పెరుగుతున్న అవసరానికి ప్రతిస్పందనగా ఎన్ఎస్ క్లాస్ ఎయిర్‌షిప్ అభివృద్ధి చేయబడింది, అయినప్పటికీ దాని పేరు ఈ రకం ఉద్దేశించినది నుండి వచ్చి"&amp;"ంది ప్రధానంగా బ్రిటిష్ దీవులకు తూర్పున ఉన్న ఉత్తర సముద్రంలో పనిచేసే గ్రాండ్ ఫ్లీట్ సహకారంతో పని చేయండి. [1] 1916 లో, బ్రిటన్ యొక్క దృ g మైన ఎయిర్‌షిప్ కార్యక్రమం సమర్థవంతమైన ఎయిర్‌షిప్‌ను అందించలేకపోయింది; తీరప్రాంతంతో పొందిన అనుభవాలను ఉపయోగించి NS తరగతి "&amp;"ప్రత్యామ్నాయంగా అభివృద్ధి చేయబడింది మరియు పెద్ద మరియు మరింత వాతావరణం-విలువైన దీర్ఘకాలికంగా ఉన్న భరోసా లేని నౌకను సృష్టించడానికి సి* తరగతులను మెరుగుపరిచింది. [4] [5] కొత్త రూపకల్పనకు ప్రధాన అవసరాలు: [6] ఆరు ఎన్ఎస్ క్లాస్ ఎయిర్‌షిప్‌ల నిర్మాణానికి జనవరి 191"&amp;"6 లో ఆమోదం ఇవ్వబడింది; హూ ద్వీపకల్పంలో RNAS కింగ్స్‌నోర్త్ వద్ద రూపొందించబడింది మరియు నిర్మించబడింది, కెంట్ లోని చాతం డాక్‌యార్డ్‌కు దూరంగా లేదు. [1] తీర మరియు సి-స్టార్ తరగతుల మాదిరిగానే, ""నార్త్ సీస్"" ఆస్ట్రా-టోర్రెస్ డిజైన్ సూత్రాల ఆధారంగా ట్రై-లోబ్ "&amp;"ఎన్వలప్‌ను ఉపయోగించింది. ఇది గతంలో ఆ తరగతుల కోసం సూచించిన అన్ని మెరుగుదలలను కలిగి ఉంది - దాని ఆకారం అంతటా క్రమబద్ధీకరించబడింది మరియు 360,000 క్యూ అడుగుల (10,000 మీ 3) సామర్థ్యాన్ని కలిగి ఉంది, ఇది ""తీరప్రాంతాలు"" కంటే చాలా పెద్దది. మొత్తం 128,000 క్యూ అడ"&amp;"ుగులు (3,600 మీ 3) యొక్క ఆరు బాలొనెట్స్ అందించబడ్డాయి; మొత్తం వాల్యూమ్‌లో 35.5% కి సమానం. [6] కవరుతో జతచేయబడినది నాలుగు రెక్కలు. చిన్న టాప్ ఫిన్ కేవలం స్థిరీకరణ ప్రయోజనాల కోసం మాత్రమే; పెద్ద ఇతర మూడు పరిమాణం మరియు ఆకారంలో ఒకేలా ఉన్నాయి మరియు చుక్కాని మరియ"&amp;"ు ఎలివేటర్లను తీసుకువెళ్ళాయి. అల్యూమినియం ఇంధన ట్యాంకులు మొదట్లో కవరు యొక్క ఎగువ చీలికల పైన ఉన్నాయి, కానీ దాని విభిన్న ఆకారం అల్యూమినియం ఇంధన రేఖలు పగులుకు కారణమయ్యాయి మరియు తత్ఫలితంగా ట్యాంకులు తరువాత కవరు లోపల ఉంచబడ్డాయి. [7] ఈ రకం యొక్క మొదటి ఉదాహరణలు "&amp;"ఎన్వలప్ యొక్క దిగువ నుండి రెండు పరివేష్టిత కార్లను కలిగి ఉన్నాయి-కంట్రోల్ కారు, మరియు వెనుక భాగంలో ఇంజనీర్స్ కారు (పవర్ లేదా ఇంజిన్ కారు), కేబుల్స్ మీద సస్పెండ్ చేయబడిన బహిర్గతమైన చెక్క నడక-మార్గం చేరింది . కంట్రోల్ కారు క్రాస్-సెక్షన్‌లో దీర్ఘచతురస్రాకార"&amp;"ంగా ఉంది, 35 అడుగుల (11 మీ) పొడవు [8] మరియు 6 అడుగుల (1.8 మీ) ఎత్తు, మరియు వికర్ణ వైర్లతో కట్టుబడి ఉన్న తేలికపాటి ఉక్కు గొట్టాల ఫ్రేమ్ నుండి నిర్మించబడింది. [7] ఫార్వర్డ్ భాగం డ్యూరాలిమిన్లో ధరించి ఉంది, మరియు మిగిలినవి ఫ్రేమ్‌వర్క్‌కు కట్టుబడి ఉన్న ఫాబ్ర"&amp;"ిక్‌తో కప్పబడి ఉంటాయి. సముద్రపు గాలి మరియు నీటి యొక్క సంయుక్త చర్య ద్వారా ఇది ప్రభావితం కానందున అల్యూమినియంకు బదులుగా డ్యూరాలిమిన్ షీటింగ్ ఎంపిక చేయబడింది. విండోస్ మరియు పోర్త్‌హోల్స్ సిబ్బందికి రెండు కాంతిని అందించాయి మరియు మంచి వీక్షణ క్షేత్రాన్ని అందిం"&amp;"చాయి. [5] కంట్రోల్ కారు యొక్క ఫార్వర్డ్ విభాగం విస్తృతంగా మెరుస్తూ ఉంది మరియు పైలట్ యొక్క క్యాబిన్‌ను ఏర్పాటు చేసింది, ఇది అన్ని విమాన నియంత్రణలు, నావిగేట్ పరికరాలు, ఇంజిన్ టెలిగ్రాఫ్‌లు మరియు వాయిస్ పైపులను కలిగి ఉంది. దీని వెనుక వైర్‌లెస్ టెలిగ్రాఫి క్య"&amp;"ాబిన్ ఉంది, అయితే 10 మంది సిబ్బందికి నివసించే మరియు నిద్ర మరియు నిద్ర వసతి కారు వెనుక భాగంలో ఉంది. [5] [7] రేడియో పరికరాలతో పాటు, వైర్‌లెస్ ఆపరేటర్ల కంపార్ట్మెంట్ ఆల్డిస్ లాంప్స్‌తో పాటు అంతర్జాతీయ సముద్ర సిగ్నల్ జెండాలను కలిగి ఉంది. తరువాతి వాటిని కంట్రో"&amp;"ల్ కారు నుండి తగ్గించవచ్చు మరియు విదేశీ నాళాలతో కమ్యూనికేట్ చేయడానికి ప్రభావవంతంగా ఉంటుంది. [8] ఇంజనీర్ల కారు ఇంజిన్ల కోసం నియంత్రణలను కలిగి ఉంది మరియు ఇంజిన్ ఎగ్జాస్ట్ పైపులలో ఒకదానికి జతచేయబడిన వంట కోసం ఒక ఫ్లాంగ్డ్ హాట్‌ప్లేట్‌కు ప్రాప్యత ఇచ్చింది. [7]"&amp;" [8] రెండు డైనమోలు మరియు బ్యాటరీలు ఓడ యొక్క విద్యుత్ వ్యవస్థలకు శక్తిని అందించాయి, ఇందులో లైట్లు, టెలిఫోన్లు మరియు సిగ్నలింగ్ దీపాలు ఉన్నాయి. [7] ఈ రకాన్ని మొదట్లో 250 హెచ్‌పి (190 కిలోవాట్) రోల్స్ రాయిస్ ఈగిల్ ఇంజన్లు అమర్చారు, స్ట్రీమ్లైన్డ్ ఎన్‌క్లోజర్"&amp;"‌లలో పవర్ కారుకు ఇరువైపులా ఒక వైపు అమర్చారు. ప్రతి ఒక్కటి 9 అడుగుల (2.7 మీ) వ్యాసం కలిగిన నాలుగు-బ్లేడెడ్ ప్రొపెల్లర్‌ను స్వతంత్ర షాఫ్ట్‌లపై విస్తృతమైన ప్రసార వ్యవస్థ ద్వారా నడిపించింది. [8] [9] గరిష్టంగా ఆరు 230 ఎల్బి (100 కిలోల) బాంబులను అలాగే ఐదు మెషిన"&amp;"్-గన్‌ల వరకు తీసుకెళ్లవచ్చు. తీరప్రాంత మరియు సి-స్టార్ క్లాస్ ఎయిర్‌షిప్‌ల మాదిరిగానే, కవరు పైన ఒక ప్లాట్‌ఫామ్‌లో ఒక తుపాకీ అమర్చబడింది, ఇది క్లైంబింగ్ షాఫ్ట్ ద్వారా చేరుకుంది. [8] సాధారణ సిబ్బందిలో ఐదు యొక్క రెండు గడియారాలు ఉన్నాయి - విస్తరించిన పెట్రోలి"&amp;"ంగ్ కోసం అవసరం - మరియు కెప్టెన్ మరియు రెండవ అధికారి, కాక్స్స్వైన్ మరియు రెండవ కాక్స్వైన్, ఇద్దరు W/T (వైర్‌లెస్ టెలిగ్రాఫ్) ఆపరేటర్లు, ఇద్దరు ఇంజనీర్లు మరియు ఇద్దరు ఎయిర్ గన్నర్లు ఉన్నారు. కెప్టెన్ ఓడ యొక్క మొత్తం ఆదేశంలో ఉన్నాడు మరియు రెండవ అధికారి నావిగ"&amp;"ేట్ చేయడం, ఎత్తును నిర్వహించడం మరియు గ్యాస్ ప్రెషర్‌ను నియంత్రించడంలో సహాయం చేశాడు. కాక్స్స్వాన్ మిగతా సిబ్బందికి, మరియు నేలమీద ఉన్నప్పుడు ఓడ యొక్క సంరక్షణ మరియు నిర్వహణకు బాధ్యత వహించాడు. అతను లేదా రెండవ కాక్స్స్వాన్ కంట్రోల్ కారు ముందు భాగంలో ఉన్న స్థాన"&amp;"ం నుండి విమానంలో నౌకను నడిపించాడు. పెట్రోలింగ్ సమయంలో, ఎయిర్ గన్నర్స్ లుక్-అవుట్స్ యొక్క విధులను చేపట్టారు మరియు కుక్‌లుగా కూడా వ్యవహరించారు. [8] మొదటి ఉదాహరణ, N.S.1, 1 ఫిబ్రవరి 1917 న ప్రారంభ విమాన పరీక్షలను నిర్వహించింది. ప్రాథమిక పరీక్షలు సంతృప్తికరంగా"&amp;" పరిగణించబడ్డాయి; ఓడ 50 mph (గంటకు 80 కిమీ) వేగాన్ని సాధిస్తుంది మరియు నిర్వహించడం సులభం. మార్చిలో మరో రెండు విమానాలు జరిగాయి, వీటిలో రెండవది కింగ్స్‌నోర్త్ నుండి మైడెన్‌హెడ్, ఫర్న్‌బరో, గిల్డ్‌ఫోర్డ్‌కు, మరియు తిరిగి కింగ్స్‌నోర్త్ వరకు ఎక్కువ కాలం క్రాస"&amp;"్ కంట్రీ రౌండ్ ట్రిప్. ఈ ఫ్లైట్ విజయవంతం అయిన తరువాత, N.S.1 నార్ఫోక్‌లోని RNAS పుల్హామ్‌కు 18 ఏప్రిల్ 1917 న మరింత విస్తృతమైన ప్రయత్నాల కోసం బదిలీ చేయబడింది. రాబోయే కొద్ది వారాల్లో విమానాల సమయంలో ఎదుర్కొన్న చిన్న స్నాగ్‌లు ఇస్త్రీ చేయబడ్డాయి, ఆపై జూన్ 5 న"&amp;" జరుగుతున్న పూర్తి స్థాయి ఓర్పు పరీక్షను నిర్వహించాలని నిర్ణయించారు. ఏదేమైనా, విమానంలో కేవలం 16 గంటలకు పైగా, ప్రొపెల్లర్ డ్రైవ్‌షాఫ్ట్‌లలో ఒకదానిపై సార్వత్రిక ఉమ్మడి విరిగింది మరియు ఓడ పుల్హామ్‌కు తిరిగి వచ్చింది. అప్పుడు, జూన్ 26 న, ఆమె మళ్ళీ 06:00 గంటలక"&amp;"ు ప్రసారం చేసింది మరియు జూన్ 28 న 07:22 వరకు పైకి ఉంది - 49 గం 22 నిమిషాల విమాన వ్యవధిలో ఆమె 1,536 మైళ్ళు (2,472 కిమీ) కవర్ చేసింది మరియు చిన్న సాంకేతికతను మాత్రమే ఎదుర్కొంది సమస్యలు. ఆ సమయంలో, ఇది ఏ రకమైన బ్రిటిష్ ఎయిర్‌షిప్‌కు రికార్డు. [1] కింగ్స్‌నోర్"&amp;"త్‌లో N.S.2 యొక్క ప్రారంభ పరీక్షలు కూడా సంతృప్తికరంగా ఉన్నాయి, కాని జూన్ 27 న N.S.1 మాదిరిగానే ఓర్పు విచారణలో, ఆమె గ్యాస్ కోల్పోయినప్పుడు ఆమె నిర్వహించలేనిదిగా మారింది మరియు స్టవ్‌మార్కెట్, సఫోల్క్ సమీపంలో ల్యాండింగ్‌లో శిధిలమైంది. [1] N.S.3 జూలై 22, 1917"&amp;" న కింగ్స్‌నోర్త్ వద్ద జూన్లో విచారణల తరువాత RNAS ఈస్ట్ ఫార్చ్యూన్ వద్ద తన కార్యాచరణ స్థావరానికి 11 గంటల నాన్-స్టాప్ ఫ్లైట్ చేసింది. ఆమెను సెప్టెంబర్ 6 న N.S.1, మరియు అక్టోబర్ 15 న కింగ్స్‌నోర్త్ నుండి N.S.4 చే చేరారు. N.S.5 డిసెంబర్ 12 న తూర్పు అదృష్టాని"&amp;"కి బయలుదేరింది, కాని రెండు ఇంజన్లు ఆమె గమ్యాన్ని దృష్టిలో పెట్టుకుని విఫలమయ్యాయి మరియు పున ar ప్రారంభించబడటానికి ముందు ఆమె 10 మైళ్ళు (16 కిమీ) గాలితో మళ్ళింది. ఏదేమైనా, రెండు ఇంజన్లు సమస్యాత్మకంగా కొనసాగుతున్నందున, ""ఉచిత బెలూన్"" ల్యాండింగ్ చేయాలని నిర్ణ"&amp;"యించారు, కాని ప్రయత్నంలో ఆమె మరమ్మత్తుకు మించి దెబ్బతింది. [1] రోల్స్ రాయిస్ ఇంజన్లు వాటి సంస్థాపన పద్ధతి మరియు సంక్లిష్ట ప్రసార పద్ధతి నిరంతరం సమస్యలతో పాటు. అవి తేలికగా మద్దతు ఉన్న పొడవైన, భారీ డ్రైవ్‌షాఫ్ట్‌ల ద్వారా ప్రొపెల్లర్లకు అనుసంధానించబడ్డాయి, త"&amp;"ద్వారా ప్రసార వ్యవస్థపై అనవసరమైన ఒత్తిడిని కలిగిస్తాయి మరియు సార్వత్రిక ఉమ్మడి ప్రొపెల్లర్‌కు దగ్గరగా పగులుకు కారణమవుతాయి. [1] [7] కింగ్స్‌నోర్త్ డిజైన్ బృందం పవర్ కార్ మరియు ట్రాన్స్మిషన్ గేర్‌ను పున es రూపకల్పన చేయడం గురించి తొందరపడింది, అదే సమయంలో, ఈస్"&amp;"ట్ ఫార్చ్యూన్ వద్ద సిబ్బంది కూడా డిజైన్‌ను మెరుగుపరిచే మార్గాలను పరిశీలిస్తున్నారు. రోల్స్ రాయిస్ ఇంజిన్లను 240 హెచ్‌పి (180 కిలోవాట్) ఫియట్ యూనిట్లతో భర్తీ చేయాలనే ఆలోచనను కింగ్స్‌నోర్త్ పరిగణించాడు, ప్రొపెల్లర్లకు ప్రత్యక్ష డ్రైవ్ కలిగి ఉంది; ఈస్ట్ ఫార్"&amp;"చ్యూన్ యొక్క ఇంజనీరింగ్ ఆఫీసర్, LT.CDR. A. S. అబెల్, RNVR, Flt.cdr తో కలిసి. జె. ఎస్. వీల్‌రైట్, డిఎస్సి (కెప్టెన్ ఆఫ్ ఎన్.ఎస్. 85 అడుగుల (26 మీ) పొడవును కొలిచిన మరియు స్టెర్న్‌కి దెబ్బతిన్న ఒకే పూర్తిగా పరివేష్టిత యూనిట్‌గా వాటిని ఏర్పరుచుకోండి, [7] మరియ"&amp;"ు ప్రొపెల్లర్‌లను నేరుగా ఇంజిన్ క్రాంక్ షాఫ్ట్‌లపైకి సరిపోతుంది. ఈ మరియు ఇతర చిన్న చర్యలు సిబ్బందికి ఎక్కువ గదిని అందించాయి మరియు వారి సౌకర్యాన్ని మెరుగుపరిచాయి; తగ్గిన గాలి నిరోధకత ద్వారా పెరిగిన అగ్ర వేగం (పున es రూపకల్పన చేసిన కారు మరింత ఏరోడైనమిక్ మరి"&amp;"యు కవరుకు దగ్గరగా ఉంది); ఫలితంగా బరువు తగ్గడం జరిగింది; మరియు సమస్యాత్మక ప్రసార షాఫ్ట్‌లను రద్దు చేయడం వల్ల మెరుగైన విశ్వసనీయత. [2] జనవరి 1918 లో, అడ్మిరల్టీ ఈ మార్పులకు కింగ్స్‌నోర్త్ రెండింటిలోనూ మరియు తూర్పు ఫార్చ్యూన్ వద్ద చేపట్టడానికి అనుమతి ఇచ్చింది"&amp;", ఇక్కడ మార్చి ప్రారంభంలో పని పూర్తయింది. [1] ప్రధానంగా తగిన ప్రత్యామ్నాయం లేకపోవడం వల్ల, ప్రారంభ విశ్వసనీయత సమస్యలు మరియు వారి మొదటి నెలల సేవలో రెండు ఉదాహరణలు కోల్పోయినప్పటికీ, ఎన్ఎస్ తరగతిలో అధికారిక ఆసక్తి కొనసాగింది, మరియు మరో ఆరుగురిని నవంబర్ 1917 లో"&amp;" ఆదేశించారు. యుద్ధం ముగింపు మరియు కొద్దిసేపు తరువాత. [1] కెప్టెన్ వీల్‌రైట్ యొక్క నిరంతర ఆదేశం ప్రకారం మరియు అడ్మిరల్టీ అధికారులతో, N.S.3 11 మార్చి 1918 న పరీక్షా విమానాలను విజయవంతంగా పూర్తి చేసింది, మరియు మరుసటి రోజు ఆమె ఎనిమిది గంటల ట్రయల్ చేపట్టింది, అ"&amp;"దే సమయంలో 60 mph (97 కిమీ/గం కంటే ఎక్కువ వేగాన్ని కొనసాగించింది ). తదనంతరం, కార్యాచరణ విధులను ప్రారంభించడానికి అనేక అభ్యర్థనలు అడ్మిరల్టీకి సమర్పించబడ్డాయి మరియు ఏప్రిల్ 3 న భూమిపై మూడు వంతుల విద్యుత్ వ్యవధి విమానానికి అనుమతి మంజూరు చేయబడింది. N.S.3 లాంగ్"&amp;"‌సైడ్ నుండి కింగ్స్‌నోర్త్ మరియు తిరిగి తూర్పు అదృష్టానికి వెళ్లండి; 22 గంటల్లో 816 మైళ్ళు (1,313 కిమీ) ప్రయాణం, ఆ సమయంలో బ్రిటిష్ ఎయిర్‌షిప్‌ల రికార్డును ఏర్పాటు చేసింది. ఫ్లైట్ సమయంలో రెండు ఇంజన్లు సంపూర్ణంగా నడిచాయి - స్టార్‌బోర్డ్ ఇంజిన్ నిరంతరం నడిచి"&amp;"ంది, మరొకటి విరిగిన డైనమో డ్రైవ్‌బెల్ట్‌ను భర్తీ చేయడానికి ఐదు నిమిషాలు మాత్రమే ఆగిపోయింది. ఏప్రిల్ 17 న N.S.3 తన మొదటి కాన్వాయ్ ఎస్కార్ట్‌ను ప్రదర్శించింది, మరియు ఏప్రిల్ 20-22 నుండి ఆమె వివిధ కాన్వాయ్‌లతో 55 గంటల విమాన ప్రయాణాన్ని పూర్తి చేసింది-ఏదైనా ర"&amp;"ిజిడ్ ఎయిర్‌షిప్ యొక్క ఆ తేదీకి పొడవైన ఫ్లైట్. మే 1918 లో, ఆమె 130 గంటలకు పైగా ప్రయాణించింది - ఒక పెట్రోలింగ్ 33 గంటలు, మరియు మరొకటి 20 గంటలు కొనసాగింది, ఇది పెరుగుతున్న గాలుల కారణంగా బేస్కు తిరిగి రావాలని ఆదేశాల ద్వారా మాత్రమే తగ్గించబడింది. 31 మే / 1 జూ"&amp;"న్ రాత్రి ఒక విమానంలో, రోసిత్ సమీపంలో గ్రాండ్ ఫ్లీట్ మరియు షోర్ బ్యాటరీల యాంటీ-ఎయిర్క్రాఫ్ట్ సామర్థ్యాలను పరీక్షించడంలో పాల్గొంటుంది, N.S.3 10,000 అడుగుల (3,000 మీ) ఎత్తును సాధించింది-మరొక రికార్డు రకం. జూన్ 1918 ప్రారంభంలో, ఆమె డిస్ట్రాయర్ హెచ్‌ఎంఎస్ వెక"&amp;"్టిస్‌తో కలిసి ఎయిర్‌షిప్‌ను వేగంతో లాగే అవకాశాన్ని పరిశీలించడానికి పరీక్షలు ప్రారంభించింది. పరీక్షలు మొదట్లో దాదాపు 20 నాట్ల (గంటకు 37 కిమీ) వేగంతో విజయవంతమయ్యాయి, మరియు చివరి పరుగులో N.S.3 సముద్రంలో తాకింది, వెక్టిస్ నుండి ఇద్దరు అధికారులను రెండు N.S.3 "&amp;"యొక్క సిబ్బందికి మార్పిడి చేసుకోండి. [1] N.S.3 యొక్క చివరి పెట్రోలింగ్ 21 జూన్ 1918 న దక్షిణాన ఉన్న స్కాండినేవియన్ కాన్వాయ్‌ను ఎస్కార్ట్ చేయమని తూర్పు అదృష్టం నుండి కొనసాగాలని ఆదేశాలతో ప్రారంభమైంది. ఆమె రాత్రి 7 గంటలకు అబెర్డీన్ నుండి కాన్వాయ్‌లో చేరింది;"&amp;" ఏదేమైనా, ఆ రాత్రి తరువాత పెరుగుతున్న గాలులు పూర్తి వేగంతో తిరిగి బేస్ లోకి రావాలనే నిర్ణయాన్ని ప్రేరేపించాయి, కాని తీవ్రమైన అల్లకల్లోలం మరియు వాయువు కోల్పోవడం వల్ల ఓడ 22 జూన్ 1918 ప్రారంభంలో ఐదు ప్రాణాలను కోల్పోయింది. కొంతకాలం తరువాత డిస్ట్రాయర్ హెచ్‌ఎంఎ"&amp;"స్ మోయ్ చేత ప్రాణాలతో బయటపడిన వారిని తేలియాడే శిధిలాల నుండి తీసుకున్నారు. [1] దాని సవరించిన రూపంలో ఈ రకం చాలా విలువైన యుద్ధ సేవకు దోహదపడింది, మరియు 11 నవంబర్ 1918 న ఆర్మిస్టిస్ వద్ద ఆరు ఉదాహరణలు ఇప్పటికీ కార్యాచరణ స్టేషన్లలో సేవలో ఉన్నాయి - N.S.7 మరియు 8 "&amp;"తూర్పు అదృష్టం వద్ద ఉన్నాయి మరియు లొంగిపోయిన జర్మన్ హై సీస్ విమానాలను తిరిగి రోసిత్‌కు తీసుకెళ్లాయి , N.S.4, 6, 11 మరియు 12 లాంగ్‌సైడ్ నుండి పనిచేస్తాయి. [1] మరో రెండు నౌకలు, N.S.14 మరియు 16, కింగ్స్‌నోర్త్ వద్ద నిర్మాణంలో ఉన్నాయి మరియు యుద్ధం తరువాత ఎగుర"&amp;"వేయబడ్డాయి. [3] [8] కెప్టెన్ డబ్ల్యూ. N.S.11 9-13 ఫిబ్రవరి 1919 న గని-వేట పెట్రోలింగ్ సమయంలో 101 గంటలు మరింత విమాన ఓర్పు రికార్డును నెలకొల్పింది, సుమారు 4,000 మైళ్ళు (6,400 కిమీ) కవర్ చేసింది. రిజిడ్ ఎయిర్‌షిప్ R34 ఆమె ఈస్ట్ ఫార్చ్యూన్ నుండి 108 గంటల్లో అ"&amp;"మెరికాలోని లాంగ్ ఐలాండ్ లోని మినోలాకు సముద్రయానం పూర్తి చేసినప్పుడు ఈ రికార్డును బద్దలు కొట్టింది, తరువాత ఈ రికార్డును తిరిగి పొందడానికి (అనధికారికంగా) ప్రయత్నిస్తున్నప్పుడు [10] N.S.11 పోయింది. జూలై 15 తెల్లవారుజామున, అధికారికంగా గని-వేట పెట్రోలింగ్ అని "&amp;"భావించిన ఆమె, నార్ఫోక్ తీరంలో సముద్రం పక్కన ఉన్న ఒక పొడవైన ""జిడ్డైన బ్లాక్ క్లౌడ్"" క్రింద ఎగురుతూ కనిపించింది మరియు కొద్దిసేపటి తరువాత భారీ పేలుడు వినిపించింది . బర్నింగ్ ఎయిర్‌షిప్ దిగడంతో స్పష్టమైన కాంతి కొన్ని నిమిషాలు కొనసాగింది, చివరకు రెండవ పేలుడు"&amp;" తర్వాత సముద్రంలోకి పడిపోయింది. ప్రాణాలతో బయటపడినవారు లేరు, మరియు అధికారిక విచారణ న్యాయస్థానం యొక్క ఫలితాలు అసంపూర్తిగా ఉన్నాయి, కానీ ఇతర అవకాశాలలో ఒక మెరుపు సమ్మె పేలుడుకు కారణమైందని భావించారు. [11] N.S.11 కోల్పోయిన తరువాత, N.S.7 మరియు 8 మాత్రమే సేవలో ఉన"&amp;"్నాయి - N.S.14 US నేవీకి విక్రయించబడింది మరియు మిగిలినవి శిధిలమైనవి, తొలగించబడ్డాయి లేదా విక్షేపం చేయబడ్డాయి. N.S.8 అక్టోబర్ 1919 లో తొలగించబడింది, అయితే ది లాస్ట్ ఆఫ్ ది టైప్ యొక్క చివరి ఫ్లైట్ N.S.7, 25 అక్టోబర్ 1921 న జరిగింది. [8] N.S.14 ను 8 నవంబర్ 1"&amp;"918 న యుఎస్ నేవీకి బదిలీ చేశారు. N.S.14 ను వింగ్ఫుట్ సరస్సుకి, తరువాత హాంప్టన్ రోడ్లకు రవాణా చేశారు, 30 జనవరి 1920 న చేరుకున్నారు, ప్రస్తుతం US నేవీతో పనిచేస్తున్న N.S.14 రికార్డులు లేవు. [12] మొత్తం 14 ఎన్ఎస్ క్లాస్ బ్లింప్స్ నిర్మించబడ్డాయి. [13] విస్తర"&amp;"ించిన ఓర్పు విమానాలు మరియు రికార్డులు విచ్ఛిన్నమైనవి కాన్వాయ్‌లను ఎస్కార్ట్ చేసేటప్పుడు, జలాంతర్గాముల కోసం వేటాడటం మరియు విమానాలతో ఇతర విధులను నిర్వర్తించేటప్పుడు సాధారణ కార్యాచరణ ఎగిరే దినచర్య యొక్క ఫలితం, మరియు సవరించిన రూపంలో వారి విజయం కారణంగా అవి బహు"&amp;"శా ఉత్తమమైన పెద్దవి కానివిగా పరిగణించబడ్డాయి. ఏ దేశం అయినా ఉత్పత్తి చేసిన దృ gra మైన ఎయిర్‌షిప్. [14] [3] [9] నుండి డేటా సాధారణ లక్షణాల పనితీరు ఆయుధాలు")</f>
        <v>బ్రిటీష్ ఎన్ఎస్ (నార్త్ సీ) తరగతి నాన్-రిజిడ్ ఎయిర్‌షిప్‌లు అతిపెద్దవి మరియు చివరివి "బ్లింప్స్" యొక్క వరుసగా ఉన్నాయి, ఇవి మొదటి ప్రపంచ యుద్ధంలో రాయల్ నావల్ ఎయిర్ సర్వీస్‌తో పనిచేశాయి; సుదూర పెట్రోలింగ్‌పై బ్రిటన్ యొక్క తూర్పు తీరంలో పనిచేయడానికి మునుపటి తరగతులతో పొందిన అనుభవాల నుండి అభివృద్ధి చేయబడింది. [1] ప్రారంభ సమస్యలు ఉన్నప్పటికీ, తరగతి యొక్క ఉదాహరణలు రిజిడ్ కాని ఎయిర్‌షిప్‌ల కోసం అన్ని ఎగిరే రికార్డులను బద్దలు కొట్టాయి, [2] మరియు ఈ రకం ఈ రకమైన అత్యంత సమర్థవంతంగా పరిగణించబడింది. [3] గ్రేట్ బ్రిటన్ యొక్క పశ్చిమ తీరంలో సుదూర జలాంతర్గామి వ్యతిరేక పెట్రోలింగ్ మరియు కాన్వాయ్ ఎస్కార్ట్ విధులను నిర్వహించడానికి ఆర్‌ఎన్‌ఏల పెరుగుతున్న అవసరానికి ప్రతిస్పందనగా ఎన్ఎస్ క్లాస్ ఎయిర్‌షిప్ అభివృద్ధి చేయబడింది, అయినప్పటికీ దాని పేరు ఈ రకం ఉద్దేశించినది నుండి వచ్చింది ప్రధానంగా బ్రిటిష్ దీవులకు తూర్పున ఉన్న ఉత్తర సముద్రంలో పనిచేసే గ్రాండ్ ఫ్లీట్ సహకారంతో పని చేయండి. [1] 1916 లో, బ్రిటన్ యొక్క దృ g మైన ఎయిర్‌షిప్ కార్యక్రమం సమర్థవంతమైన ఎయిర్‌షిప్‌ను అందించలేకపోయింది; తీరప్రాంతంతో పొందిన అనుభవాలను ఉపయోగించి NS తరగతి ప్రత్యామ్నాయంగా అభివృద్ధి చేయబడింది మరియు పెద్ద మరియు మరింత వాతావరణం-విలువైన దీర్ఘకాలికంగా ఉన్న భరోసా లేని నౌకను సృష్టించడానికి సి* తరగతులను మెరుగుపరిచింది. [4] [5] కొత్త రూపకల్పనకు ప్రధాన అవసరాలు: [6] ఆరు ఎన్ఎస్ క్లాస్ ఎయిర్‌షిప్‌ల నిర్మాణానికి జనవరి 1916 లో ఆమోదం ఇవ్వబడింది; హూ ద్వీపకల్పంలో RNAS కింగ్స్‌నోర్త్ వద్ద రూపొందించబడింది మరియు నిర్మించబడింది, కెంట్ లోని చాతం డాక్‌యార్డ్‌కు దూరంగా లేదు. [1] తీర మరియు సి-స్టార్ తరగతుల మాదిరిగానే, "నార్త్ సీస్" ఆస్ట్రా-టోర్రెస్ డిజైన్ సూత్రాల ఆధారంగా ట్రై-లోబ్ ఎన్వలప్‌ను ఉపయోగించింది. ఇది గతంలో ఆ తరగతుల కోసం సూచించిన అన్ని మెరుగుదలలను కలిగి ఉంది - దాని ఆకారం అంతటా క్రమబద్ధీకరించబడింది మరియు 360,000 క్యూ అడుగుల (10,000 మీ 3) సామర్థ్యాన్ని కలిగి ఉంది, ఇది "తీరప్రాంతాలు" కంటే చాలా పెద్దది. మొత్తం 128,000 క్యూ అడుగులు (3,600 మీ 3) యొక్క ఆరు బాలొనెట్స్ అందించబడ్డాయి; మొత్తం వాల్యూమ్‌లో 35.5% కి సమానం. [6] కవరుతో జతచేయబడినది నాలుగు రెక్కలు. చిన్న టాప్ ఫిన్ కేవలం స్థిరీకరణ ప్రయోజనాల కోసం మాత్రమే; పెద్ద ఇతర మూడు పరిమాణం మరియు ఆకారంలో ఒకేలా ఉన్నాయి మరియు చుక్కాని మరియు ఎలివేటర్లను తీసుకువెళ్ళాయి. అల్యూమినియం ఇంధన ట్యాంకులు మొదట్లో కవరు యొక్క ఎగువ చీలికల పైన ఉన్నాయి, కానీ దాని విభిన్న ఆకారం అల్యూమినియం ఇంధన రేఖలు పగులుకు కారణమయ్యాయి మరియు తత్ఫలితంగా ట్యాంకులు తరువాత కవరు లోపల ఉంచబడ్డాయి. [7] ఈ రకం యొక్క మొదటి ఉదాహరణలు ఎన్వలప్ యొక్క దిగువ నుండి రెండు పరివేష్టిత కార్లను కలిగి ఉన్నాయి-కంట్రోల్ కారు, మరియు వెనుక భాగంలో ఇంజనీర్స్ కారు (పవర్ లేదా ఇంజిన్ కారు), కేబుల్స్ మీద సస్పెండ్ చేయబడిన బహిర్గతమైన చెక్క నడక-మార్గం చేరింది . కంట్రోల్ కారు క్రాస్-సెక్షన్‌లో దీర్ఘచతురస్రాకారంగా ఉంది, 35 అడుగుల (11 మీ) పొడవు [8] మరియు 6 అడుగుల (1.8 మీ) ఎత్తు, మరియు వికర్ణ వైర్లతో కట్టుబడి ఉన్న తేలికపాటి ఉక్కు గొట్టాల ఫ్రేమ్ నుండి నిర్మించబడింది. [7] ఫార్వర్డ్ భాగం డ్యూరాలిమిన్లో ధరించి ఉంది, మరియు మిగిలినవి ఫ్రేమ్‌వర్క్‌కు కట్టుబడి ఉన్న ఫాబ్రిక్‌తో కప్పబడి ఉంటాయి. సముద్రపు గాలి మరియు నీటి యొక్క సంయుక్త చర్య ద్వారా ఇది ప్రభావితం కానందున అల్యూమినియంకు బదులుగా డ్యూరాలిమిన్ షీటింగ్ ఎంపిక చేయబడింది. విండోస్ మరియు పోర్త్‌హోల్స్ సిబ్బందికి రెండు కాంతిని అందించాయి మరియు మంచి వీక్షణ క్షేత్రాన్ని అందించాయి. [5] కంట్రోల్ కారు యొక్క ఫార్వర్డ్ విభాగం విస్తృతంగా మెరుస్తూ ఉంది మరియు పైలట్ యొక్క క్యాబిన్‌ను ఏర్పాటు చేసింది, ఇది అన్ని విమాన నియంత్రణలు, నావిగేట్ పరికరాలు, ఇంజిన్ టెలిగ్రాఫ్‌లు మరియు వాయిస్ పైపులను కలిగి ఉంది. దీని వెనుక వైర్‌లెస్ టెలిగ్రాఫి క్యాబిన్ ఉంది, అయితే 10 మంది సిబ్బందికి నివసించే మరియు నిద్ర మరియు నిద్ర వసతి కారు వెనుక భాగంలో ఉంది. [5] [7] రేడియో పరికరాలతో పాటు, వైర్‌లెస్ ఆపరేటర్ల కంపార్ట్మెంట్ ఆల్డిస్ లాంప్స్‌తో పాటు అంతర్జాతీయ సముద్ర సిగ్నల్ జెండాలను కలిగి ఉంది. తరువాతి వాటిని కంట్రోల్ కారు నుండి తగ్గించవచ్చు మరియు విదేశీ నాళాలతో కమ్యూనికేట్ చేయడానికి ప్రభావవంతంగా ఉంటుంది. [8] ఇంజనీర్ల కారు ఇంజిన్ల కోసం నియంత్రణలను కలిగి ఉంది మరియు ఇంజిన్ ఎగ్జాస్ట్ పైపులలో ఒకదానికి జతచేయబడిన వంట కోసం ఒక ఫ్లాంగ్డ్ హాట్‌ప్లేట్‌కు ప్రాప్యత ఇచ్చింది. [7] [8] రెండు డైనమోలు మరియు బ్యాటరీలు ఓడ యొక్క విద్యుత్ వ్యవస్థలకు శక్తిని అందించాయి, ఇందులో లైట్లు, టెలిఫోన్లు మరియు సిగ్నలింగ్ దీపాలు ఉన్నాయి. [7] ఈ రకాన్ని మొదట్లో 250 హెచ్‌పి (190 కిలోవాట్) రోల్స్ రాయిస్ ఈగిల్ ఇంజన్లు అమర్చారు, స్ట్రీమ్లైన్డ్ ఎన్‌క్లోజర్‌లలో పవర్ కారుకు ఇరువైపులా ఒక వైపు అమర్చారు. ప్రతి ఒక్కటి 9 అడుగుల (2.7 మీ) వ్యాసం కలిగిన నాలుగు-బ్లేడెడ్ ప్రొపెల్లర్‌ను స్వతంత్ర షాఫ్ట్‌లపై విస్తృతమైన ప్రసార వ్యవస్థ ద్వారా నడిపించింది. [8] [9] గరిష్టంగా ఆరు 230 ఎల్బి (100 కిలోల) బాంబులను అలాగే ఐదు మెషిన్-గన్‌ల వరకు తీసుకెళ్లవచ్చు. తీరప్రాంత మరియు సి-స్టార్ క్లాస్ ఎయిర్‌షిప్‌ల మాదిరిగానే, కవరు పైన ఒక ప్లాట్‌ఫామ్‌లో ఒక తుపాకీ అమర్చబడింది, ఇది క్లైంబింగ్ షాఫ్ట్ ద్వారా చేరుకుంది. [8] సాధారణ సిబ్బందిలో ఐదు యొక్క రెండు గడియారాలు ఉన్నాయి - విస్తరించిన పెట్రోలింగ్ కోసం అవసరం - మరియు కెప్టెన్ మరియు రెండవ అధికారి, కాక్స్స్వైన్ మరియు రెండవ కాక్స్వైన్, ఇద్దరు W/T (వైర్‌లెస్ టెలిగ్రాఫ్) ఆపరేటర్లు, ఇద్దరు ఇంజనీర్లు మరియు ఇద్దరు ఎయిర్ గన్నర్లు ఉన్నారు. కెప్టెన్ ఓడ యొక్క మొత్తం ఆదేశంలో ఉన్నాడు మరియు రెండవ అధికారి నావిగేట్ చేయడం, ఎత్తును నిర్వహించడం మరియు గ్యాస్ ప్రెషర్‌ను నియంత్రించడంలో సహాయం చేశాడు. కాక్స్స్వాన్ మిగతా సిబ్బందికి, మరియు నేలమీద ఉన్నప్పుడు ఓడ యొక్క సంరక్షణ మరియు నిర్వహణకు బాధ్యత వహించాడు. అతను లేదా రెండవ కాక్స్స్వాన్ కంట్రోల్ కారు ముందు భాగంలో ఉన్న స్థానం నుండి విమానంలో నౌకను నడిపించాడు. పెట్రోలింగ్ సమయంలో, ఎయిర్ గన్నర్స్ లుక్-అవుట్స్ యొక్క విధులను చేపట్టారు మరియు కుక్‌లుగా కూడా వ్యవహరించారు. [8] మొదటి ఉదాహరణ, N.S.1, 1 ఫిబ్రవరి 1917 న ప్రారంభ విమాన పరీక్షలను నిర్వహించింది. ప్రాథమిక పరీక్షలు సంతృప్తికరంగా పరిగణించబడ్డాయి; ఓడ 50 mph (గంటకు 80 కిమీ) వేగాన్ని సాధిస్తుంది మరియు నిర్వహించడం సులభం. మార్చిలో మరో రెండు విమానాలు జరిగాయి, వీటిలో రెండవది కింగ్స్‌నోర్త్ నుండి మైడెన్‌హెడ్, ఫర్న్‌బరో, గిల్డ్‌ఫోర్డ్‌కు, మరియు తిరిగి కింగ్స్‌నోర్త్ వరకు ఎక్కువ కాలం క్రాస్ కంట్రీ రౌండ్ ట్రిప్. ఈ ఫ్లైట్ విజయవంతం అయిన తరువాత, N.S.1 నార్ఫోక్‌లోని RNAS పుల్హామ్‌కు 18 ఏప్రిల్ 1917 న మరింత విస్తృతమైన ప్రయత్నాల కోసం బదిలీ చేయబడింది. రాబోయే కొద్ది వారాల్లో విమానాల సమయంలో ఎదుర్కొన్న చిన్న స్నాగ్‌లు ఇస్త్రీ చేయబడ్డాయి, ఆపై జూన్ 5 న జరుగుతున్న పూర్తి స్థాయి ఓర్పు పరీక్షను నిర్వహించాలని నిర్ణయించారు. ఏదేమైనా, విమానంలో కేవలం 16 గంటలకు పైగా, ప్రొపెల్లర్ డ్రైవ్‌షాఫ్ట్‌లలో ఒకదానిపై సార్వత్రిక ఉమ్మడి విరిగింది మరియు ఓడ పుల్హామ్‌కు తిరిగి వచ్చింది. అప్పుడు, జూన్ 26 న, ఆమె మళ్ళీ 06:00 గంటలకు ప్రసారం చేసింది మరియు జూన్ 28 న 07:22 వరకు పైకి ఉంది - 49 గం 22 నిమిషాల విమాన వ్యవధిలో ఆమె 1,536 మైళ్ళు (2,472 కిమీ) కవర్ చేసింది మరియు చిన్న సాంకేతికతను మాత్రమే ఎదుర్కొంది సమస్యలు. ఆ సమయంలో, ఇది ఏ రకమైన బ్రిటిష్ ఎయిర్‌షిప్‌కు రికార్డు. [1] కింగ్స్‌నోర్త్‌లో N.S.2 యొక్క ప్రారంభ పరీక్షలు కూడా సంతృప్తికరంగా ఉన్నాయి, కాని జూన్ 27 న N.S.1 మాదిరిగానే ఓర్పు విచారణలో, ఆమె గ్యాస్ కోల్పోయినప్పుడు ఆమె నిర్వహించలేనిదిగా మారింది మరియు స్టవ్‌మార్కెట్, సఫోల్క్ సమీపంలో ల్యాండింగ్‌లో శిధిలమైంది. [1] N.S.3 జూలై 22, 1917 న కింగ్స్‌నోర్త్ వద్ద జూన్లో విచారణల తరువాత RNAS ఈస్ట్ ఫార్చ్యూన్ వద్ద తన కార్యాచరణ స్థావరానికి 11 గంటల నాన్-స్టాప్ ఫ్లైట్ చేసింది. ఆమెను సెప్టెంబర్ 6 న N.S.1, మరియు అక్టోబర్ 15 న కింగ్స్‌నోర్త్ నుండి N.S.4 చే చేరారు. N.S.5 డిసెంబర్ 12 న తూర్పు అదృష్టానికి బయలుదేరింది, కాని రెండు ఇంజన్లు ఆమె గమ్యాన్ని దృష్టిలో పెట్టుకుని విఫలమయ్యాయి మరియు పున ar ప్రారంభించబడటానికి ముందు ఆమె 10 మైళ్ళు (16 కిమీ) గాలితో మళ్ళింది. ఏదేమైనా, రెండు ఇంజన్లు సమస్యాత్మకంగా కొనసాగుతున్నందున, "ఉచిత బెలూన్" ల్యాండింగ్ చేయాలని నిర్ణయించారు, కాని ప్రయత్నంలో ఆమె మరమ్మత్తుకు మించి దెబ్బతింది. [1] రోల్స్ రాయిస్ ఇంజన్లు వాటి సంస్థాపన పద్ధతి మరియు సంక్లిష్ట ప్రసార పద్ధతి నిరంతరం సమస్యలతో పాటు. అవి తేలికగా మద్దతు ఉన్న పొడవైన, భారీ డ్రైవ్‌షాఫ్ట్‌ల ద్వారా ప్రొపెల్లర్లకు అనుసంధానించబడ్డాయి, తద్వారా ప్రసార వ్యవస్థపై అనవసరమైన ఒత్తిడిని కలిగిస్తాయి మరియు సార్వత్రిక ఉమ్మడి ప్రొపెల్లర్‌కు దగ్గరగా పగులుకు కారణమవుతాయి. [1] [7] కింగ్స్‌నోర్త్ డిజైన్ బృందం పవర్ కార్ మరియు ట్రాన్స్మిషన్ గేర్‌ను పున es రూపకల్పన చేయడం గురించి తొందరపడింది, అదే సమయంలో, ఈస్ట్ ఫార్చ్యూన్ వద్ద సిబ్బంది కూడా డిజైన్‌ను మెరుగుపరిచే మార్గాలను పరిశీలిస్తున్నారు. రోల్స్ రాయిస్ ఇంజిన్లను 240 హెచ్‌పి (180 కిలోవాట్) ఫియట్ యూనిట్లతో భర్తీ చేయాలనే ఆలోచనను కింగ్స్‌నోర్త్ పరిగణించాడు, ప్రొపెల్లర్లకు ప్రత్యక్ష డ్రైవ్ కలిగి ఉంది; ఈస్ట్ ఫార్చ్యూన్ యొక్క ఇంజనీరింగ్ ఆఫీసర్, LT.CDR. A. S. అబెల్, RNVR, Flt.cdr తో కలిసి. జె. ఎస్. వీల్‌రైట్, డిఎస్సి (కెప్టెన్ ఆఫ్ ఎన్.ఎస్. 85 అడుగుల (26 మీ) పొడవును కొలిచిన మరియు స్టెర్న్‌కి దెబ్బతిన్న ఒకే పూర్తిగా పరివేష్టిత యూనిట్‌గా వాటిని ఏర్పరుచుకోండి, [7] మరియు ప్రొపెల్లర్‌లను నేరుగా ఇంజిన్ క్రాంక్ షాఫ్ట్‌లపైకి సరిపోతుంది. ఈ మరియు ఇతర చిన్న చర్యలు సిబ్బందికి ఎక్కువ గదిని అందించాయి మరియు వారి సౌకర్యాన్ని మెరుగుపరిచాయి; తగ్గిన గాలి నిరోధకత ద్వారా పెరిగిన అగ్ర వేగం (పున es రూపకల్పన చేసిన కారు మరింత ఏరోడైనమిక్ మరియు కవరుకు దగ్గరగా ఉంది); ఫలితంగా బరువు తగ్గడం జరిగింది; మరియు సమస్యాత్మక ప్రసార షాఫ్ట్‌లను రద్దు చేయడం వల్ల మెరుగైన విశ్వసనీయత. [2] జనవరి 1918 లో, అడ్మిరల్టీ ఈ మార్పులకు కింగ్స్‌నోర్త్ రెండింటిలోనూ మరియు తూర్పు ఫార్చ్యూన్ వద్ద చేపట్టడానికి అనుమతి ఇచ్చింది, ఇక్కడ మార్చి ప్రారంభంలో పని పూర్తయింది. [1] ప్రధానంగా తగిన ప్రత్యామ్నాయం లేకపోవడం వల్ల, ప్రారంభ విశ్వసనీయత సమస్యలు మరియు వారి మొదటి నెలల సేవలో రెండు ఉదాహరణలు కోల్పోయినప్పటికీ, ఎన్ఎస్ తరగతిలో అధికారిక ఆసక్తి కొనసాగింది, మరియు మరో ఆరుగురిని నవంబర్ 1917 లో ఆదేశించారు. యుద్ధం ముగింపు మరియు కొద్దిసేపు తరువాత. [1] కెప్టెన్ వీల్‌రైట్ యొక్క నిరంతర ఆదేశం ప్రకారం మరియు అడ్మిరల్టీ అధికారులతో, N.S.3 11 మార్చి 1918 న పరీక్షా విమానాలను విజయవంతంగా పూర్తి చేసింది, మరియు మరుసటి రోజు ఆమె ఎనిమిది గంటల ట్రయల్ చేపట్టింది, అదే సమయంలో 60 mph (97 కిమీ/గం కంటే ఎక్కువ వేగాన్ని కొనసాగించింది ). తదనంతరం, కార్యాచరణ విధులను ప్రారంభించడానికి అనేక అభ్యర్థనలు అడ్మిరల్టీకి సమర్పించబడ్డాయి మరియు ఏప్రిల్ 3 న భూమిపై మూడు వంతుల విద్యుత్ వ్యవధి విమానానికి అనుమతి మంజూరు చేయబడింది. N.S.3 లాంగ్‌సైడ్ నుండి కింగ్స్‌నోర్త్ మరియు తిరిగి తూర్పు అదృష్టానికి వెళ్లండి; 22 గంటల్లో 816 మైళ్ళు (1,313 కిమీ) ప్రయాణం, ఆ సమయంలో బ్రిటిష్ ఎయిర్‌షిప్‌ల రికార్డును ఏర్పాటు చేసింది. ఫ్లైట్ సమయంలో రెండు ఇంజన్లు సంపూర్ణంగా నడిచాయి - స్టార్‌బోర్డ్ ఇంజిన్ నిరంతరం నడిచింది, మరొకటి విరిగిన డైనమో డ్రైవ్‌బెల్ట్‌ను భర్తీ చేయడానికి ఐదు నిమిషాలు మాత్రమే ఆగిపోయింది. ఏప్రిల్ 17 న N.S.3 తన మొదటి కాన్వాయ్ ఎస్కార్ట్‌ను ప్రదర్శించింది, మరియు ఏప్రిల్ 20-22 నుండి ఆమె వివిధ కాన్వాయ్‌లతో 55 గంటల విమాన ప్రయాణాన్ని పూర్తి చేసింది-ఏదైనా రిజిడ్ ఎయిర్‌షిప్ యొక్క ఆ తేదీకి పొడవైన ఫ్లైట్. మే 1918 లో, ఆమె 130 గంటలకు పైగా ప్రయాణించింది - ఒక పెట్రోలింగ్ 33 గంటలు, మరియు మరొకటి 20 గంటలు కొనసాగింది, ఇది పెరుగుతున్న గాలుల కారణంగా బేస్కు తిరిగి రావాలని ఆదేశాల ద్వారా మాత్రమే తగ్గించబడింది. 31 మే / 1 జూన్ రాత్రి ఒక విమానంలో, రోసిత్ సమీపంలో గ్రాండ్ ఫ్లీట్ మరియు షోర్ బ్యాటరీల యాంటీ-ఎయిర్క్రాఫ్ట్ సామర్థ్యాలను పరీక్షించడంలో పాల్గొంటుంది, N.S.3 10,000 అడుగుల (3,000 మీ) ఎత్తును సాధించింది-మరొక రికార్డు రకం. జూన్ 1918 ప్రారంభంలో, ఆమె డిస్ట్రాయర్ హెచ్‌ఎంఎస్ వెక్టిస్‌తో కలిసి ఎయిర్‌షిప్‌ను వేగంతో లాగే అవకాశాన్ని పరిశీలించడానికి పరీక్షలు ప్రారంభించింది. పరీక్షలు మొదట్లో దాదాపు 20 నాట్ల (గంటకు 37 కిమీ) వేగంతో విజయవంతమయ్యాయి, మరియు చివరి పరుగులో N.S.3 సముద్రంలో తాకింది, వెక్టిస్ నుండి ఇద్దరు అధికారులను రెండు N.S.3 యొక్క సిబ్బందికి మార్పిడి చేసుకోండి. [1] N.S.3 యొక్క చివరి పెట్రోలింగ్ 21 జూన్ 1918 న దక్షిణాన ఉన్న స్కాండినేవియన్ కాన్వాయ్‌ను ఎస్కార్ట్ చేయమని తూర్పు అదృష్టం నుండి కొనసాగాలని ఆదేశాలతో ప్రారంభమైంది. ఆమె రాత్రి 7 గంటలకు అబెర్డీన్ నుండి కాన్వాయ్‌లో చేరింది; ఏదేమైనా, ఆ రాత్రి తరువాత పెరుగుతున్న గాలులు పూర్తి వేగంతో తిరిగి బేస్ లోకి రావాలనే నిర్ణయాన్ని ప్రేరేపించాయి, కాని తీవ్రమైన అల్లకల్లోలం మరియు వాయువు కోల్పోవడం వల్ల ఓడ 22 జూన్ 1918 ప్రారంభంలో ఐదు ప్రాణాలను కోల్పోయింది. కొంతకాలం తరువాత డిస్ట్రాయర్ హెచ్‌ఎంఎస్ మోయ్ చేత ప్రాణాలతో బయటపడిన వారిని తేలియాడే శిధిలాల నుండి తీసుకున్నారు. [1] దాని సవరించిన రూపంలో ఈ రకం చాలా విలువైన యుద్ధ సేవకు దోహదపడింది, మరియు 11 నవంబర్ 1918 న ఆర్మిస్టిస్ వద్ద ఆరు ఉదాహరణలు ఇప్పటికీ కార్యాచరణ స్టేషన్లలో సేవలో ఉన్నాయి - N.S.7 మరియు 8 తూర్పు అదృష్టం వద్ద ఉన్నాయి మరియు లొంగిపోయిన జర్మన్ హై సీస్ విమానాలను తిరిగి రోసిత్‌కు తీసుకెళ్లాయి , N.S.4, 6, 11 మరియు 12 లాంగ్‌సైడ్ నుండి పనిచేస్తాయి. [1] మరో రెండు నౌకలు, N.S.14 మరియు 16, కింగ్స్‌నోర్త్ వద్ద నిర్మాణంలో ఉన్నాయి మరియు యుద్ధం తరువాత ఎగురవేయబడ్డాయి. [3] [8] కెప్టెన్ డబ్ల్యూ. N.S.11 9-13 ఫిబ్రవరి 1919 న గని-వేట పెట్రోలింగ్ సమయంలో 101 గంటలు మరింత విమాన ఓర్పు రికార్డును నెలకొల్పింది, సుమారు 4,000 మైళ్ళు (6,400 కిమీ) కవర్ చేసింది. రిజిడ్ ఎయిర్‌షిప్ R34 ఆమె ఈస్ట్ ఫార్చ్యూన్ నుండి 108 గంటల్లో అమెరికాలోని లాంగ్ ఐలాండ్ లోని మినోలాకు సముద్రయానం పూర్తి చేసినప్పుడు ఈ రికార్డును బద్దలు కొట్టింది, తరువాత ఈ రికార్డును తిరిగి పొందడానికి (అనధికారికంగా) ప్రయత్నిస్తున్నప్పుడు [10] N.S.11 పోయింది. జూలై 15 తెల్లవారుజామున, అధికారికంగా గని-వేట పెట్రోలింగ్ అని భావించిన ఆమె, నార్ఫోక్ తీరంలో సముద్రం పక్కన ఉన్న ఒక పొడవైన "జిడ్డైన బ్లాక్ క్లౌడ్" క్రింద ఎగురుతూ కనిపించింది మరియు కొద్దిసేపటి తరువాత భారీ పేలుడు వినిపించింది . బర్నింగ్ ఎయిర్‌షిప్ దిగడంతో స్పష్టమైన కాంతి కొన్ని నిమిషాలు కొనసాగింది, చివరకు రెండవ పేలుడు తర్వాత సముద్రంలోకి పడిపోయింది. ప్రాణాలతో బయటపడినవారు లేరు, మరియు అధికారిక విచారణ న్యాయస్థానం యొక్క ఫలితాలు అసంపూర్తిగా ఉన్నాయి, కానీ ఇతర అవకాశాలలో ఒక మెరుపు సమ్మె పేలుడుకు కారణమైందని భావించారు. [11] N.S.11 కోల్పోయిన తరువాత, N.S.7 మరియు 8 మాత్రమే సేవలో ఉన్నాయి - N.S.14 US నేవీకి విక్రయించబడింది మరియు మిగిలినవి శిధిలమైనవి, తొలగించబడ్డాయి లేదా విక్షేపం చేయబడ్డాయి. N.S.8 అక్టోబర్ 1919 లో తొలగించబడింది, అయితే ది లాస్ట్ ఆఫ్ ది టైప్ యొక్క చివరి ఫ్లైట్ N.S.7, 25 అక్టోబర్ 1921 న జరిగింది. [8] N.S.14 ను 8 నవంబర్ 1918 న యుఎస్ నేవీకి బదిలీ చేశారు. N.S.14 ను వింగ్ఫుట్ సరస్సుకి, తరువాత హాంప్టన్ రోడ్లకు రవాణా చేశారు, 30 జనవరి 1920 న చేరుకున్నారు, ప్రస్తుతం US నేవీతో పనిచేస్తున్న N.S.14 రికార్డులు లేవు. [12] మొత్తం 14 ఎన్ఎస్ క్లాస్ బ్లింప్స్ నిర్మించబడ్డాయి. [13] విస్తరించిన ఓర్పు విమానాలు మరియు రికార్డులు విచ్ఛిన్నమైనవి కాన్వాయ్‌లను ఎస్కార్ట్ చేసేటప్పుడు, జలాంతర్గాముల కోసం వేటాడటం మరియు విమానాలతో ఇతర విధులను నిర్వర్తించేటప్పుడు సాధారణ కార్యాచరణ ఎగిరే దినచర్య యొక్క ఫలితం, మరియు సవరించిన రూపంలో వారి విజయం కారణంగా అవి బహుశా ఉత్తమమైన పెద్దవి కానివిగా పరిగణించబడ్డాయి. ఏ దేశం అయినా ఉత్పత్తి చేసిన దృ gra మైన ఎయిర్‌షిప్. [14] [3] [9] నుండి డేటా సాధారణ లక్షణాల పనితీరు ఆయుధాలు</v>
      </c>
      <c r="E143" s="1" t="s">
        <v>2606</v>
      </c>
      <c r="F143" s="1" t="s">
        <v>2607</v>
      </c>
      <c r="G143" s="1" t="str">
        <f>IFERROR(__xludf.DUMMYFUNCTION("GOOGLETRANSLATE(F:F, ""en"", ""te"")"),"నావల్ పెట్రోల్ ఎయిర్‌షిప్")</f>
        <v>నావల్ పెట్రోల్ ఎయిర్‌షిప్</v>
      </c>
      <c r="I143" s="1" t="s">
        <v>2608</v>
      </c>
      <c r="J143" s="1" t="str">
        <f>IFERROR(__xludf.DUMMYFUNCTION("GOOGLETRANSLATE(I:I, ""en"", ""te"")"),"RNAS కింగ్స్నోర్త్")</f>
        <v>RNAS కింగ్స్నోర్త్</v>
      </c>
      <c r="K143" s="1" t="s">
        <v>2609</v>
      </c>
      <c r="M143" s="2"/>
      <c r="O143" s="1">
        <v>14.0</v>
      </c>
      <c r="R143" s="1" t="s">
        <v>2610</v>
      </c>
      <c r="T143" s="1" t="s">
        <v>2611</v>
      </c>
      <c r="Z143" s="1" t="s">
        <v>2612</v>
      </c>
      <c r="AF143" s="1" t="s">
        <v>314</v>
      </c>
      <c r="AI143" s="1" t="s">
        <v>2613</v>
      </c>
      <c r="AL143" s="1" t="s">
        <v>2614</v>
      </c>
      <c r="AN143" s="1" t="s">
        <v>2615</v>
      </c>
      <c r="AO143" s="5">
        <v>6242.0</v>
      </c>
      <c r="AP143" s="1" t="s">
        <v>2616</v>
      </c>
      <c r="AQ143" s="1" t="s">
        <v>2617</v>
      </c>
      <c r="AV143" s="1" t="s">
        <v>2618</v>
      </c>
      <c r="AX143" s="1">
        <v>1917.0</v>
      </c>
      <c r="BN143" s="1" t="s">
        <v>2619</v>
      </c>
      <c r="DI143" s="1" t="s">
        <v>2620</v>
      </c>
      <c r="DJ143" s="1" t="s">
        <v>2621</v>
      </c>
      <c r="DK143" s="1" t="s">
        <v>2622</v>
      </c>
      <c r="DL143" s="1" t="s">
        <v>2623</v>
      </c>
    </row>
    <row r="144">
      <c r="A144" s="1" t="s">
        <v>2624</v>
      </c>
      <c r="B144" s="1" t="str">
        <f>IFERROR(__xludf.DUMMYFUNCTION("GOOGLETRANSLATE(A:A, ""en"", ""te"")"),"నార్మన్ ఏవియేషన్ నార్డిక్ 8 మినీ ఎక్స్‌ప్లోరర్")</f>
        <v>నార్మన్ ఏవియేషన్ నార్డిక్ 8 మినీ ఎక్స్‌ప్లోరర్</v>
      </c>
      <c r="C144" s="1" t="s">
        <v>2625</v>
      </c>
      <c r="D144" s="2" t="str">
        <f>IFERROR(__xludf.DUMMYFUNCTION("GOOGLETRANSLATE(C:C, ""en"", ""te"")"),"నార్మన్ ఏవియేషన్ నార్డిక్ 8 మినీ ఎక్స్‌ప్లోరర్ కెనడియన్ అల్ట్రాలైట్ విమానం, ఇది క్యూబెక్‌లోని సెయింట్-అన్సెల్మ్ యొక్క నార్మన్ ఏవియేషన్ చేత రూపొందించబడింది మరియు ఉత్పత్తి చేయబడింది. ఈ విమానం te త్సాహిక నిర్మాణానికి కిట్‌గా సరఫరా చేయబడుతుంది. [1] [2] [3] [4"&amp;"] మినీ ఎక్స్‌ప్లోరర్ కెనడియన్ అడ్వాన్స్‌డ్ అల్ట్రాలైట్ నిబంధనలకు అనుగుణంగా పెద్ద హుబెర్ట్ డి చెవిగ్ని రూపొందించిన వ్యక్తిగత అన్వేషకుడి నుండి తీసుకోబడింది. ఇది స్ట్రట్-బ్రేస్డ్ హై-వింగ్, రెండు-సీట్ల-సైడ్-సైడ్ కాన్ఫిగరేషన్ పరివేష్టిత కాక్‌పిట్, స్థిర ట్రైసై"&amp;"కిల్ ల్యాండింగ్ గేర్ మరియు ట్రాక్టర్ కాన్ఫిగరేషన్‌లో ఒకే ఇంజిన్ కలిగి ఉంది. మినీ ఎక్స్‌ప్లోరర్ ఫ్లయింగ్ క్యాంపర్‌గా ఉద్దేశించబడింది మరియు అందువల్ల ఇద్దరు పెద్దలు నిద్రించడానికి మరియు వంటగదికి మంచాలతో తగినంత క్యాబిన్ స్థలాన్ని కలిగి ఉంటుంది. ఫ్యూజ్‌లేజ్ వా"&amp;"ల్యూమ్‌కు ప్రాధాన్యత ఇవ్వడం వల్ల మినీ ఎక్స్‌ప్లోరర్ దాని అమర్చిన శక్తికి వేగవంతమైన విమానం కాదు, క్రూయిజ్ స్పీడ్ సుమారు 85 mph (137 కిమీ/గం). [1] [2] [5] విమానం ఫ్యూజ్‌లేజ్ వెల్డెడ్ స్టీల్ గొట్టాల నుండి తయారవుతుంది, చెక్క నిర్మాణ రెక్కలు మరియు డోప్డ్ ఎయిర్"&amp;"క్రాఫ్ట్ ఫాబ్రిక్‌లో కప్పబడిన అన్ని ఉపరితలాలు ఉంటాయి. దీని 36.1 అడుగుల (11.0 మీ) స్పాన్ వింగ్ 180.3 చదరపు అడుగుల (16.75 మీ 2) విస్తీర్ణంలో ఉంది మరియు ఫ్లాప్‌లు లేవు. క్యాబిన్ వెడల్పు 48 అంగుళాలు (122 సెం.మీ). ప్రామాణిక ఇంజన్లు 80 హెచ్‌పి (60 కిలోవాట్ల) రో"&amp;"టాక్స్ 912ul, 100 హెచ్‌పి (75 కిలోవాట్ల) రోటాక్స్ 912ఎల్‌ఎల్ మరియు 115 హెచ్‌పి (86 కిలోవాట్) రోటాక్స్ 914 ఫోర్-స్ట్రోక్ టర్బోచార్జ్డ్ పవర్‌ప్లాంట్. సరఫరా చేసిన కిట్ నుండి నిర్మాణ సమయం 500 గంటలుగా అంచనా వేయబడింది. [1] [2] [3] [4] డిసెంబర్ 2011 లో కంపెనీ నా"&amp;"లుగు ఉదాహరణలు పూర్తయిందని నివేదించింది. ఫిబ్రవరి 2018 లో ట్రాన్స్పోర్ట్ కెనడా కెనడా కెనడియన్ సివిల్ ఎయిర్క్రాఫ్ట్ రిజిస్టర్‌లో ముగ్గురు మినీ-ఎక్స్‌ప్లోరర్లు ఉన్నారు, ఇందులో ప్రోటోటైప్‌తో సహా. [6] బేయర్ల్, పైలట్ మిక్స్ మరియు కిట్‌ప్లాన్‌ల నుండి డేటా [1] [3"&amp;"] [4] సాధారణ లక్షణాల పనితీరు")</f>
        <v>నార్మన్ ఏవియేషన్ నార్డిక్ 8 మినీ ఎక్స్‌ప్లోరర్ కెనడియన్ అల్ట్రాలైట్ విమానం, ఇది క్యూబెక్‌లోని సెయింట్-అన్సెల్మ్ యొక్క నార్మన్ ఏవియేషన్ చేత రూపొందించబడింది మరియు ఉత్పత్తి చేయబడింది. ఈ విమానం te త్సాహిక నిర్మాణానికి కిట్‌గా సరఫరా చేయబడుతుంది. [1] [2] [3] [4] మినీ ఎక్స్‌ప్లోరర్ కెనడియన్ అడ్వాన్స్‌డ్ అల్ట్రాలైట్ నిబంధనలకు అనుగుణంగా పెద్ద హుబెర్ట్ డి చెవిగ్ని రూపొందించిన వ్యక్తిగత అన్వేషకుడి నుండి తీసుకోబడింది. ఇది స్ట్రట్-బ్రేస్డ్ హై-వింగ్, రెండు-సీట్ల-సైడ్-సైడ్ కాన్ఫిగరేషన్ పరివేష్టిత కాక్‌పిట్, స్థిర ట్రైసైకిల్ ల్యాండింగ్ గేర్ మరియు ట్రాక్టర్ కాన్ఫిగరేషన్‌లో ఒకే ఇంజిన్ కలిగి ఉంది. మినీ ఎక్స్‌ప్లోరర్ ఫ్లయింగ్ క్యాంపర్‌గా ఉద్దేశించబడింది మరియు అందువల్ల ఇద్దరు పెద్దలు నిద్రించడానికి మరియు వంటగదికి మంచాలతో తగినంత క్యాబిన్ స్థలాన్ని కలిగి ఉంటుంది. ఫ్యూజ్‌లేజ్ వాల్యూమ్‌కు ప్రాధాన్యత ఇవ్వడం వల్ల మినీ ఎక్స్‌ప్లోరర్ దాని అమర్చిన శక్తికి వేగవంతమైన విమానం కాదు, క్రూయిజ్ స్పీడ్ సుమారు 85 mph (137 కిమీ/గం). [1] [2] [5] విమానం ఫ్యూజ్‌లేజ్ వెల్డెడ్ స్టీల్ గొట్టాల నుండి తయారవుతుంది, చెక్క నిర్మాణ రెక్కలు మరియు డోప్డ్ ఎయిర్క్రాఫ్ట్ ఫాబ్రిక్‌లో కప్పబడిన అన్ని ఉపరితలాలు ఉంటాయి. దీని 36.1 అడుగుల (11.0 మీ) స్పాన్ వింగ్ 180.3 చదరపు అడుగుల (16.75 మీ 2) విస్తీర్ణంలో ఉంది మరియు ఫ్లాప్‌లు లేవు. క్యాబిన్ వెడల్పు 48 అంగుళాలు (122 సెం.మీ). ప్రామాణిక ఇంజన్లు 80 హెచ్‌పి (60 కిలోవాట్ల) రోటాక్స్ 912ul, 100 హెచ్‌పి (75 కిలోవాట్ల) రోటాక్స్ 912ఎల్‌ఎల్ మరియు 115 హెచ్‌పి (86 కిలోవాట్) రోటాక్స్ 914 ఫోర్-స్ట్రోక్ టర్బోచార్జ్డ్ పవర్‌ప్లాంట్. సరఫరా చేసిన కిట్ నుండి నిర్మాణ సమయం 500 గంటలుగా అంచనా వేయబడింది. [1] [2] [3] [4] డిసెంబర్ 2011 లో కంపెనీ నాలుగు ఉదాహరణలు పూర్తయిందని నివేదించింది. ఫిబ్రవరి 2018 లో ట్రాన్స్పోర్ట్ కెనడా కెనడా కెనడియన్ సివిల్ ఎయిర్క్రాఫ్ట్ రిజిస్టర్‌లో ముగ్గురు మినీ-ఎక్స్‌ప్లోరర్లు ఉన్నారు, ఇందులో ప్రోటోటైప్‌తో సహా. [6] బేయర్ల్, పైలట్ మిక్స్ మరియు కిట్‌ప్లాన్‌ల నుండి డేటా [1] [3] [4] సాధారణ లక్షణాల పనితీరు</v>
      </c>
      <c r="F144" s="1" t="s">
        <v>343</v>
      </c>
      <c r="G144" s="1" t="str">
        <f>IFERROR(__xludf.DUMMYFUNCTION("GOOGLETRANSLATE(F:F, ""en"", ""te"")"),"అల్ట్రాలైట్ విమానం")</f>
        <v>అల్ట్రాలైట్ విమానం</v>
      </c>
      <c r="H144" s="1" t="s">
        <v>344</v>
      </c>
      <c r="I144" s="1" t="s">
        <v>2626</v>
      </c>
      <c r="J144" s="1" t="str">
        <f>IFERROR(__xludf.DUMMYFUNCTION("GOOGLETRANSLATE(I:I, ""en"", ""te"")"),"నార్మన్ ఏవియేషన్")</f>
        <v>నార్మన్ ఏవియేషన్</v>
      </c>
      <c r="K144" s="1" t="s">
        <v>2627</v>
      </c>
      <c r="M144" s="2"/>
      <c r="O144" s="1" t="s">
        <v>2628</v>
      </c>
      <c r="R144" s="1" t="s">
        <v>222</v>
      </c>
      <c r="S144" s="1" t="s">
        <v>250</v>
      </c>
      <c r="T144" s="1" t="s">
        <v>2629</v>
      </c>
      <c r="U144" s="1" t="s">
        <v>2630</v>
      </c>
      <c r="V144" s="1" t="s">
        <v>2631</v>
      </c>
      <c r="W144" s="1" t="s">
        <v>2632</v>
      </c>
      <c r="X144" s="1" t="s">
        <v>2633</v>
      </c>
      <c r="Z144" s="1" t="s">
        <v>1045</v>
      </c>
      <c r="AA144" s="1" t="s">
        <v>2634</v>
      </c>
      <c r="AB144" s="1" t="s">
        <v>2635</v>
      </c>
      <c r="AD144" s="1" t="s">
        <v>2636</v>
      </c>
      <c r="AF144" s="1" t="s">
        <v>233</v>
      </c>
      <c r="AG144" s="4" t="s">
        <v>234</v>
      </c>
      <c r="AL144" s="1" t="s">
        <v>2637</v>
      </c>
      <c r="AM144" s="1" t="s">
        <v>521</v>
      </c>
      <c r="AS144" s="1" t="s">
        <v>339</v>
      </c>
      <c r="AU144" s="1" t="s">
        <v>2638</v>
      </c>
    </row>
    <row r="145">
      <c r="A145" s="1" t="s">
        <v>2639</v>
      </c>
      <c r="B145" s="1" t="str">
        <f>IFERROR(__xludf.DUMMYFUNCTION("GOOGLETRANSLATE(A:A, ""en"", ""te"")"),"మిత్సుబిషి MC-1")</f>
        <v>మిత్సుబిషి MC-1</v>
      </c>
      <c r="C145" s="1" t="s">
        <v>2640</v>
      </c>
      <c r="D145" s="2" t="str">
        <f>IFERROR(__xludf.DUMMYFUNCTION("GOOGLETRANSLATE(C:C, ""en"", ""te"")"),"మిత్సుబిషి MC-1 1920 ల జపనీస్ సింగిల్-ఇంజిన్ బిప్‌లేన్ విమానాలు, ఇది మిత్సుబిషి ఎయిర్‌క్రాఫ్ట్ కంపెనీ రూపొందించి నిర్మించబడింది. [1] 1927 లో, జపాన్ కమ్యూనికేషన్స్ విభాగం ఒక స్వదేశీ ప్రయాణీకుల రవాణా విమానాలను రూపొందించడానికి మరియు నిర్మించడానికి ఒక పోటీని "&amp;"ప్రారంభించింది. ఈ అవసరాన్ని తీర్చడానికి మిత్సుబిషి యొక్క రూపకల్పన దాని మిత్సుబిషి బి 1 ఎమ్ టార్పెడో బాంబర్ మీద ఆధారపడింది, మునుపటి విమానాల రెక్కలను కొత్త ఫ్యూజ్‌లేజ్‌తో కలిపి ఉపయోగించి. [2] MC-1 385 HP (287 kW) ఆర్మ్‌స్ట్రాంగ్ సిడ్డెలీ జాగ్వార్ రేడియల్ ఇం"&amp;"జిన్‌తో నడిచే పెద్ద మూడు-బే బైప్‌లేన్ మరియు ఇది పైలట్ మరియు గది కోసం రెక్కల వెనుక ఓపెన్ కాక్‌పిట్‌ను కలిగి ఉంది (కొన్ని వనరులు ఎనిమిది [3]) ప్రయాణీకులు ఫార్వర్డ్ ఫ్యూజ్‌లేజ్‌లో పరివేష్టిత క్యాబిన్లో. [1] MC-1 స్థిర సాంప్రదాయ ల్యాండింగ్ గేర్‌ను కలిగి ఉంది,"&amp;" కానీ జంట ఫ్లోట్లతో కూడా అమర్చవచ్చు. [1] [2] MC-1 ఏప్రిల్ 1928 లో పూర్తయింది, మరియు మిగతా ఇద్దరు పోటీదారులు, ఐచి ఎబి -1 మరియు నకాజిమా ఎన్ -36 లకు వ్యతిరేకంగా అంచనా వేయబడింది, ఈ రెండూ కూడా బైప్‌లాన్లు. విదేశీ రకాలతో పోలిస్తే అవి వాడుకలో లేనందున, విమానంలో ఏ"&amp;"దీ లేదు, మరియు ప్రభుత్వ యాజమాన్యంలోని విమానయాన సంస్థ జపాన్ వాయు రవాణా (నిహోన్ కోకో యూసో కెకె) బదులుగా ఫోకర్ యూనివర్సల్ మోనోప్లేన్‌లను ఆదేశించింది. [2] MC-1 యొక్క ఉత్పత్తి తరువాత ఏ ఉత్పత్తిని అనుసరించనప్పటికీ, టోక్యో మరియు ఒసాకా మధ్య జూన్ 1928 మరియు ఏప్రిల"&amp;"్ 1929 మధ్య అసహి షింబున్ వార్తాపత్రిక స్పాన్సర్ చేయబడిన టోక్యో మరియు ఒసాకా మధ్య ప్రయోగాత్మక వైమానిక సేవలను నిర్వహించడానికి ఈ నమూనా ఉపయోగించబడింది, ఆపై కొరియాలో జపాన్ ఎయిర్ ట్రాన్స్‌పోర్ట్ ఫర్ మే 1930 వరకు . దీనిని 1938 వరకు హోన్షు యొక్క ఉత్తర తీరం చుట్టూ "&amp;"సీప్లేన్ ఎగురుతున్న సందర్శనా విమానాలుగా ఉపయోగించారు. [2] జపనీస్ విమానం నుండి డేటా 1910-1941 [2] సాధారణ లక్షణాలు పనితీరు సంబంధిత అభివృద్ధి విమానం పోల్చదగిన పాత్ర, ఆకృతీకరణ మరియు యుగం")</f>
        <v>మిత్సుబిషి MC-1 1920 ల జపనీస్ సింగిల్-ఇంజిన్ బిప్‌లేన్ విమానాలు, ఇది మిత్సుబిషి ఎయిర్‌క్రాఫ్ట్ కంపెనీ రూపొందించి నిర్మించబడింది. [1] 1927 లో, జపాన్ కమ్యూనికేషన్స్ విభాగం ఒక స్వదేశీ ప్రయాణీకుల రవాణా విమానాలను రూపొందించడానికి మరియు నిర్మించడానికి ఒక పోటీని ప్రారంభించింది. ఈ అవసరాన్ని తీర్చడానికి మిత్సుబిషి యొక్క రూపకల్పన దాని మిత్సుబిషి బి 1 ఎమ్ టార్పెడో బాంబర్ మీద ఆధారపడింది, మునుపటి విమానాల రెక్కలను కొత్త ఫ్యూజ్‌లేజ్‌తో కలిపి ఉపయోగించి. [2] MC-1 385 HP (287 kW) ఆర్మ్‌స్ట్రాంగ్ సిడ్డెలీ జాగ్వార్ రేడియల్ ఇంజిన్‌తో నడిచే పెద్ద మూడు-బే బైప్‌లేన్ మరియు ఇది పైలట్ మరియు గది కోసం రెక్కల వెనుక ఓపెన్ కాక్‌పిట్‌ను కలిగి ఉంది (కొన్ని వనరులు ఎనిమిది [3]) ప్రయాణీకులు ఫార్వర్డ్ ఫ్యూజ్‌లేజ్‌లో పరివేష్టిత క్యాబిన్లో. [1] MC-1 స్థిర సాంప్రదాయ ల్యాండింగ్ గేర్‌ను కలిగి ఉంది, కానీ జంట ఫ్లోట్లతో కూడా అమర్చవచ్చు. [1] [2] MC-1 ఏప్రిల్ 1928 లో పూర్తయింది, మరియు మిగతా ఇద్దరు పోటీదారులు, ఐచి ఎబి -1 మరియు నకాజిమా ఎన్ -36 లకు వ్యతిరేకంగా అంచనా వేయబడింది, ఈ రెండూ కూడా బైప్‌లాన్లు. విదేశీ రకాలతో పోలిస్తే అవి వాడుకలో లేనందున, విమానంలో ఏదీ లేదు, మరియు ప్రభుత్వ యాజమాన్యంలోని విమానయాన సంస్థ జపాన్ వాయు రవాణా (నిహోన్ కోకో యూసో కెకె) బదులుగా ఫోకర్ యూనివర్సల్ మోనోప్లేన్‌లను ఆదేశించింది. [2] MC-1 యొక్క ఉత్పత్తి తరువాత ఏ ఉత్పత్తిని అనుసరించనప్పటికీ, టోక్యో మరియు ఒసాకా మధ్య జూన్ 1928 మరియు ఏప్రిల్ 1929 మధ్య అసహి షింబున్ వార్తాపత్రిక స్పాన్సర్ చేయబడిన టోక్యో మరియు ఒసాకా మధ్య ప్రయోగాత్మక వైమానిక సేవలను నిర్వహించడానికి ఈ నమూనా ఉపయోగించబడింది, ఆపై కొరియాలో జపాన్ ఎయిర్ ట్రాన్స్‌పోర్ట్ ఫర్ మే 1930 వరకు . దీనిని 1938 వరకు హోన్షు యొక్క ఉత్తర తీరం చుట్టూ సీప్లేన్ ఎగురుతున్న సందర్శనా విమానాలుగా ఉపయోగించారు. [2] జపనీస్ విమానం నుండి డేటా 1910-1941 [2] సాధారణ లక్షణాలు పనితీరు సంబంధిత అభివృద్ధి విమానం పోల్చదగిన పాత్ర, ఆకృతీకరణ మరియు యుగం</v>
      </c>
      <c r="E145" s="1" t="s">
        <v>2641</v>
      </c>
      <c r="F145" s="1" t="s">
        <v>2642</v>
      </c>
      <c r="G145" s="1" t="str">
        <f>IFERROR(__xludf.DUMMYFUNCTION("GOOGLETRANSLATE(F:F, ""en"", ""te"")"),"బిప్‌లేన్ విమానాలు")</f>
        <v>బిప్‌లేన్ విమానాలు</v>
      </c>
      <c r="H145" s="1" t="s">
        <v>2643</v>
      </c>
      <c r="I145" s="1" t="s">
        <v>2644</v>
      </c>
      <c r="J145" s="1" t="str">
        <f>IFERROR(__xludf.DUMMYFUNCTION("GOOGLETRANSLATE(I:I, ""en"", ""te"")"),"మిత్సుబిషి ఎయిర్క్రాఫ్ట్ కంపెనీ")</f>
        <v>మిత్సుబిషి ఎయిర్క్రాఫ్ట్ కంపెనీ</v>
      </c>
      <c r="K145" s="1" t="s">
        <v>2645</v>
      </c>
      <c r="M145" s="2"/>
      <c r="O145" s="1">
        <v>1.0</v>
      </c>
      <c r="P145" s="1" t="s">
        <v>2646</v>
      </c>
      <c r="Q145" s="1" t="s">
        <v>2647</v>
      </c>
      <c r="R145" s="1">
        <v>2.0</v>
      </c>
      <c r="S145" s="1" t="s">
        <v>2648</v>
      </c>
      <c r="T145" s="1" t="s">
        <v>2649</v>
      </c>
      <c r="U145" s="1" t="s">
        <v>2650</v>
      </c>
      <c r="V145" s="1" t="s">
        <v>2651</v>
      </c>
      <c r="W145" s="1" t="s">
        <v>2652</v>
      </c>
      <c r="X145" s="1" t="s">
        <v>2653</v>
      </c>
      <c r="Z145" s="1" t="s">
        <v>2654</v>
      </c>
      <c r="AF145" s="1" t="s">
        <v>2655</v>
      </c>
      <c r="AI145" s="1" t="s">
        <v>2656</v>
      </c>
      <c r="AL145" s="1" t="s">
        <v>2657</v>
      </c>
      <c r="AO145" s="1">
        <v>1928.0</v>
      </c>
      <c r="AV145" s="1" t="s">
        <v>1214</v>
      </c>
      <c r="BC145" s="1" t="s">
        <v>2658</v>
      </c>
      <c r="BN145" s="1">
        <v>1938.0</v>
      </c>
    </row>
    <row r="146">
      <c r="A146" s="1" t="s">
        <v>2659</v>
      </c>
      <c r="B146" s="1" t="str">
        <f>IFERROR(__xludf.DUMMYFUNCTION("GOOGLETRANSLATE(A:A, ""en"", ""te"")"),"మూనీ 301")</f>
        <v>మూనీ 301</v>
      </c>
      <c r="C146" s="1" t="s">
        <v>2660</v>
      </c>
      <c r="D146" s="2" t="str">
        <f>IFERROR(__xludf.DUMMYFUNCTION("GOOGLETRANSLATE(C:C, ""en"", ""te"")"),"మూనీ 301 అనేది 1983 లో అమెరికన్ తయారీదారు మూనీ ఎయిర్క్రాఫ్ట్ కంపెనీ సృష్టించిన ప్రోటోటైప్ విమానం. ఇది తక్కువ-వింగ్, సింగిల్-ఇంజిన్, ఆరు-ప్రదేశాల మోనోప్లేన్, ముడుచుకునే ల్యాండింగ్ గేర్‌తో మరియు ఒత్తిడితో కూడిన ఫ్యూజ్‌లేజ్. మూనీ 301 డిజైన్ బృందానికి రాయ్ లో"&amp;"ప్రెస్టి నాయకత్వం వహించారు. [1] ఇది బీచ్‌క్రాఫ్ట్, సెస్నా మరియు పైపర్ విమానాలచే ప్రవేశపెట్టిన సింగిల్-ఇంజిన్ విమానాలకు ప్రత్యామ్నాయాన్ని సృష్టించే ప్రయత్నం. ఒక నమూనా మాత్రమే నిర్మించబడింది. ఫ్రెంచ్ పెట్టుబడిదారుల నేతృత్వంలోని కన్సార్టియం చేత మరింత అభివృద్"&amp;"ధి జరిగింది, చివరికి సోకాటా టిబిఎం వచ్చింది. మూనీ ఎయిర్క్రాఫ్ట్ కంపెనీ గతంలో 1964 లో సింగిల్-ఇంజిన్ ప్రెజరైజ్డ్ విమానాలను నిర్మించింది (M22 ముస్తాంగ్), ఇది ఆర్థిక విపత్తుగా ఉంది మరియు ఇది సంస్థ యొక్క 1969 దివాలాలో అతిపెద్ద సింగిల్ కారకంగా ఉంది (ముస్తాంగ్ "&amp;"1970 వరకు ఉత్పత్తి చేయబడుతోంది) . [[ 1970 ల చివరినాటికి కంపెనీ మళ్లీ ఒత్తిడితో కూడిన ఉత్పత్తిని అందించడానికి ఒత్తిడి అనుభవిస్తోంది; సెస్నా యొక్క ఒత్తిడి 210 చాలా సంవత్సరాలుగా అందుబాటులో ఉంది, మరియు పైపర్ మరియు బీచ్ వారి స్వంత ఒత్తిడితో కూడిన సింగిల్-ఇంజిన"&amp;"్ ప్రాజెక్టులను ప్రకటించారు. మరొక M22- రకం విపత్తును నివారించడానికి లోప్రెస్టి డిజైన్ బృందం (అతను మూనీ కంపెనీ ఉద్యోగులను ఉపయోగించకుండా, అతను తన సొంత ఇంజనీర్లను తీసుకువచ్చాడు) [3] ఇప్పటికే ఉన్న మోడళ్ల పునర్నిర్మాణం కంటే కొత్త డిజైన్‌తో ప్రారంభించడానికి ఎంచ"&amp;"ుకున్నాడు (అనగా M20 మరియు దాని వివిధ నవీకరణలు). 301 యొక్క సాధారణ కాన్ఫిగరేషన్ ఇతర మూనీ మోడళ్ల మాదిరిగానే ఉంటుంది, ఇది వెనుక-స్లాపింగ్ నిలువు FIN వంటి వివరాలలో భిన్నంగా ఉంటుంది, నిలువు ప్రముఖ అంచుకి విరుద్ధంగా ఫార్వర్డ్-SWEPT వెనుకంజలో ఉన్న అంచు M20 FIN తో"&amp;", చిన్న శీతలీకరణ-గాలి ఇన్లెట్స్‌తో తక్కువ-సెట్ ఇంజిన్ , మరియు ట్రిమ్ టాబ్-అమర్చిన ఎలివేటర్లతో స్థిర క్షితిజ సమాంతర స్టెబిలైజర్లు, పివోటింగ్-ఎంపకేజ్ M20 డిజైన్‌కు విరుద్ధంగా. దెబ్బతిన్న వింగ్ ప్లాన్‌ఫార్మ్ M20 ను పోలి ఉంటుంది, కొంచెం పొడవుగా ఉంటుంది (37.0 "&amp;"అడుగులు వర్సెస్ 36.42 అడుగులు M20 కోసం), మరియు అనేక తేడాలతో: ఎయిర్‌ఫాయిల్ తక్కువ-డ్రాగన్ 15% ప్రొఫైల్ నాసా NLF (1) -0315 ; ఫ్యూజ్‌లేజ్ ప్రెజర్ నౌక 5.0 పిసిగ్ వద్ద పనిచేస్తుంది, ఇది 25,000 ఎంఎస్‌ఎల్ వద్ద పనిచేసేటప్పుడు 9000 'ఎంఎస్‌ఎల్ కంటే కొంచెం తక్కువ క్"&amp;"యాబిన్ పీడనాన్ని అందిస్తుంది. [3] [5] 301 యొక్క హోదా దాని అంచనా వేసిన టాప్ స్పీడ్, 262 నాట్లు లేదా గంటకు 301 మైళ్ళు. ప్రోటోటైప్ యొక్క మొదటి ఫ్లైట్ 21 ఏప్రిల్ 1983 న జరిగింది. [6] [7] 1983 లో ఆ యూనిట్‌లో 70 గంటల విమాన పరీక్షలు సాధించబడ్డాయి. [8] 301 యొక్క "&amp;"ఉత్పత్తి 1985 లో ప్రారంభం కావాల్సి ఉంది [3] కానీ మూనీ ఆ సమయంలో మరో ఆర్థిక సంక్షోభాన్ని ఎదుర్కొంది: దాని మెజారిటీ యజమాని రిపబ్లిక్ స్టీల్ జూలై 1984 లో లింగ్-టెంకో-వాట్ చేత సంపాదించబడింది మరియు కొత్త యజమానులు రిపబ్లిక్ ను ఆదేశించారు మూనీ ఎయిర్క్రాఫ్ట్ సంస్థ"&amp;" యొక్క ఉపసంహరణ. ఈ సంస్థను ఆరు వారాల పాటు మిన్నెసోటాకు చెందిన పెట్టుబడి సంస్థ (మోరిసన్ కంపెనీ) నిర్వహించింది, తరువాత పారిస్ ఆధారిత మూనీ డీలర్ అలెక్ కూవెలేర్ నేతృత్వంలోని ఫ్రెంచ్ ఆధారిత కన్సార్టియంకు మరియు సరస్సు యజమాని అర్మాండ్ రివార్డ్ చేత మళ్లీ విక్రయించ"&amp;"బడింది. విమానం. [9] కొత్త యజమానులు ఈ విమానం చాలా భారీగా ఉందని (టార్గెట్ కంటే 200 పౌండ్లు) మరియు అంచనా వేసిన మార్కెట్‌కు చాలా నెమ్మదిగా నిర్ణయించారు (300 నాట్లు లక్ష్యంగా ఉండాలి, కొత్త యజమానులు ప్రకారం). కౌవెలైర్ మూనీ విమానం మరియు ఏరోస్పాటియాల్ యొక్క సోకాట"&amp;"ా డివిజన్ మధ్య జాయింట్ వెంచర్‌ను ప్రతిపాదించాడు. అనేక పునరావృతాల తరువాత (మూనీ చివరికి పడిపోయింది), ఆ వెంచర్ ఫలితంగా టర్బోప్రాప్-శక్తితో పనిచేసే TBM 700, దీనిలో ""M"" అంటే ""మూనీ"". [10] 301 ప్రోటోటైప్ 1983 తరువాత మళ్లీ ఎగరలేదు. ఇది మూనీ ఇంజనీరింగ్ విభాగంల"&amp;"ో చాలా సంవత్సరాలు విశ్రాంతి తీసుకుంది, తరువాత దాని రెక్కలు తొలగించబడ్డాయి మరియు మిగిలినవి టెక్సాస్‌లోని అబిలీన్‌లోని A &amp; P పాఠశాలకు విరాళంగా ఇవ్వబడ్డాయి. [సైటేషన్ అవసరం] ఎయిర్‌డేటా ఫైల్ నుండి డేటా : మూనీ 301 [11] సాధారణ లక్షణాల పనితీరు")</f>
        <v>మూనీ 301 అనేది 1983 లో అమెరికన్ తయారీదారు మూనీ ఎయిర్క్రాఫ్ట్ కంపెనీ సృష్టించిన ప్రోటోటైప్ విమానం. ఇది తక్కువ-వింగ్, సింగిల్-ఇంజిన్, ఆరు-ప్రదేశాల మోనోప్లేన్, ముడుచుకునే ల్యాండింగ్ గేర్‌తో మరియు ఒత్తిడితో కూడిన ఫ్యూజ్‌లేజ్. మూనీ 301 డిజైన్ బృందానికి రాయ్ లోప్రెస్టి నాయకత్వం వహించారు. [1] ఇది బీచ్‌క్రాఫ్ట్, సెస్నా మరియు పైపర్ విమానాలచే ప్రవేశపెట్టిన సింగిల్-ఇంజిన్ విమానాలకు ప్రత్యామ్నాయాన్ని సృష్టించే ప్రయత్నం. ఒక నమూనా మాత్రమే నిర్మించబడింది. ఫ్రెంచ్ పెట్టుబడిదారుల నేతృత్వంలోని కన్సార్టియం చేత మరింత అభివృద్ధి జరిగింది, చివరికి సోకాటా టిబిఎం వచ్చింది. మూనీ ఎయిర్క్రాఫ్ట్ కంపెనీ గతంలో 1964 లో సింగిల్-ఇంజిన్ ప్రెజరైజ్డ్ విమానాలను నిర్మించింది (M22 ముస్తాంగ్), ఇది ఆర్థిక విపత్తుగా ఉంది మరియు ఇది సంస్థ యొక్క 1969 దివాలాలో అతిపెద్ద సింగిల్ కారకంగా ఉంది (ముస్తాంగ్ 1970 వరకు ఉత్పత్తి చేయబడుతోంది) . [[ 1970 ల చివరినాటికి కంపెనీ మళ్లీ ఒత్తిడితో కూడిన ఉత్పత్తిని అందించడానికి ఒత్తిడి అనుభవిస్తోంది; సెస్నా యొక్క ఒత్తిడి 210 చాలా సంవత్సరాలుగా అందుబాటులో ఉంది, మరియు పైపర్ మరియు బీచ్ వారి స్వంత ఒత్తిడితో కూడిన సింగిల్-ఇంజిన్ ప్రాజెక్టులను ప్రకటించారు. మరొక M22- రకం విపత్తును నివారించడానికి లోప్రెస్టి డిజైన్ బృందం (అతను మూనీ కంపెనీ ఉద్యోగులను ఉపయోగించకుండా, అతను తన సొంత ఇంజనీర్లను తీసుకువచ్చాడు) [3] ఇప్పటికే ఉన్న మోడళ్ల పునర్నిర్మాణం కంటే కొత్త డిజైన్‌తో ప్రారంభించడానికి ఎంచుకున్నాడు (అనగా M20 మరియు దాని వివిధ నవీకరణలు). 301 యొక్క సాధారణ కాన్ఫిగరేషన్ ఇతర మూనీ మోడళ్ల మాదిరిగానే ఉంటుంది, ఇది వెనుక-స్లాపింగ్ నిలువు FIN వంటి వివరాలలో భిన్నంగా ఉంటుంది, నిలువు ప్రముఖ అంచుకి విరుద్ధంగా ఫార్వర్డ్-SWEPT వెనుకంజలో ఉన్న అంచు M20 FIN తో, చిన్న శీతలీకరణ-గాలి ఇన్లెట్స్‌తో తక్కువ-సెట్ ఇంజిన్ , మరియు ట్రిమ్ టాబ్-అమర్చిన ఎలివేటర్లతో స్థిర క్షితిజ సమాంతర స్టెబిలైజర్లు, పివోటింగ్-ఎంపకేజ్ M20 డిజైన్‌కు విరుద్ధంగా. దెబ్బతిన్న వింగ్ ప్లాన్‌ఫార్మ్ M20 ను పోలి ఉంటుంది, కొంచెం పొడవుగా ఉంటుంది (37.0 అడుగులు వర్సెస్ 36.42 అడుగులు M20 కోసం), మరియు అనేక తేడాలతో: ఎయిర్‌ఫాయిల్ తక్కువ-డ్రాగన్ 15% ప్రొఫైల్ నాసా NLF (1) -0315 ; ఫ్యూజ్‌లేజ్ ప్రెజర్ నౌక 5.0 పిసిగ్ వద్ద పనిచేస్తుంది, ఇది 25,000 ఎంఎస్‌ఎల్ వద్ద పనిచేసేటప్పుడు 9000 'ఎంఎస్‌ఎల్ కంటే కొంచెం తక్కువ క్యాబిన్ పీడనాన్ని అందిస్తుంది. [3] [5] 301 యొక్క హోదా దాని అంచనా వేసిన టాప్ స్పీడ్, 262 నాట్లు లేదా గంటకు 301 మైళ్ళు. ప్రోటోటైప్ యొక్క మొదటి ఫ్లైట్ 21 ఏప్రిల్ 1983 న జరిగింది. [6] [7] 1983 లో ఆ యూనిట్‌లో 70 గంటల విమాన పరీక్షలు సాధించబడ్డాయి. [8] 301 యొక్క ఉత్పత్తి 1985 లో ప్రారంభం కావాల్సి ఉంది [3] కానీ మూనీ ఆ సమయంలో మరో ఆర్థిక సంక్షోభాన్ని ఎదుర్కొంది: దాని మెజారిటీ యజమాని రిపబ్లిక్ స్టీల్ జూలై 1984 లో లింగ్-టెంకో-వాట్ చేత సంపాదించబడింది మరియు కొత్త యజమానులు రిపబ్లిక్ ను ఆదేశించారు మూనీ ఎయిర్క్రాఫ్ట్ సంస్థ యొక్క ఉపసంహరణ. ఈ సంస్థను ఆరు వారాల పాటు మిన్నెసోటాకు చెందిన పెట్టుబడి సంస్థ (మోరిసన్ కంపెనీ) నిర్వహించింది, తరువాత పారిస్ ఆధారిత మూనీ డీలర్ అలెక్ కూవెలేర్ నేతృత్వంలోని ఫ్రెంచ్ ఆధారిత కన్సార్టియంకు మరియు సరస్సు యజమాని అర్మాండ్ రివార్డ్ చేత మళ్లీ విక్రయించబడింది. విమానం. [9] కొత్త యజమానులు ఈ విమానం చాలా భారీగా ఉందని (టార్గెట్ కంటే 200 పౌండ్లు) మరియు అంచనా వేసిన మార్కెట్‌కు చాలా నెమ్మదిగా నిర్ణయించారు (300 నాట్లు లక్ష్యంగా ఉండాలి, కొత్త యజమానులు ప్రకారం). కౌవెలైర్ మూనీ విమానం మరియు ఏరోస్పాటియాల్ యొక్క సోకాటా డివిజన్ మధ్య జాయింట్ వెంచర్‌ను ప్రతిపాదించాడు. అనేక పునరావృతాల తరువాత (మూనీ చివరికి పడిపోయింది), ఆ వెంచర్ ఫలితంగా టర్బోప్రాప్-శక్తితో పనిచేసే TBM 700, దీనిలో "M" అంటే "మూనీ". [10] 301 ప్రోటోటైప్ 1983 తరువాత మళ్లీ ఎగరలేదు. ఇది మూనీ ఇంజనీరింగ్ విభాగంలో చాలా సంవత్సరాలు విశ్రాంతి తీసుకుంది, తరువాత దాని రెక్కలు తొలగించబడ్డాయి మరియు మిగిలినవి టెక్సాస్‌లోని అబిలీన్‌లోని A &amp; P పాఠశాలకు విరాళంగా ఇవ్వబడ్డాయి. [సైటేషన్ అవసరం] ఎయిర్‌డేటా ఫైల్ నుండి డేటా : మూనీ 301 [11] సాధారణ లక్షణాల పనితీరు</v>
      </c>
      <c r="F146" s="1" t="s">
        <v>2661</v>
      </c>
      <c r="G146" s="1" t="str">
        <f>IFERROR(__xludf.DUMMYFUNCTION("GOOGLETRANSLATE(F:F, ""en"", ""te"")"),"క్యాబిన్ మోనోప్లేన్")</f>
        <v>క్యాబిన్ మోనోప్లేన్</v>
      </c>
      <c r="I146" s="1" t="s">
        <v>2662</v>
      </c>
      <c r="J146" s="1" t="str">
        <f>IFERROR(__xludf.DUMMYFUNCTION("GOOGLETRANSLATE(I:I, ""en"", ""te"")"),"మూనీ ఎయిర్క్రాఫ్ట్ కంపెనీ")</f>
        <v>మూనీ ఎయిర్క్రాఫ్ట్ కంపెనీ</v>
      </c>
      <c r="K146" s="1" t="s">
        <v>2663</v>
      </c>
      <c r="M146" s="2"/>
      <c r="O146" s="1">
        <v>1.0</v>
      </c>
      <c r="R146" s="1" t="s">
        <v>222</v>
      </c>
      <c r="S146" s="1" t="s">
        <v>2664</v>
      </c>
      <c r="T146" s="1" t="s">
        <v>2665</v>
      </c>
      <c r="U146" s="1" t="s">
        <v>1706</v>
      </c>
      <c r="V146" s="1" t="s">
        <v>2666</v>
      </c>
      <c r="W146" s="1" t="s">
        <v>2667</v>
      </c>
      <c r="X146" s="1" t="s">
        <v>1814</v>
      </c>
      <c r="Z146" s="1" t="s">
        <v>2668</v>
      </c>
      <c r="AA146" s="1" t="s">
        <v>2669</v>
      </c>
      <c r="AC146" s="1" t="s">
        <v>2670</v>
      </c>
      <c r="AD146" s="1" t="s">
        <v>2671</v>
      </c>
      <c r="AF146" s="1" t="s">
        <v>206</v>
      </c>
      <c r="AI146" s="1" t="s">
        <v>2672</v>
      </c>
      <c r="AL146" s="1" t="s">
        <v>2673</v>
      </c>
      <c r="AN146" s="1" t="s">
        <v>2674</v>
      </c>
      <c r="AO146" s="5">
        <v>30413.0</v>
      </c>
      <c r="AY146" s="1" t="s">
        <v>2675</v>
      </c>
      <c r="AZ146" s="1" t="s">
        <v>2676</v>
      </c>
    </row>
    <row r="147">
      <c r="A147" s="1" t="s">
        <v>2677</v>
      </c>
      <c r="B147" s="1" t="str">
        <f>IFERROR(__xludf.DUMMYFUNCTION("GOOGLETRANSLATE(A:A, ""en"", ""te"")"),"Mráz skaut")</f>
        <v>Mráz skaut</v>
      </c>
      <c r="C147" s="1" t="s">
        <v>2678</v>
      </c>
      <c r="D147" s="2" t="str">
        <f>IFERROR(__xludf.DUMMYFUNCTION("GOOGLETRANSLATE(C:C, ""en"", ""te"")"),"MRáz M-2 స్కాట్ 1940 ల చివరలో చెకోస్లోవేకియన్ చెక్క, సింగిల్ ఇంజిన్, తక్కువ వింగ్ స్పోర్ట్స్ విమానం. 2005 లో ఈ డిజైన్ పున ited సమీక్షించబడింది, దీని ఫలితంగా మెటల్ ఫ్రేమ్డ్, ఆధునికీకరించిన స్కౌట్ 2009 లో 2011 లో ఉత్పత్తి మరియు మొదటి డెలివరీల ప్రణాళికలతో మొ"&amp;"దటిసారి ప్రయాణించింది. చెకోస్లోవాక్ ఎయిర్క్రాఫ్ట్ ఫ్యాక్టరీ MROZ రెండవ ప్రపంచ యుద్ధం తరువాత అనేక కొత్త క్రీడా విమానాలను ప్రవేశపెట్టింది. వాటిలో ఒకటి M-2 స్కాట్, దీనిని Zdeněk rubliec రూపొందించారు, తరువాత అతను ఏరో L-29 డెల్ఫాన్ ట్రైనర్ జెట్ ను రూపొందించాడు"&amp;". అతని లక్ష్యం బేసిక్ క్లబ్ పైలట్ శిక్షణ కోసం సులభంగా ఎగరగల మరియు నమ్మదగిన విమానాలను రూపొందించడం, మితమైన నిర్వహణ ఖర్చులు మరియు తక్కువ నిర్వహణ అవసరం. ఉత్పత్తిని సరళీకృతం చేయడానికి, అతని మునుపటి, విజయవంతమైన M-1C సోకోల్ డిజైన్ [1] నుండి రెక్క మరియు తోక ఉపయోగ"&amp;"ించబడింది. 1948 మధ్యలో ఎగిరిన ప్రోటోటైప్, స్కాట్ స్థిరమైన మరియు సురక్షితమైన విమానం, ఆహ్లాదకరంగా నియంత్రించదగినది మరియు మంచి వీక్షణ క్షేత్రంతో ఉందని చూపించింది. ఈ లక్షణాలు పక్కపక్కనే కాక్‌పిట్ మరియు ట్రైసైకిల్ ల్యాండింగ్ గేర్‌తో కలిసి ఇది మంచి సివిల్ ట్రైన"&amp;"ర్ విమానంగా మారింది. ఏదేమైనా, కొత్త కమ్యూనిస్ట్ ప్రభుత్వం MRáz కర్మాగారాన్ని జాతీయం చేసింది మరియు సైనిక విమానాలను ఉత్పత్తి చేయాలని ఆదేశించింది, కాబట్టి 20 వ శతాబ్దంలో స్కాట్ ప్రోటోటైప్ మాత్రమే పూర్తయింది. [2] సోకోల్ మాదిరిగా, స్కాట్ ఒక కలప ఫ్రేమ్డ్, ఫాబ్ర"&amp;"ిక్ కప్పబడిన విమానం. వారి భాగస్వామ్య నేరుగా దెబ్బతిన్న వింగ్ తుడిచిపెట్టే ప్రముఖ అంచుని కలిగి ఉంది, కాని వారు చాలా చిన్న సెంటర్ విభాగానికి మించి డైహెడ్రల్ గుర్తించిన వెనుకంజలో ఉన్న అంచున స్వీప్ లేదు. ఫిన్ కూడా ఒక ప్రముఖ అంచుని కలిగి ఉంది మరియు గుండ్రని చు"&amp;"క్కాని తీసుకువెళ్ళింది. టెయిల్‌ప్లేన్ వెనుక వైపుకు మరియు ఫ్యూజ్‌లేజ్ పైభాగానికి ఒకే ముక్క ఎలివేటర్‌తో బాగా అమర్చబడింది; చుక్కాని దాని పైన కదిలింది. [1] స్కాట్ స్థిర ట్రైసైకిల్ ల్యాండింగ్ గేర్‌ను కలిగి ఉంది. 2005 లో, బ్ర్నో విశ్వవిద్యాలయంలో ఏరోస్పేస్ ఇంజనీ"&amp;"రింగ్ విద్యార్థులచే ప్రోత్సహించబడిన పెటర్ కుబిసెక్, ఉత్పత్తి ఆశతో ఆధునికీకరించిన స్కౌట్‌ను రూపొందించడం ప్రారంభించాడు. 21 వ శతాబ్దం యొక్క మొట్టమొదటి కుబిసెక్ M-2 స్కౌట్ (పేరు ఆంగ్లైట్ చేయబడింది), 2009 వసంత fried తువులో ఫ్రెడరిచాఫేఫ్‌లో జరిగిన ఏరో '09 వద్ద "&amp;"అన్‌హోన్ కనిపించింది మరియు 7 మే 2009 న మొదటిసారిగా ప్రయాణించింది. స్కౌట్ డిజైన్ ప్రారంభమైంది అసలు ప్రణాళికలు ఆధునిక పద్ధతులతో తిరిగి అంచనా వేయబడతాయి మరియు కలప నిర్మాణం కంటే లోహాన్ని ఉపయోగిస్తాయి, ఇంజిన్ల కౌలింగ్ మరియు ఎగిరే ఉపరితల చిట్కాల కోసం కొన్ని మిశ్"&amp;"రమ పదార్థాలతో భర్తీ చేయబడతాయి. రెండు వెర్షన్లు అభివృద్ధి చేయబడుతున్నాయి, ఒకటి యుఎస్ లైట్ స్పోర్ట్ అవసరాన్ని గరిష్టంగా టేకాఫ్ బరువు (MTOW) తో 598 కిలోల (1,320 పౌండ్లు) మరియు యూరోపియన్ అల్ట్రాలైట్ MTOW పరిమితి 450 కిలోల (992 lb) తో రెండవది. [2 ] ఈ రెండు MTO"&amp;"W లు అసలు స్కాట్ కంటే తక్కువగా ఉంటాయి మరియు ఖాళీ బరువు కూడా తక్కువ. 2011 లో మొదటి డెలివరీల లక్ష్యంతో ధృవీకరణ 2010 లో కొనసాగుతోంది. [2] బాహ్యంగా పాత మరియు కొత్త విమానాలు సమానంగా ఉంటాయి, రెక్కలు మరియు తోక అదే లక్షణాలను కలిగి ఉంటాయి మరియు పక్కపక్కనే సీటింగ్ "&amp;"నిలుపుకుంటాయి. విద్యుత్తుతో పనిచేసే ఫ్లాప్‌లు స్కౌట్‌కు అమర్చబడి ఉంటాయి మరియు ఎలివేటర్‌లో సెంట్రల్ ట్రిమ్ టాబ్ ఉంది. దాని స్థిర ట్రైసైకిల్ అండర్ క్యారేజ్ ఫ్యూజ్‌లేజ్‌పై కాంటిలివర్ కాంపోజిట్ మెయిన్‌లెగ్‌లతో అమర్చబడుతుంది. మెయిన్‌వీల్స్‌లో సెంట్రల్ లివర్‌తో"&amp;" బ్రేక్‌లు ఉన్నాయి మరియు నోస్‌వీల్ హెలికల్ స్ప్రింగ్‌ను కలిగి ఉంది. అన్ని చక్రాలు ఉమ్మివేయబడతాయి. ఇది 73.5 kW (98.6 HP) రోటాక్స్ 912ల్స్ ఫ్లాట్ నాలుగు గాలి- మరియు నీటితో కూల్డ్ పిస్టన్ ఇంజిన్ ద్వారా శక్తినిస్తుంది, గ్రౌండ్ సర్దుబాటు బ్లేడ్ పిచ్‌తో మూడు బ్"&amp;"లేడ్ ప్రొపెల్లర్‌ను నడుపుతుంది. అధిక ఇంజిన్ శక్తి మరియు తేలికైన బరువు స్కౌట్ ఉల్ స్కౌట్ యొక్క 3.5 m/s (689 అడుగులు/నిమి) కంటే 5.0 m/s (984 అడుగులు) (984 అడుగులు) మెరుగైన రేటును ఇస్తుంది మరియు స్కౌట్ LSA ఇంకా వేగంగా పెరుగుతుంది. (6.0 m/s లేదా 1.181 ft/min)"&amp;". వింగ్ ట్యాంకులు 90 L (23.5 US GAL; 19.8 IMP గాల్) యొక్క ఇంధన సామర్థ్యాన్ని ఇస్తాయి. [2] చెక్క ప్రోటోటైప్ స్కాట్, ఓకె-సిబి స్వజాక్, అనేక ఫ్లయింగ్ క్లబ్‌లలో పనిచేశారు, ఎక్కువగా Vrchlabí లో, మరియు బాగా ప్రాచుర్యం పొందింది. శక్తితో కూడిన విమానాల యొక్క మునుప"&amp;"టి అనుభవం లేకుండా గ్లైడర్ పైలట్లు దీనిని సోలో నుండి ఎగురవేసినట్లు పుకార్లు ఉన్నాయి. [సైటేషన్ అవసరం] 1960 ల ప్రారంభంలో ఇంజిన్ వైఫల్యం తరువాత అత్యవసర ల్యాండింగ్ సమయంలో ఇది దెబ్బతింది మరియు రద్దు చేయబడింది. [2] 2009 వేసవి ప్రారంభంలో మొదటి విమానంలో, స్కౌట్ ప్"&amp;"రోటోటైప్ అనేక చెక్ ఎయిర్‌షోలు మరియు ఫ్లై-ఇన్‌లలో కనిపించింది. [2] జేన్ యొక్క అన్ని ప్రపంచ విమానాల నుండి డేటా 1951–52 [3] పోల్చదగిన పాత్ర, కాన్ఫిగరేషన్ మరియు ERA సంబంధిత జాబితాల సాధారణ లక్షణాల పనితీరు విమానం")</f>
        <v>MRáz M-2 స్కాట్ 1940 ల చివరలో చెకోస్లోవేకియన్ చెక్క, సింగిల్ ఇంజిన్, తక్కువ వింగ్ స్పోర్ట్స్ విమానం. 2005 లో ఈ డిజైన్ పున ited సమీక్షించబడింది, దీని ఫలితంగా మెటల్ ఫ్రేమ్డ్, ఆధునికీకరించిన స్కౌట్ 2009 లో 2011 లో ఉత్పత్తి మరియు మొదటి డెలివరీల ప్రణాళికలతో మొదటిసారి ప్రయాణించింది. చెకోస్లోవాక్ ఎయిర్క్రాఫ్ట్ ఫ్యాక్టరీ MROZ రెండవ ప్రపంచ యుద్ధం తరువాత అనేక కొత్త క్రీడా విమానాలను ప్రవేశపెట్టింది. వాటిలో ఒకటి M-2 స్కాట్, దీనిని Zdeněk rubliec రూపొందించారు, తరువాత అతను ఏరో L-29 డెల్ఫాన్ ట్రైనర్ జెట్ ను రూపొందించాడు. అతని లక్ష్యం బేసిక్ క్లబ్ పైలట్ శిక్షణ కోసం సులభంగా ఎగరగల మరియు నమ్మదగిన విమానాలను రూపొందించడం, మితమైన నిర్వహణ ఖర్చులు మరియు తక్కువ నిర్వహణ అవసరం. ఉత్పత్తిని సరళీకృతం చేయడానికి, అతని మునుపటి, విజయవంతమైన M-1C సోకోల్ డిజైన్ [1] నుండి రెక్క మరియు తోక ఉపయోగించబడింది. 1948 మధ్యలో ఎగిరిన ప్రోటోటైప్, స్కాట్ స్థిరమైన మరియు సురక్షితమైన విమానం, ఆహ్లాదకరంగా నియంత్రించదగినది మరియు మంచి వీక్షణ క్షేత్రంతో ఉందని చూపించింది. ఈ లక్షణాలు పక్కపక్కనే కాక్‌పిట్ మరియు ట్రైసైకిల్ ల్యాండింగ్ గేర్‌తో కలిసి ఇది మంచి సివిల్ ట్రైనర్ విమానంగా మారింది. ఏదేమైనా, కొత్త కమ్యూనిస్ట్ ప్రభుత్వం MRáz కర్మాగారాన్ని జాతీయం చేసింది మరియు సైనిక విమానాలను ఉత్పత్తి చేయాలని ఆదేశించింది, కాబట్టి 20 వ శతాబ్దంలో స్కాట్ ప్రోటోటైప్ మాత్రమే పూర్తయింది. [2] సోకోల్ మాదిరిగా, స్కాట్ ఒక కలప ఫ్రేమ్డ్, ఫాబ్రిక్ కప్పబడిన విమానం. వారి భాగస్వామ్య నేరుగా దెబ్బతిన్న వింగ్ తుడిచిపెట్టే ప్రముఖ అంచుని కలిగి ఉంది, కాని వారు చాలా చిన్న సెంటర్ విభాగానికి మించి డైహెడ్రల్ గుర్తించిన వెనుకంజలో ఉన్న అంచున స్వీప్ లేదు. ఫిన్ కూడా ఒక ప్రముఖ అంచుని కలిగి ఉంది మరియు గుండ్రని చుక్కాని తీసుకువెళ్ళింది. టెయిల్‌ప్లేన్ వెనుక వైపుకు మరియు ఫ్యూజ్‌లేజ్ పైభాగానికి ఒకే ముక్క ఎలివేటర్‌తో బాగా అమర్చబడింది; చుక్కాని దాని పైన కదిలింది. [1] స్కాట్ స్థిర ట్రైసైకిల్ ల్యాండింగ్ గేర్‌ను కలిగి ఉంది. 2005 లో, బ్ర్నో విశ్వవిద్యాలయంలో ఏరోస్పేస్ ఇంజనీరింగ్ విద్యార్థులచే ప్రోత్సహించబడిన పెటర్ కుబిసెక్, ఉత్పత్తి ఆశతో ఆధునికీకరించిన స్కౌట్‌ను రూపొందించడం ప్రారంభించాడు. 21 వ శతాబ్దం యొక్క మొట్టమొదటి కుబిసెక్ M-2 స్కౌట్ (పేరు ఆంగ్లైట్ చేయబడింది), 2009 వసంత fried తువులో ఫ్రెడరిచాఫేఫ్‌లో జరిగిన ఏరో '09 వద్ద అన్‌హోన్ కనిపించింది మరియు 7 మే 2009 న మొదటిసారిగా ప్రయాణించింది. స్కౌట్ డిజైన్ ప్రారంభమైంది అసలు ప్రణాళికలు ఆధునిక పద్ధతులతో తిరిగి అంచనా వేయబడతాయి మరియు కలప నిర్మాణం కంటే లోహాన్ని ఉపయోగిస్తాయి, ఇంజిన్ల కౌలింగ్ మరియు ఎగిరే ఉపరితల చిట్కాల కోసం కొన్ని మిశ్రమ పదార్థాలతో భర్తీ చేయబడతాయి. రెండు వెర్షన్లు అభివృద్ధి చేయబడుతున్నాయి, ఒకటి యుఎస్ లైట్ స్పోర్ట్ అవసరాన్ని గరిష్టంగా టేకాఫ్ బరువు (MTOW) తో 598 కిలోల (1,320 పౌండ్లు) మరియు యూరోపియన్ అల్ట్రాలైట్ MTOW పరిమితి 450 కిలోల (992 lb) తో రెండవది. [2 ] ఈ రెండు MTOW లు అసలు స్కాట్ కంటే తక్కువగా ఉంటాయి మరియు ఖాళీ బరువు కూడా తక్కువ. 2011 లో మొదటి డెలివరీల లక్ష్యంతో ధృవీకరణ 2010 లో కొనసాగుతోంది. [2] బాహ్యంగా పాత మరియు కొత్త విమానాలు సమానంగా ఉంటాయి, రెక్కలు మరియు తోక అదే లక్షణాలను కలిగి ఉంటాయి మరియు పక్కపక్కనే సీటింగ్ నిలుపుకుంటాయి. విద్యుత్తుతో పనిచేసే ఫ్లాప్‌లు స్కౌట్‌కు అమర్చబడి ఉంటాయి మరియు ఎలివేటర్‌లో సెంట్రల్ ట్రిమ్ టాబ్ ఉంది. దాని స్థిర ట్రైసైకిల్ అండర్ క్యారేజ్ ఫ్యూజ్‌లేజ్‌పై కాంటిలివర్ కాంపోజిట్ మెయిన్‌లెగ్‌లతో అమర్చబడుతుంది. మెయిన్‌వీల్స్‌లో సెంట్రల్ లివర్‌తో బ్రేక్‌లు ఉన్నాయి మరియు నోస్‌వీల్ హెలికల్ స్ప్రింగ్‌ను కలిగి ఉంది. అన్ని చక్రాలు ఉమ్మివేయబడతాయి. ఇది 73.5 kW (98.6 HP) రోటాక్స్ 912ల్స్ ఫ్లాట్ నాలుగు గాలి- మరియు నీటితో కూల్డ్ పిస్టన్ ఇంజిన్ ద్వారా శక్తినిస్తుంది, గ్రౌండ్ సర్దుబాటు బ్లేడ్ పిచ్‌తో మూడు బ్లేడ్ ప్రొపెల్లర్‌ను నడుపుతుంది. అధిక ఇంజిన్ శక్తి మరియు తేలికైన బరువు స్కౌట్ ఉల్ స్కౌట్ యొక్క 3.5 m/s (689 అడుగులు/నిమి) కంటే 5.0 m/s (984 అడుగులు) (984 అడుగులు) మెరుగైన రేటును ఇస్తుంది మరియు స్కౌట్ LSA ఇంకా వేగంగా పెరుగుతుంది. (6.0 m/s లేదా 1.181 ft/min). వింగ్ ట్యాంకులు 90 L (23.5 US GAL; 19.8 IMP గాల్) యొక్క ఇంధన సామర్థ్యాన్ని ఇస్తాయి. [2] చెక్క ప్రోటోటైప్ స్కాట్, ఓకె-సిబి స్వజాక్, అనేక ఫ్లయింగ్ క్లబ్‌లలో పనిచేశారు, ఎక్కువగా Vrchlabí లో, మరియు బాగా ప్రాచుర్యం పొందింది. శక్తితో కూడిన విమానాల యొక్క మునుపటి అనుభవం లేకుండా గ్లైడర్ పైలట్లు దీనిని సోలో నుండి ఎగురవేసినట్లు పుకార్లు ఉన్నాయి. [సైటేషన్ అవసరం] 1960 ల ప్రారంభంలో ఇంజిన్ వైఫల్యం తరువాత అత్యవసర ల్యాండింగ్ సమయంలో ఇది దెబ్బతింది మరియు రద్దు చేయబడింది. [2] 2009 వేసవి ప్రారంభంలో మొదటి విమానంలో, స్కౌట్ ప్రోటోటైప్ అనేక చెక్ ఎయిర్‌షోలు మరియు ఫ్లై-ఇన్‌లలో కనిపించింది. [2] జేన్ యొక్క అన్ని ప్రపంచ విమానాల నుండి డేటా 1951–52 [3] పోల్చదగిన పాత్ర, కాన్ఫిగరేషన్ మరియు ERA సంబంధిత జాబితాల సాధారణ లక్షణాల పనితీరు విమానం</v>
      </c>
      <c r="F147" s="1" t="s">
        <v>2679</v>
      </c>
      <c r="G147" s="1" t="str">
        <f>IFERROR(__xludf.DUMMYFUNCTION("GOOGLETRANSLATE(F:F, ""en"", ""te"")"),"స్పోర్ట్స్ ప్లేన్")</f>
        <v>స్పోర్ట్స్ ప్లేన్</v>
      </c>
      <c r="I147" s="1" t="s">
        <v>2311</v>
      </c>
      <c r="J147" s="1" t="str">
        <f>IFERROR(__xludf.DUMMYFUNCTION("GOOGLETRANSLATE(I:I, ""en"", ""te"")"),"బెనె-మ్రాజ్, చోసెస్")</f>
        <v>బెనె-మ్రాజ్, చోసెస్</v>
      </c>
      <c r="K147" s="1" t="s">
        <v>2312</v>
      </c>
      <c r="L147" s="1" t="s">
        <v>2313</v>
      </c>
      <c r="M147" s="2" t="str">
        <f>IFERROR(__xludf.DUMMYFUNCTION("GOOGLETRANSLATE(L:L, ""en"", ""te"")"),"Zdeněk rublič")</f>
        <v>Zdeněk rublič</v>
      </c>
      <c r="O147" s="1" t="s">
        <v>2680</v>
      </c>
      <c r="R147" s="1">
        <v>2.0</v>
      </c>
      <c r="T147" s="1" t="s">
        <v>2681</v>
      </c>
      <c r="U147" s="1" t="s">
        <v>457</v>
      </c>
      <c r="V147" s="1" t="s">
        <v>2317</v>
      </c>
      <c r="W147" s="1" t="s">
        <v>2682</v>
      </c>
      <c r="X147" s="1" t="s">
        <v>1654</v>
      </c>
      <c r="Z147" s="1" t="s">
        <v>2683</v>
      </c>
      <c r="AA147" s="1" t="s">
        <v>387</v>
      </c>
      <c r="AC147" s="1" t="s">
        <v>1144</v>
      </c>
      <c r="AD147" s="1" t="s">
        <v>2684</v>
      </c>
      <c r="AH147" s="1" t="s">
        <v>2685</v>
      </c>
      <c r="AI147" s="1" t="s">
        <v>2686</v>
      </c>
      <c r="AK147" s="1" t="s">
        <v>2687</v>
      </c>
      <c r="AL147" s="1" t="s">
        <v>607</v>
      </c>
      <c r="AN147" s="1" t="s">
        <v>2185</v>
      </c>
      <c r="AO147" s="1" t="s">
        <v>2688</v>
      </c>
      <c r="AR147" s="1" t="s">
        <v>1054</v>
      </c>
      <c r="BD147" s="1" t="s">
        <v>2689</v>
      </c>
    </row>
    <row r="148">
      <c r="A148" s="1" t="s">
        <v>2690</v>
      </c>
      <c r="B148" s="1" t="str">
        <f>IFERROR(__xludf.DUMMYFUNCTION("GOOGLETRANSLATE(A:A, ""en"", ""te"")"),"మర్ఫీ ఎలైట్")</f>
        <v>మర్ఫీ ఎలైట్</v>
      </c>
      <c r="C148" s="1" t="s">
        <v>2691</v>
      </c>
      <c r="D148" s="2" t="str">
        <f>IFERROR(__xludf.DUMMYFUNCTION("GOOGLETRANSLATE(C:C, ""en"", ""te"")"),"మర్ఫీ ఎలైట్ అనేది కెనడియన్ లైట్ విమానం, దీనిని బ్రిటిష్ కొలంబియాలోని చిల్లివాక్ యొక్క మర్ఫీ విమానాలచే రూపొందించబడింది మరియు నిర్మించబడింది. ఈ విమానం te త్సాహిక నిర్మాణానికి కిట్‌గా సరఫరా చేయబడుతుంది. [1] [2] [3] [4] [5] [6] దీనిని ఏప్రిల్ 1996 లో ప్రవేశపె"&amp;"ట్టినప్పుడు దీనిని మొదట రెబెల్ ఎలైట్ అని పిలుస్తారు. [3] [4] ఎలైట్ మొదట మర్ఫీ రెబెల్ యొక్క ట్రైసైకిల్ గేర్ వెర్షన్‌గా రూపొందించబడింది, అయినప్పటికీ ఇది ఇప్పుడు సాంప్రదాయ ల్యాండింగ్ గేర్‌తో ఒక ఎంపికగా కూడా అందించబడింది. ఇది రెబెల్ మీద కొన్ని మెరుగుదలలను కలి"&amp;"గి ఉంది, వీటిలో రీన్ఫోర్స్డ్ ఎయిర్ఫ్రేమ్, వన్-పీస్ ఎలివేటర్, ఆల్-మెటల్ కంట్రోల్ ఉపరితలాలు, స్ప్లిట్ కాన్ఫిగరేషన్ ఫ్లాప్స్ మరియు అప్‌గ్రేడ్ వింగ్ అటాచ్మెంట్ పాయింట్లు మరియు ప్రముఖ అంచులతో కాంటిలివర్ టెయిల్‌ప్లేన్ ఉన్నాయి. ఇది 1,800 ఎల్బి (816 కిలోలు) స్థూల"&amp;" బరువును సాధించడానికి మరియు 180 హెచ్‌పి (134 కిలోవాట్) వరకు మౌంట్ ఇంజిన్‌లను సాధించడానికి డిజైన్‌ను ప్రారంభించింది. ఎలైట్‌లో స్ట్రట్-బ్రేస్డ్ హై-వింగ్, మూడు సీట్లు, ట్రైసైకిల్ ల్యాండింగ్ గేర్ మరియు ట్రాక్టర్ కాన్ఫిగరేషన్‌లో ఒకే ఇంజిన్ ఉన్నాయి. [1] [2] [5]"&amp;" [6] విమానం అల్యూమినియం షీట్ నుండి తయారు చేయబడింది. దీని 30.3 అడుగుల (9.2 మీ) స్పాన్ వింగ్‌కు సింగిల్ లిఫ్ట్ స్ట్రట్‌లు మద్దతు ఇస్తున్నాయి. యజమానులు 44 అంగుళాల (111.8 సెం.మీ) వెడల్పు కలిగిన క్యాబిన్‌లో వసతి కల్పిస్తారు, యాక్సెస్ మరియు ఎగ్రెస్ కోసం తలుపులు"&amp;" ఉన్నాయి. ప్రామాణిక ఖాళీ బరువు 1,100 పౌండ్లు (499 కిలోలు) మరియు స్థూల బరువు 1,800 ఎల్బి (816 కిలోలు), ఎలైట్ 700 ఎల్బి (318 కిలోల) ఉపయోగకరమైన లోడ్ కలిగి ఉంది. ఆమోదయోగ్యమైన శక్తి పరిధి 115 నుండి 180 హెచ్‌పి (86 నుండి 134 కిలోవాట్), మరియు సిఫార్సు చేయబడిన ఇం"&amp;"జిన్‌లలో 180 హెచ్‌పి (134 కిలోవాట్ 86 kW) లైమింగ్ O-235. [1] [7] ఫ్యాక్టరీ కిట్ నుండి నిర్మాణ సమయం 1400 గంటలు. టండ్రా టైర్లు, స్కిస్ మరియు ఫ్లోట్లతో సహా చక్రాలపై ఉన్నతవర్గాన్ని నిర్వహించవచ్చు. [1] [4] కిట్‌ప్లాన్లు మరియు సంస్థ నుండి డేటా [1] [7] [8] సాధార"&amp;"ణ లక్షణాలు పనితీరు సంబంధిత అభివృద్ధి")</f>
        <v>మర్ఫీ ఎలైట్ అనేది కెనడియన్ లైట్ విమానం, దీనిని బ్రిటిష్ కొలంబియాలోని చిల్లివాక్ యొక్క మర్ఫీ విమానాలచే రూపొందించబడింది మరియు నిర్మించబడింది. ఈ విమానం te త్సాహిక నిర్మాణానికి కిట్‌గా సరఫరా చేయబడుతుంది. [1] [2] [3] [4] [5] [6] దీనిని ఏప్రిల్ 1996 లో ప్రవేశపెట్టినప్పుడు దీనిని మొదట రెబెల్ ఎలైట్ అని పిలుస్తారు. [3] [4] ఎలైట్ మొదట మర్ఫీ రెబెల్ యొక్క ట్రైసైకిల్ గేర్ వెర్షన్‌గా రూపొందించబడింది, అయినప్పటికీ ఇది ఇప్పుడు సాంప్రదాయ ల్యాండింగ్ గేర్‌తో ఒక ఎంపికగా కూడా అందించబడింది. ఇది రెబెల్ మీద కొన్ని మెరుగుదలలను కలిగి ఉంది, వీటిలో రీన్ఫోర్స్డ్ ఎయిర్ఫ్రేమ్, వన్-పీస్ ఎలివేటర్, ఆల్-మెటల్ కంట్రోల్ ఉపరితలాలు, స్ప్లిట్ కాన్ఫిగరేషన్ ఫ్లాప్స్ మరియు అప్‌గ్రేడ్ వింగ్ అటాచ్మెంట్ పాయింట్లు మరియు ప్రముఖ అంచులతో కాంటిలివర్ టెయిల్‌ప్లేన్ ఉన్నాయి. ఇది 1,800 ఎల్బి (816 కిలోలు) స్థూల బరువును సాధించడానికి మరియు 180 హెచ్‌పి (134 కిలోవాట్) వరకు మౌంట్ ఇంజిన్‌లను సాధించడానికి డిజైన్‌ను ప్రారంభించింది. ఎలైట్‌లో స్ట్రట్-బ్రేస్డ్ హై-వింగ్, మూడు సీట్లు, ట్రైసైకిల్ ల్యాండింగ్ గేర్ మరియు ట్రాక్టర్ కాన్ఫిగరేషన్‌లో ఒకే ఇంజిన్ ఉన్నాయి. [1] [2] [5] [6] విమానం అల్యూమినియం షీట్ నుండి తయారు చేయబడింది. దీని 30.3 అడుగుల (9.2 మీ) స్పాన్ వింగ్‌కు సింగిల్ లిఫ్ట్ స్ట్రట్‌లు మద్దతు ఇస్తున్నాయి. యజమానులు 44 అంగుళాల (111.8 సెం.మీ) వెడల్పు కలిగిన క్యాబిన్‌లో వసతి కల్పిస్తారు, యాక్సెస్ మరియు ఎగ్రెస్ కోసం తలుపులు ఉన్నాయి. ప్రామాణిక ఖాళీ బరువు 1,100 పౌండ్లు (499 కిలోలు) మరియు స్థూల బరువు 1,800 ఎల్బి (816 కిలోలు), ఎలైట్ 700 ఎల్బి (318 కిలోల) ఉపయోగకరమైన లోడ్ కలిగి ఉంది. ఆమోదయోగ్యమైన శక్తి పరిధి 115 నుండి 180 హెచ్‌పి (86 నుండి 134 కిలోవాట్), మరియు సిఫార్సు చేయబడిన ఇంజిన్‌లలో 180 హెచ్‌పి (134 కిలోవాట్ 86 kW) లైమింగ్ O-235. [1] [7] ఫ్యాక్టరీ కిట్ నుండి నిర్మాణ సమయం 1400 గంటలు. టండ్రా టైర్లు, స్కిస్ మరియు ఫ్లోట్లతో సహా చక్రాలపై ఉన్నతవర్గాన్ని నిర్వహించవచ్చు. [1] [4] కిట్‌ప్లాన్లు మరియు సంస్థ నుండి డేటా [1] [7] [8] సాధారణ లక్షణాలు పనితీరు సంబంధిత అభివృద్ధి</v>
      </c>
      <c r="E148" s="1" t="s">
        <v>2692</v>
      </c>
      <c r="F148" s="1" t="s">
        <v>215</v>
      </c>
      <c r="G148" s="1" t="str">
        <f>IFERROR(__xludf.DUMMYFUNCTION("GOOGLETRANSLATE(F:F, ""en"", ""te"")"),"కిట్ విమానం")</f>
        <v>కిట్ విమానం</v>
      </c>
      <c r="H148" s="1" t="s">
        <v>216</v>
      </c>
      <c r="I148" s="1" t="s">
        <v>2331</v>
      </c>
      <c r="J148" s="1" t="str">
        <f>IFERROR(__xludf.DUMMYFUNCTION("GOOGLETRANSLATE(I:I, ""en"", ""te"")"),"మర్ఫీ విమానం")</f>
        <v>మర్ఫీ విమానం</v>
      </c>
      <c r="K148" s="1" t="s">
        <v>2332</v>
      </c>
      <c r="M148" s="2"/>
      <c r="O148" s="1" t="s">
        <v>2693</v>
      </c>
      <c r="P148" s="1" t="s">
        <v>2694</v>
      </c>
      <c r="Q148" s="1" t="s">
        <v>2695</v>
      </c>
      <c r="R148" s="1" t="s">
        <v>222</v>
      </c>
      <c r="S148" s="1" t="s">
        <v>2696</v>
      </c>
      <c r="T148" s="1" t="s">
        <v>2697</v>
      </c>
      <c r="U148" s="1" t="s">
        <v>2698</v>
      </c>
      <c r="V148" s="1" t="s">
        <v>2699</v>
      </c>
      <c r="W148" s="1" t="s">
        <v>2530</v>
      </c>
      <c r="X148" s="1" t="s">
        <v>2700</v>
      </c>
      <c r="Z148" s="1" t="s">
        <v>2701</v>
      </c>
      <c r="AA148" s="1" t="s">
        <v>2702</v>
      </c>
      <c r="AB148" s="1" t="s">
        <v>2703</v>
      </c>
      <c r="AC148" s="1" t="s">
        <v>2704</v>
      </c>
      <c r="AD148" s="1" t="s">
        <v>2705</v>
      </c>
      <c r="AF148" s="1" t="s">
        <v>233</v>
      </c>
      <c r="AG148" s="4" t="s">
        <v>234</v>
      </c>
      <c r="AJ148" s="1" t="s">
        <v>2706</v>
      </c>
      <c r="AK148" s="1" t="s">
        <v>2707</v>
      </c>
      <c r="AL148" s="1" t="s">
        <v>1717</v>
      </c>
      <c r="AM148" s="1" t="s">
        <v>2708</v>
      </c>
      <c r="AS148" s="1" t="s">
        <v>240</v>
      </c>
      <c r="AT148" s="1" t="s">
        <v>2709</v>
      </c>
      <c r="AU148" s="1" t="s">
        <v>2710</v>
      </c>
      <c r="AV148" s="1" t="s">
        <v>2711</v>
      </c>
      <c r="AX148" s="6">
        <v>35156.0</v>
      </c>
    </row>
    <row r="149">
      <c r="A149" s="1" t="s">
        <v>2712</v>
      </c>
      <c r="B149" s="1" t="str">
        <f>IFERROR(__xludf.DUMMYFUNCTION("GOOGLETRANSLATE(A:A, ""en"", ""te"")"),"నాసా 515")</f>
        <v>నాసా 515</v>
      </c>
      <c r="C149" s="1" t="s">
        <v>2713</v>
      </c>
      <c r="D149" s="2" t="str">
        <f>IFERROR(__xludf.DUMMYFUNCTION("GOOGLETRANSLATE(C:C, ""en"", ""te"")"),"నాసా 515 అనేది బోయింగ్ 737, ఇది నిరంతర పరిశోధనా సదుపాయంగా నాసా ఉపయోగం కోసం భారీగా సవరించబడింది. [1] ఈ విమానం నిర్మించిన మొదటి 737 మరియు 737 డిజైన్‌కు అర్హత సాధించడానికి బోయింగ్ ఉపయోగించారు. [2] టెర్మినల్ ఏరియా ఉత్పాదకత (TAP) కార్యక్రమంలో భాగంగా నాసా 515 న"&amp;"ు లాంగ్లీ రీసెర్చ్ సెంటర్ నిర్వహించింది మరియు ఎగురవేసింది. 2003 లో నాసా ఉపయోగించడం ముగిసిన తరువాత, ఈ విమానం భద్రపరచబడింది మరియు వాషింగ్టన్ లోని సీటెల్ సమీపంలోని మ్యూజియం ఆఫ్ ఫ్లైట్ వద్ద బహిరంగ ప్రదర్శనలో ఉంది. [3] 1970 ల విమానంలో ఈ వ్యాసం ఒక స్టబ్. వికీపీ"&amp;"డియా విస్తరించడం ద్వారా మీరు సహాయపడవచ్చు.")</f>
        <v>నాసా 515 అనేది బోయింగ్ 737, ఇది నిరంతర పరిశోధనా సదుపాయంగా నాసా ఉపయోగం కోసం భారీగా సవరించబడింది. [1] ఈ విమానం నిర్మించిన మొదటి 737 మరియు 737 డిజైన్‌కు అర్హత సాధించడానికి బోయింగ్ ఉపయోగించారు. [2] టెర్మినల్ ఏరియా ఉత్పాదకత (TAP) కార్యక్రమంలో భాగంగా నాసా 515 ను లాంగ్లీ రీసెర్చ్ సెంటర్ నిర్వహించింది మరియు ఎగురవేసింది. 2003 లో నాసా ఉపయోగించడం ముగిసిన తరువాత, ఈ విమానం భద్రపరచబడింది మరియు వాషింగ్టన్ లోని సీటెల్ సమీపంలోని మ్యూజియం ఆఫ్ ఫ్లైట్ వద్ద బహిరంగ ప్రదర్శనలో ఉంది. [3] 1970 ల విమానంలో ఈ వ్యాసం ఒక స్టబ్. వికీపీడియా విస్తరించడం ద్వారా మీరు సహాయపడవచ్చు.</v>
      </c>
      <c r="E149" s="1" t="s">
        <v>2714</v>
      </c>
      <c r="G149" s="1" t="str">
        <f>IFERROR(__xludf.DUMMYFUNCTION("GOOGLETRANSLATE(F:F, ""en"", ""te"")"),"#VALUE!")</f>
        <v>#VALUE!</v>
      </c>
      <c r="I149" s="1" t="s">
        <v>2715</v>
      </c>
      <c r="J149" s="1" t="str">
        <f>IFERROR(__xludf.DUMMYFUNCTION("GOOGLETRANSLATE(I:I, ""en"", ""te"")"),"బోయింగ్ ఎయిర్క్రాఫ్ట్ కంపెనీ")</f>
        <v>బోయింగ్ ఎయిర్క్రాఫ్ట్ కంపెనీ</v>
      </c>
      <c r="K149" s="1" t="s">
        <v>2716</v>
      </c>
      <c r="M149" s="2"/>
      <c r="AO149" s="7">
        <v>24568.0</v>
      </c>
      <c r="AS149" s="1" t="s">
        <v>60</v>
      </c>
      <c r="CW149" s="1" t="s">
        <v>2717</v>
      </c>
      <c r="CX149" s="1" t="s">
        <v>2718</v>
      </c>
      <c r="CY149" s="1" t="s">
        <v>2719</v>
      </c>
      <c r="CZ149" s="1" t="s">
        <v>2720</v>
      </c>
      <c r="DF149" s="1" t="s">
        <v>2721</v>
      </c>
      <c r="DG149" s="1" t="s">
        <v>2722</v>
      </c>
      <c r="DH149" s="1" t="s">
        <v>2723</v>
      </c>
    </row>
    <row r="150">
      <c r="A150" s="1" t="s">
        <v>2724</v>
      </c>
      <c r="B150" s="1" t="str">
        <f>IFERROR(__xludf.DUMMYFUNCTION("GOOGLETRANSLATE(A:A, ""en"", ""te"")"),"తొమ్మిది-ఓ-నైన్")</f>
        <v>తొమ్మిది-ఓ-నైన్</v>
      </c>
      <c r="C150" s="1" t="s">
        <v>2725</v>
      </c>
      <c r="D150" s="2" t="str">
        <f>IFERROR(__xludf.DUMMYFUNCTION("GOOGLETRANSLATE(C:C, ""en"", ""te"")"),"తొమ్మిది-ఓ-నైన్ బోయింగ్ బి -17 జి -30-బో ఫ్లయింగ్ కోట హెవీ బాంబర్, 323 వ బాంబ్ స్క్వాడ్రన్, 91 వ బాంబ్ గ్రూప్, ఇది రెండవ ప్రపంచ యుద్ధంలో 140 పోరాట మిషన్లను పూర్తి చేసింది, ఇది చాలా ఎనిమిదవ వైమానిక దళం రికార్డు అని నమ్ముతారు మిషన్లు, ఆమెను ఎగిరిన సిబ్బందిక"&amp;"ి నష్టపోకుండా. అక్టోబర్ 2019 లో కనెక్టికట్‌లోని విండ్సర్ లాక్‌లలోని బ్రాడ్లీ అంతర్జాతీయ విమానాశ్రయంలో క్రాష్ అయిన తొమ్మిది-ఓ-నైన్‌ను అనుకరించటానికి పెయింట్ చేయబడిన వేరే B-17G. ఆమె క్రమ సంఖ్య యొక్క చివరి మూడు అంకెలు: 42-31909. తొమ్మిది-ఓ-నైన్‌ను డిసెంబర్ 1"&amp;"5, 1943 న యుఎస్‌ఎఎఎఫ్ ఇన్వెంటరీకి చేర్చారు మరియు ఫిబ్రవరి 5, 1944 న విదేశాలకు ఎగిరింది. డిపో సవరణల తరువాత, ఆమె ఫిబ్రవరి 24, 1944 న ఇంగ్లాండ్‌లోని రాఫ్ బాసింగ్‌బోర్న్ వద్ద 91 వ బిజికి పంపిణీ చేయబడింది ఫ్యాక్టరీ-అప్లైడ్ మభ్యపెట్టే పెయింట్‌లో అందుకున్న చివరి"&amp;" B-17 లలో ఒకరైన భర్తీ విమానం. [1] 91 వ బిజి యొక్క మాజీ నావిగేటర్, మారియన్ హాలార్, తన సమూహ చరిత్రలో, తొమ్మిది-ఓ-నైన్ యాంత్రిక కారణాల వల్ల గర్భస్రావం చేయకుండా వరుసగా 126 లేదా 132 మిషన్లను పూర్తి చేసిందని నివేదించింది, రికార్డు అని కూడా నమ్ముతారు. [2] M/sgt."&amp;" బాంబర్ యొక్క నిర్వహణ లైన్ చీఫ్ రోలిన్ ఎల్. డేవిస్, రికార్డును సాధించడంలో తన పాత్ర కోసం కాంస్య నక్షత్రాన్ని అందుకున్నాడు. ఆమె మొట్టమొదటి బాంబు దాడి ఫిబ్రవరి 25, 1944 న జర్మనీలోని ఆగ్స్‌బర్గ్‌లో జరిగింది. ఆమె బెర్లిన్‌పై 18 బాంబు దాడులు చేసింది. మొత్తం మీద"&amp;" ఆమె 1,129 గంటలు ప్రయాణించి 562,000 ఎల్బి (225 టన్నులు) బాంబులను పడిపోయింది. ఆమెకు 21 ఇంజిన్ మార్పులు, నాలుగు వింగ్ ప్యానెల్ మార్పులు, 15 మెయిన్ గ్యాస్ ట్యాంక్ మార్పులు మరియు టోక్యో ట్యాంకుల 18 మార్పులు (దీర్ఘ-శ్రేణి ఇంధన ట్యాంకులు) ఉన్నాయి. [3] జూన్ 8, 1"&amp;"945 న ఐరోపాలో యుద్ధం ముగిసిన తరువాత తొమ్మిది-ఓ-నైన్ అమెరికాకు తిరిగి వచ్చింది. ఆమెను డిసెంబర్ 7, 1945 న అరిజోనాలోని కింగ్మన్ వద్ద RFC సదుపాయానికి పంపారు మరియు చివరికి రద్దు చేశారు. ది కాలింగ్స్ ఫౌండేషన్ ఆఫ్ స్టో ఆఫ్ స్టో, మసాచుసెట్స్, వేరే బి -17 జిని ఎగి"&amp;"రింది-అసలు తొమ్మిది-ఓ-నైన్‌ను గౌరవించటానికి ""నివాళి ఓడ"" గా పెయింట్ చేయబడింది-ఎయిర్ షోలు మరియు ""లివింగ్ హిస్టరీ"" విమానాల కోసం, 1986 నుండి [4] అక్టోబర్ 2019 వరకు [4] . -83575 1952 వరకు ఎయిర్-సీ రెస్క్యూ విమానంగా పనిచేస్తుంది, ఆమె ఆయుధ-ప్రభావ పరీక్షలో ఒక"&amp;" నమూనాగా ఉపయోగించడానికి ఎయిర్ ఫోర్స్ స్పెషల్ వెపన్స్ కమాండ్‌కు తిరిగి కేటాయించబడింది. ఈ పాత్రలో, ఆపరేషన్ టంబ్లర్ -స్లాపర్‌లో భాగంగా ఆమె మూడు అణు పేలుళ్లకు గురైంది. [5] 13 సంవత్సరాల ""కూల్ డౌన్"" కాలం తరువాత, విమానం స్క్రాప్ కోసం విక్రయించబడింది, [3] US $ "&amp;"269 ధరకు (2020 లో 20 2,209 కు సమానం). [5] 44-83575 సాపేక్షంగా మంచి స్థితిలో ఉన్నందున, ఆమెను ఎయిర్క్రాఫ్ట్ స్పెషాలిటీస్ కంపెనీ [3] పదేళ్ల వ్యవధిలో వాటర్ బాంబర్‌గా ఉపయోగించడానికి గాలికి అవసరమైన స్థితికి పునరుద్ధరించబడింది, 1977 లో 1985 లో ఆమె ఆపరేటర్ యొక్క "&amp;"లిక్విడేషన్ వరకు సేవలోకి ప్రవేశించింది. [5 ] కాలింగ్స్ ఫౌండేషన్ జనవరి 1986 లో ఈ విమానాన్ని కొనుగోలు చేసింది, మరియు టామ్ రీల్లీ వింటేజ్ ఎయిర్క్రాఫ్ట్ చేత యుద్ధకాల ఆకృతీకరణకు ఆమె పునరుద్ధరణ అనేక అవార్డులను గెలుచుకుంది. [3] సివిల్ రిజిస్ట్రేషన్ N93012 ను మోస"&amp;"ుకెళ్ళి, ఈ విమానం తొమ్మిది-ఓ-నైన్‌గా పెయింట్ చేయబడింది (తోకపై ""231909"" తో సహా) మరియు అనేక ఎయిర్‌షోలలో కనిపించింది. [3] ఇది మ్యూజియం యాక్సెస్ యొక్క 2019 ఎపిసోడ్‌లో ప్రదర్శించబడింది, ఇందులో దాని ఇంటీరియర్ యొక్క వివరణాత్మక పర్యటన మరియు విమానంలో విమానం యొక్"&amp;"క వీడియో ఉన్నాయి. ""NL93012"" ప్లకార్డ్ ఇన్స్ట్రుమెంట్ ప్యానెల్‌లో మరియు దాని తోకపై ""231909"" చూడవచ్చు. ఆగష్టు 23, 1987 న, పిట్స్బర్గ్ సమీపంలోని బీవర్ కౌంటీ విమానాశ్రయంలో ల్యాండింగ్ సందర్భంగా N93012 క్రాస్ విండ్స్ చేత పట్టుబడింది. రన్వేలో చాలా దూరం దిగి,"&amp;" విమానం రన్వే చివర నుండి బోల్తా పడింది, కంచె మరియు పవర్ పోల్ ద్వారా క్రాష్ అయ్యింది మరియు 100 అడుగుల (30 మీ) లోయలో విశ్రాంతి తీసుకోవడానికి వచ్చింది. [3] ల్యాండింగ్ గేర్, గడ్డం మరియు బాల్ టర్రెట్స్, బాంబ్ బే తలుపులు, ప్లెక్సిగ్లాస్ ముక్కు, నాసెల్లెస్, రెక్"&amp;"కలు మరియు ఫ్యూజ్‌లేజ్ అన్నీ నిరంతర నష్టం. [3] ఎటువంటి మరణాలు లేవు, అయితే విమానంలో ఉన్న పన్నెండు మందిలో ముగ్గురు గాయపడ్డారు. [6] [7] వాలంటీర్లు మరియు ఎయిర్ హెరిటేజ్ ఎయిర్క్రాఫ్ట్ రిస్టోరేషన్ ఇంక్ యొక్క మరమ్మతు పనులు, విరాళాల మద్దతుతో, N93012 ను తిరిగి గాలి"&amp;"కి తీసుకువచ్చారు. [3] జూలై 9, 1995 న, N93012 మళ్ళీ దెబ్బతింది, ఈసారి నెబ్రాస్కాలోని నార్ఫోక్ సమీపంలో, ఆమె ల్యాండింగ్ గేర్ పూర్తిగా మోహరించదు మరియు ఆమె అత్యవసర ల్యాండింగ్ చేయవలసి వచ్చింది, దీనివల్ల ఫ్యూజ్‌లేజ్ మరియు కనీసం ఒక ప్రొపెల్లర్ అయినా కొంత నష్టం కల"&amp;"ిగించింది. [6 ] అక్టోబర్ 2, 2019 ఉదయం, కనెక్టికట్‌లోని విండ్సర్ లాక్‌లలోని బ్రాడ్లీ అంతర్జాతీయ విమానాశ్రయంలో N93012 క్రాష్ అయ్యింది, టేకాఫ్ తర్వాత కొద్దిసేపటికే తిరిగి రావడానికి ప్రయత్నిస్తుంది. [8] [9] ఈ ప్రమాదంలో ఈ విమానం ధ్వంసమైంది, మరియు బోర్డులో ఉన్న"&amp;" పదమూడు మందిలో ఏడుగురు చంపబడ్డారు. [10] నేషనల్ ట్రాన్స్‌పోర్టేషన్ సేఫ్టీ బోర్డ్ (ఎన్‌టిఎస్‌బి) దర్యాప్తును ప్రారంభించింది, [11] మరియు ఏప్రిల్ 2021 లో పైలట్ లోపం కారణమని పేర్కొంటూ ఒక నివేదికను విడుదల చేసింది, సరిపోని నిర్వహణకు దోహదపడదు. [12]")</f>
        <v>తొమ్మిది-ఓ-నైన్ బోయింగ్ బి -17 జి -30-బో ఫ్లయింగ్ కోట హెవీ బాంబర్, 323 వ బాంబ్ స్క్వాడ్రన్, 91 వ బాంబ్ గ్రూప్, ఇది రెండవ ప్రపంచ యుద్ధంలో 140 పోరాట మిషన్లను పూర్తి చేసింది, ఇది చాలా ఎనిమిదవ వైమానిక దళం రికార్డు అని నమ్ముతారు మిషన్లు, ఆమెను ఎగిరిన సిబ్బందికి నష్టపోకుండా. అక్టోబర్ 2019 లో కనెక్టికట్‌లోని విండ్సర్ లాక్‌లలోని బ్రాడ్లీ అంతర్జాతీయ విమానాశ్రయంలో క్రాష్ అయిన తొమ్మిది-ఓ-నైన్‌ను అనుకరించటానికి పెయింట్ చేయబడిన వేరే B-17G. ఆమె క్రమ సంఖ్య యొక్క చివరి మూడు అంకెలు: 42-31909. తొమ్మిది-ఓ-నైన్‌ను డిసెంబర్ 15, 1943 న యుఎస్‌ఎఎఎఫ్ ఇన్వెంటరీకి చేర్చారు మరియు ఫిబ్రవరి 5, 1944 న విదేశాలకు ఎగిరింది. డిపో సవరణల తరువాత, ఆమె ఫిబ్రవరి 24, 1944 న ఇంగ్లాండ్‌లోని రాఫ్ బాసింగ్‌బోర్న్ వద్ద 91 వ బిజికి పంపిణీ చేయబడింది ఫ్యాక్టరీ-అప్లైడ్ మభ్యపెట్టే పెయింట్‌లో అందుకున్న చివరి B-17 లలో ఒకరైన భర్తీ విమానం. [1] 91 వ బిజి యొక్క మాజీ నావిగేటర్, మారియన్ హాలార్, తన సమూహ చరిత్రలో, తొమ్మిది-ఓ-నైన్ యాంత్రిక కారణాల వల్ల గర్భస్రావం చేయకుండా వరుసగా 126 లేదా 132 మిషన్లను పూర్తి చేసిందని నివేదించింది, రికార్డు అని కూడా నమ్ముతారు. [2] M/sgt. బాంబర్ యొక్క నిర్వహణ లైన్ చీఫ్ రోలిన్ ఎల్. డేవిస్, రికార్డును సాధించడంలో తన పాత్ర కోసం కాంస్య నక్షత్రాన్ని అందుకున్నాడు. ఆమె మొట్టమొదటి బాంబు దాడి ఫిబ్రవరి 25, 1944 న జర్మనీలోని ఆగ్స్‌బర్గ్‌లో జరిగింది. ఆమె బెర్లిన్‌పై 18 బాంబు దాడులు చేసింది. మొత్తం మీద ఆమె 1,129 గంటలు ప్రయాణించి 562,000 ఎల్బి (225 టన్నులు) బాంబులను పడిపోయింది. ఆమెకు 21 ఇంజిన్ మార్పులు, నాలుగు వింగ్ ప్యానెల్ మార్పులు, 15 మెయిన్ గ్యాస్ ట్యాంక్ మార్పులు మరియు టోక్యో ట్యాంకుల 18 మార్పులు (దీర్ఘ-శ్రేణి ఇంధన ట్యాంకులు) ఉన్నాయి. [3] జూన్ 8, 1945 న ఐరోపాలో యుద్ధం ముగిసిన తరువాత తొమ్మిది-ఓ-నైన్ అమెరికాకు తిరిగి వచ్చింది. ఆమెను డిసెంబర్ 7, 1945 న అరిజోనాలోని కింగ్మన్ వద్ద RFC సదుపాయానికి పంపారు మరియు చివరికి రద్దు చేశారు. ది కాలింగ్స్ ఫౌండేషన్ ఆఫ్ స్టో ఆఫ్ స్టో, మసాచుసెట్స్, వేరే బి -17 జిని ఎగిరింది-అసలు తొమ్మిది-ఓ-నైన్‌ను గౌరవించటానికి "నివాళి ఓడ" గా పెయింట్ చేయబడింది-ఎయిర్ షోలు మరియు "లివింగ్ హిస్టరీ" విమానాల కోసం, 1986 నుండి [4] అక్టోబర్ 2019 వరకు [4] . -83575 1952 వరకు ఎయిర్-సీ రెస్క్యూ విమానంగా పనిచేస్తుంది, ఆమె ఆయుధ-ప్రభావ పరీక్షలో ఒక నమూనాగా ఉపయోగించడానికి ఎయిర్ ఫోర్స్ స్పెషల్ వెపన్స్ కమాండ్‌కు తిరిగి కేటాయించబడింది. ఈ పాత్రలో, ఆపరేషన్ టంబ్లర్ -స్లాపర్‌లో భాగంగా ఆమె మూడు అణు పేలుళ్లకు గురైంది. [5] 13 సంవత్సరాల "కూల్ డౌన్" కాలం తరువాత, విమానం స్క్రాప్ కోసం విక్రయించబడింది, [3] US $ 269 ధరకు (2020 లో 20 2,209 కు సమానం). [5] 44-83575 సాపేక్షంగా మంచి స్థితిలో ఉన్నందున, ఆమెను ఎయిర్క్రాఫ్ట్ స్పెషాలిటీస్ కంపెనీ [3] పదేళ్ల వ్యవధిలో వాటర్ బాంబర్‌గా ఉపయోగించడానికి గాలికి అవసరమైన స్థితికి పునరుద్ధరించబడింది, 1977 లో 1985 లో ఆమె ఆపరేటర్ యొక్క లిక్విడేషన్ వరకు సేవలోకి ప్రవేశించింది. [5 ] కాలింగ్స్ ఫౌండేషన్ జనవరి 1986 లో ఈ విమానాన్ని కొనుగోలు చేసింది, మరియు టామ్ రీల్లీ వింటేజ్ ఎయిర్క్రాఫ్ట్ చేత యుద్ధకాల ఆకృతీకరణకు ఆమె పునరుద్ధరణ అనేక అవార్డులను గెలుచుకుంది. [3] సివిల్ రిజిస్ట్రేషన్ N93012 ను మోసుకెళ్ళి, ఈ విమానం తొమ్మిది-ఓ-నైన్‌గా పెయింట్ చేయబడింది (తోకపై "231909" తో సహా) మరియు అనేక ఎయిర్‌షోలలో కనిపించింది. [3] ఇది మ్యూజియం యాక్సెస్ యొక్క 2019 ఎపిసోడ్‌లో ప్రదర్శించబడింది, ఇందులో దాని ఇంటీరియర్ యొక్క వివరణాత్మక పర్యటన మరియు విమానంలో విమానం యొక్క వీడియో ఉన్నాయి. "NL93012" ప్లకార్డ్ ఇన్స్ట్రుమెంట్ ప్యానెల్‌లో మరియు దాని తోకపై "231909" చూడవచ్చు. ఆగష్టు 23, 1987 న, పిట్స్బర్గ్ సమీపంలోని బీవర్ కౌంటీ విమానాశ్రయంలో ల్యాండింగ్ సందర్భంగా N93012 క్రాస్ విండ్స్ చేత పట్టుబడింది. రన్వేలో చాలా దూరం దిగి, విమానం రన్వే చివర నుండి బోల్తా పడింది, కంచె మరియు పవర్ పోల్ ద్వారా క్రాష్ అయ్యింది మరియు 100 అడుగుల (30 మీ) లోయలో విశ్రాంతి తీసుకోవడానికి వచ్చింది. [3] ల్యాండింగ్ గేర్, గడ్డం మరియు బాల్ టర్రెట్స్, బాంబ్ బే తలుపులు, ప్లెక్సిగ్లాస్ ముక్కు, నాసెల్లెస్, రెక్కలు మరియు ఫ్యూజ్‌లేజ్ అన్నీ నిరంతర నష్టం. [3] ఎటువంటి మరణాలు లేవు, అయితే విమానంలో ఉన్న పన్నెండు మందిలో ముగ్గురు గాయపడ్డారు. [6] [7] వాలంటీర్లు మరియు ఎయిర్ హెరిటేజ్ ఎయిర్క్రాఫ్ట్ రిస్టోరేషన్ ఇంక్ యొక్క మరమ్మతు పనులు, విరాళాల మద్దతుతో, N93012 ను తిరిగి గాలికి తీసుకువచ్చారు. [3] జూలై 9, 1995 న, N93012 మళ్ళీ దెబ్బతింది, ఈసారి నెబ్రాస్కాలోని నార్ఫోక్ సమీపంలో, ఆమె ల్యాండింగ్ గేర్ పూర్తిగా మోహరించదు మరియు ఆమె అత్యవసర ల్యాండింగ్ చేయవలసి వచ్చింది, దీనివల్ల ఫ్యూజ్‌లేజ్ మరియు కనీసం ఒక ప్రొపెల్లర్ అయినా కొంత నష్టం కలిగించింది. [6 ] అక్టోబర్ 2, 2019 ఉదయం, కనెక్టికట్‌లోని విండ్సర్ లాక్‌లలోని బ్రాడ్లీ అంతర్జాతీయ విమానాశ్రయంలో N93012 క్రాష్ అయ్యింది, టేకాఫ్ తర్వాత కొద్దిసేపటికే తిరిగి రావడానికి ప్రయత్నిస్తుంది. [8] [9] ఈ ప్రమాదంలో ఈ విమానం ధ్వంసమైంది, మరియు బోర్డులో ఉన్న పదమూడు మందిలో ఏడుగురు చంపబడ్డారు. [10] నేషనల్ ట్రాన్స్‌పోర్టేషన్ సేఫ్టీ బోర్డ్ (ఎన్‌టిఎస్‌బి) దర్యాప్తును ప్రారంభించింది, [11] మరియు ఏప్రిల్ 2021 లో పైలట్ లోపం కారణమని పేర్కొంటూ ఒక నివేదికను విడుదల చేసింది, సరిపోని నిర్వహణకు దోహదపడదు. [12]</v>
      </c>
      <c r="E150" s="1" t="s">
        <v>2726</v>
      </c>
      <c r="G150" s="1" t="str">
        <f>IFERROR(__xludf.DUMMYFUNCTION("GOOGLETRANSLATE(F:F, ""en"", ""te"")"),"#VALUE!")</f>
        <v>#VALUE!</v>
      </c>
      <c r="I150" s="1" t="s">
        <v>2727</v>
      </c>
      <c r="J150" s="1" t="str">
        <f>IFERROR(__xludf.DUMMYFUNCTION("GOOGLETRANSLATE(I:I, ""en"", ""te"")"),"బోయింగ్ విమానం కంపెనీ")</f>
        <v>బోయింగ్ విమానం కంపెనీ</v>
      </c>
      <c r="K150" s="1" t="s">
        <v>2728</v>
      </c>
      <c r="M150" s="2"/>
      <c r="BW150" s="1" t="s">
        <v>2729</v>
      </c>
      <c r="BX150" s="1" t="s">
        <v>2730</v>
      </c>
      <c r="CW150" s="1" t="s">
        <v>2731</v>
      </c>
      <c r="CX150" s="1" t="s">
        <v>2732</v>
      </c>
      <c r="CZ150" s="1" t="s">
        <v>2733</v>
      </c>
      <c r="DC150" s="1">
        <v>7023.0</v>
      </c>
      <c r="DF150" s="1" t="s">
        <v>2734</v>
      </c>
      <c r="DM150" s="7">
        <v>16055.0</v>
      </c>
      <c r="DN150" s="1" t="s">
        <v>2735</v>
      </c>
    </row>
    <row r="151">
      <c r="A151" s="1" t="s">
        <v>2736</v>
      </c>
      <c r="B151" s="1" t="str">
        <f>IFERROR(__xludf.DUMMYFUNCTION("GOOGLETRANSLATE(A:A, ""en"", ""te"")"),"వాయుమార్గాన టి-లైట్")</f>
        <v>వాయుమార్గాన టి-లైట్</v>
      </c>
      <c r="C151" s="1" t="s">
        <v>2737</v>
      </c>
      <c r="D151" s="2" t="str">
        <f>IFERROR(__xludf.DUMMYFUNCTION("GOOGLETRANSLATE(C:C, ""en"", ""te"")"),"ఎయిర్బోర్న్ టి-లైట్ ఒక ఆస్ట్రేలియన్ అల్ట్రాలైట్ ట్రైక్, ఇది న్యూ సౌత్ వేల్స్లోని రెడ్ హెడ్ యొక్క వాయుమార్గాన విండ్ స్పోర్ట్స్ చేత రూపొందించబడింది మరియు నిర్మించింది. విమానం పూర్తి రెడీ-టు-ఫ్లై-ఎయిర్‌క్రాఫ్ట్‌గా సరఫరా చేయబడుతుంది. [1] టి-లైట్ క్రాస్ కంట్రీ"&amp;" శక్తితో కూడిన విమానం మరియు స్వీయ-లాంచింగ్ మోటార్ గ్లైడర్‌గా రూపొందించబడింది. ఈ విమానం ఫెడరేషన్ ఏరోనటిక్ ఇంటర్నేషనల్ మైక్రోలైట్ కేటగిరీతో పాటు యుఎస్ ఫార్ 103 అల్ట్రాలైట్ వెహికల్స్ నిబంధనలకు అనుగుణంగా రూపొందించబడింది. ఇది కేబుల్-బ్రేస్డ్ హాంగ్ గ్లైడర్-స్టై"&amp;"ల్ హై-వింగ్, వెయిట్-షిఫ్ట్ కంట్రోల్స్, సింగిల్-సీట్ల ఓపెన్ కాక్‌పిట్, ట్రైసైకిల్ ల్యాండింగ్ గేర్ మరియు పషర్ కాన్ఫిగరేషన్‌లో ఒకే ఇంజిన్ కలిగి ఉంది. [1] ఈ విమానం బోల్ట్-టుగెథర్ అల్యూమినియం గొట్టాల నుండి తయారవుతుంది, దాని డబుల్ ఉపరితల వాయుమార్గాన కోర్ వింగ్ "&amp;"డాక్రాన్ సెయిల్‌క్లాత్‌లో కప్పబడి ఉంటుంది, పై ఉపరితలం మైలార్ పిఎక్స్ వస్త్రంలో పూర్తయింది. 9.5 మీ (31.2 అడుగులు) స్పాన్ కోర్ వింగ్‌కు ఒకే ట్యూబ్-రకం కింగ్‌పోస్ట్ మద్దతు ఇస్తుంది మరియు ""ఫ్రేమ్ వెయిట్-షిఫ్ట్ కంట్రోల్ బార్‌ను ఉపయోగిస్తుంది. పవర్‌ప్లాంట్ ఒక "&amp;"ఉద్దేశ్య-రూపకల్పన, సింగిల్ సిలిండర్, ఎయిర్-కూల్డ్, ఫోర్-స్ట్రోక్, 22 హెచ్‌పి (16 కిలోవాట్) బెయిలీ బి 200 ఇంజిన్, ఎలక్ట్రిక్ ప్రారంభం మరియు 3.2: 1 తగ్గింపు డ్రైవ్. ఈ విమానం ఖాళీ బరువు 90 కిలోల (198 పౌండ్లు) మరియు స్థూల బరువు 210 కిలోల (463 ఎల్బి), ఇది 120 "&amp;"కిలోల (265 పౌండ్లు) ఉపయోగకరమైన లోడ్‌ను ఇస్తుంది. 10 లీటర్ల పూర్తి ఇంధనంతో (2.2 ఇంప్ గల్; 2.6 యుఎస్ గాల్) పేలోడ్ 113 కిలోలు (249 ఎల్బి). అనుమతించబడిన పైలట్ బరువు పరిధి 50 నుండి 110 కిలోలు (110 నుండి 243 పౌండ్లు). [1] [2] టి-లైట్ భూమి రవాణా కోసం త్వరగా విడద"&amp;"ీయడానికి రూపొందించబడింది. 10 లీటర్లు (2.2 ఇంప్ గల్; 2.6 యుఎస్ గాల్) ఇంధన ట్యాంక్ పైలట్ సీటు వెనుక ఉంది మరియు ఇంధనం నింపడానికి విమానం నుండి స్వతంత్రంగా రవాణా చేయడానికి త్వరగా డిస్‌కనెక్ట్ చేయవచ్చు. [1] బేయర్ల్ మరియు వాయుమార్గాన విండ్‌స్పోర్ట్స్ నుండి డేటా "&amp;"[1] [2] సాధారణ లక్షణాల పనితీరు")</f>
        <v>ఎయిర్బోర్న్ టి-లైట్ ఒక ఆస్ట్రేలియన్ అల్ట్రాలైట్ ట్రైక్, ఇది న్యూ సౌత్ వేల్స్లోని రెడ్ హెడ్ యొక్క వాయుమార్గాన విండ్ స్పోర్ట్స్ చేత రూపొందించబడింది మరియు నిర్మించింది. విమానం పూర్తి రెడీ-టు-ఫ్లై-ఎయిర్‌క్రాఫ్ట్‌గా సరఫరా చేయబడుతుంది. [1] టి-లైట్ క్రాస్ కంట్రీ శక్తితో కూడిన విమానం మరియు స్వీయ-లాంచింగ్ మోటార్ గ్లైడర్‌గా రూపొందించబడింది. ఈ విమానం ఫెడరేషన్ ఏరోనటిక్ ఇంటర్నేషనల్ మైక్రోలైట్ కేటగిరీతో పాటు యుఎస్ ఫార్ 103 అల్ట్రాలైట్ వెహికల్స్ నిబంధనలకు అనుగుణంగా రూపొందించబడింది. ఇది కేబుల్-బ్రేస్డ్ హాంగ్ గ్లైడర్-స్టైల్ హై-వింగ్, వెయిట్-షిఫ్ట్ కంట్రోల్స్, సింగిల్-సీట్ల ఓపెన్ కాక్‌పిట్, ట్రైసైకిల్ ల్యాండింగ్ గేర్ మరియు పషర్ కాన్ఫిగరేషన్‌లో ఒకే ఇంజిన్ కలిగి ఉంది. [1] ఈ విమానం బోల్ట్-టుగెథర్ అల్యూమినియం గొట్టాల నుండి తయారవుతుంది, దాని డబుల్ ఉపరితల వాయుమార్గాన కోర్ వింగ్ డాక్రాన్ సెయిల్‌క్లాత్‌లో కప్పబడి ఉంటుంది, పై ఉపరితలం మైలార్ పిఎక్స్ వస్త్రంలో పూర్తయింది. 9.5 మీ (31.2 అడుగులు) స్పాన్ కోర్ వింగ్‌కు ఒకే ట్యూబ్-రకం కింగ్‌పోస్ట్ మద్దతు ఇస్తుంది మరియు "ఫ్రేమ్ వెయిట్-షిఫ్ట్ కంట్రోల్ బార్‌ను ఉపయోగిస్తుంది. పవర్‌ప్లాంట్ ఒక ఉద్దేశ్య-రూపకల్పన, సింగిల్ సిలిండర్, ఎయిర్-కూల్డ్, ఫోర్-స్ట్రోక్, 22 హెచ్‌పి (16 కిలోవాట్) బెయిలీ బి 200 ఇంజిన్, ఎలక్ట్రిక్ ప్రారంభం మరియు 3.2: 1 తగ్గింపు డ్రైవ్. ఈ విమానం ఖాళీ బరువు 90 కిలోల (198 పౌండ్లు) మరియు స్థూల బరువు 210 కిలోల (463 ఎల్బి), ఇది 120 కిలోల (265 పౌండ్లు) ఉపయోగకరమైన లోడ్‌ను ఇస్తుంది. 10 లీటర్ల పూర్తి ఇంధనంతో (2.2 ఇంప్ గల్; 2.6 యుఎస్ గాల్) పేలోడ్ 113 కిలోలు (249 ఎల్బి). అనుమతించబడిన పైలట్ బరువు పరిధి 50 నుండి 110 కిలోలు (110 నుండి 243 పౌండ్లు). [1] [2] టి-లైట్ భూమి రవాణా కోసం త్వరగా విడదీయడానికి రూపొందించబడింది. 10 లీటర్లు (2.2 ఇంప్ గల్; 2.6 యుఎస్ గాల్) ఇంధన ట్యాంక్ పైలట్ సీటు వెనుక ఉంది మరియు ఇంధనం నింపడానికి విమానం నుండి స్వతంత్రంగా రవాణా చేయడానికి త్వరగా డిస్‌కనెక్ట్ చేయవచ్చు. [1] బేయర్ల్ మరియు వాయుమార్గాన విండ్‌స్పోర్ట్స్ నుండి డేటా [1] [2] సాధారణ లక్షణాల పనితీరు</v>
      </c>
      <c r="F151" s="1" t="s">
        <v>300</v>
      </c>
      <c r="G151" s="1" t="str">
        <f>IFERROR(__xludf.DUMMYFUNCTION("GOOGLETRANSLATE(F:F, ""en"", ""te"")"),"అల్ట్రాలైట్ ట్రైక్")</f>
        <v>అల్ట్రాలైట్ ట్రైక్</v>
      </c>
      <c r="H151" s="1" t="s">
        <v>301</v>
      </c>
      <c r="I151" s="1" t="s">
        <v>2738</v>
      </c>
      <c r="J151" s="1" t="str">
        <f>IFERROR(__xludf.DUMMYFUNCTION("GOOGLETRANSLATE(I:I, ""en"", ""te"")"),"వాయుమార్గాన విండ్‌స్పోర్ట్స్")</f>
        <v>వాయుమార్గాన విండ్‌స్పోర్ట్స్</v>
      </c>
      <c r="K151" s="1" t="s">
        <v>2739</v>
      </c>
      <c r="M151" s="2"/>
      <c r="R151" s="1" t="s">
        <v>222</v>
      </c>
      <c r="T151" s="1" t="s">
        <v>2740</v>
      </c>
      <c r="U151" s="1" t="s">
        <v>2741</v>
      </c>
      <c r="V151" s="1" t="s">
        <v>306</v>
      </c>
      <c r="W151" s="1" t="s">
        <v>2742</v>
      </c>
      <c r="X151" s="1" t="s">
        <v>1240</v>
      </c>
      <c r="Z151" s="1" t="s">
        <v>2743</v>
      </c>
      <c r="AA151" s="1" t="s">
        <v>518</v>
      </c>
      <c r="AB151" s="1" t="s">
        <v>2744</v>
      </c>
      <c r="AC151" s="1" t="s">
        <v>2745</v>
      </c>
      <c r="AD151" s="1" t="s">
        <v>2746</v>
      </c>
      <c r="AF151" s="1" t="s">
        <v>259</v>
      </c>
      <c r="AG151" s="4" t="s">
        <v>260</v>
      </c>
      <c r="AI151" s="1" t="s">
        <v>2747</v>
      </c>
      <c r="AK151" s="1" t="s">
        <v>2748</v>
      </c>
      <c r="AM151" s="1" t="s">
        <v>2749</v>
      </c>
      <c r="AR151" s="1" t="s">
        <v>2750</v>
      </c>
      <c r="AS151" s="1" t="s">
        <v>570</v>
      </c>
      <c r="AT151" s="1" t="s">
        <v>2751</v>
      </c>
      <c r="AW151" s="1">
        <v>7.82</v>
      </c>
      <c r="BH151" s="1" t="s">
        <v>2746</v>
      </c>
    </row>
    <row r="152">
      <c r="A152" s="1" t="s">
        <v>2752</v>
      </c>
      <c r="B152" s="1" t="str">
        <f>IFERROR(__xludf.DUMMYFUNCTION("GOOGLETRANSLATE(A:A, ""en"", ""te"")"),"ఎయిర్బ్రిడ్జ్ ఫ్రీగాట్-హైడ్రో")</f>
        <v>ఎయిర్బ్రిడ్జ్ ఫ్రీగాట్-హైడ్రో</v>
      </c>
      <c r="C152" s="1" t="s">
        <v>2753</v>
      </c>
      <c r="D152" s="2" t="str">
        <f>IFERROR(__xludf.DUMMYFUNCTION("GOOGLETRANSLATE(C:C, ""en"", ""te"")"),"ఎయిర్బ్రిడ్జ్ ఫ్రీగాట్-హైడ్రో ఒక రష్యన్ సీప్లేన్ అల్ట్రాలైట్ ట్రైక్, దీనిని మాస్కోకు చెందిన ఎయిర్బ్రిడ్జ్ రూపొందించి ఉత్పత్తి చేసింది. విమానం పూర్తి రెడీ-టు-ఫ్లై-ఎయిర్‌క్రాఫ్ట్‌గా సరఫరా చేయబడుతుంది. [1] ఫ్రీగాట్-హైడ్రో ఫెడరేషన్ Aéronautique ఇంటర్నేషనల్ మై"&amp;"క్రోలైట్ వర్గానికి అనుగుణంగా రూపొందించబడింది. ఇది కేబుల్-బ్రేస్డ్ హాంగ్ గ్లైడర్-స్టైల్ హై-వింగ్, వెయిట్-షిఫ్ట్ కంట్రోల్స్, రెండు-సీట్ల-టెన్డం ఓపెన్ కాక్‌పిట్, జంట గాలితో కూడిన ఫ్లోట్లు మరియు పషర్ కాన్ఫిగరేషన్‌లో ఒకే ఇంజిన్ కలిగి ఉంది. [1] ఫ్రీగాట్-హైడ్రోన"&amp;"ు బోల్ట్-టుగెథర్ అల్యూమినియం గొట్టాల నుండి తయారు చేస్తారు, దాని డబుల్ ఉపరితల వింగ్ డాక్రాన్ సెయిల్‌క్లాత్‌లో కప్పబడి ఉంటుంది. దీని 9.28 మీ (30.4 అడుగులు) స్పాన్ వింగ్‌కు ఒకే ట్యూబ్-రకం కింగ్‌పోస్ట్ మద్దతు ఇస్తుంది మరియు ""ఎ"" ఫ్రేమ్ వెయిట్-షిఫ్ట్ కంట్రోల్"&amp;" బార్‌ను ఉపయోగిస్తుంది. ఇటీవలి మోడళ్లలో పవర్‌ప్లాంట్ సవరించిన లిక్విడ్-కూల్డ్, ఫోర్-స్ట్రోక్, 80 హెచ్‌పి (60 కిలోవాట్) సుజుకి ఆటోమోటివ్ ఇంజిన్. ఈ విమానం ఖాళీ బరువు 230 కిలోలు (507 పౌండ్లు) మరియు స్థూల బరువు 500 కిలోలు (1,102 పౌండ్లు), ఇది 270 కిలోల (595 ఎ"&amp;"ల్బి) ఉపయోగకరమైన లోడ్ ఇస్తుంది. 33 లీటర్ల పూర్తి ఇంధనంతో (7.3 ఇంప్ గల్; 8.7 యుఎస్ గాల్) పేలోడ్ 246 కిలోలు (542 ఎల్బి). [1] బేయర్ల్ నుండి డేటా [1] సాధారణ లక్షణాల పనితీరు")</f>
        <v>ఎయిర్బ్రిడ్జ్ ఫ్రీగాట్-హైడ్రో ఒక రష్యన్ సీప్లేన్ అల్ట్రాలైట్ ట్రైక్, దీనిని మాస్కోకు చెందిన ఎయిర్బ్రిడ్జ్ రూపొందించి ఉత్పత్తి చేసింది. విమానం పూర్తి రెడీ-టు-ఫ్లై-ఎయిర్‌క్రాఫ్ట్‌గా సరఫరా చేయబడుతుంది. [1] ఫ్రీగాట్-హైడ్రో ఫెడరేషన్ Aéronautique ఇంటర్నేషనల్ మైక్రోలైట్ వర్గానికి అనుగుణంగా రూపొందించబడింది. ఇది కేబుల్-బ్రేస్డ్ హాంగ్ గ్లైడర్-స్టైల్ హై-వింగ్, వెయిట్-షిఫ్ట్ కంట్రోల్స్, రెండు-సీట్ల-టెన్డం ఓపెన్ కాక్‌పిట్, జంట గాలితో కూడిన ఫ్లోట్లు మరియు పషర్ కాన్ఫిగరేషన్‌లో ఒకే ఇంజిన్ కలిగి ఉంది. [1] ఫ్రీగాట్-హైడ్రోను బోల్ట్-టుగెథర్ అల్యూమినియం గొట్టాల నుండి తయారు చేస్తారు, దాని డబుల్ ఉపరితల వింగ్ డాక్రాన్ సెయిల్‌క్లాత్‌లో కప్పబడి ఉంటుంది. దీని 9.28 మీ (30.4 అడుగులు) స్పాన్ వింగ్‌కు ఒకే ట్యూబ్-రకం కింగ్‌పోస్ట్ మద్దతు ఇస్తుంది మరియు "ఎ" ఫ్రేమ్ వెయిట్-షిఫ్ట్ కంట్రోల్ బార్‌ను ఉపయోగిస్తుంది. ఇటీవలి మోడళ్లలో పవర్‌ప్లాంట్ సవరించిన లిక్విడ్-కూల్డ్, ఫోర్-స్ట్రోక్, 80 హెచ్‌పి (60 కిలోవాట్) సుజుకి ఆటోమోటివ్ ఇంజిన్. ఈ విమానం ఖాళీ బరువు 230 కిలోలు (507 పౌండ్లు) మరియు స్థూల బరువు 500 కిలోలు (1,102 పౌండ్లు), ఇది 270 కిలోల (595 ఎల్బి) ఉపయోగకరమైన లోడ్ ఇస్తుంది. 33 లీటర్ల పూర్తి ఇంధనంతో (7.3 ఇంప్ గల్; 8.7 యుఎస్ గాల్) పేలోడ్ 246 కిలోలు (542 ఎల్బి). [1] బేయర్ల్ నుండి డేటా [1] సాధారణ లక్షణాల పనితీరు</v>
      </c>
      <c r="F152" s="1" t="s">
        <v>300</v>
      </c>
      <c r="G152" s="1" t="str">
        <f>IFERROR(__xludf.DUMMYFUNCTION("GOOGLETRANSLATE(F:F, ""en"", ""te"")"),"అల్ట్రాలైట్ ట్రైక్")</f>
        <v>అల్ట్రాలైట్ ట్రైక్</v>
      </c>
      <c r="H152" s="1" t="s">
        <v>301</v>
      </c>
      <c r="I152" s="1" t="s">
        <v>2754</v>
      </c>
      <c r="J152" s="1" t="str">
        <f>IFERROR(__xludf.DUMMYFUNCTION("GOOGLETRANSLATE(I:I, ""en"", ""te"")"),"ఎయిర్బ్రిడ్జ్")</f>
        <v>ఎయిర్బ్రిడ్జ్</v>
      </c>
      <c r="K152" s="4" t="s">
        <v>2755</v>
      </c>
      <c r="M152" s="2"/>
      <c r="R152" s="1" t="s">
        <v>222</v>
      </c>
      <c r="S152" s="1" t="s">
        <v>250</v>
      </c>
      <c r="U152" s="1" t="s">
        <v>2756</v>
      </c>
      <c r="V152" s="1" t="s">
        <v>2757</v>
      </c>
      <c r="W152" s="1" t="s">
        <v>2758</v>
      </c>
      <c r="X152" s="1" t="s">
        <v>459</v>
      </c>
      <c r="Z152" s="1" t="s">
        <v>2759</v>
      </c>
      <c r="AA152" s="1" t="s">
        <v>566</v>
      </c>
      <c r="AB152" s="1" t="s">
        <v>2635</v>
      </c>
      <c r="AD152" s="1" t="s">
        <v>2760</v>
      </c>
      <c r="AF152" s="1" t="s">
        <v>448</v>
      </c>
      <c r="AG152" s="4" t="s">
        <v>449</v>
      </c>
      <c r="AK152" s="1" t="s">
        <v>2761</v>
      </c>
      <c r="AL152" s="1" t="s">
        <v>1228</v>
      </c>
      <c r="AR152" s="1" t="s">
        <v>2762</v>
      </c>
      <c r="AS152" s="1" t="s">
        <v>570</v>
      </c>
      <c r="AU152" s="1" t="s">
        <v>2763</v>
      </c>
    </row>
    <row r="153">
      <c r="A153" s="1" t="s">
        <v>2764</v>
      </c>
      <c r="B153" s="1" t="str">
        <f>IFERROR(__xludf.DUMMYFUNCTION("GOOGLETRANSLATE(A:A, ""en"", ""te"")"),"హైపర్‌మాచ్ సోనిక్‌స్టార్")</f>
        <v>హైపర్‌మాచ్ సోనిక్‌స్టార్</v>
      </c>
      <c r="C153" s="1" t="s">
        <v>2765</v>
      </c>
      <c r="D153" s="2" t="str">
        <f>IFERROR(__xludf.DUMMYFUNCTION("GOOGLETRANSLATE(C:C, ""en"", ""te"")"),"హైపర్‌స్టార్ అనేది హైపర్‌మాచ్ [1] సిఇఒ రిచర్డ్ హెచ్. లగ్ చేత రూపొందించబడిన ప్రతిపాదిత సూపర్సోనిక్ జెట్ విమానాలు. [2] అబుదాబిలో జరిగిన గ్లోబల్ ఏరోస్పేస్ సమ్మిట్‌లో 2016 ఆల్టిట్యూడ్స్ ఏవియేషన్ ఇంటర్వ్యూలో మరియు 2014 ప్రదర్శనలో, జూన్ 2028 నాటికి హైపర్సోనిక్ "&amp;"ట్రాన్స్‌పోర్ట్ ఎయిర్‌బోర్న్‌ను కలిగి ఉండాలని యోచిస్తున్నట్లు లగ్ చెప్పారు. [2] హైపర్ స్టార్ మాక్ నంబర్ 3.6 (2,375 mph (3,822 కిమీ/గం)) [2] వరకు వేగవంతం అవుతుందని మరియు 80,000 అడుగుల (24,380 మీ) ఎత్తులో ఎగురుతుందని భావిస్తున్నారు. [3] దాని ప్రొపల్షన్ రోల్"&amp;"స్ రాయిస్/స్నెక్మా ఒలింపస్ 593 ఇంజిన్ కంటే 30 శాతం ఎక్కువ ఇంధన సామర్థ్యం కలిగి ఉంటుందని అంచనా. [3] Ot హాజనితంగా, హైపర్‌స్టార్ కాంకోర్డ్ వేగం కంటే మూడు రెట్లు వేగంగా ఎగురుతుంది. [2] ఇది రెండు ఇంజనీరింగ్ 157,700 థ్రస్ట్ సోనిక్‌బ్లూ హైస్క్రామ్ (హైపర్సోనిక్ స"&amp;"ూపర్ కండక్టింగ్ దహన రామ్ యాక్సిలరేటెడ్ మాగ్నెటోహైడ్రోడైనమిక్ డ్రైవ్ [3]) హైబ్రిడ్ హైపర్సోనిక్ 6500-x సిరీస్ ఇంజన్ల ద్వారా శక్తినివ్వాలని ప్రణాళిక చేయబడింది. [4] ప్రస్తుతం అభివృద్ధిలో ఉన్న విద్యుదయస్కాంత డ్రాగ్ రిడక్షన్ టెక్నాలజీ ద్వారా సోనిక్ బూమ్ భూమిపై "&amp;"తొలగించబడుతుందని భావిస్తున్నారు. [3] ప్రతిపాదిత హైపర్ స్టార్ 10 నుండి 20 [3] ""లగ్జరీ"" ప్రయాణీకులను తీసుకువెళుతుంది. [2] ఈ విమానం సంబంధిత వ్యాసం ఒక స్టబ్. వికీపీడియా విస్తరించడం ద్వారా మీరు సహాయపడవచ్చు.")</f>
        <v>హైపర్‌స్టార్ అనేది హైపర్‌మాచ్ [1] సిఇఒ రిచర్డ్ హెచ్. లగ్ చేత రూపొందించబడిన ప్రతిపాదిత సూపర్సోనిక్ జెట్ విమానాలు. [2] అబుదాబిలో జరిగిన గ్లోబల్ ఏరోస్పేస్ సమ్మిట్‌లో 2016 ఆల్టిట్యూడ్స్ ఏవియేషన్ ఇంటర్వ్యూలో మరియు 2014 ప్రదర్శనలో, జూన్ 2028 నాటికి హైపర్సోనిక్ ట్రాన్స్‌పోర్ట్ ఎయిర్‌బోర్న్‌ను కలిగి ఉండాలని యోచిస్తున్నట్లు లగ్ చెప్పారు. [2] హైపర్ స్టార్ మాక్ నంబర్ 3.6 (2,375 mph (3,822 కిమీ/గం)) [2] వరకు వేగవంతం అవుతుందని మరియు 80,000 అడుగుల (24,380 మీ) ఎత్తులో ఎగురుతుందని భావిస్తున్నారు. [3] దాని ప్రొపల్షన్ రోల్స్ రాయిస్/స్నెక్మా ఒలింపస్ 593 ఇంజిన్ కంటే 30 శాతం ఎక్కువ ఇంధన సామర్థ్యం కలిగి ఉంటుందని అంచనా. [3] Ot హాజనితంగా, హైపర్‌స్టార్ కాంకోర్డ్ వేగం కంటే మూడు రెట్లు వేగంగా ఎగురుతుంది. [2] ఇది రెండు ఇంజనీరింగ్ 157,700 థ్రస్ట్ సోనిక్‌బ్లూ హైస్క్రామ్ (హైపర్సోనిక్ సూపర్ కండక్టింగ్ దహన రామ్ యాక్సిలరేటెడ్ మాగ్నెటోహైడ్రోడైనమిక్ డ్రైవ్ [3]) హైబ్రిడ్ హైపర్సోనిక్ 6500-x సిరీస్ ఇంజన్ల ద్వారా శక్తినివ్వాలని ప్రణాళిక చేయబడింది. [4] ప్రస్తుతం అభివృద్ధిలో ఉన్న విద్యుదయస్కాంత డ్రాగ్ రిడక్షన్ టెక్నాలజీ ద్వారా సోనిక్ బూమ్ భూమిపై తొలగించబడుతుందని భావిస్తున్నారు. [3] ప్రతిపాదిత హైపర్ స్టార్ 10 నుండి 20 [3] "లగ్జరీ" ప్రయాణీకులను తీసుకువెళుతుంది. [2] ఈ విమానం సంబంధిత వ్యాసం ఒక స్టబ్. వికీపీడియా విస్తరించడం ద్వారా మీరు సహాయపడవచ్చు.</v>
      </c>
      <c r="F153" s="1" t="s">
        <v>2766</v>
      </c>
      <c r="G153" s="1" t="str">
        <f>IFERROR(__xludf.DUMMYFUNCTION("GOOGLETRANSLATE(F:F, ""en"", ""te"")"),"హైపర్సోనిక్ ప్రయాణీకుల రవాణా")</f>
        <v>హైపర్సోనిక్ ప్రయాణీకుల రవాణా</v>
      </c>
      <c r="I153" s="1" t="s">
        <v>2767</v>
      </c>
      <c r="J153" s="1" t="str">
        <f>IFERROR(__xludf.DUMMYFUNCTION("GOOGLETRANSLATE(I:I, ""en"", ""te"")"),"హైపర్‌మాచ్ ఏరోస్పేస్ ఇండస్ట్రీస్")</f>
        <v>హైపర్‌మాచ్ ఏరోస్పేస్ ఇండస్ట్రీస్</v>
      </c>
      <c r="L153" s="1" t="s">
        <v>2768</v>
      </c>
      <c r="M153" s="2" t="str">
        <f>IFERROR(__xludf.DUMMYFUNCTION("GOOGLETRANSLATE(L:L, ""en"", ""te"")"),"హైపర్‌మాచ్")</f>
        <v>హైపర్‌మాచ్</v>
      </c>
      <c r="O153" s="1">
        <v>0.0</v>
      </c>
      <c r="AP153" s="1" t="s">
        <v>2769</v>
      </c>
      <c r="AQ153" s="4" t="s">
        <v>2770</v>
      </c>
      <c r="AS153" s="1" t="s">
        <v>2771</v>
      </c>
      <c r="AX153" s="1" t="s">
        <v>2772</v>
      </c>
      <c r="BJ153" s="1">
        <v>80.0</v>
      </c>
    </row>
    <row r="154">
      <c r="A154" s="1" t="s">
        <v>2773</v>
      </c>
      <c r="B154" s="1" t="str">
        <f>IFERROR(__xludf.DUMMYFUNCTION("GOOGLETRANSLATE(A:A, ""en"", ""te"")"),"అపోలో జెట్ స్టార్")</f>
        <v>అపోలో జెట్ స్టార్</v>
      </c>
      <c r="C154" s="1" t="s">
        <v>2774</v>
      </c>
      <c r="D154" s="2" t="str">
        <f>IFERROR(__xludf.DUMMYFUNCTION("GOOGLETRANSLATE(C:C, ""en"", ""te"")"),"అపోలో జెట్ స్టార్ హంగేరియన్ అల్ట్రాలైట్ ట్రైక్, ఇది ఎజెర్ యొక్క అపోలో అల్ట్రాలైట్ విమానం రూపొందించింది మరియు ఉత్పత్తి చేస్తుంది. ఈ విమానం te త్సాహిక నిర్మాణానికి కిట్‌గా లేదా పూర్తి రెడీ-టు-ఫ్లై-ఎయిర్‌క్రాఫ్ట్‌గా సరఫరా చేయబడుతుంది. [1] జెట్ స్టార్ ఫెడరేషన"&amp;"్ ఏరోనటిక్ ఇంటర్నేషనల్ మైక్రోలైట్ వర్గంతో పాటు యుఎస్ లైట్-స్పోర్ట్ ఎయిర్క్రాఫ్ట్ వర్గానికి అనుగుణంగా రూపొందించబడింది. ఇది కేబుల్-బ్రేస్డ్ లేదా స్ట్రట్-బ్రేస్డ్ హాంగ్ గ్లైడర్-స్టైల్ హై-వింగ్, వెయిట్-షిఫ్ట్ కంట్రోల్స్, రెండు-సీట్ల-టెన్డం, ఓపెన్ కాక్‌పిట్, వ"&amp;"ీల్ ప్యాంటుతో ట్రైసైకిల్ ల్యాండింగ్ గేర్ మరియు పషర్ కాన్ఫిగరేషన్‌లో సింగిల్ ఇంజిన్‌ను కలిగి ఉంది. [[[ 1] జెట్ స్టార్ అమెరికాలో ప్రయోగాత్మక మరియు ప్రత్యేక లైట్-స్పోర్ట్ విమానాల వలె అంగీకరించబడింది. [2] ఈ విమానం బోల్ట్-టుగెథర్ అల్యూమినియం గొట్టాల నుండి తయార"&amp;"వుతుంది, దాని డబుల్ ఉపరితల వింగ్ డాక్రాన్ సెయిల్‌క్లాత్‌లో కప్పబడి ఉంటుంది. విమానం ""ఎ"" ఫ్రేమ్ వెయిట్-షిఫ్ట్ కంట్రోల్ బార్‌ను ఉపయోగిస్తుంది. ప్రధాన ల్యాండింగ్ గేర్ అపోలో డెల్టా జెట్ సిరీస్‌లో ఉపయోగించిన ఆకు-రకం సస్పెన్షన్ కాకుండా స్ట్రట్-టైప్ సస్పెన్షన్‌"&amp;"ను ఉపయోగిస్తుంది. పవర్‌ప్లాంట్ ఎంపికలలో ట్విన్ సిలిండర్, లిక్విడ్-కూల్డ్, టూ-స్ట్రోక్, డ్యూయల్-ఇగ్నిషన్ 64 హెచ్‌పి (48 కిలోవాట్ kW) రోటాక్స్ 912 లేదా 100 హెచ్‌పి (75 kW) రోటాక్స్ 912S ఇంజిన్. [1] ఈ విమానం ఖాళీ బరువు 180 కిలోల (397 పౌండ్లు) మరియు స్థూల బరు"&amp;"వు 430 కిలోలు (948 పౌండ్లు), ఇది 250 కిలోల (551 పౌండ్లు) ఉపయోగకరమైన లోడ్ ఇస్తుంది. 45 లీటర్ల పూర్తి ఇంధనంతో (9.9 ఇంప్ గల్; 12 యుఎస్ గాల్) పేలోడ్ 218 కిలోలు (481 ఎల్బి). [1] కేబుల్-బ్రెస్డ్ ఎరోస్ ప్రొఫై, కేబుల్-బ్రెస్డ్ ఎయిర్ క్రియేషన్ ఇక్సెస్, స్ట్రట్-బ్ర"&amp;"ెస్డ్ ఎరోస్ ప్రొఫై టిఎల్ లేదా స్ట్రట్-బ్రెస్డ్ గిబ్బోగీర్ మాంటా రే 12.5 తో సహా అనేక విభిన్న రెక్కలను ప్రాథమిక క్యారేజీకి అమర్చవచ్చు. [1] బేయర్ల్ నుండి డేటా [1] సాధారణ లక్షణాల పనితీరు")</f>
        <v>అపోలో జెట్ స్టార్ హంగేరియన్ అల్ట్రాలైట్ ట్రైక్, ఇది ఎజెర్ యొక్క అపోలో అల్ట్రాలైట్ విమానం రూపొందించింది మరియు ఉత్పత్తి చేస్తుంది. ఈ విమానం te త్సాహిక నిర్మాణానికి కిట్‌గా లేదా పూర్తి రెడీ-టు-ఫ్లై-ఎయిర్‌క్రాఫ్ట్‌గా సరఫరా చేయబడుతుంది. [1] జెట్ స్టార్ ఫెడరేషన్ ఏరోనటిక్ ఇంటర్నేషనల్ మైక్రోలైట్ వర్గంతో పాటు యుఎస్ లైట్-స్పోర్ట్ ఎయిర్క్రాఫ్ట్ వర్గానికి అనుగుణంగా రూపొందించబడింది. ఇది కేబుల్-బ్రేస్డ్ లేదా స్ట్రట్-బ్రేస్డ్ హాంగ్ గ్లైడర్-స్టైల్ హై-వింగ్, వెయిట్-షిఫ్ట్ కంట్రోల్స్, రెండు-సీట్ల-టెన్డం, ఓపెన్ కాక్‌పిట్, వీల్ ప్యాంటుతో ట్రైసైకిల్ ల్యాండింగ్ గేర్ మరియు పషర్ కాన్ఫిగరేషన్‌లో సింగిల్ ఇంజిన్‌ను కలిగి ఉంది. [[[ 1] జెట్ స్టార్ అమెరికాలో ప్రయోగాత్మక మరియు ప్రత్యేక లైట్-స్పోర్ట్ విమానాల వలె అంగీకరించబడింది. [2] ఈ విమానం బోల్ట్-టుగెథర్ అల్యూమినియం గొట్టాల నుండి తయారవుతుంది, దాని డబుల్ ఉపరితల వింగ్ డాక్రాన్ సెయిల్‌క్లాత్‌లో కప్పబడి ఉంటుంది. విమానం "ఎ" ఫ్రేమ్ వెయిట్-షిఫ్ట్ కంట్రోల్ బార్‌ను ఉపయోగిస్తుంది. ప్రధాన ల్యాండింగ్ గేర్ అపోలో డెల్టా జెట్ సిరీస్‌లో ఉపయోగించిన ఆకు-రకం సస్పెన్షన్ కాకుండా స్ట్రట్-టైప్ సస్పెన్షన్‌ను ఉపయోగిస్తుంది. పవర్‌ప్లాంట్ ఎంపికలలో ట్విన్ సిలిండర్, లిక్విడ్-కూల్డ్, టూ-స్ట్రోక్, డ్యూయల్-ఇగ్నిషన్ 64 హెచ్‌పి (48 కిలోవాట్ kW) రోటాక్స్ 912 లేదా 100 హెచ్‌పి (75 kW) రోటాక్స్ 912S ఇంజిన్. [1] ఈ విమానం ఖాళీ బరువు 180 కిలోల (397 పౌండ్లు) మరియు స్థూల బరువు 430 కిలోలు (948 పౌండ్లు), ఇది 250 కిలోల (551 పౌండ్లు) ఉపయోగకరమైన లోడ్ ఇస్తుంది. 45 లీటర్ల పూర్తి ఇంధనంతో (9.9 ఇంప్ గల్; 12 యుఎస్ గాల్) పేలోడ్ 218 కిలోలు (481 ఎల్బి). [1] కేబుల్-బ్రెస్డ్ ఎరోస్ ప్రొఫై, కేబుల్-బ్రెస్డ్ ఎయిర్ క్రియేషన్ ఇక్సెస్, స్ట్రట్-బ్రెస్డ్ ఎరోస్ ప్రొఫై టిఎల్ లేదా స్ట్రట్-బ్రెస్డ్ గిబ్బోగీర్ మాంటా రే 12.5 తో సహా అనేక విభిన్న రెక్కలను ప్రాథమిక క్యారేజీకి అమర్చవచ్చు. [1] బేయర్ల్ నుండి డేటా [1] సాధారణ లక్షణాల పనితీరు</v>
      </c>
      <c r="F154" s="1" t="s">
        <v>300</v>
      </c>
      <c r="G154" s="1" t="str">
        <f>IFERROR(__xludf.DUMMYFUNCTION("GOOGLETRANSLATE(F:F, ""en"", ""te"")"),"అల్ట్రాలైట్ ట్రైక్")</f>
        <v>అల్ట్రాలైట్ ట్రైక్</v>
      </c>
      <c r="H154" s="1" t="s">
        <v>301</v>
      </c>
      <c r="I154" s="1" t="s">
        <v>2775</v>
      </c>
      <c r="J154" s="1" t="str">
        <f>IFERROR(__xludf.DUMMYFUNCTION("GOOGLETRANSLATE(I:I, ""en"", ""te"")"),"అపోలో అల్ట్రాలైట్ విమానం")</f>
        <v>అపోలో అల్ట్రాలైట్ విమానం</v>
      </c>
      <c r="K154" s="1" t="s">
        <v>2776</v>
      </c>
      <c r="M154" s="2"/>
      <c r="R154" s="1" t="s">
        <v>222</v>
      </c>
      <c r="S154" s="1" t="s">
        <v>250</v>
      </c>
      <c r="U154" s="1" t="s">
        <v>2741</v>
      </c>
      <c r="V154" s="1" t="s">
        <v>2777</v>
      </c>
      <c r="W154" s="1" t="s">
        <v>2778</v>
      </c>
      <c r="X154" s="1" t="s">
        <v>381</v>
      </c>
      <c r="Z154" s="1" t="s">
        <v>353</v>
      </c>
      <c r="AA154" s="1" t="s">
        <v>190</v>
      </c>
      <c r="AB154" s="1" t="s">
        <v>334</v>
      </c>
      <c r="AD154" s="1" t="s">
        <v>2779</v>
      </c>
      <c r="AF154" s="1" t="s">
        <v>2780</v>
      </c>
      <c r="AG154" s="4" t="s">
        <v>2781</v>
      </c>
      <c r="AK154" s="1" t="s">
        <v>2782</v>
      </c>
      <c r="AL154" s="1" t="s">
        <v>2274</v>
      </c>
      <c r="AR154" s="1" t="s">
        <v>2762</v>
      </c>
      <c r="AS154" s="1" t="s">
        <v>570</v>
      </c>
      <c r="AU154" s="1" t="s">
        <v>2783</v>
      </c>
    </row>
    <row r="155">
      <c r="A155" s="1" t="s">
        <v>2784</v>
      </c>
      <c r="B155" s="1" t="str">
        <f>IFERROR(__xludf.DUMMYFUNCTION("GOOGLETRANSLATE(A:A, ""en"", ""te"")"),"అపోలో రుతుపవనాలు")</f>
        <v>అపోలో రుతుపవనాలు</v>
      </c>
      <c r="C155" s="1" t="s">
        <v>2785</v>
      </c>
      <c r="D155" s="2" t="str">
        <f>IFERROR(__xludf.DUMMYFUNCTION("GOOGLETRANSLATE(C:C, ""en"", ""te"")"),"అపోలో రుతుపవనాలు హంగేరియన్ అల్ట్రాలైట్ ట్రైక్, ఇది ఎజెర్ యొక్క అపోలో అల్ట్రాలైట్ విమానం రూపకల్పన చేసి ఉత్పత్తి చేస్తుంది. ఈ విమానం te త్సాహిక నిర్మాణానికి కిట్‌గా లేదా పూర్తి రెడీ-టు-ఫ్లై-ఎయిర్‌క్రాఫ్ట్‌గా సరఫరా చేయబడుతుంది. [1] వారి యుఎస్ డిస్ట్రిబ్యూటర్"&amp;"‌తో కలిసి ముఖ్యంగా అమెరికన్ మార్కెట్ కోసం రూపొందించబడిన ఈ రుతుపవనాలు ఫెడెరేషన్ ఏరోనటిక్ ఇంటర్నేషనల్ మైక్రోలైట్ కేటగిరీతో పాటు యుఎస్ లైట్-స్పోర్ట్ ఎయిర్‌క్రాఫ్ట్ వర్గానికి అనుగుణంగా ఉండటానికి ఉద్దేశించబడింది. ఇది కేబుల్-బ్రేస్డ్ లేదా స్ట్రట్-బ్రేస్డ్ హాంగ్"&amp;" గ్లైడర్-స్టైల్ హై-వింగ్, వెయిట్-షిఫ్ట్ కంట్రోల్స్, రెండు-సీట్ల-టెన్డం, ఓపెన్ కాక్‌పిట్, వీల్ ప్యాంటుతో ట్రైసైకిల్ ల్యాండింగ్ గేర్ మరియు పషర్ కాన్ఫిగరేషన్‌లో సింగిల్ ఇంజిన్‌ను కలిగి ఉంది. [[[ 1] రుతుపవనాన్ని అమెరికాలో ప్రయోగాత్మక మరియు ప్రత్యేక లైట్-స్పోర"&amp;"్ట్ విమానాలుగా అంగీకరించారు. [2] [3] ఈ విమానం బోల్ట్-టుగెథర్ అల్యూమినియం గొట్టాల నుండి తయారవుతుంది, దాని డబుల్ ఉపరితల వింగ్ డాక్రాన్ సెయిల్‌క్లాత్‌లో కప్పబడి ఉంటుంది. విమానం ""ఎ"" ఫ్రేమ్ వెయిట్-షిఫ్ట్ కంట్రోల్ బార్‌ను ఉపయోగిస్తుంది. ల్యాండింగ్ గేర్‌లో మూడ"&amp;"ు చక్రాలు స్వతంత్రంగా నిలిపివేయబడ్డాయి మరియు ప్రతి చక్రంలో డిస్క్ బ్రేక్‌లు ఉంటాయి. పార్కింగ్ బ్రేక్ కూడా అమర్చబడి ఉంటుంది. పవర్‌ప్లాంట్ ఎంపికలలో ట్విన్ సిలిండర్, లిక్విడ్-కూల్డ్, టూ-స్ట్రోక్, డ్యూయల్-ఇగ్నిషన్ 64 హెచ్‌పి (48 కిలోవాట్ kW) రోటాక్స్ 912 లేదా"&amp;" 100 హెచ్‌పి (75 kW) రోటాక్స్ 912S ఇంజిన్. ఇంజిన్ ఎయిర్-కూలింగ్ అండర్-ఫ్యూజ్‌లేజ్ ఎయిర్ స్కూప్ ద్వారా సులభతరం అవుతుంది. [1] దాని AS-IV మోడల్‌లో ఈ విమానం ఖాళీ బరువు 249 కిలోల (549 పౌండ్లు) మరియు స్థూల బరువు 450 కిలోలు (992 పౌండ్లు), ఇది 201 కిలోల (443 పౌండ"&amp;"్లు) యొక్క ఉపయోగకరమైన భారాన్ని ఇస్తుంది. 57 లీటర్ల పూర్తి ఇంధనంతో (13 ఇంప్ గల్; 15 యుఎస్ గాల్) పేలోడ్ 160 కిలోలు (353 ఎల్బి). [1] కేబుల్-బ్రెస్డ్ ఎరోస్ ప్రొఫై, స్ట్రట్-బ్రెస్డ్ ఎరోస్ ప్రొఫైల్ టిఎల్ మరియు నార్త్ వింగ్ రిఫ్లెక్స్ 11 లేదా 13 తో సహా ప్రాథమిక "&amp;"క్యారేజీకి అనేక విభిన్న రెక్కలను అమర్చవచ్చు. వింగ్. అందుబాటులో ఉన్న ఎంపికలలో బాలిస్టిక్ రికవరీ సిస్టమ్స్ 1050 బాలిస్టిక్ పారాచూట్ మరియు ఎనిగ్మా కలర్ గ్లాస్ కాంబినేషన్ EFIS/GPS వ్యవస్థ. [1] బేయర్ల్ నుండి డేటా [1] సాధారణ లక్షణాల పనితీరు")</f>
        <v>అపోలో రుతుపవనాలు హంగేరియన్ అల్ట్రాలైట్ ట్రైక్, ఇది ఎజెర్ యొక్క అపోలో అల్ట్రాలైట్ విమానం రూపకల్పన చేసి ఉత్పత్తి చేస్తుంది. ఈ విమానం te త్సాహిక నిర్మాణానికి కిట్‌గా లేదా పూర్తి రెడీ-టు-ఫ్లై-ఎయిర్‌క్రాఫ్ట్‌గా సరఫరా చేయబడుతుంది. [1] వారి యుఎస్ డిస్ట్రిబ్యూటర్‌తో కలిసి ముఖ్యంగా అమెరికన్ మార్కెట్ కోసం రూపొందించబడిన ఈ రుతుపవనాలు ఫెడెరేషన్ ఏరోనటిక్ ఇంటర్నేషనల్ మైక్రోలైట్ కేటగిరీతో పాటు యుఎస్ లైట్-స్పోర్ట్ ఎయిర్‌క్రాఫ్ట్ వర్గానికి అనుగుణంగా ఉండటానికి ఉద్దేశించబడింది. ఇది కేబుల్-బ్రేస్డ్ లేదా స్ట్రట్-బ్రేస్డ్ హాంగ్ గ్లైడర్-స్టైల్ హై-వింగ్, వెయిట్-షిఫ్ట్ కంట్రోల్స్, రెండు-సీట్ల-టెన్డం, ఓపెన్ కాక్‌పిట్, వీల్ ప్యాంటుతో ట్రైసైకిల్ ల్యాండింగ్ గేర్ మరియు పషర్ కాన్ఫిగరేషన్‌లో సింగిల్ ఇంజిన్‌ను కలిగి ఉంది. [[[ 1] రుతుపవనాన్ని అమెరికాలో ప్రయోగాత్మక మరియు ప్రత్యేక లైట్-స్పోర్ట్ విమానాలుగా అంగీకరించారు. [2] [3] ఈ విమానం బోల్ట్-టుగెథర్ అల్యూమినియం గొట్టాల నుండి తయారవుతుంది, దాని డబుల్ ఉపరితల వింగ్ డాక్రాన్ సెయిల్‌క్లాత్‌లో కప్పబడి ఉంటుంది. విమానం "ఎ" ఫ్రేమ్ వెయిట్-షిఫ్ట్ కంట్రోల్ బార్‌ను ఉపయోగిస్తుంది. ల్యాండింగ్ గేర్‌లో మూడు చక్రాలు స్వతంత్రంగా నిలిపివేయబడ్డాయి మరియు ప్రతి చక్రంలో డిస్క్ బ్రేక్‌లు ఉంటాయి. పార్కింగ్ బ్రేక్ కూడా అమర్చబడి ఉంటుంది. పవర్‌ప్లాంట్ ఎంపికలలో ట్విన్ సిలిండర్, లిక్విడ్-కూల్డ్, టూ-స్ట్రోక్, డ్యూయల్-ఇగ్నిషన్ 64 హెచ్‌పి (48 కిలోవాట్ kW) రోటాక్స్ 912 లేదా 100 హెచ్‌పి (75 kW) రోటాక్స్ 912S ఇంజిన్. ఇంజిన్ ఎయిర్-కూలింగ్ అండర్-ఫ్యూజ్‌లేజ్ ఎయిర్ స్కూప్ ద్వారా సులభతరం అవుతుంది. [1] దాని AS-IV మోడల్‌లో ఈ విమానం ఖాళీ బరువు 249 కిలోల (549 పౌండ్లు) మరియు స్థూల బరువు 450 కిలోలు (992 పౌండ్లు), ఇది 201 కిలోల (443 పౌండ్లు) యొక్క ఉపయోగకరమైన భారాన్ని ఇస్తుంది. 57 లీటర్ల పూర్తి ఇంధనంతో (13 ఇంప్ గల్; 15 యుఎస్ గాల్) పేలోడ్ 160 కిలోలు (353 ఎల్బి). [1] కేబుల్-బ్రెస్డ్ ఎరోస్ ప్రొఫై, స్ట్రట్-బ్రెస్డ్ ఎరోస్ ప్రొఫైల్ టిఎల్ మరియు నార్త్ వింగ్ రిఫ్లెక్స్ 11 లేదా 13 తో సహా ప్రాథమిక క్యారేజీకి అనేక విభిన్న రెక్కలను అమర్చవచ్చు. వింగ్. అందుబాటులో ఉన్న ఎంపికలలో బాలిస్టిక్ రికవరీ సిస్టమ్స్ 1050 బాలిస్టిక్ పారాచూట్ మరియు ఎనిగ్మా కలర్ గ్లాస్ కాంబినేషన్ EFIS/GPS వ్యవస్థ. [1] బేయర్ల్ నుండి డేటా [1] సాధారణ లక్షణాల పనితీరు</v>
      </c>
      <c r="F155" s="1" t="s">
        <v>300</v>
      </c>
      <c r="G155" s="1" t="str">
        <f>IFERROR(__xludf.DUMMYFUNCTION("GOOGLETRANSLATE(F:F, ""en"", ""te"")"),"అల్ట్రాలైట్ ట్రైక్")</f>
        <v>అల్ట్రాలైట్ ట్రైక్</v>
      </c>
      <c r="H155" s="1" t="s">
        <v>301</v>
      </c>
      <c r="I155" s="1" t="s">
        <v>2775</v>
      </c>
      <c r="J155" s="1" t="str">
        <f>IFERROR(__xludf.DUMMYFUNCTION("GOOGLETRANSLATE(I:I, ""en"", ""te"")"),"అపోలో అల్ట్రాలైట్ విమానం")</f>
        <v>అపోలో అల్ట్రాలైట్ విమానం</v>
      </c>
      <c r="K155" s="1" t="s">
        <v>2776</v>
      </c>
      <c r="M155" s="2"/>
      <c r="R155" s="1" t="s">
        <v>222</v>
      </c>
      <c r="S155" s="1" t="s">
        <v>250</v>
      </c>
      <c r="U155" s="1" t="s">
        <v>2786</v>
      </c>
      <c r="V155" s="1" t="s">
        <v>2787</v>
      </c>
      <c r="W155" s="1" t="s">
        <v>2788</v>
      </c>
      <c r="X155" s="1" t="s">
        <v>1023</v>
      </c>
      <c r="Z155" s="1" t="s">
        <v>1045</v>
      </c>
      <c r="AA155" s="1" t="s">
        <v>2789</v>
      </c>
      <c r="AB155" s="1" t="s">
        <v>334</v>
      </c>
      <c r="AF155" s="1" t="s">
        <v>2780</v>
      </c>
      <c r="AG155" s="4" t="s">
        <v>2781</v>
      </c>
      <c r="AH155" s="1" t="s">
        <v>2790</v>
      </c>
      <c r="AK155" s="1" t="s">
        <v>2791</v>
      </c>
      <c r="AL155" s="1" t="s">
        <v>1228</v>
      </c>
      <c r="AR155" s="1" t="s">
        <v>2762</v>
      </c>
      <c r="AS155" s="1" t="s">
        <v>570</v>
      </c>
      <c r="AU155" s="1" t="s">
        <v>2792</v>
      </c>
      <c r="BD155" s="1" t="s">
        <v>2793</v>
      </c>
    </row>
    <row r="156">
      <c r="A156" s="1" t="s">
        <v>2794</v>
      </c>
      <c r="B156" s="1" t="str">
        <f>IFERROR(__xludf.DUMMYFUNCTION("GOOGLETRANSLATE(A:A, ""en"", ""te"")"),"అపోలో రేసర్ జిటి")</f>
        <v>అపోలో రేసర్ జిటి</v>
      </c>
      <c r="C156" s="1" t="s">
        <v>2795</v>
      </c>
      <c r="D156" s="2" t="str">
        <f>IFERROR(__xludf.DUMMYFUNCTION("GOOGLETRANSLATE(C:C, ""en"", ""te"")"),"అపోలో రేసర్ జిటి హంగేరియన్ అల్ట్రాలైట్ ట్రైక్, ఇది ఎజెర్ యొక్క అపోలో అల్ట్రాలైట్ విమానం రూపొందించి ఉత్పత్తి చేస్తుంది. ఈ విమానం te త్సాహిక నిర్మాణానికి కిట్‌గా లేదా పూర్తి రెడీ-టు-ఫ్లై-ఎయిర్‌క్రాఫ్ట్‌గా సరఫరా చేయబడుతుంది. [1] రేసర్ జిటి అపోలో జెట్ స్టార్ "&amp;"యొక్క సరళీకృత మరియు తేలికైన ఉత్పన్నం, సరళీకృత కాక్‌పిట్ ఫెయిరింగ్ మరియు ఇంజిన్ కౌలింగ్ లేదు. ఇది ఫెడెరేషన్ ఏరోనటిక్ ఇంటర్నేషనల్ మైక్రోలైట్ వర్గానికి అనుగుణంగా రూపొందించబడింది. ఇది కేబుల్-బ్రేస్డ్ హాంగ్ గ్లైడర్-స్టైల్ హై-వింగ్, వెయిట్-షిఫ్ట్ కంట్రోల్స్, రె"&amp;"ండు-సీట్ల-టెన్డం, ఓపెన్ కాక్‌పిట్, వీల్ ప్యాంటుతో ట్రైసైకిల్ ల్యాండింగ్ గేర్ మరియు పషర్ కాన్ఫిగరేషన్‌లో ఒకే ఇంజిన్ కలిగి ఉంది. ప్రధాన ల్యాండింగ్ గేర్ అపోలో డెల్టా జెట్ సిరీస్‌లో ఉపయోగించిన ఆకు-రకం సస్పెన్షన్ కాకుండా స్ట్రట్-టైప్ సస్పెన్షన్‌ను ఉపయోగిస్తుంద"&amp;"ి. ముక్కు చక్రం బ్రేక్ ప్రామాణిక పరికరాలు. [1] [2] ఈ విమానం బోల్ట్-టుగెథర్ అల్యూమినియం గొట్టాల నుండి తయారవుతుంది, దాని డబుల్ ఉపరితల వింగ్ డాక్రాన్ సెయిల్‌క్లాత్‌లో కప్పబడి ఉంటుంది. విమానం ""ఎ"" ఫ్రేమ్ వెయిట్-షిఫ్ట్ కంట్రోల్ బార్‌ను ఉపయోగిస్తుంది. పవర్‌ప్ల"&amp;"ాంట్ ఎంపికలలో ట్విన్ సిలిండర్, లిక్విడ్-కూల్డ్, టూ-స్ట్రోక్, డ్యూయల్-ఇగ్నిషన్ 64 హెచ్‌పి (48 కిలోవాట్ kW) రోటాక్స్ 912 ఇంజిన్. [1] ఈ విమానం ఖాళీ బరువు 140 కిలోల (309 పౌండ్లు) మరియు స్థూల బరువు 430 కిలోలు (948 పౌండ్లు), ఇది 290 కిలోల (639 పౌండ్లు) ఉపయోగకరమ"&amp;"ైన లోడ్ ఇస్తుంది. 55 లీటర్ల పూర్తి ఇంధనంతో (12 ఇంప్ గల్; 15 యుఎస్ గాల్) పేలోడ్ 250 కిలోలు (551 ఎల్బి). [1] సి -15, సి -15 టిఎన్, సి -17 మరియు సిఎక్స్‌ఎమ్‌డిలతో సహా ప్రాథమిక క్యారేజీకి అనేక విభిన్న అపోలో రెక్కలను అమర్చవచ్చు. టె రేసర్ జిటి అపోలో నిర్మించిన "&amp;"ఏకైక విమానం, ఇది ఫ్లోట్లతో అమర్చడానికి ఆమోదించబడింది. ఐచ్ఛిక పరికరాలలో బోధకుల శిక్షణ పెడల్స్, హాంగ్ గ్లైడర్ వెళ్ళుట వ్యవస్థ, బాలిస్టిక్ పారాచూట్, విండ్‌షీల్డ్ మరియు మెయిన్ వీల్ బ్రేక్‌లు ఉన్నాయి. [1] [2] బేయర్ల్ నుండి డేటా [1] సాధారణ లక్షణాల పనితీరు")</f>
        <v>అపోలో రేసర్ జిటి హంగేరియన్ అల్ట్రాలైట్ ట్రైక్, ఇది ఎజెర్ యొక్క అపోలో అల్ట్రాలైట్ విమానం రూపొందించి ఉత్పత్తి చేస్తుంది. ఈ విమానం te త్సాహిక నిర్మాణానికి కిట్‌గా లేదా పూర్తి రెడీ-టు-ఫ్లై-ఎయిర్‌క్రాఫ్ట్‌గా సరఫరా చేయబడుతుంది. [1] రేసర్ జిటి అపోలో జెట్ స్టార్ యొక్క సరళీకృత మరియు తేలికైన ఉత్పన్నం, సరళీకృత కాక్‌పిట్ ఫెయిరింగ్ మరియు ఇంజిన్ కౌలింగ్ లేదు. ఇది ఫెడెరేషన్ ఏరోనటిక్ ఇంటర్నేషనల్ మైక్రోలైట్ వర్గానికి అనుగుణంగా రూపొందించబడింది. ఇది కేబుల్-బ్రేస్డ్ హాంగ్ గ్లైడర్-స్టైల్ హై-వింగ్, వెయిట్-షిఫ్ట్ కంట్రోల్స్, రెండు-సీట్ల-టెన్డం, ఓపెన్ కాక్‌పిట్, వీల్ ప్యాంటుతో ట్రైసైకిల్ ల్యాండింగ్ గేర్ మరియు పషర్ కాన్ఫిగరేషన్‌లో ఒకే ఇంజిన్ కలిగి ఉంది. ప్రధాన ల్యాండింగ్ గేర్ అపోలో డెల్టా జెట్ సిరీస్‌లో ఉపయోగించిన ఆకు-రకం సస్పెన్షన్ కాకుండా స్ట్రట్-టైప్ సస్పెన్షన్‌ను ఉపయోగిస్తుంది. ముక్కు చక్రం బ్రేక్ ప్రామాణిక పరికరాలు. [1] [2] ఈ విమానం బోల్ట్-టుగెథర్ అల్యూమినియం గొట్టాల నుండి తయారవుతుంది, దాని డబుల్ ఉపరితల వింగ్ డాక్రాన్ సెయిల్‌క్లాత్‌లో కప్పబడి ఉంటుంది. విమానం "ఎ" ఫ్రేమ్ వెయిట్-షిఫ్ట్ కంట్రోల్ బార్‌ను ఉపయోగిస్తుంది. పవర్‌ప్లాంట్ ఎంపికలలో ట్విన్ సిలిండర్, లిక్విడ్-కూల్డ్, టూ-స్ట్రోక్, డ్యూయల్-ఇగ్నిషన్ 64 హెచ్‌పి (48 కిలోవాట్ kW) రోటాక్స్ 912 ఇంజిన్. [1] ఈ విమానం ఖాళీ బరువు 140 కిలోల (309 పౌండ్లు) మరియు స్థూల బరువు 430 కిలోలు (948 పౌండ్లు), ఇది 290 కిలోల (639 పౌండ్లు) ఉపయోగకరమైన లోడ్ ఇస్తుంది. 55 లీటర్ల పూర్తి ఇంధనంతో (12 ఇంప్ గల్; 15 యుఎస్ గాల్) పేలోడ్ 250 కిలోలు (551 ఎల్బి). [1] సి -15, సి -15 టిఎన్, సి -17 మరియు సిఎక్స్‌ఎమ్‌డిలతో సహా ప్రాథమిక క్యారేజీకి అనేక విభిన్న అపోలో రెక్కలను అమర్చవచ్చు. టె రేసర్ జిటి అపోలో నిర్మించిన ఏకైక విమానం, ఇది ఫ్లోట్లతో అమర్చడానికి ఆమోదించబడింది. ఐచ్ఛిక పరికరాలలో బోధకుల శిక్షణ పెడల్స్, హాంగ్ గ్లైడర్ వెళ్ళుట వ్యవస్థ, బాలిస్టిక్ పారాచూట్, విండ్‌షీల్డ్ మరియు మెయిన్ వీల్ బ్రేక్‌లు ఉన్నాయి. [1] [2] బేయర్ల్ నుండి డేటా [1] సాధారణ లక్షణాల పనితీరు</v>
      </c>
      <c r="F156" s="1" t="s">
        <v>300</v>
      </c>
      <c r="G156" s="1" t="str">
        <f>IFERROR(__xludf.DUMMYFUNCTION("GOOGLETRANSLATE(F:F, ""en"", ""te"")"),"అల్ట్రాలైట్ ట్రైక్")</f>
        <v>అల్ట్రాలైట్ ట్రైక్</v>
      </c>
      <c r="H156" s="1" t="s">
        <v>301</v>
      </c>
      <c r="I156" s="1" t="s">
        <v>2775</v>
      </c>
      <c r="J156" s="1" t="str">
        <f>IFERROR(__xludf.DUMMYFUNCTION("GOOGLETRANSLATE(I:I, ""en"", ""te"")"),"అపోలో అల్ట్రాలైట్ విమానం")</f>
        <v>అపోలో అల్ట్రాలైట్ విమానం</v>
      </c>
      <c r="K156" s="1" t="s">
        <v>2776</v>
      </c>
      <c r="M156" s="2"/>
      <c r="R156" s="1" t="s">
        <v>222</v>
      </c>
      <c r="S156" s="1" t="s">
        <v>250</v>
      </c>
      <c r="U156" s="1" t="s">
        <v>457</v>
      </c>
      <c r="V156" s="1" t="s">
        <v>2777</v>
      </c>
      <c r="W156" s="1" t="s">
        <v>2796</v>
      </c>
      <c r="X156" s="1" t="s">
        <v>381</v>
      </c>
      <c r="Z156" s="1" t="s">
        <v>2797</v>
      </c>
      <c r="AA156" s="1" t="s">
        <v>566</v>
      </c>
      <c r="AB156" s="1" t="s">
        <v>334</v>
      </c>
      <c r="AD156" s="1" t="s">
        <v>2779</v>
      </c>
      <c r="AF156" s="1" t="s">
        <v>2780</v>
      </c>
      <c r="AG156" s="4" t="s">
        <v>2781</v>
      </c>
      <c r="AK156" s="1" t="s">
        <v>2798</v>
      </c>
      <c r="AL156" s="1" t="s">
        <v>338</v>
      </c>
      <c r="AR156" s="1" t="s">
        <v>2762</v>
      </c>
      <c r="AS156" s="1" t="s">
        <v>570</v>
      </c>
      <c r="AU156" s="1" t="s">
        <v>2783</v>
      </c>
    </row>
    <row r="157">
      <c r="A157" s="1" t="s">
        <v>2799</v>
      </c>
      <c r="B157" s="1" t="str">
        <f>IFERROR(__xludf.DUMMYFUNCTION("GOOGLETRANSLATE(A:A, ""en"", ""te"")"),"ఏవియో డిజైన్ స్వాన్")</f>
        <v>ఏవియో డిజైన్ స్వాన్</v>
      </c>
      <c r="C157" s="1" t="s">
        <v>2800</v>
      </c>
      <c r="D157" s="2" t="str">
        <f>IFERROR(__xludf.DUMMYFUNCTION("GOOGLETRANSLATE(C:C, ""en"", ""te"")"),"ఏవియో డిజైన్ స్వాన్ బల్గేరియన్ అల్ట్రాలైట్ ట్రైక్‌ల కుటుంబం, ఇది కజన్‌లక్ యొక్క ఏవియో డిజైన్ చేత రూపొందించబడింది మరియు నిర్మించింది. విమానం అన్నీ పూర్తి రెడీ-టు-ఫ్లై-ఎయిర్‌క్రాఫ్ట్‌గా సరఫరా చేయబడతాయి. [1] విమాన కుటుంబం ఫెడరేషన్ ఏరోనటిక్ ఇంటర్నేషనల్ మైక్రో"&amp;"లైట్ వర్గానికి అనుగుణంగా రూపొందించబడింది, ఇందులో వర్గం యొక్క గరిష్ట స్థూల బరువు 450 కిలోల (992 పౌండ్లు). అన్ని మోడళ్లలో కేబుల్-బ్రేస్డ్ హాంగ్ గ్లైడర్-స్టైల్ హై-వింగ్, వెయిట్-షిఫ్ట్ కంట్రోల్స్, రెండు-సీట్ల తేమ ఓపెన్ కాక్‌పిట్, వీల్ ప్యాంటుతో ట్రైసైకిల్ ల్య"&amp;"ాండింగ్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ఉపయోగించిన సాధారణ రెక్కలు 9.5 నుండి 10.2 మీ (31.2 నుండి 33.5 "&amp;"అడుగులు) స్పాన్ వింగ్ కలిగి ఉంటాయి, ఒకే ట్యూబ్-రకం కింగ్‌పోస్ట్ మద్దతు ఇస్తాయి మరియు ""ఎ"" ఫ్రేమ్ వెయిట్-షిఫ్ట్ కంట్రోల్ బార్‌ను ఉపయోగిస్తాయి. ప్రామాణిక పవర్‌ప్లాంట్ ట్విన్ సిలిండర్, ఎయిర్-కూల్డ్, టూ-స్ట్రోక్, డ్యూయల్-ఇగ్నిషన్ 64 హెచ్‌పి (48 కిలోవాట్) రోట"&amp;"ాక్స్ 582 ఇంజిన్. ఎంపికలు 80 హెచ్‌పి (60 కిలోవాట్) రోటాక్స్ 912 ఇంజిన్‌ను కలిగి ఉండవు. [1] బేయర్ల్ నుండి డేటా [1] సాధారణ లక్షణాల పనితీరు")</f>
        <v>ఏవియో డిజైన్ స్వాన్ బల్గేరియన్ అల్ట్రాలైట్ ట్రైక్‌ల కుటుంబం, ఇది కజన్‌లక్ యొక్క ఏవియో డిజైన్ చేత రూపొందించబడింది మరియు నిర్మించింది. విమానం అన్నీ పూర్తి రెడీ-టు-ఫ్లై-ఎయిర్‌క్రాఫ్ట్‌గా సరఫరా చేయబడతాయి. [1] విమాన కుటుంబం ఫెడరేషన్ ఏరోనటిక్ ఇంటర్నేషనల్ మైక్రోలైట్ వర్గానికి అనుగుణంగా రూపొందించబడింది, ఇందులో వర్గం యొక్క గరిష్ట స్థూల బరువు 450 కిలోల (992 పౌండ్లు). అన్ని మోడళ్లలో కేబుల్-బ్రేస్డ్ హాంగ్ గ్లైడర్-స్టైల్ హై-వింగ్, వెయిట్-షిఫ్ట్ కంట్రోల్స్, రెండు-సీట్ల తేమ ఓపెన్ కాక్‌పిట్, వీల్ ప్యాంటుతో ట్రైసైకిల్ ల్యాండింగ్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ఉపయోగించిన సాధారణ రెక్కలు 9.5 నుండి 10.2 మీ (31.2 నుండి 33.5 అడుగులు) స్పాన్ వింగ్ కలిగి ఉంటాయి, ఒకే ట్యూబ్-రకం కింగ్‌పోస్ట్ మద్దతు ఇస్తాయి మరియు "ఎ" ఫ్రేమ్ వెయిట్-షిఫ్ట్ కంట్రోల్ బార్‌ను ఉపయోగిస్తాయి. ప్రామాణిక పవర్‌ప్లాంట్ ట్విన్ సిలిండర్, ఎయిర్-కూల్డ్, టూ-స్ట్రోక్, డ్యూయల్-ఇగ్నిషన్ 64 హెచ్‌పి (48 కిలోవాట్) రోటాక్స్ 582 ఇంజిన్. ఎంపికలు 80 హెచ్‌పి (60 కిలోవాట్) రోటాక్స్ 912 ఇంజిన్‌ను కలిగి ఉండవు. [1] బేయర్ల్ నుండి డేటా [1] సాధారణ లక్షణాల పనితీరు</v>
      </c>
      <c r="F157" s="1" t="s">
        <v>300</v>
      </c>
      <c r="G157" s="1" t="str">
        <f>IFERROR(__xludf.DUMMYFUNCTION("GOOGLETRANSLATE(F:F, ""en"", ""te"")"),"అల్ట్రాలైట్ ట్రైక్")</f>
        <v>అల్ట్రాలైట్ ట్రైక్</v>
      </c>
      <c r="H157" s="1" t="s">
        <v>301</v>
      </c>
      <c r="I157" s="1" t="s">
        <v>2801</v>
      </c>
      <c r="J157" s="1" t="str">
        <f>IFERROR(__xludf.DUMMYFUNCTION("GOOGLETRANSLATE(I:I, ""en"", ""te"")"),"AGIO డిజైన్")</f>
        <v>AGIO డిజైన్</v>
      </c>
      <c r="K157" s="1" t="s">
        <v>2802</v>
      </c>
      <c r="M157" s="2"/>
      <c r="R157" s="1" t="s">
        <v>222</v>
      </c>
      <c r="S157" s="1" t="s">
        <v>250</v>
      </c>
      <c r="U157" s="1" t="s">
        <v>2803</v>
      </c>
      <c r="V157" s="1" t="s">
        <v>2804</v>
      </c>
      <c r="W157" s="1" t="s">
        <v>2805</v>
      </c>
      <c r="X157" s="1" t="s">
        <v>622</v>
      </c>
      <c r="Z157" s="1" t="s">
        <v>2806</v>
      </c>
      <c r="AA157" s="1" t="s">
        <v>566</v>
      </c>
      <c r="AB157" s="1" t="s">
        <v>334</v>
      </c>
      <c r="AD157" s="1" t="s">
        <v>356</v>
      </c>
      <c r="AF157" s="1" t="s">
        <v>2149</v>
      </c>
      <c r="AG157" s="4" t="s">
        <v>2281</v>
      </c>
      <c r="AH157" s="1" t="s">
        <v>261</v>
      </c>
      <c r="AK157" s="1" t="s">
        <v>2282</v>
      </c>
      <c r="AL157" s="1" t="s">
        <v>316</v>
      </c>
      <c r="AR157" s="1" t="s">
        <v>2807</v>
      </c>
      <c r="AS157" s="1" t="s">
        <v>570</v>
      </c>
      <c r="AU157" s="1" t="s">
        <v>2808</v>
      </c>
    </row>
    <row r="158">
      <c r="A158" s="1" t="s">
        <v>2809</v>
      </c>
      <c r="B158" s="1" t="str">
        <f>IFERROR(__xludf.DUMMYFUNCTION("GOOGLETRANSLATE(A:A, ""en"", ""te"")"),"డాంట్లెస్ డాటీ")</f>
        <v>డాంట్లెస్ డాటీ</v>
      </c>
      <c r="C158" s="1" t="s">
        <v>2810</v>
      </c>
      <c r="D158" s="2" t="str">
        <f>IFERROR(__xludf.DUMMYFUNCTION("GOOGLETRANSLATE(C:C, ""en"", ""te"")"),"రెండవ ప్రపంచ యుద్ధంలో బోయింగ్ బి -29-40-బిడబ్ల్యు సూపర్ ఫోర్ట్రెస్ యొక్క మారుపేరు డాంట్‌లెస్ డాటీ, 24 నవంబర్ 1944 న టోక్యోపై మొదటి బి -29 దాడికి దారితీసింది, డూలిటిల్ దాడి తరువాత జపనీస్ రాజధానిపై మొదటి బాంబు దాడి జరిగింది. ఏప్రిల్ 1942. దీనికి ఆర్మీ ఎయిర్"&amp;" ఫోర్స్ సీరియల్ నంబర్ 42-24592, మరియు బోయింగ్-విచిత కన్స్ట్రక్టర్స్ నంబర్ (సి/ఎన్) 4253 ను కేటాయించారు. [4] భవిష్యత్ డాటీని 1944 వసంతకాలంలో కాన్సాస్‌లోని ప్రాట్ ఆర్మీ ఎయిర్ ఫీల్డ్‌లో మూడు కేటాయించిన స్క్వాడ్రన్‌లతో 497 వ బాంబు పాలన సమూహానికి (చాలా భారీగా)"&amp;" నియమించారు. 497 వ తేదీ సెప్టెంబర్ 1944 లో పసిఫిక్ థియేటర్ ఆఫ్ ఆపరేషన్స్ (పిటిఓ) కు మోహరించబడింది. . మొదటి 497 వ సూపర్ఫోర్ట్ సెప్టెంబర్ 17 న అక్కడకు వచ్చింది. ఈ బృందం అక్టోబర్ 1944 లో ఐవో జిమా మరియు ట్రూక్ దీవులపై దాడులతో కార్యకలాపాలు ప్రారంభించింది. నార్"&amp;"త్ కరోలినాలోని అషేవిల్లేకు చెందిన కెప్టెన్ రాబర్ట్ కె. మోర్గాన్ (31 జూలై 1918-15 మే 2004), బి -17 ఫ్లయింగ్ కోట మెంఫిస్ బెల్లె ఎగురుతున్న మిషన్లలో ఎక్కువ భాగం పైలట్ గా ఉన్నారు, ఇది అధికారిగా నియమించబడినప్పుడు "" మొదటి ""యూరోపియన్ థియేటర్ ఆఫ్ ఆపరేషన్స్‌లో 9"&amp;"1 వ బాంబ్ గ్రూప్, VIII బాంబర్ కమాండ్‌తో ఎగురుతున్నప్పుడు, 25 కార్యకలాపాలను పూర్తి చేయడానికి బాంబర్. . [[ మోర్గాన్ బాండ్ ర్యాలీల కోసం అమెరికా అంతటా విమానం ప్రయాణించాడు. మేజర్‌గా పదోన్నతి పొందిన మోర్గాన్, పసిఫిక్ థియేటర్‌లో రెండవ పోరాట పర్యటనను ప్రయాణించారు"&amp;", 869 వ బాంబ్ స్క్వాడ్రన్, 497 వ బాంబ్ గ్రూపుకు నాయకత్వం వహించాడు. ఫ్లయింగ్ బి -29 సూపర్ఫోర్ట్రెస్, 42-24592, టెయిల్ కోడ్ 'ఎ 1' [8] డాంట్లెస్ డాటీ అని పేరు పెట్టారు, అతని మూడవ భార్య డోరతీ జాన్సన్ మోర్గాన్ తరువాత, అతను 24 ఏప్రిల్ 1945 న ఇంటికి పంపే వరకు జప"&amp;"ాన్ మీదుగా 26 మిషన్లను పూర్తి చేశాడు. 24 నవంబర్ 1944 న, అతను XXI బాంబర్ కమాండ్ యొక్క మొదటి మిషన్‌ను బాంబు జపాన్‌కు నడిపించాడు, 73 వ బాంబ్ వింగ్ యొక్క 111 విమానాలు టోక్యోకు, వింగ్ కమాండర్ బ్రిగేడియర్ జనరల్ ఎమ్మెట్ ఓ'డొన్నెల్, జూనియర్ మిషన్ కమాండ్ పైలట్ మరి"&amp;"యు విన్స్ ఎవాన్స్ ప్రధాన బొంబార్డియర్‌గా ఉన్నారు. ఎవాన్స్ ఇంగ్లాండ్‌లో మోర్గాన్‌తో కలిసి మెంఫిస్ బెల్లెకు చెందిన బొంబార్డియర్‌గా పనిచేశారు. ""నగరం మరియానాస్ నుండి 1,500 మైళ్ళ దూరంలో ఉంది. బ్రిగేడియర్-జనరల్ ఎమ్మెట్ ఓ'డొన్నెల్ ముసాషిమా [సిక్] ఇంజిన్ ఫ్యాక్ట"&amp;"రీకి వ్యతిరేకంగా 111 బి -29 లకు నాయకత్వం వహించిన డాటీ. సమస్యల సంఖ్య-ఖచ్చితత్వం. B-29 లను అద్భుతమైన బాంబు లక్ష్యం-నార్డెన్-కానీ అది తక్కువ మేఘం ద్వారా దాని లక్ష్యాన్ని సాధించలేకపోయింది. 30,000 అడుగుల ఎత్తులో ఎగురుతూ అంటే విమానాలు తరచూ జెట్ స్ట్రీమ్ విండ్‌ల"&amp;"ో ఎగిరిపోయాయి 100 మరియు 200 mph మధ్య ఉంది, ఇది బాంబు లక్ష్యం. రాత్రి, తక్కువ స్థాయి ఎత్తు, ఫైర్ బాంబు (ఆపరేషన్ మీటింగ్ హౌస్) దాడి. ఇది రెండవ ప్రపంచ యుద్ధం యొక్క ఘోరమైన వైమానిక దాడి; [10] డ్రెస్డెన్, [11] హిరోషిమా, లేదా నాగసాకి కంటే ఒకే సంఘటనలుగా. [12] [13"&amp;"] డాంట్లెస్ డాటీ, క్వాజలీన్ 0306 గంటలకు బయలుదేరాడు. 7 జూన్ 1945 న జార్జియాలోని టిఫ్టన్‌కు చెందిన కెప్టెన్ విలియం ఎ. కెల్లీ నేతృత్వంలోని ఫెర్రీ ఫ్లైట్ ఆఫ్ ఎ ఫెర్రీ ఫ్లైట్ ఆఫ్ ది అమెరికాకు. టేకాఫ్ తర్వాత నలభై సెకన్ల తరువాత, విమానం పసిఫిక్ మహాసముద్రం కొట్టి "&amp;"మునిగిపోయింది, 13 లో 10 లో 10 మందిని తక్షణమే చంపింది. . ఇండియానాలోని వాల్డ్రాన్ యొక్క గ్లెన్ ఎఫ్. గ్రెగొరీ, మరియు లెఫ్ట్ గన్నర్ ఎస్/సార్జంట్. టేనస్సీలోని మెంఫిస్‌కు చెందిన చార్లెస్ మెక్‌ముర్రే (ఒక మూలం లో మెక్‌మురీని కూడా స్పెల్లింగ్ చేశారు) శిధిలాల నుండి"&amp;" విసిరివేయబడ్డారు మరియు నీటిలో 45 నిమిషాల తర్వాత రెస్క్యూ బోట్ ద్వారా తిరిగి పొందారు. [15] డాటీ యొక్క శిధిలాలు మరియు ఆమె మునిగిపోయినప్పుడు ఆమె లోపల చిక్కుకున్న పది మంది పురుషుల అవశేషాలు ఎన్నడూ లేవు. శిధిలాలు సుమారు 6,000 అడుగుల లోతులో ఉన్నాయని నమ్ముతారు. "&amp;"[16] నేషనల్ అండర్వాటర్ అండ్ మెరైన్ ఏజెన్సీ ఆస్ట్రేలియా కోల్పోయిన ఎయిర్ఫ్రేమ్ కోసం శోధన ప్రతిపాదించబడింది. [17]")</f>
        <v>రెండవ ప్రపంచ యుద్ధంలో బోయింగ్ బి -29-40-బిడబ్ల్యు సూపర్ ఫోర్ట్రెస్ యొక్క మారుపేరు డాంట్‌లెస్ డాటీ, 24 నవంబర్ 1944 న టోక్యోపై మొదటి బి -29 దాడికి దారితీసింది, డూలిటిల్ దాడి తరువాత జపనీస్ రాజధానిపై మొదటి బాంబు దాడి జరిగింది. ఏప్రిల్ 1942. దీనికి ఆర్మీ ఎయిర్ ఫోర్స్ సీరియల్ నంబర్ 42-24592, మరియు బోయింగ్-విచిత కన్స్ట్రక్టర్స్ నంబర్ (సి/ఎన్) 4253 ను కేటాయించారు. [4] భవిష్యత్ డాటీని 1944 వసంతకాలంలో కాన్సాస్‌లోని ప్రాట్ ఆర్మీ ఎయిర్ ఫీల్డ్‌లో మూడు కేటాయించిన స్క్వాడ్రన్‌లతో 497 వ బాంబు పాలన సమూహానికి (చాలా భారీగా) నియమించారు. 497 వ తేదీ సెప్టెంబర్ 1944 లో పసిఫిక్ థియేటర్ ఆఫ్ ఆపరేషన్స్ (పిటిఓ) కు మోహరించబడింది. . మొదటి 497 వ సూపర్ఫోర్ట్ సెప్టెంబర్ 17 న అక్కడకు వచ్చింది. ఈ బృందం అక్టోబర్ 1944 లో ఐవో జిమా మరియు ట్రూక్ దీవులపై దాడులతో కార్యకలాపాలు ప్రారంభించింది. నార్త్ కరోలినాలోని అషేవిల్లేకు చెందిన కెప్టెన్ రాబర్ట్ కె. మోర్గాన్ (31 జూలై 1918-15 మే 2004), బి -17 ఫ్లయింగ్ కోట మెంఫిస్ బెల్లె ఎగురుతున్న మిషన్లలో ఎక్కువ భాగం పైలట్ గా ఉన్నారు, ఇది అధికారిగా నియమించబడినప్పుడు " మొదటి "యూరోపియన్ థియేటర్ ఆఫ్ ఆపరేషన్స్‌లో 91 వ బాంబ్ గ్రూప్, VIII బాంబర్ కమాండ్‌తో ఎగురుతున్నప్పుడు, 25 కార్యకలాపాలను పూర్తి చేయడానికి బాంబర్. . [[ మోర్గాన్ బాండ్ ర్యాలీల కోసం అమెరికా అంతటా విమానం ప్రయాణించాడు. మేజర్‌గా పదోన్నతి పొందిన మోర్గాన్, పసిఫిక్ థియేటర్‌లో రెండవ పోరాట పర్యటనను ప్రయాణించారు, 869 వ బాంబ్ స్క్వాడ్రన్, 497 వ బాంబ్ గ్రూపుకు నాయకత్వం వహించాడు. ఫ్లయింగ్ బి -29 సూపర్ఫోర్ట్రెస్, 42-24592, టెయిల్ కోడ్ 'ఎ 1' [8] డాంట్లెస్ డాటీ అని పేరు పెట్టారు, అతని మూడవ భార్య డోరతీ జాన్సన్ మోర్గాన్ తరువాత, అతను 24 ఏప్రిల్ 1945 న ఇంటికి పంపే వరకు జపాన్ మీదుగా 26 మిషన్లను పూర్తి చేశాడు. 24 నవంబర్ 1944 న, అతను XXI బాంబర్ కమాండ్ యొక్క మొదటి మిషన్‌ను బాంబు జపాన్‌కు నడిపించాడు, 73 వ బాంబ్ వింగ్ యొక్క 111 విమానాలు టోక్యోకు, వింగ్ కమాండర్ బ్రిగేడియర్ జనరల్ ఎమ్మెట్ ఓ'డొన్నెల్, జూనియర్ మిషన్ కమాండ్ పైలట్ మరియు విన్స్ ఎవాన్స్ ప్రధాన బొంబార్డియర్‌గా ఉన్నారు. ఎవాన్స్ ఇంగ్లాండ్‌లో మోర్గాన్‌తో కలిసి మెంఫిస్ బెల్లెకు చెందిన బొంబార్డియర్‌గా పనిచేశారు. "నగరం మరియానాస్ నుండి 1,500 మైళ్ళ దూరంలో ఉంది. బ్రిగేడియర్-జనరల్ ఎమ్మెట్ ఓ'డొన్నెల్ ముసాషిమా [సిక్] ఇంజిన్ ఫ్యాక్టరీకి వ్యతిరేకంగా 111 బి -29 లకు నాయకత్వం వహించిన డాటీ. సమస్యల సంఖ్య-ఖచ్చితత్వం. B-29 లను అద్భుతమైన బాంబు లక్ష్యం-నార్డెన్-కానీ అది తక్కువ మేఘం ద్వారా దాని లక్ష్యాన్ని సాధించలేకపోయింది. 30,000 అడుగుల ఎత్తులో ఎగురుతూ అంటే విమానాలు తరచూ జెట్ స్ట్రీమ్ విండ్‌లో ఎగిరిపోయాయి 100 మరియు 200 mph మధ్య ఉంది, ఇది బాంబు లక్ష్యం. రాత్రి, తక్కువ స్థాయి ఎత్తు, ఫైర్ బాంబు (ఆపరేషన్ మీటింగ్ హౌస్) దాడి. ఇది రెండవ ప్రపంచ యుద్ధం యొక్క ఘోరమైన వైమానిక దాడి; [10] డ్రెస్డెన్, [11] హిరోషిమా, లేదా నాగసాకి కంటే ఒకే సంఘటనలుగా. [12] [13] డాంట్లెస్ డాటీ, క్వాజలీన్ 0306 గంటలకు బయలుదేరాడు. 7 జూన్ 1945 న జార్జియాలోని టిఫ్టన్‌కు చెందిన కెప్టెన్ విలియం ఎ. కెల్లీ నేతృత్వంలోని ఫెర్రీ ఫ్లైట్ ఆఫ్ ఎ ఫెర్రీ ఫ్లైట్ ఆఫ్ ది అమెరికాకు. టేకాఫ్ తర్వాత నలభై సెకన్ల తరువాత, విమానం పసిఫిక్ మహాసముద్రం కొట్టి మునిగిపోయింది, 13 లో 10 లో 10 మందిని తక్షణమే చంపింది. . ఇండియానాలోని వాల్డ్రాన్ యొక్క గ్లెన్ ఎఫ్. గ్రెగొరీ, మరియు లెఫ్ట్ గన్నర్ ఎస్/సార్జంట్. టేనస్సీలోని మెంఫిస్‌కు చెందిన చార్లెస్ మెక్‌ముర్రే (ఒక మూలం లో మెక్‌మురీని కూడా స్పెల్లింగ్ చేశారు) శిధిలాల నుండి విసిరివేయబడ్డారు మరియు నీటిలో 45 నిమిషాల తర్వాత రెస్క్యూ బోట్ ద్వారా తిరిగి పొందారు. [15] డాటీ యొక్క శిధిలాలు మరియు ఆమె మునిగిపోయినప్పుడు ఆమె లోపల చిక్కుకున్న పది మంది పురుషుల అవశేషాలు ఎన్నడూ లేవు. శిధిలాలు సుమారు 6,000 అడుగుల లోతులో ఉన్నాయని నమ్ముతారు. [16] నేషనల్ అండర్వాటర్ అండ్ మెరైన్ ఏజెన్సీ ఆస్ట్రేలియా కోల్పోయిన ఎయిర్ఫ్రేమ్ కోసం శోధన ప్రతిపాదించబడింది. [17]</v>
      </c>
      <c r="E158" s="1" t="s">
        <v>2811</v>
      </c>
      <c r="G158" s="1" t="str">
        <f>IFERROR(__xludf.DUMMYFUNCTION("GOOGLETRANSLATE(F:F, ""en"", ""te"")"),"#VALUE!")</f>
        <v>#VALUE!</v>
      </c>
      <c r="I158" s="1" t="s">
        <v>2727</v>
      </c>
      <c r="J158" s="1" t="str">
        <f>IFERROR(__xludf.DUMMYFUNCTION("GOOGLETRANSLATE(I:I, ""en"", ""te"")"),"బోయింగ్ విమానం కంపెనీ")</f>
        <v>బోయింగ్ విమానం కంపెనీ</v>
      </c>
      <c r="K158" s="1" t="s">
        <v>2728</v>
      </c>
      <c r="M158" s="2"/>
      <c r="AO158" s="1" t="s">
        <v>2812</v>
      </c>
      <c r="BW158" s="1" t="s">
        <v>2813</v>
      </c>
      <c r="BX158" s="1" t="s">
        <v>2814</v>
      </c>
      <c r="CW158" s="1" t="s">
        <v>2815</v>
      </c>
      <c r="CX158" s="1" t="s">
        <v>2816</v>
      </c>
      <c r="CZ158" s="1" t="s">
        <v>2817</v>
      </c>
      <c r="DA158" s="1" t="s">
        <v>2818</v>
      </c>
      <c r="DC158" s="1">
        <v>4253.0</v>
      </c>
      <c r="DF158" s="1" t="s">
        <v>2819</v>
      </c>
      <c r="DN158" s="1" t="s">
        <v>2820</v>
      </c>
      <c r="DO158" s="1" t="s">
        <v>2821</v>
      </c>
      <c r="DP158" s="1" t="s">
        <v>2822</v>
      </c>
      <c r="DQ158" s="1" t="s">
        <v>2823</v>
      </c>
    </row>
    <row r="159">
      <c r="A159" s="1" t="s">
        <v>2824</v>
      </c>
      <c r="B159" s="1" t="str">
        <f>IFERROR(__xludf.DUMMYFUNCTION("GOOGLETRANSLATE(A:A, ""en"", ""te"")"),"ఎయిర్బ్రిడ్జ్ క్రూయిజర్ సుజుకి")</f>
        <v>ఎయిర్బ్రిడ్జ్ క్రూయిజర్ సుజుకి</v>
      </c>
      <c r="C159" s="1" t="s">
        <v>2825</v>
      </c>
      <c r="D159" s="2" t="str">
        <f>IFERROR(__xludf.DUMMYFUNCTION("GOOGLETRANSLATE(C:C, ""en"", ""te"")"),"ఎయిర్బ్రిడ్జ్ క్రూయిజర్ సుజుకి ఒక రష్యన్ అల్ట్రాలైట్ ట్రైక్, దీనిని మాస్కోకు చెందిన ఎయిర్బ్రిడ్జ్ రూపకల్పన చేసి నిర్మించింది. విమానం పూర్తి రెడీ-టు-ఫ్లై-ఎయిర్‌క్రాఫ్ట్‌గా సరఫరా చేయబడుతుంది. [1] క్రూయిజర్ సుజుకి ఫెడరేషన్ ఏరోనటిక్ ఇంటర్నేషనల్ మైక్రోలైట్ వర్"&amp;"గానికి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వెయిట్-షిఫ్ట్ కంట్రోల్స్, రెండు-సీట్ల తేమ ఓపెన్ కా"&amp;"క్‌పిట్, వీల్ ప్యాంటుతో ట్రైసైకిల్ ల్యాండింగ్ గేర్ మరియు పషర్ కాన్ఫిగరేషన్‌లో ఒకే ఇంజిన్ కలిగి ఉంది. [1] క్రూయిజర్ సుజుకి బోల్ట్-టుగెథర్ అల్యూమినియం గొట్టాల నుండి తయారవుతుంది, దాని డబుల్ ఉపరితల వింగ్ డాక్రాన్ సెయిల్‌క్లాత్‌లో కప్పబడి ఉంటుంది. దీని 9.28 మీ"&amp;" (30.4 అడుగులు) స్పాన్ వింగ్‌కు ఒకే ట్యూబ్-రకం కింగ్‌పోస్ట్ మద్దతు ఇస్తుంది మరియు ""ఎ"" ఫ్రేమ్ వెయిట్-షిఫ్ట్ కంట్రోల్ బార్‌ను ఉపయోగిస్తుంది. పవర్‌ప్లాంట్ సవరించిన ద్రవ-చల్లబడిన, నాలుగు-స్ట్రోక్, 80 హెచ్‌పి (60 కిలోవాట్) సుజుకి ఆటోమోటివ్ ఇంజిన్. ఈ విమానం ఖ"&amp;"ాళీ బరువు 230 కిలోలు (507 పౌండ్లు) మరియు స్థూల బరువు 450 కిలోలు (992 పౌండ్లు), ఇది 220 కిలోల (485 ఎల్బి) ఉపయోగకరమైన లోడ్‌ను ఇస్తుంది. 33 లీటర్ల పూర్తి ఇంధనంతో (7.3 ఇంప్ గల్; 8.7 యుఎస్ గాల్) పేలోడ్ 196 కిలోలు (432 ఎల్బి). [1] బేయర్ల్ నుండి డేటా [1] సాధారణ "&amp;"లక్షణాల పనితీరు")</f>
        <v>ఎయిర్బ్రిడ్జ్ క్రూయిజర్ సుజుకి ఒక రష్యన్ అల్ట్రాలైట్ ట్రైక్, దీనిని మాస్కోకు చెందిన ఎయిర్బ్రిడ్జ్ రూపకల్పన చేసి నిర్మించింది. విమానం పూర్తి రెడీ-టు-ఫ్లై-ఎయిర్‌క్రాఫ్ట్‌గా సరఫరా చేయబడుతుంది. [1] క్రూయిజర్ సుజుకి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వెయిట్-షిఫ్ట్ కంట్రోల్స్, రెండు-సీట్ల తేమ ఓపెన్ కాక్‌పిట్, వీల్ ప్యాంటుతో ట్రైసైకిల్ ల్యాండింగ్ గేర్ మరియు పషర్ కాన్ఫిగరేషన్‌లో ఒకే ఇంజిన్ కలిగి ఉంది. [1] క్రూయిజర్ సుజుకి బోల్ట్-టుగెథర్ అల్యూమినియం గొట్టాల నుండి తయారవుతుంది, దాని డబుల్ ఉపరితల వింగ్ డాక్రాన్ సెయిల్‌క్లాత్‌లో కప్పబడి ఉంటుంది. దీని 9.28 మీ (30.4 అడుగులు) స్పాన్ వింగ్‌కు ఒకే ట్యూబ్-రకం కింగ్‌పోస్ట్ మద్దతు ఇస్తుంది మరియు "ఎ" ఫ్రేమ్ వెయిట్-షిఫ్ట్ కంట్రోల్ బార్‌ను ఉపయోగిస్తుంది. పవర్‌ప్లాంట్ సవరించిన ద్రవ-చల్లబడిన, నాలుగు-స్ట్రోక్, 80 హెచ్‌పి (60 కిలోవాట్) సుజుకి ఆటోమోటివ్ ఇంజిన్. ఈ విమానం ఖాళీ బరువు 230 కిలోలు (507 పౌండ్లు) మరియు స్థూల బరువు 450 కిలోలు (992 పౌండ్లు), ఇది 220 కిలోల (485 ఎల్బి) ఉపయోగకరమైన లోడ్‌ను ఇస్తుంది. 33 లీటర్ల పూర్తి ఇంధనంతో (7.3 ఇంప్ గల్; 8.7 యుఎస్ గాల్) పేలోడ్ 196 కిలోలు (432 ఎల్బి). [1] బేయర్ల్ నుండి డేటా [1] సాధారణ లక్షణాల పనితీరు</v>
      </c>
      <c r="F159" s="1" t="s">
        <v>300</v>
      </c>
      <c r="G159" s="1" t="str">
        <f>IFERROR(__xludf.DUMMYFUNCTION("GOOGLETRANSLATE(F:F, ""en"", ""te"")"),"అల్ట్రాలైట్ ట్రైక్")</f>
        <v>అల్ట్రాలైట్ ట్రైక్</v>
      </c>
      <c r="H159" s="1" t="s">
        <v>301</v>
      </c>
      <c r="I159" s="1" t="s">
        <v>2754</v>
      </c>
      <c r="J159" s="1" t="str">
        <f>IFERROR(__xludf.DUMMYFUNCTION("GOOGLETRANSLATE(I:I, ""en"", ""te"")"),"ఎయిర్బ్రిడ్జ్")</f>
        <v>ఎయిర్బ్రిడ్జ్</v>
      </c>
      <c r="K159" s="4" t="s">
        <v>2755</v>
      </c>
      <c r="M159" s="2"/>
      <c r="R159" s="1" t="s">
        <v>222</v>
      </c>
      <c r="S159" s="1" t="s">
        <v>250</v>
      </c>
      <c r="U159" s="1" t="s">
        <v>2756</v>
      </c>
      <c r="V159" s="1" t="s">
        <v>2757</v>
      </c>
      <c r="W159" s="1" t="s">
        <v>2758</v>
      </c>
      <c r="X159" s="1" t="s">
        <v>1023</v>
      </c>
      <c r="Z159" s="1" t="s">
        <v>2759</v>
      </c>
      <c r="AA159" s="1" t="s">
        <v>566</v>
      </c>
      <c r="AB159" s="1" t="s">
        <v>2635</v>
      </c>
      <c r="AD159" s="1" t="s">
        <v>2760</v>
      </c>
      <c r="AF159" s="1" t="s">
        <v>448</v>
      </c>
      <c r="AG159" s="4" t="s">
        <v>449</v>
      </c>
      <c r="AK159" s="1" t="s">
        <v>2761</v>
      </c>
      <c r="AL159" s="1" t="s">
        <v>1228</v>
      </c>
      <c r="AR159" s="1" t="s">
        <v>2762</v>
      </c>
      <c r="AS159" s="1" t="s">
        <v>570</v>
      </c>
      <c r="AU159" s="1" t="s">
        <v>2763</v>
      </c>
      <c r="AX159" s="1">
        <v>2004.0</v>
      </c>
    </row>
    <row r="160">
      <c r="A160" s="1" t="s">
        <v>2826</v>
      </c>
      <c r="B160" s="1" t="str">
        <f>IFERROR(__xludf.DUMMYFUNCTION("GOOGLETRANSLATE(A:A, ""en"", ""te"")"),"హీంకెల్ అతను 9")</f>
        <v>హీంకెల్ అతను 9</v>
      </c>
      <c r="C160" s="1" t="s">
        <v>2827</v>
      </c>
      <c r="D160" s="2" t="str">
        <f>IFERROR(__xludf.DUMMYFUNCTION("GOOGLETRANSLATE(C:C, ""en"", ""te"")"),"హీంకెల్ హి 9 1920 ల చివరలో జర్మన్ ఏవియేషన్ కంపెనీ ఎర్నెస్ట్ హీంకెల్ ఫ్లూగ్జ్యూగ్వెర్కే AG చే అభివృద్ధి చేయబడిన నిఘా సీప్లేన్. ఈ విమానంలో 660 లీటర్లు (492 కిలోవాట్ల) బిఎమ్‌డబ్ల్యూ వి. ప్రణాళికాబద్ధమైన సిబ్బందిలో ముగ్గురు వ్యక్తులు ఉన్నారు. 21 మే 1929 న, ఈ "&amp;"విమానం సీప్లేన్ల కోసం అనేక ప్రపంచ రికార్డును ఏర్పాటు చేసింది, వీటిలో గంటకు 231 కిలోమీటర్ల వేగంతో ఒక కిలోమీటర్ల ట్రాక్‌లో 1000 కిలోల లోడ్ తో. జూన్ 10 న అతను 9 1000 కిలోల లోడ్‌తో 1000 కిలోమీటర్ల ట్రాక్‌కు స్పీడ్ రికార్డ్ సెట్ చేశాడు. [1] సాధారణ లక్షణాల పనిత"&amp;"ీరు నుండి డేటా")</f>
        <v>హీంకెల్ హి 9 1920 ల చివరలో జర్మన్ ఏవియేషన్ కంపెనీ ఎర్నెస్ట్ హీంకెల్ ఫ్లూగ్జ్యూగ్వెర్కే AG చే అభివృద్ధి చేయబడిన నిఘా సీప్లేన్. ఈ విమానంలో 660 లీటర్లు (492 కిలోవాట్ల) బిఎమ్‌డబ్ల్యూ వి. ప్రణాళికాబద్ధమైన సిబ్బందిలో ముగ్గురు వ్యక్తులు ఉన్నారు. 21 మే 1929 న, ఈ విమానం సీప్లేన్ల కోసం అనేక ప్రపంచ రికార్డును ఏర్పాటు చేసింది, వీటిలో గంటకు 231 కిలోమీటర్ల వేగంతో ఒక కిలోమీటర్ల ట్రాక్‌లో 1000 కిలోల లోడ్ తో. జూన్ 10 న అతను 9 1000 కిలోల లోడ్‌తో 1000 కిలోమీటర్ల ట్రాక్‌కు స్పీడ్ రికార్డ్ సెట్ చేశాడు. [1] సాధారణ లక్షణాల పనితీరు నుండి డేటా</v>
      </c>
      <c r="E160" s="1" t="s">
        <v>2828</v>
      </c>
      <c r="F160" s="1" t="s">
        <v>2829</v>
      </c>
      <c r="G160" s="1" t="str">
        <f>IFERROR(__xludf.DUMMYFUNCTION("GOOGLETRANSLATE(F:F, ""en"", ""te"")"),"నిఘా ఫ్లోట్ ప్లేన్")</f>
        <v>నిఘా ఫ్లోట్ ప్లేన్</v>
      </c>
      <c r="I160" s="1" t="s">
        <v>2830</v>
      </c>
      <c r="J160" s="1" t="str">
        <f>IFERROR(__xludf.DUMMYFUNCTION("GOOGLETRANSLATE(I:I, ""en"", ""te"")"),"హీంకెల్")</f>
        <v>హీంకెల్</v>
      </c>
      <c r="K160" s="4" t="s">
        <v>2831</v>
      </c>
      <c r="M160" s="2"/>
      <c r="O160" s="1">
        <v>1.0</v>
      </c>
      <c r="R160" s="1">
        <v>3.0</v>
      </c>
      <c r="T160" s="1" t="s">
        <v>2832</v>
      </c>
      <c r="U160" s="1" t="s">
        <v>2833</v>
      </c>
      <c r="V160" s="1" t="s">
        <v>2834</v>
      </c>
      <c r="W160" s="1" t="s">
        <v>2835</v>
      </c>
      <c r="Y160" s="1" t="s">
        <v>2836</v>
      </c>
      <c r="Z160" s="1" t="s">
        <v>2837</v>
      </c>
      <c r="AC160" s="1" t="s">
        <v>2838</v>
      </c>
      <c r="AD160" s="1" t="s">
        <v>2839</v>
      </c>
      <c r="AF160" s="1" t="s">
        <v>335</v>
      </c>
      <c r="AI160" s="1" t="s">
        <v>2840</v>
      </c>
      <c r="AK160" s="1" t="s">
        <v>2841</v>
      </c>
      <c r="AL160" s="1" t="s">
        <v>2842</v>
      </c>
      <c r="AN160" s="1" t="s">
        <v>2843</v>
      </c>
      <c r="AO160" s="1">
        <v>1927.0</v>
      </c>
      <c r="AR160" s="1" t="s">
        <v>2108</v>
      </c>
      <c r="AU160" s="1" t="s">
        <v>2844</v>
      </c>
      <c r="BC160" s="1" t="s">
        <v>2845</v>
      </c>
    </row>
    <row r="161">
      <c r="A161" s="1" t="s">
        <v>2846</v>
      </c>
      <c r="B161" s="1" t="str">
        <f>IFERROR(__xludf.DUMMYFUNCTION("GOOGLETRANSLATE(A:A, ""en"", ""te"")"),"ఎయిర్క్రాఫ్ట్ టెక్నాలజీస్ అక్రో 1")</f>
        <v>ఎయిర్క్రాఫ్ట్ టెక్నాలజీస్ అక్రో 1</v>
      </c>
      <c r="C161" s="1" t="s">
        <v>2847</v>
      </c>
      <c r="D161" s="2" t="str">
        <f>IFERROR(__xludf.DUMMYFUNCTION("GOOGLETRANSLATE(C:C, ""en"", ""te"")"),"ఎయిర్క్రాఫ్ట్ టెక్నాలజీస్ అక్రో 1 అనేది ఒక అమెరికన్ ఏరోబాటిక్ హోమ్‌బిల్ట్ విమానం, దీనిని ఫ్రెడ్ మేయర్ రూపొందించారు మరియు జార్జియాలోని లిల్బర్న్ యొక్క విమాన సాంకేతిక పరిజ్ఞానాలచే నిర్మించబడింది. ఇది అందుబాటులో ఉన్నప్పుడు విమానం కిట్‌గా లేదా te త్సాహిక నిర్"&amp;"మాణానికి ప్రణాళికల రూపంలో సరఫరా చేయబడింది. [1] ప్రణాళికలు లేదా కిట్లు ఇకపై అందుబాటులో లేవు మరియు విమానం ఉత్పత్తికి దూరంగా ఉంది. [2] హై-స్పీడ్, లాంగ్-రేంజ్ క్రాస్ కంట్రీ మరియు ఏరోబాటిక్ విమానంగా రూపొందించబడిన ACRO 1 లో కాంటిలివర్ లో-వింగ్, బబుల్ పందిరి కిం"&amp;"ద ఒకే-సీటు పరివేష్టిత కాక్‌పిట్, స్థిర సాంప్రదాయ ల్యాండింగ్ గేర్ మరియు ట్రాక్టర్ కాన్ఫిగరేషన్‌లో ఒకే ఇంజిన్ ఉన్నాయి. విమానం +/- 15g కు నొక్కి చెప్పబడింది. [1] ఈ విమానం గ్రాఫైట్ మరియు ఫైబర్గ్లాస్ మిశ్రమాల నుండి తయారు చేయబడింది. దీని 20.00 అడుగుల (6.1 మీ) స"&amp;"్పాన్ వింగ్ రెక్క ప్రాంతం 75.00 చదరపు అడుగులు (6.968 మీ 2) మరియు ఫ్లాప్‌లు లేవు. ఆమోదయోగ్యమైన శక్తి శ్రేణి 100 నుండి 210 హెచ్‌పి (75 నుండి 157 కిలోవాట్) మరియు ఉపయోగించిన ప్రామాణిక ఇంజిన్ 200 హెచ్‌పి (149 కిలోవాట్ల) లైమింగ్ IO-360 పవర్‌ప్లాంట్, ఇది 220 mph"&amp;" (350 కిమీ/గం) క్రూయిజ్ వేగాన్ని ఇస్తుంది. 47 యు.ఎస్. గ్యాలన్ల ఇంధన సామర్థ్యం (180 ఎల్; 39 ఇంప్ గాల్) 1,000 మైళ్ళు (1,600 కిమీ) పరిధిని అందిస్తుంది. [1] ACRO 1 లో 780 lb (350 kg) ఖాళీ బరువు మరియు 1,250 lb (570 కిలోల) స్థూల బరువు ఉంది, ఇది 470 పౌండ్లు (210"&amp;" కిలోల) ఉపయోగకరమైన లోడ్ ఇస్తుంది. 47 యు.ఎస్. గ్యాలన్ల పూర్తి ఇంధనంతో (180 ఎల్; 39 ఇంప్ గల్) పేలోడ్ 188 ఎల్బి (85 కిలోలు). [1] తయారీదారు సరఫరా చేసిన కిట్ నుండి నిర్మాణ సమయాన్ని 700 గంటలుగా అంచనా వేస్తాడు. [1] 1998 నాటికి కంపెనీ ఒక ఉదాహరణ ఎగురవేయబడిందని నివ"&amp;"ేదించింది. [1] నవంబర్ 2014 లో ఫెడరల్ ఏవియేషన్ అడ్మినిస్ట్రేషన్తో అమెరికాలో మూడు ఉదాహరణలు నమోదు చేయబడ్డాయి. [3] [4] ఏరోక్రాఫ్టర్ నుండి డేటా [1] సాధారణ లక్షణాలు పోల్చదగిన పాత్ర, కాన్ఫిగరేషన్ మరియు ERA సంబంధిత జాబితాల పనితీరు విమానం")</f>
        <v>ఎయిర్క్రాఫ్ట్ టెక్నాలజీస్ అక్రో 1 అనేది ఒక అమెరికన్ ఏరోబాటిక్ హోమ్‌బిల్ట్ విమానం, దీనిని ఫ్రెడ్ మేయర్ రూపొందించారు మరియు జార్జియాలోని లిల్బర్న్ యొక్క విమాన సాంకేతిక పరిజ్ఞానాలచే నిర్మించబడింది. ఇది అందుబాటులో ఉన్నప్పుడు విమానం కిట్‌గా లేదా te త్సాహిక నిర్మాణానికి ప్రణాళికల రూపంలో సరఫరా చేయబడింది. [1] ప్రణాళికలు లేదా కిట్లు ఇకపై అందుబాటులో లేవు మరియు విమానం ఉత్పత్తికి దూరంగా ఉంది. [2] హై-స్పీడ్, లాంగ్-రేంజ్ క్రాస్ కంట్రీ మరియు ఏరోబాటిక్ విమానంగా రూపొందించబడిన ACRO 1 లో కాంటిలివర్ లో-వింగ్, బబుల్ పందిరి కింద ఒకే-సీటు పరివేష్టిత కాక్‌పిట్, స్థిర సాంప్రదాయ ల్యాండింగ్ గేర్ మరియు ట్రాక్టర్ కాన్ఫిగరేషన్‌లో ఒకే ఇంజిన్ ఉన్నాయి. విమానం +/- 15g కు నొక్కి చెప్పబడింది. [1] ఈ విమానం గ్రాఫైట్ మరియు ఫైబర్గ్లాస్ మిశ్రమాల నుండి తయారు చేయబడింది. దీని 20.00 అడుగుల (6.1 మీ) స్పాన్ వింగ్ రెక్క ప్రాంతం 75.00 చదరపు అడుగులు (6.968 మీ 2) మరియు ఫ్లాప్‌లు లేవు. ఆమోదయోగ్యమైన శక్తి శ్రేణి 100 నుండి 210 హెచ్‌పి (75 నుండి 157 కిలోవాట్) మరియు ఉపయోగించిన ప్రామాణిక ఇంజిన్ 200 హెచ్‌పి (149 కిలోవాట్ల) లైమింగ్ IO-360 పవర్‌ప్లాంట్, ఇది 220 mph (350 కిమీ/గం) క్రూయిజ్ వేగాన్ని ఇస్తుంది. 47 యు.ఎస్. గ్యాలన్ల ఇంధన సామర్థ్యం (180 ఎల్; 39 ఇంప్ గాల్) 1,000 మైళ్ళు (1,600 కిమీ) పరిధిని అందిస్తుంది. [1] ACRO 1 లో 780 lb (350 kg) ఖాళీ బరువు మరియు 1,250 lb (570 కిలోల) స్థూల బరువు ఉంది, ఇది 470 పౌండ్లు (210 కిలోల) ఉపయోగకరమైన లోడ్ ఇస్తుంది. 47 యు.ఎస్. గ్యాలన్ల పూర్తి ఇంధనంతో (180 ఎల్; 39 ఇంప్ గల్) పేలోడ్ 188 ఎల్బి (85 కిలోలు). [1] తయారీదారు సరఫరా చేసిన కిట్ నుండి నిర్మాణ సమయాన్ని 700 గంటలుగా అంచనా వేస్తాడు. [1] 1998 నాటికి కంపెనీ ఒక ఉదాహరణ ఎగురవేయబడిందని నివేదించింది. [1] నవంబర్ 2014 లో ఫెడరల్ ఏవియేషన్ అడ్మినిస్ట్రేషన్తో అమెరికాలో మూడు ఉదాహరణలు నమోదు చేయబడ్డాయి. [3] [4] ఏరోక్రాఫ్టర్ నుండి డేటా [1] సాధారణ లక్షణాలు పోల్చదగిన పాత్ర, కాన్ఫిగరేషన్ మరియు ERA సంబంధిత జాబితాల పనితీరు విమానం</v>
      </c>
      <c r="E161" s="1" t="s">
        <v>2848</v>
      </c>
      <c r="F161" s="1" t="s">
        <v>920</v>
      </c>
      <c r="G161" s="1" t="str">
        <f>IFERROR(__xludf.DUMMYFUNCTION("GOOGLETRANSLATE(F:F, ""en"", ""te"")"),"హోమ్‌బిల్ట్ విమానం")</f>
        <v>హోమ్‌బిల్ట్ విమానం</v>
      </c>
      <c r="H161" s="1" t="s">
        <v>921</v>
      </c>
      <c r="I161" s="1" t="s">
        <v>2849</v>
      </c>
      <c r="J161" s="1" t="str">
        <f>IFERROR(__xludf.DUMMYFUNCTION("GOOGLETRANSLATE(I:I, ""en"", ""te"")"),"విమాన సాంకేతికతలు")</f>
        <v>విమాన సాంకేతికతలు</v>
      </c>
      <c r="K161" s="1" t="s">
        <v>2850</v>
      </c>
      <c r="L161" s="1" t="s">
        <v>2851</v>
      </c>
      <c r="M161" s="2" t="str">
        <f>IFERROR(__xludf.DUMMYFUNCTION("GOOGLETRANSLATE(L:L, ""en"", ""te"")"),"ఫ్రెడ్ మేయర్")</f>
        <v>ఫ్రెడ్ మేయర్</v>
      </c>
      <c r="O161" s="1" t="s">
        <v>2852</v>
      </c>
      <c r="R161" s="1" t="s">
        <v>222</v>
      </c>
      <c r="T161" s="1" t="s">
        <v>1750</v>
      </c>
      <c r="U161" s="1" t="s">
        <v>1751</v>
      </c>
      <c r="V161" s="1" t="s">
        <v>2853</v>
      </c>
      <c r="W161" s="1" t="s">
        <v>2854</v>
      </c>
      <c r="X161" s="1" t="s">
        <v>2855</v>
      </c>
      <c r="Z161" s="1" t="s">
        <v>2856</v>
      </c>
      <c r="AA161" s="1" t="s">
        <v>2857</v>
      </c>
      <c r="AB161" s="1" t="s">
        <v>2858</v>
      </c>
      <c r="AC161" s="1" t="s">
        <v>2859</v>
      </c>
      <c r="AD161" s="1" t="s">
        <v>2860</v>
      </c>
      <c r="AF161" s="1" t="s">
        <v>206</v>
      </c>
      <c r="AG161" s="4" t="s">
        <v>207</v>
      </c>
      <c r="AK161" s="1" t="s">
        <v>2861</v>
      </c>
      <c r="AL161" s="1" t="s">
        <v>2862</v>
      </c>
      <c r="AN161" s="1" t="s">
        <v>2674</v>
      </c>
      <c r="AO161" s="1">
        <v>1993.0</v>
      </c>
      <c r="AR161" s="1" t="s">
        <v>725</v>
      </c>
      <c r="AS161" s="1" t="s">
        <v>318</v>
      </c>
      <c r="AT161" s="1" t="s">
        <v>2863</v>
      </c>
      <c r="AU161" s="1" t="s">
        <v>2864</v>
      </c>
    </row>
    <row r="162">
      <c r="A162" s="1" t="s">
        <v>2865</v>
      </c>
      <c r="B162" s="1" t="str">
        <f>IFERROR(__xludf.DUMMYFUNCTION("GOOGLETRANSLATE(A:A, ""en"", ""te"")"),"సెప్టెంబర్ ఫ్యూరీ")</f>
        <v>సెప్టెంబర్ ఫ్యూరీ</v>
      </c>
      <c r="C162" s="1" t="s">
        <v>2866</v>
      </c>
      <c r="D162" s="2" t="str">
        <f>IFERROR(__xludf.DUMMYFUNCTION("GOOGLETRANSLATE(C:C, ""en"", ""te"")"),"సెప్టెంబర్ ఫ్యూరీ, రేస్ నంబర్ 232 ను బట్టి, రెనో ఎయిర్ రేసుల్లో రెగ్యులర్ రేసర్ అయిన అత్యంత మార్పు చెందిన హాకర్ సీ ఫ్యూరీ. [1] 1962 లో కెనడాలోని న్యూ బ్రున్స్విక్‌లోని ఒక రైతు క్షేత్రం నుండి రెండు వదలివేయబడిన సముద్రపు కోపంగా శిధిలాలు తిరిగి పొందబడ్డాయి. ర"&amp;"ెండు శిధిలాలలో ఒకటి మాత్రమే ఒక హ్యాంగర్ ఫైర్ నుండి బయటపడింది మరియు ఇది N232J గా వాయు యోగ్యతకు పునరుద్ధరించబడింది. ల్యాండింగ్ గేర్ వైఫల్యం తరువాత శిధిలమైన విమానాన్ని నవంబర్ 1969 లో సాండర్స్ కుటుంబం కొనుగోలు చేసింది. సెప్టెంబర్ 1970 లో ఈ విమానం మరోసారి వాయు"&amp;"వ్య దిశలో ఉంది. [2] [3] N232J కాలిఫోర్నియా 1000 రేసులో ప్రవేశించి నాల్గవ స్థానంలో నిలిచింది. మళ్ళీ ఇది జూలై 1971 అమెరికా కప్ రేసులో పరుగెత్తింది, సాండర్స్ దానిని రెండవ స్థానానికి పైలట్ చేశాడు. నవంబర్లో విమానం కాలిఫోర్నియా 1000 రేసులో మళ్లీ ఎగిరింది, ఇది మ"&amp;"ొదటి స్థానంతో ముగుస్తుంది. 1975 లో ఈ విమానం కాలిఫోర్నియా నేషనల్ ఎయిర్ రేసుల్లో మళ్లీ పరుగెత్తి 6 వ స్థానంలో నిలిచింది. ఈ విమానం 1978 లో మరియు మళ్ళీ 1988 లో యజమానులను మార్చింది. ఆ సెప్టెంబరులో నెవాడాలోని రెనోలో జరిగిన నేషనల్ ఛాంపియన్‌షిప్ ఎయిర్ రేసుల్లో ఈ "&amp;"విమానం ""232"" గా పాల్గొంది. 1989 చివరలో, ఈ విమానం విక్రయించి యునైటెడ్ కింగ్‌డమ్‌కు తరలించబడింది, 1995 వరకు మళ్లీ అమెరికాకు తిరిగి రాలేదు. మైఖేల్ బ్రౌన్ 1996 లో ఈ విమానాన్ని కొనుగోలు చేశాడు మరియు ఈ విమానం మళ్లీ N232J గా నమోదు చేయబడి, పునరుద్ధరించబడింది, త"&amp;"రువాత MK. 18 బ్రిస్టల్ సెంటారస్ ఇంజిన్ తొలగించబడింది మరియు మరింత శక్తివంతమైన కర్టిస్ రైట్ R-3350-93 తో భర్తీ చేయబడింది. 1998 లో మొట్టమొదటి విమానంతో. సెప్టెంబర్ ఫ్యూరీ పేరుతో కొత్త 232 1988 నుండి మొదటిసారి రెనో ఎయిర్ రేసులకు తిరిగి వచ్చింది. ఎగిరిన ఇంజిన్ "&amp;"కారణంగా పూర్తి కాలేదు. సెప్టెంబర్ ఫ్యూరీ ఇంజిన్ స్థానంలో సవరించిన R-3350 తో భర్తీ చేయబడుతుంది మరియు విమానం 2001 లో రేసులో పాల్గొనడానికి సిద్ధంగా ఉంది. సెప్టెంబర్ 2002 లో ఫ్యూరీ 468.266 mph, ప్రపంచంలోనే అత్యంత వేగవంతమైన సముద్రపు కోపంతో గడిచిపోయింది. ఇది రె"&amp;"నో ఎయిర్ రేసుల్లో రెండవ స్థానంలో నిలిచింది. 2003 పైలాన్ రేసింగ్ సెమినార్ సెప్టెంబర్ ఫ్యూరీని మరింత అడవి పథకంతో చూసింది. సెప్టెంబర్ ఫ్యూరీ అయితే ఆ సంవత్సరం రెనో ఎయిర్ రేసుల్లో ఇంజిన్‌ను పేల్చివేసింది మరియు పోటీ పడలేదు. 2004 లో సెప్టెంబర్ ఫ్యూరీ అపరిమిత బంగ"&amp;"ారంలో 3 వ స్థానంలో నిలిచింది. 2006 లో సెప్టెంబర్ ఫ్యూరీ రెనో ఎయిర్ రేసుల్లో మొదటి స్థానంలో నిలిచింది, అపరిమిత బ్రెట్లింగ్ బంగారు రేసు. [4] [5] సెప్టెంబర్ ఫ్యూరీ 2007 రెనో ఎయిర్ రేసుల్లో పోటీ పడింది, అయితే ఎగిరిన ఇంజిన్ కారణంగా అపరిమిత బ్రెట్లింగ్ గోల్డ్ ర"&amp;"ేసును పూర్తి చేయలేదు. 2008 రెనో ఎయిర్ రేసులు, అపరిమిత బ్రెట్లింగ్ గోల్డ్ రేస్ సెప్టెంబర్ ఫ్యూరీతో మూడవ స్థానంలో నిలిచింది. 2009 లో సెప్టెంబర్ ఫ్యూరీ యజమానులను మార్చారు మరియు 2011 వరకు మళ్లీ పందెం చేయలేదు. 4 వ స్థానంలో నిలిచింది. [6] 2012 లో సెప్టెంబర్ ఫ్య"&amp;"ూరీ అపరిమిత బ్రెయిట్లింగ్ గోల్డ్ రేసులో స్ట్రెగాకు 2 వ స్థానంలో నిలిచింది. [7] 2013 లో సెప్టెంబర్ ఫ్యూరీ రోస్టర్‌లో 2 వ స్థానంలో నిలిచింది. అయితే యాంత్రిక వైఫల్యం విమానం రేసులో నిలిచిపోయింది. [8] ఏప్రిల్ 29, 2019 న, ఒక విమాన డీలర్ సెప్టెంబర్ ఫ్యూరీ విక్రయ"&amp;"ించబడిందని మరియు త్వరలో తిరిగి ప్రసారం అవుతుందని నివేదించారు. ఇది దాని ఎయిర్ రేసింగ్ కాన్ఫిగరేషన్ లేదా తిరిగి స్టాక్‌కు మార్చబడుతుందా అని ఎటువంటి సూచన ఇవ్వబడలేదు. [9] పోల్చదగిన పాత్ర, ఆకృతీకరణ మరియు యుగం యొక్క విమానం")</f>
        <v>సెప్టెంబర్ ఫ్యూరీ, రేస్ నంబర్ 232 ను బట్టి, రెనో ఎయిర్ రేసుల్లో రెగ్యులర్ రేసర్ అయిన అత్యంత మార్పు చెందిన హాకర్ సీ ఫ్యూరీ. [1] 1962 లో కెనడాలోని న్యూ బ్రున్స్విక్‌లోని ఒక రైతు క్షేత్రం నుండి రెండు వదలివేయబడిన సముద్రపు కోపంగా శిధిలాలు తిరిగి పొందబడ్డాయి. రెండు శిధిలాలలో ఒకటి మాత్రమే ఒక హ్యాంగర్ ఫైర్ నుండి బయటపడింది మరియు ఇది N232J గా వాయు యోగ్యతకు పునరుద్ధరించబడింది. ల్యాండింగ్ గేర్ వైఫల్యం తరువాత శిధిలమైన విమానాన్ని నవంబర్ 1969 లో సాండర్స్ కుటుంబం కొనుగోలు చేసింది. సెప్టెంబర్ 1970 లో ఈ విమానం మరోసారి వాయువ్య దిశలో ఉంది. [2] [3] N232J కాలిఫోర్నియా 1000 రేసులో ప్రవేశించి నాల్గవ స్థానంలో నిలిచింది. మళ్ళీ ఇది జూలై 1971 అమెరికా కప్ రేసులో పరుగెత్తింది, సాండర్స్ దానిని రెండవ స్థానానికి పైలట్ చేశాడు. నవంబర్లో విమానం కాలిఫోర్నియా 1000 రేసులో మళ్లీ ఎగిరింది, ఇది మొదటి స్థానంతో ముగుస్తుంది. 1975 లో ఈ విమానం కాలిఫోర్నియా నేషనల్ ఎయిర్ రేసుల్లో మళ్లీ పరుగెత్తి 6 వ స్థానంలో నిలిచింది. ఈ విమానం 1978 లో మరియు మళ్ళీ 1988 లో యజమానులను మార్చింది. ఆ సెప్టెంబరులో నెవాడాలోని రెనోలో జరిగిన నేషనల్ ఛాంపియన్‌షిప్ ఎయిర్ రేసుల్లో ఈ విమానం "232" గా పాల్గొంది. 1989 చివరలో, ఈ విమానం విక్రయించి యునైటెడ్ కింగ్‌డమ్‌కు తరలించబడింది, 1995 వరకు మళ్లీ అమెరికాకు తిరిగి రాలేదు. మైఖేల్ బ్రౌన్ 1996 లో ఈ విమానాన్ని కొనుగోలు చేశాడు మరియు ఈ విమానం మళ్లీ N232J గా నమోదు చేయబడి, పునరుద్ధరించబడింది, తరువాత MK. 18 బ్రిస్టల్ సెంటారస్ ఇంజిన్ తొలగించబడింది మరియు మరింత శక్తివంతమైన కర్టిస్ రైట్ R-3350-93 తో భర్తీ చేయబడింది. 1998 లో మొట్టమొదటి విమానంతో. సెప్టెంబర్ ఫ్యూరీ పేరుతో కొత్త 232 1988 నుండి మొదటిసారి రెనో ఎయిర్ రేసులకు తిరిగి వచ్చింది. ఎగిరిన ఇంజిన్ కారణంగా పూర్తి కాలేదు. సెప్టెంబర్ ఫ్యూరీ ఇంజిన్ స్థానంలో సవరించిన R-3350 తో భర్తీ చేయబడుతుంది మరియు విమానం 2001 లో రేసులో పాల్గొనడానికి సిద్ధంగా ఉంది. సెప్టెంబర్ 2002 లో ఫ్యూరీ 468.266 mph, ప్రపంచంలోనే అత్యంత వేగవంతమైన సముద్రపు కోపంతో గడిచిపోయింది. ఇది రెనో ఎయిర్ రేసుల్లో రెండవ స్థానంలో నిలిచింది. 2003 పైలాన్ రేసింగ్ సెమినార్ సెప్టెంబర్ ఫ్యూరీని మరింత అడవి పథకంతో చూసింది. సెప్టెంబర్ ఫ్యూరీ అయితే ఆ సంవత్సరం రెనో ఎయిర్ రేసుల్లో ఇంజిన్‌ను పేల్చివేసింది మరియు పోటీ పడలేదు. 2004 లో సెప్టెంబర్ ఫ్యూరీ అపరిమిత బంగారంలో 3 వ స్థానంలో నిలిచింది. 2006 లో సెప్టెంబర్ ఫ్యూరీ రెనో ఎయిర్ రేసుల్లో మొదటి స్థానంలో నిలిచింది, అపరిమిత బ్రెట్లింగ్ బంగారు రేసు. [4] [5] సెప్టెంబర్ ఫ్యూరీ 2007 రెనో ఎయిర్ రేసుల్లో పోటీ పడింది, అయితే ఎగిరిన ఇంజిన్ కారణంగా అపరిమిత బ్రెట్లింగ్ గోల్డ్ రేసును పూర్తి చేయలేదు. 2008 రెనో ఎయిర్ రేసులు, అపరిమిత బ్రెట్లింగ్ గోల్డ్ రేస్ సెప్టెంబర్ ఫ్యూరీతో మూడవ స్థానంలో నిలిచింది. 2009 లో సెప్టెంబర్ ఫ్యూరీ యజమానులను మార్చారు మరియు 2011 వరకు మళ్లీ పందెం చేయలేదు. 4 వ స్థానంలో నిలిచింది. [6] 2012 లో సెప్టెంబర్ ఫ్యూరీ అపరిమిత బ్రెయిట్లింగ్ గోల్డ్ రేసులో స్ట్రెగాకు 2 వ స్థానంలో నిలిచింది. [7] 2013 లో సెప్టెంబర్ ఫ్యూరీ రోస్టర్‌లో 2 వ స్థానంలో నిలిచింది. అయితే యాంత్రిక వైఫల్యం విమానం రేసులో నిలిచిపోయింది. [8] ఏప్రిల్ 29, 2019 న, ఒక విమాన డీలర్ సెప్టెంబర్ ఫ్యూరీ విక్రయించబడిందని మరియు త్వరలో తిరిగి ప్రసారం అవుతుందని నివేదించారు. ఇది దాని ఎయిర్ రేసింగ్ కాన్ఫిగరేషన్ లేదా తిరిగి స్టాక్‌కు మార్చబడుతుందా అని ఎటువంటి సూచన ఇవ్వబడలేదు. [9] పోల్చదగిన పాత్ర, ఆకృతీకరణ మరియు యుగం యొక్క విమానం</v>
      </c>
      <c r="E162" s="1" t="s">
        <v>2867</v>
      </c>
      <c r="G162" s="1" t="str">
        <f>IFERROR(__xludf.DUMMYFUNCTION("GOOGLETRANSLATE(F:F, ""en"", ""te"")"),"#VALUE!")</f>
        <v>#VALUE!</v>
      </c>
      <c r="M162" s="2"/>
      <c r="CW162" s="1" t="s">
        <v>2868</v>
      </c>
      <c r="CX162" s="1" t="s">
        <v>2869</v>
      </c>
      <c r="CY162" s="1" t="s">
        <v>2870</v>
      </c>
      <c r="DA162" s="1" t="s">
        <v>2871</v>
      </c>
    </row>
    <row r="163">
      <c r="A163" s="1" t="s">
        <v>2872</v>
      </c>
      <c r="B163" s="1" t="str">
        <f>IFERROR(__xludf.DUMMYFUNCTION("GOOGLETRANSLATE(A:A, ""en"", ""te"")"),"కాప్రోని ca.103")</f>
        <v>కాప్రోని ca.103</v>
      </c>
      <c r="C163" s="1" t="s">
        <v>2873</v>
      </c>
      <c r="D163" s="2" t="str">
        <f>IFERROR(__xludf.DUMMYFUNCTION("GOOGLETRANSLATE(C:C, ""en"", ""te"")"),"కాప్రోని CA.103 1920 ల చివరలో ఇటాలియన్ కంపెనీ ఏరోనాటికా కాప్రోని అభివృద్ధి చేసిన బిప్‌లేన్ ట్విన్-ఇంజిన్ బాంబర్. CA.103 లో ఒక ఫ్యూజ్‌లేజ్ ఉంది, దీర్ఘచతురస్రాకార విభాగంతో మరియు వెల్డెడ్ గొట్టాలతో తయారు చేయబడింది, ఇది రెండు-సీట్ల క్లోజ్డ్ కాక్‌పిట్‌ను వింగ్"&amp;" కనెక్షన్ అంచు వద్ద ఉంచిన మరియు మెషిన్ గన్స్ మరియు పాయింటర్ కోసం మూడు స్థానాలతో ఇంటర్‌కమ్యూనికేటింగ్‌ను సమగ్రపరిచింది. వెనుక భాగంలో, ఇది క్షితిజ సమాంతర కౌంటర్-బ్రేస్డ్ సెస్క్విప్లేన్ విమానాలతో కూడిన సింగిల్ డ్రిఫ్ట్ ఫ్లెచింగ్‌తో ముగిసింది, ఒకదానికొకటి ఒక "&amp;"జత ""V- ఆకారపు"" నిటారుగా, మరియు విమానంలో సర్దుబాటు సంభవంతో దిగువ విమానం ద్వారా అనుసంధానించబడి ఉంది. రెక్కల కాన్ఫిగరేషన్ సెస్క్విప్లానా తటస్థ స్కేలింగ్‌తో విలోమం చేయబడింది, అనగా అధిక రెక్కల విమానంతో గణనీయంగా తక్కువ ఓపెనింగ్‌తో మరియు దిగువ వాటికి నేరుగా ఉం"&amp;"చబడుతుంది, రెండోది అవకలన స్లిట్ ఐలెరాన్ ఉన్నది మాత్రమే. రెక్కలు, రెండూ సున్నితమైన పాజిటివ్ డైహెడ్రల్ కోణంతో వర్గీకరించబడ్డాయి, వారెన్ ట్రస్ కాన్ఫిగరేషన్‌లో వరుస రైసర్ జతల ద్వారా ఒకదానితో ఒకటి అనుసంధానించబడ్డాయి. ల్యాండింగ్ గేర్ స్థిర క్లాసిక్ ట్రైసైకిల్ క"&amp;"ాన్ఫిగరేషన్‌ను కలిగి ఉంది, ముందు మూలకం అంతరాయం కలిగించిన ఇరుసు మరియు సాగే నిటారుగా ఉంటుంది, వెలికితీసిన చక్రాలతో బ్రేక్‌లతో అమర్చబడి, వెనుక భాగంలో స్వివిలింగ్ సపోర్ట్ వీల్ ద్వారా విలీనం చేయబడింది, ఇది కూడా స్థితిస్థాపకంగా ఉంటుంది. [1] ఏరోప్లాని కాప్రోని డ"&amp;"ాల్ 1908 AL 1935 నుండి డేటా [2] సాధారణ లక్షణాలు పనితీరు ఆయుధ సంబంధిత జాబితాలు")</f>
        <v>కాప్రోని CA.103 1920 ల చివరలో ఇటాలియన్ కంపెనీ ఏరోనాటికా కాప్రోని అభివృద్ధి చేసిన బిప్‌లేన్ ట్విన్-ఇంజిన్ బాంబర్. CA.103 లో ఒక ఫ్యూజ్‌లేజ్ ఉంది, దీర్ఘచతురస్రాకార విభాగంతో మరియు వెల్డెడ్ గొట్టాలతో తయారు చేయబడింది, ఇది రెండు-సీట్ల క్లోజ్డ్ కాక్‌పిట్‌ను వింగ్ కనెక్షన్ అంచు వద్ద ఉంచిన మరియు మెషిన్ గన్స్ మరియు పాయింటర్ కోసం మూడు స్థానాలతో ఇంటర్‌కమ్యూనికేటింగ్‌ను సమగ్రపరిచింది. వెనుక భాగంలో, ఇది క్షితిజ సమాంతర కౌంటర్-బ్రేస్డ్ సెస్క్విప్లేన్ విమానాలతో కూడిన సింగిల్ డ్రిఫ్ట్ ఫ్లెచింగ్‌తో ముగిసింది, ఒకదానికొకటి ఒక జత "V- ఆకారపు" నిటారుగా, మరియు విమానంలో సర్దుబాటు సంభవంతో దిగువ విమానం ద్వారా అనుసంధానించబడి ఉంది. రెక్కల కాన్ఫిగరేషన్ సెస్క్విప్లానా తటస్థ స్కేలింగ్‌తో విలోమం చేయబడింది, అనగా అధిక రెక్కల విమానంతో గణనీయంగా తక్కువ ఓపెనింగ్‌తో మరియు దిగువ వాటికి నేరుగా ఉంచబడుతుంది, రెండోది అవకలన స్లిట్ ఐలెరాన్ ఉన్నది మాత్రమే. రెక్కలు, రెండూ సున్నితమైన పాజిటివ్ డైహెడ్రల్ కోణంతో వర్గీకరించబడ్డాయి, వారెన్ ట్రస్ కాన్ఫిగరేషన్‌లో వరుస రైసర్ జతల ద్వారా ఒకదానితో ఒకటి అనుసంధానించబడ్డాయి. ల్యాండింగ్ గేర్ స్థిర క్లాసిక్ ట్రైసైకిల్ కాన్ఫిగరేషన్‌ను కలిగి ఉంది, ముందు మూలకం అంతరాయం కలిగించిన ఇరుసు మరియు సాగే నిటారుగా ఉంటుంది, వెలికితీసిన చక్రాలతో బ్రేక్‌లతో అమర్చబడి, వెనుక భాగంలో స్వివిలింగ్ సపోర్ట్ వీల్ ద్వారా విలీనం చేయబడింది, ఇది కూడా స్థితిస్థాపకంగా ఉంటుంది. [1] ఏరోప్లాని కాప్రోని డాల్ 1908 AL 1935 నుండి డేటా [2] సాధారణ లక్షణాలు పనితీరు ఆయుధ సంబంధిత జాబితాలు</v>
      </c>
      <c r="F163" s="1" t="s">
        <v>1825</v>
      </c>
      <c r="G163" s="1" t="str">
        <f>IFERROR(__xludf.DUMMYFUNCTION("GOOGLETRANSLATE(F:F, ""en"", ""te"")"),"బాంబర్")</f>
        <v>బాంబర్</v>
      </c>
      <c r="I163" s="1" t="s">
        <v>2874</v>
      </c>
      <c r="J163" s="1" t="str">
        <f>IFERROR(__xludf.DUMMYFUNCTION("GOOGLETRANSLATE(I:I, ""en"", ""te"")"),"కాప్రోని")</f>
        <v>కాప్రోని</v>
      </c>
      <c r="K163" s="4" t="s">
        <v>2875</v>
      </c>
      <c r="M163" s="2"/>
      <c r="O163" s="1">
        <v>1.0</v>
      </c>
      <c r="T163" s="1" t="s">
        <v>1609</v>
      </c>
      <c r="U163" s="1" t="s">
        <v>2876</v>
      </c>
      <c r="V163" s="1" t="s">
        <v>2877</v>
      </c>
      <c r="W163" s="1" t="s">
        <v>2878</v>
      </c>
      <c r="X163" s="1" t="s">
        <v>2879</v>
      </c>
      <c r="Z163" s="1" t="s">
        <v>2880</v>
      </c>
      <c r="AI163" s="1" t="s">
        <v>765</v>
      </c>
      <c r="AL163" s="1" t="s">
        <v>1442</v>
      </c>
      <c r="AN163" s="1" t="s">
        <v>815</v>
      </c>
      <c r="AO163" s="1">
        <v>1929.0</v>
      </c>
      <c r="AR163" s="1" t="s">
        <v>2881</v>
      </c>
      <c r="BS163" s="1" t="s">
        <v>2882</v>
      </c>
      <c r="CM163" s="1" t="s">
        <v>2883</v>
      </c>
    </row>
    <row r="164">
      <c r="A164" s="1" t="s">
        <v>2884</v>
      </c>
      <c r="B164" s="1" t="str">
        <f>IFERROR(__xludf.DUMMYFUNCTION("GOOGLETRANSLATE(A:A, ""en"", ""te"")"),"యోకోసుకా E5Y")</f>
        <v>యోకోసుకా E5Y</v>
      </c>
      <c r="C164" s="1" t="s">
        <v>2885</v>
      </c>
      <c r="D164" s="2" t="str">
        <f>IFERROR(__xludf.DUMMYFUNCTION("GOOGLETRANSLATE(C:C, ""en"", ""te"")"),"యోకోసుకా E5Y (లాంగ్ హోదా: ​​యోకోసుకా నేవీ టైప్ 90-3 నిఘా సీప్లేన్) నిఘా కోసం ఉపయోగించే సింగిల్-ఇంజిన్ జపనీస్ సీప్లేన్. E5Y ను కవానిషి E5K (లాంగ్ హోదా: ​​కవానిషి నేవీ టైప్ 90-3 నిఘా సీప్లేన్) గా నిర్మించారు, యోకోసుకా టైప్ 90-3 (E5Y1) 450 హెచ్‌పి (340 కిలోవ"&amp;"ాట్ల) ఇంజిన్‌తో రెండవ తరం సీప్లేన్ కానగావా ప్రిఫెక్చర్‌లోని యోకోసుకా నావికాదళ ఆర్సెనల్ వద్ద అభివృద్ధి చేయబడిన యోకోసుకా E1Y, ఇందులో రెండు బాహ్యంగా అమర్చిన ఫ్లోట్‌లు ఉన్నాయి. జపనీస్ నేవీ మొదట్లో దీనిని యోకోసుకా నేవీ టైప్ 14-2 కై -1 నిఘా సీప్లేన్‌గా నియమించి"&amp;"ంది, కాని కవానిషి కవానిషి నేవీ టైప్ 90-3 నిఘా సీప్లేన్‌గా ఉత్పత్తిని చేపట్టింది. [1] [2] 1932 నాటికి, E5Y / E5K సీప్లేన్‌లను భర్తీ చేయడానికి ఐచి AB-6 అభివృద్ధిలో ఉంది. కవానిషి E5K1 లేదా కవానిషి రకం G 1930 లలో జపనీస్ మూడు సీట్ల నిఘా ఫ్లోట్‌ప్లేన్. [3] రేడి"&amp;"యల్-ఇంజిన్డ్ ట్విన్-ఫ్లోట్ సీప్లేన్ అయిన E5K1, అక్టోబర్ 1931 లో మొదట ప్రయాణించింది, కాని అభివృద్ధిలో సమస్యల కారణంగా 20 ఉత్పత్తి విమానాలు మాత్రమే నిర్మించబడ్డాయి. [3] ఈ రకం ఏప్రిల్ 1932 లో ఇంపీరియల్ జపనీస్ నేవీ ఎయిర్ సర్వీస్‌తో కవానిషి నేవీ టైప్ 90-3 నిఘా "&amp;"సీప్లేన్‌గా ప్రవేశించింది. [3] E5K1 450 HP (340 kW) బ్రిస్టల్ బృహస్పతి రేడియల్ ఇంజిన్‌తో ఉత్పత్తి వెర్షన్; 20 ఉత్పత్తి విమానాలు నిర్మించబడ్డాయి. [3] రెండు ప్రీ-ప్రొడక్షన్ టైప్ -14-2 కై -1-డి, బ్రిస్టల్ బృహస్పతితో నడిచే కవానిషి చేత కవానిషి టైప్ జి. పదిహేడు"&amp;" ఉత్పత్తి విమానాలను కవానిషి నేవీ టైప్ 90-3 నిఘా సీప్లేన్ (ఇ 5 కె 1) గా నిర్మించారు. . 25 మే 1932 న, ఐజెఎన్ సీప్లేన్ టెండర్-ఓయిలర్ నోటోరోను కవానిషి నేవీ టైప్ 90-3 నిఘా సీప్లేన్‌లతో పాటు ఐజెఎన్ యొక్క ఇతర టెండర్లు మరియు యుద్ధనౌకలతో తిరిగి అమర్చారు. 28 జనవరి "&amp;"- 3 మార్చి 1932 నుండి షాంఘై సంఘటన సందర్భంగా E5K చర్యను చూసింది. [4] జపనీస్ సీప్లేన్ టెండర్ కామోయి 12 E5Y విమానాల పూరకంగా ఉంది. [2] సాధారణ లక్షణాల నుండి కవానిషి డేటా నిర్మించిన ఉత్పత్తి విమానాల కోసం చిన్న హోదా పనితీరు ఆయుధ సంబంధిత జాబితాలు 2 హైఫనేటెడ్ వెను"&amp;"కంజలో ఉన్న లేఖ (-J, -K, -L, -N లేదా -S) ద్వితీయ పాత్ర కోసం సవరించిన డిజైన్‌ను సూచిస్తుంది.")</f>
        <v>యోకోసుకా E5Y (లాంగ్ హోదా: ​​యోకోసుకా నేవీ టైప్ 90-3 నిఘా సీప్లేన్) నిఘా కోసం ఉపయోగించే సింగిల్-ఇంజిన్ జపనీస్ సీప్లేన్. E5Y ను కవానిషి E5K (లాంగ్ హోదా: ​​కవానిషి నేవీ టైప్ 90-3 నిఘా సీప్లేన్) గా నిర్మించారు, యోకోసుకా టైప్ 90-3 (E5Y1) 450 హెచ్‌పి (340 కిలోవాట్ల) ఇంజిన్‌తో రెండవ తరం సీప్లేన్ కానగావా ప్రిఫెక్చర్‌లోని యోకోసుకా నావికాదళ ఆర్సెనల్ వద్ద అభివృద్ధి చేయబడిన యోకోసుకా E1Y, ఇందులో రెండు బాహ్యంగా అమర్చిన ఫ్లోట్‌లు ఉన్నాయి. జపనీస్ నేవీ మొదట్లో దీనిని యోకోసుకా నేవీ టైప్ 14-2 కై -1 నిఘా సీప్లేన్‌గా నియమించింది, కాని కవానిషి కవానిషి నేవీ టైప్ 90-3 నిఘా సీప్లేన్‌గా ఉత్పత్తిని చేపట్టింది. [1] [2] 1932 నాటికి, E5Y / E5K సీప్లేన్‌లను భర్తీ చేయడానికి ఐచి AB-6 అభివృద్ధిలో ఉంది. కవానిషి E5K1 లేదా కవానిషి రకం G 1930 లలో జపనీస్ మూడు సీట్ల నిఘా ఫ్లోట్‌ప్లేన్. [3] రేడియల్-ఇంజిన్డ్ ట్విన్-ఫ్లోట్ సీప్లేన్ అయిన E5K1, అక్టోబర్ 1931 లో మొదట ప్రయాణించింది, కాని అభివృద్ధిలో సమస్యల కారణంగా 20 ఉత్పత్తి విమానాలు మాత్రమే నిర్మించబడ్డాయి. [3] ఈ రకం ఏప్రిల్ 1932 లో ఇంపీరియల్ జపనీస్ నేవీ ఎయిర్ సర్వీస్‌తో కవానిషి నేవీ టైప్ 90-3 నిఘా సీప్లేన్‌గా ప్రవేశించింది. [3] E5K1 450 HP (340 kW) బ్రిస్టల్ బృహస్పతి రేడియల్ ఇంజిన్‌తో ఉత్పత్తి వెర్షన్; 20 ఉత్పత్తి విమానాలు నిర్మించబడ్డాయి. [3] రెండు ప్రీ-ప్రొడక్షన్ టైప్ -14-2 కై -1-డి, బ్రిస్టల్ బృహస్పతితో నడిచే కవానిషి చేత కవానిషి టైప్ జి. పదిహేడు ఉత్పత్తి విమానాలను కవానిషి నేవీ టైప్ 90-3 నిఘా సీప్లేన్ (ఇ 5 కె 1) గా నిర్మించారు. . 25 మే 1932 న, ఐజెఎన్ సీప్లేన్ టెండర్-ఓయిలర్ నోటోరోను కవానిషి నేవీ టైప్ 90-3 నిఘా సీప్లేన్‌లతో పాటు ఐజెఎన్ యొక్క ఇతర టెండర్లు మరియు యుద్ధనౌకలతో తిరిగి అమర్చారు. 28 జనవరి - 3 మార్చి 1932 నుండి షాంఘై సంఘటన సందర్భంగా E5K చర్యను చూసింది. [4] జపనీస్ సీప్లేన్ టెండర్ కామోయి 12 E5Y విమానాల పూరకంగా ఉంది. [2] సాధారణ లక్షణాల నుండి కవానిషి డేటా నిర్మించిన ఉత్పత్తి విమానాల కోసం చిన్న హోదా పనితీరు ఆయుధ సంబంధిత జాబితాలు 2 హైఫనేటెడ్ వెనుకంజలో ఉన్న లేఖ (-J, -K, -L, -N లేదా -S) ద్వితీయ పాత్ర కోసం సవరించిన డిజైన్‌ను సూచిస్తుంది.</v>
      </c>
      <c r="F164" s="1" t="s">
        <v>2886</v>
      </c>
      <c r="G164" s="1" t="str">
        <f>IFERROR(__xludf.DUMMYFUNCTION("GOOGLETRANSLATE(F:F, ""en"", ""te"")"),"నిఘా సీప్లేన్")</f>
        <v>నిఘా సీప్లేన్</v>
      </c>
      <c r="I164" s="1" t="s">
        <v>2887</v>
      </c>
      <c r="J164" s="1" t="str">
        <f>IFERROR(__xludf.DUMMYFUNCTION("GOOGLETRANSLATE(I:I, ""en"", ""te"")"),"యోకోసుకా నావల్ ఎయిర్ టెక్నికల్ ఆర్సెనల్")</f>
        <v>యోకోసుకా నావల్ ఎయిర్ టెక్నికల్ ఆర్సెనల్</v>
      </c>
      <c r="K164" s="1" t="s">
        <v>2888</v>
      </c>
      <c r="M164" s="2"/>
      <c r="O164" s="1">
        <v>20.0</v>
      </c>
      <c r="AF164" s="1" t="s">
        <v>2655</v>
      </c>
      <c r="AX164" s="1">
        <v>1930.0</v>
      </c>
    </row>
    <row r="165">
      <c r="A165" s="1" t="s">
        <v>2889</v>
      </c>
      <c r="B165" s="1" t="str">
        <f>IFERROR(__xludf.DUMMYFUNCTION("GOOGLETRANSLATE(A:A, ""en"", ""te"")"),"Wnf Wn 16")</f>
        <v>Wnf Wn 16</v>
      </c>
      <c r="C165" s="1" t="s">
        <v>2890</v>
      </c>
      <c r="D165" s="2" t="str">
        <f>IFERROR(__xludf.DUMMYFUNCTION("GOOGLETRANSLATE(C:C, ""en"", ""te"")"),"WNF WN 16 అనేది రెండవ ప్రపంచ యుద్ధం ప్రారంభంలో నిర్మించిన ఆస్ట్రియన్ ప్రయోగాత్మక విమానం, అప్పటి కొత్త ట్రైసైకిల్ అండర్ క్యారేజ్ అమరిక యొక్క లక్షణాలను పరీక్షించడానికి. WNF WN 16, మొదట మెయిండ్ల్-వాన్ NES A.XV (AKA MEINDL M.15) గా నిర్మించబడింది, [1] 1930 ల "&amp;"చివరలో ట్రైసైకిల్ అండర్ క్యారేజ్ పరిశోధన కోసం నిర్మించిన ఆస్ట్రియన్ ప్రయోగాత్మక విమానం. [2] ఇది పషర్ కాన్ఫిగరేషన్ ఇంజిన్ మరియు ట్విన్-బూమ్ ఫ్యూజ్‌లేజ్‌తో రెండు-సీటర్లను స్వీప్ చేసిన వింగ్ టెన్డం. [3] దాని కాంటిలివర్ లో వింగ్ నేరుగా అంచులు మరియు క్వార్టర్ "&amp;"తీగ వద్ద 18.33 ° స్వీప్ కలిగి ఉంది. రెక్క మూడు భాగాలలో ఉంది, జంట స్పార్, స్టీల్ ట్యూబ్ ఫ్రేమ్డ్ సెంటర్ విభాగం సెంట్రల్ ఫ్యూజ్‌లేజ్‌కు వెల్డింగ్ చేయబడింది, ఇది టెయిల్‌బూమ్‌లను దాని ఎగువ ఉపరితలాలపై వాటి బయటి చివరలలో మద్దతు ఇచ్చింది. స్టీల్ ట్యూబ్ నుండి పక్క"&amp;"టెముకలు కూడా ఏర్పడ్డాయి. సెంటర్ విభాగం యొక్క ఫార్వర్డ్ భాగం ప్లైవుడ్ కప్పబడి ఉంది, ఫాబ్రిక్ వెనుక ఉంది. బయటి వింగ్ ప్యానెల్లు కప్పబడి ఉన్నాయి, ఒక్కొక్కటి ఒకే చెక్క సింగిల్ స్పార్‌తో ఉంటాయి. మొత్తం సెంటర్ విభాగం వెనుకంజలో ఉన్న ఎడ్జ్ మరియు స్లాట్డ్ ఐలెరాన్ల"&amp;"పై స్ప్లిట్ ఫ్లాప్ ఉంది, ఇది బయటి ప్యానెళ్ల వెనుకంజలో ఉన్న అంచులను నింపింది. [2] చిన్న ఫ్యూజ్‌లేజ్ వెల్డెడ్ స్టీల్ ట్యూబ్ స్ట్రక్చర్, అల్లాయ్ స్కిన్డ్ ఫ్రంట్ మరియు రియర్, కానీ ఫాబ్రిక్ కప్పబడిన సెంట్రల్ విభాగంతో, ఇది నిరంతర, బహుళ-ఫ్రేమ్డ్ పందిరి కింద టెన్"&amp;"డం సీట్లను కలిగి ఉంది, ఇది వెనుక ఫ్యూజ్‌లేజ్‌లో విలీనం అవుతుంది. WN 16 యొక్క పషర్ కాన్ఫిగరేషన్, 37 kW (50 HP) సాల్మ్సన్ 9AD తొమ్మిది సిలిండర్ రేడియల్ ఇంజిన్ ఒక టౌండర్ రింగ్ కౌలింగ్‌లో వింగ్‌కు మించిన ఫ్యూజ్‌లేజ్ వెనుక భాగంలో ఏర్పాటు చేయబడింది, రెండు బ్లేడ"&amp;"్ ప్రొపెల్లర్‌ను నడుపుతుంది. [2] [3] WN 16 తరువాత 45 kW (60 hp) వాల్టర్ మిక్రోన్‌తో తిరిగి ఇంజిన్ చేయబడింది. [4] [5] [6] WN 16 యొక్క తోక-బూమ్‌లు చెక్క మోనోకోక్స్. దీర్ఘచతురస్రాకార తోక-విమానం మరియు ఎలివేటర్ వాటి పైన ఉన్నాయి, ఓవల్ నిలువు తోకలు ముగింపు-పలకలు"&amp;"గా పనిచేస్తాయి; రెక్కలు చెక్క ఫ్రేమ్‌లను కప్పాయి మరియు రడ్డర్లలో ఫాబ్రిక్ కవర్ స్టీల్ ఫ్రేమ్‌లను కలిగి ఉంది. [2] [3] దీని ట్రైసైకిల్ గేర్ పరిష్కరించబడింది, అన్ని యూనిట్లు బంగీ కార్డ్ షాక్ అబ్జార్బర్స్. కాళ్ళు మరియు చక్రాలు రెండూ స్ట్రీమ్లైన్డ్ ఫెయిరింగ్స్"&amp;"‌లో జతచేయబడ్డాయి. ముక్కు వీల్ చుక్కాని పెడల్స్ ద్వారా నడిపించబడుతుంది. [2] WN 16 మొదటిసారి 23 సెప్టెంబర్ 1939 న ప్రయాణించింది. [5] రెండవ ప్రపంచ యుద్ధంలో అభివృద్ధి కొనసాగింది మరియు వాల్టర్ ఇంజిన్‌తో మొదటి ఫ్లైట్ 7 ఆగస్టు 1942 న జరిగింది. [1] హీన్జ్ జె. నవా"&amp;"ర్రా (1988) నుండి డేటా [2] సాధారణ లక్షణాల పనితీరు")</f>
        <v>WNF WN 16 అనేది రెండవ ప్రపంచ యుద్ధం ప్రారంభంలో నిర్మించిన ఆస్ట్రియన్ ప్రయోగాత్మక విమానం, అప్పటి కొత్త ట్రైసైకిల్ అండర్ క్యారేజ్ అమరిక యొక్క లక్షణాలను పరీక్షించడానికి. WNF WN 16, మొదట మెయిండ్ల్-వాన్ NES A.XV (AKA MEINDL M.15) గా నిర్మించబడింది, [1] 1930 ల చివరలో ట్రైసైకిల్ అండర్ క్యారేజ్ పరిశోధన కోసం నిర్మించిన ఆస్ట్రియన్ ప్రయోగాత్మక విమానం. [2] ఇది పషర్ కాన్ఫిగరేషన్ ఇంజిన్ మరియు ట్విన్-బూమ్ ఫ్యూజ్‌లేజ్‌తో రెండు-సీటర్లను స్వీప్ చేసిన వింగ్ టెన్డం. [3] దాని కాంటిలివర్ లో వింగ్ నేరుగా అంచులు మరియు క్వార్టర్ తీగ వద్ద 18.33 ° స్వీప్ కలిగి ఉంది. రెక్క మూడు భాగాలలో ఉంది, జంట స్పార్, స్టీల్ ట్యూబ్ ఫ్రేమ్డ్ సెంటర్ విభాగం సెంట్రల్ ఫ్యూజ్‌లేజ్‌కు వెల్డింగ్ చేయబడింది, ఇది టెయిల్‌బూమ్‌లను దాని ఎగువ ఉపరితలాలపై వాటి బయటి చివరలలో మద్దతు ఇచ్చింది. స్టీల్ ట్యూబ్ నుండి పక్కటెముకలు కూడా ఏర్పడ్డాయి. సెంటర్ విభాగం యొక్క ఫార్వర్డ్ భాగం ప్లైవుడ్ కప్పబడి ఉంది, ఫాబ్రిక్ వెనుక ఉంది. బయటి వింగ్ ప్యానెల్లు కప్పబడి ఉన్నాయి, ఒక్కొక్కటి ఒకే చెక్క సింగిల్ స్పార్‌తో ఉంటాయి. మొత్తం సెంటర్ విభాగం వెనుకంజలో ఉన్న ఎడ్జ్ మరియు స్లాట్డ్ ఐలెరాన్లపై స్ప్లిట్ ఫ్లాప్ ఉంది, ఇది బయటి ప్యానెళ్ల వెనుకంజలో ఉన్న అంచులను నింపింది. [2] చిన్న ఫ్యూజ్‌లేజ్ వెల్డెడ్ స్టీల్ ట్యూబ్ స్ట్రక్చర్, అల్లాయ్ స్కిన్డ్ ఫ్రంట్ మరియు రియర్, కానీ ఫాబ్రిక్ కప్పబడిన సెంట్రల్ విభాగంతో, ఇది నిరంతర, బహుళ-ఫ్రేమ్డ్ పందిరి కింద టెన్డం సీట్లను కలిగి ఉంది, ఇది వెనుక ఫ్యూజ్‌లేజ్‌లో విలీనం అవుతుంది. WN 16 యొక్క పషర్ కాన్ఫిగరేషన్, 37 kW (50 HP) సాల్మ్సన్ 9AD తొమ్మిది సిలిండర్ రేడియల్ ఇంజిన్ ఒక టౌండర్ రింగ్ కౌలింగ్‌లో వింగ్‌కు మించిన ఫ్యూజ్‌లేజ్ వెనుక భాగంలో ఏర్పాటు చేయబడింది, రెండు బ్లేడ్ ప్రొపెల్లర్‌ను నడుపుతుంది. [2] [3] WN 16 తరువాత 45 kW (60 hp) వాల్టర్ మిక్రోన్‌తో తిరిగి ఇంజిన్ చేయబడింది. [4] [5] [6] WN 16 యొక్క తోక-బూమ్‌లు చెక్క మోనోకోక్స్. దీర్ఘచతురస్రాకార తోక-విమానం మరియు ఎలివేటర్ వాటి పైన ఉన్నాయి, ఓవల్ నిలువు తోకలు ముగింపు-పలకలుగా పనిచేస్తాయి; రెక్కలు చెక్క ఫ్రేమ్‌లను కప్పాయి మరియు రడ్డర్లలో ఫాబ్రిక్ కవర్ స్టీల్ ఫ్రేమ్‌లను కలిగి ఉంది. [2] [3] దీని ట్రైసైకిల్ గేర్ పరిష్కరించబడింది, అన్ని యూనిట్లు బంగీ కార్డ్ షాక్ అబ్జార్బర్స్. కాళ్ళు మరియు చక్రాలు రెండూ స్ట్రీమ్లైన్డ్ ఫెయిరింగ్స్‌లో జతచేయబడ్డాయి. ముక్కు వీల్ చుక్కాని పెడల్స్ ద్వారా నడిపించబడుతుంది. [2] WN 16 మొదటిసారి 23 సెప్టెంబర్ 1939 న ప్రయాణించింది. [5] రెండవ ప్రపంచ యుద్ధంలో అభివృద్ధి కొనసాగింది మరియు వాల్టర్ ఇంజిన్‌తో మొదటి ఫ్లైట్ 7 ఆగస్టు 1942 న జరిగింది. [1] హీన్జ్ జె. నవార్రా (1988) నుండి డేటా [2] సాధారణ లక్షణాల పనితీరు</v>
      </c>
      <c r="F165" s="1" t="s">
        <v>2891</v>
      </c>
      <c r="G165" s="1" t="str">
        <f>IFERROR(__xludf.DUMMYFUNCTION("GOOGLETRANSLATE(F:F, ""en"", ""te"")"),"ప్రయోగాత్మక విమానం")</f>
        <v>ప్రయోగాత్మక విమానం</v>
      </c>
      <c r="H165" s="1" t="s">
        <v>2892</v>
      </c>
      <c r="I165" s="1" t="s">
        <v>2893</v>
      </c>
      <c r="J165" s="1" t="str">
        <f>IFERROR(__xludf.DUMMYFUNCTION("GOOGLETRANSLATE(I:I, ""en"", ""te"")"),"Weaner neustädter flugzeugwerke gmbh (wnf)")</f>
        <v>Weaner neustädter flugzeugwerke gmbh (wnf)</v>
      </c>
      <c r="L165" s="1" t="s">
        <v>2894</v>
      </c>
      <c r="M165" s="2" t="str">
        <f>IFERROR(__xludf.DUMMYFUNCTION("GOOGLETRANSLATE(L:L, ""en"", ""te"")"),"ఎరిచ్ మెయిండ్ల్")</f>
        <v>ఎరిచ్ మెయిండ్ల్</v>
      </c>
      <c r="O165" s="1">
        <v>1.0</v>
      </c>
      <c r="R165" s="1" t="s">
        <v>1138</v>
      </c>
      <c r="T165" s="1" t="s">
        <v>2895</v>
      </c>
      <c r="U165" s="1" t="s">
        <v>2896</v>
      </c>
      <c r="V165" s="1" t="s">
        <v>2897</v>
      </c>
      <c r="W165" s="1" t="s">
        <v>1341</v>
      </c>
      <c r="X165" s="1" t="s">
        <v>2279</v>
      </c>
      <c r="Z165" s="1" t="s">
        <v>2898</v>
      </c>
      <c r="AA165" s="1" t="s">
        <v>316</v>
      </c>
      <c r="AC165" s="1" t="s">
        <v>2899</v>
      </c>
      <c r="AD165" s="1" t="s">
        <v>2900</v>
      </c>
      <c r="AF165" s="1" t="s">
        <v>2901</v>
      </c>
      <c r="AG165" s="4" t="s">
        <v>2902</v>
      </c>
      <c r="AI165" s="1" t="s">
        <v>2903</v>
      </c>
      <c r="AK165" s="1" t="s">
        <v>2904</v>
      </c>
      <c r="AL165" s="1" t="s">
        <v>2905</v>
      </c>
      <c r="AN165" s="1" t="s">
        <v>2906</v>
      </c>
      <c r="AO165" s="5">
        <v>14511.0</v>
      </c>
      <c r="AR165" s="1" t="s">
        <v>2907</v>
      </c>
      <c r="CH165" s="1" t="s">
        <v>2908</v>
      </c>
    </row>
    <row r="166">
      <c r="A166" s="1" t="s">
        <v>2909</v>
      </c>
      <c r="B166" s="1" t="str">
        <f>IFERROR(__xludf.DUMMYFUNCTION("GOOGLETRANSLATE(A:A, ""en"", ""te"")"),"జెప్పెలిన్-లిండౌ cs.i")</f>
        <v>జెప్పెలిన్-లిండౌ cs.i</v>
      </c>
      <c r="C166" s="1" t="s">
        <v>2910</v>
      </c>
      <c r="D166" s="2" t="str">
        <f>IFERROR(__xludf.DUMMYFUNCTION("GOOGLETRANSLATE(C:C, ""en"", ""te"")"),"జెప్పెలిన్-లిండౌ CS.I ఒక జర్మన్ సింగిల్-ఇంజిన్ నిఘా సీప్లేన్, ఇది తక్కువ-వింగ్ మోనోప్లేన్ లేఅవుట్. 1918 లో, క్లాడ్ డోర్నియర్, ఆ సమయంలో లిండౌలోని జెప్పెలిన్ ఫ్యాక్టరీలో పనిచేస్తూ, హన్సా-బ్రాండెన్‌బర్గ్ W.29 స్థానంలో నిఘా సీప్లేన్‌ను ప్రతిపాదించాడు. విమాన ప"&amp;"రీక్షల సమయంలో, విద్యుత్ ప్లాంట్ యొక్క శక్తి సరిపోదని మరియు ఇంజిన్ స్థానంలో 195 హెచ్‌పి (145 కిలోవాట్ ఏదేమైనా, మొదటి ప్రపంచ యుద్ధం తరువాత పరీక్ష విమానాలు నిలిపివేయబడ్డాయి. [1] CS.I ఒక జంట ఫ్లోట్ ఆల్-మెటల్ సీప్లేన్, ఇది మోనోకోక్ ఫ్యూజ్‌లేజ్‌తో, ప్రారంభంలో 1"&amp;"70 హెచ్‌పి (130 కిలోవాట్ ఆయుధాలు స్థిరమైన ఫార్వర్డ్-ఫైరింగ్, సమకాలీకరించబడిన 7.92 మిమీ (0.312 అంగుళాలు) LMG 08/15 స్పాండౌ మెషిన్ గన్ మరియు వెనుక కాక్‌పిట్‌లో పారాబెల్లమ్ mg 14 మెషిన్-గన్. [2] [3] సాధారణ లక్షణాల నుండి డేటా పనితీరు ఆయుధాలు")</f>
        <v>జెప్పెలిన్-లిండౌ CS.I ఒక జర్మన్ సింగిల్-ఇంజిన్ నిఘా సీప్లేన్, ఇది తక్కువ-వింగ్ మోనోప్లేన్ లేఅవుట్. 1918 లో, క్లాడ్ డోర్నియర్, ఆ సమయంలో లిండౌలోని జెప్పెలిన్ ఫ్యాక్టరీలో పనిచేస్తూ, హన్సా-బ్రాండెన్‌బర్గ్ W.29 స్థానంలో నిఘా సీప్లేన్‌ను ప్రతిపాదించాడు. విమాన పరీక్షల సమయంలో, విద్యుత్ ప్లాంట్ యొక్క శక్తి సరిపోదని మరియు ఇంజిన్ స్థానంలో 195 హెచ్‌పి (145 కిలోవాట్ ఏదేమైనా, మొదటి ప్రపంచ యుద్ధం తరువాత పరీక్ష విమానాలు నిలిపివేయబడ్డాయి. [1] CS.I ఒక జంట ఫ్లోట్ ఆల్-మెటల్ సీప్లేన్, ఇది మోనోకోక్ ఫ్యూజ్‌లేజ్‌తో, ప్రారంభంలో 170 హెచ్‌పి (130 కిలోవాట్ ఆయుధాలు స్థిరమైన ఫార్వర్డ్-ఫైరింగ్, సమకాలీకరించబడిన 7.92 మిమీ (0.312 అంగుళాలు) LMG 08/15 స్పాండౌ మెషిన్ గన్ మరియు వెనుక కాక్‌పిట్‌లో పారాబెల్లమ్ mg 14 మెషిన్-గన్. [2] [3] సాధారణ లక్షణాల నుండి డేటా పనితీరు ఆయుధాలు</v>
      </c>
      <c r="E166" s="1" t="s">
        <v>2911</v>
      </c>
      <c r="F166" s="1" t="s">
        <v>1888</v>
      </c>
      <c r="G166" s="1" t="str">
        <f>IFERROR(__xludf.DUMMYFUNCTION("GOOGLETRANSLATE(F:F, ""en"", ""te"")"),"నిఘా")</f>
        <v>నిఘా</v>
      </c>
      <c r="I166" s="1" t="s">
        <v>2912</v>
      </c>
      <c r="J166" s="1" t="str">
        <f>IFERROR(__xludf.DUMMYFUNCTION("GOOGLETRANSLATE(I:I, ""en"", ""te"")"),"జెప్పెలిన్-లిండౌ")</f>
        <v>జెప్పెలిన్-లిండౌ</v>
      </c>
      <c r="L166" s="1" t="s">
        <v>2913</v>
      </c>
      <c r="M166" s="2" t="str">
        <f>IFERROR(__xludf.DUMMYFUNCTION("GOOGLETRANSLATE(L:L, ""en"", ""te"")"),"క్లాడ్ డోర్నియర్")</f>
        <v>క్లాడ్ డోర్నియర్</v>
      </c>
      <c r="N166" s="1" t="s">
        <v>2914</v>
      </c>
      <c r="O166" s="1">
        <v>2.0</v>
      </c>
      <c r="R166" s="1">
        <v>2.0</v>
      </c>
      <c r="U166" s="1" t="s">
        <v>2915</v>
      </c>
      <c r="V166" s="1" t="s">
        <v>2916</v>
      </c>
      <c r="W166" s="1" t="s">
        <v>2917</v>
      </c>
      <c r="X166" s="1" t="s">
        <v>2918</v>
      </c>
      <c r="Z166" s="1" t="s">
        <v>2919</v>
      </c>
      <c r="AL166" s="1" t="s">
        <v>387</v>
      </c>
      <c r="AO166" s="5">
        <v>6713.0</v>
      </c>
      <c r="AP166" s="1" t="s">
        <v>2920</v>
      </c>
      <c r="AQ166" s="1" t="s">
        <v>2921</v>
      </c>
      <c r="AR166" s="1" t="s">
        <v>1644</v>
      </c>
      <c r="BS166" s="1" t="s">
        <v>2922</v>
      </c>
    </row>
    <row r="167">
      <c r="A167" s="1" t="s">
        <v>2923</v>
      </c>
      <c r="B167" s="1" t="str">
        <f>IFERROR(__xludf.DUMMYFUNCTION("GOOGLETRANSLATE(A:A, ""en"", ""te"")"),"బౌటెక్ స్కైక్రూజర్")</f>
        <v>బౌటెక్ స్కైక్రూజర్</v>
      </c>
      <c r="C167" s="1" t="s">
        <v>2924</v>
      </c>
      <c r="D167" s="2" t="str">
        <f>IFERROR(__xludf.DUMMYFUNCTION("GOOGLETRANSLATE(C:C, ""en"", ""te"")"),"బౌటెక్ స్కైక్రూయిజర్ ఒక జర్మన్ అల్ట్రాలైట్ ట్రైక్, దీనిని జర్మనీలోని కెన్ యొక్క బౌటెక్ రూపొందించారు మరియు నిర్మించారు. విమానం పూర్తి రెడీ-టు-ఫ్లై-ఎయిర్‌క్రాఫ్ట్‌గా సరఫరా చేయబడుతుంది. [1] స్కైక్రూయిజర్ బౌటెక్ యొక్క మొట్టమొదటి ట్రైక్ డిజైన్ మరియు ఇది జర్మన్"&amp;" 120 కిలోల మైక్రోలైట్ వర్గానికి అనుగుణంగా రూపొందించబడింది. ఈ విమానం కేబుల్-బ్రేస్డ్ హాంగ్ గ్లైడర్-స్టైల్ హై-వింగ్, వెయిట్-షిఫ్ట్ కంట్రోల్స్, సింగిల్-సీట్ల ఓపెన్ కాక్‌పిట్, ఫిన్డ్ వీల్ ప్యాంటుతో ట్రైసైకిల్ ల్యాండింగ్ గేర్ మరియు పషర్ కాన్ఫిగరేషన్‌లో ఒకే ఇంజ"&amp;"ిన్ ఉన్నాయి. [1] ఈ విమానం బోల్ట్-టుగెథర్ అల్యూమినియం గొట్టాల నుండి తయారవుతుంది, దాని డబుల్ ఉపరితల వింగ్ డాక్రాన్ సెయిల్‌క్లాత్‌లో కప్పబడి ఉంటుంది. దాని 9.5 మీ (31.2 అడుగులు) స్పాన్ బౌటెక్ పికో ఎల్ వింగ్‌కు ఒకే ట్యూబ్-రకం కింగ్‌పోస్ట్ మద్దతు ఇస్తుంది మరియు"&amp;" ""ఎ"" ఫ్రేమ్ వెయిట్-షిఫ్ట్ కంట్రోల్ బార్‌ను ఉపయోగిస్తుంది. పవర్‌ప్లాంట్ ప్రత్యేకంగా సవరించిన మరియు ట్యూన్ చేయబడిన ట్విన్ సిలిండర్, ఎయిర్-కూల్డ్, ఫోర్-స్ట్రోక్, 38 హెచ్‌పి (28 కిలోవాట్) బ్రిగ్స్ &amp; స్ట్రాటన్ వాన్గార్డ్ 1000 ఇంజిన్. ఈ ఇంజిన్ మంచి ఇంధన వ్యవస"&amp;"్థను తక్కువ శబ్దం స్థాయి 55 డిబితో అందిస్తుంది మరియు 90 కిమీ/గం (56 mph) క్రూయిజ్ వేగాన్ని ఉత్పత్తి చేస్తుంది. [1] ఈ విమానం వింగ్ అమర్చకుండా 75 కిలోల (165 ఎల్బి) ఖాళీ బరువు మరియు 238 కిలోల (525 ఎల్బి) స్థూల బరువు కలిగి ఉంటుంది. ఇంధన ట్యాంక్ 30 లీటర్లు (6."&amp;"6 ఇంప్ గల్; 7.9 యుఎస్ గాల్) ఇంధనాన్ని కలిగి ఉంది. [1] స్కైక్రూజర్ జర్మన్ దుల్వ్ సర్టిఫికేట్. [1] బేయర్ల్ నుండి డేటా [1] సాధారణ లక్షణాల పనితీరు")</f>
        <v>బౌటెక్ స్కైక్రూయిజర్ ఒక జర్మన్ అల్ట్రాలైట్ ట్రైక్, దీనిని జర్మనీలోని కెన్ యొక్క బౌటెక్ రూపొందించారు మరియు నిర్మించారు. విమానం పూర్తి రెడీ-టు-ఫ్లై-ఎయిర్‌క్రాఫ్ట్‌గా సరఫరా చేయబడుతుంది. [1] స్కైక్రూయిజర్ బౌటెక్ యొక్క మొట్టమొదటి ట్రైక్ డిజైన్ మరియు ఇది జర్మన్ 120 కిలోల మైక్రోలైట్ వర్గానికి అనుగుణంగా రూపొందించబడింది. ఈ విమానం కేబుల్-బ్రేస్డ్ హాంగ్ గ్లైడర్-స్టైల్ హై-వింగ్, వెయిట్-షిఫ్ట్ కంట్రోల్స్, సింగిల్-సీట్ల ఓపెన్ కాక్‌పిట్, ఫిన్డ్ వీల్ ప్యాంటుతో ట్రైసైకిల్ ల్యాండింగ్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దాని 9.5 మీ (31.2 అడుగులు) స్పాన్ బౌటెక్ పికో ఎల్ వింగ్‌కు ఒకే ట్యూబ్-రకం కింగ్‌పోస్ట్ మద్దతు ఇస్తుంది మరియు "ఎ" ఫ్రేమ్ వెయిట్-షిఫ్ట్ కంట్రోల్ బార్‌ను ఉపయోగిస్తుంది. పవర్‌ప్లాంట్ ప్రత్యేకంగా సవరించిన మరియు ట్యూన్ చేయబడిన ట్విన్ సిలిండర్, ఎయిర్-కూల్డ్, ఫోర్-స్ట్రోక్, 38 హెచ్‌పి (28 కిలోవాట్) బ్రిగ్స్ &amp; స్ట్రాటన్ వాన్గార్డ్ 1000 ఇంజిన్. ఈ ఇంజిన్ మంచి ఇంధన వ్యవస్థను తక్కువ శబ్దం స్థాయి 55 డిబితో అందిస్తుంది మరియు 90 కిమీ/గం (56 mph) క్రూయిజ్ వేగాన్ని ఉత్పత్తి చేస్తుంది. [1] ఈ విమానం వింగ్ అమర్చకుండా 75 కిలోల (165 ఎల్బి) ఖాళీ బరువు మరియు 238 కిలోల (525 ఎల్బి) స్థూల బరువు కలిగి ఉంటుంది. ఇంధన ట్యాంక్ 30 లీటర్లు (6.6 ఇంప్ గల్; 7.9 యుఎస్ గాల్) ఇంధనాన్ని కలిగి ఉంది. [1] స్కైక్రూజర్ జర్మన్ దుల్వ్ సర్టిఫికేట్. [1] బేయర్ల్ నుండి డేటా [1] సాధారణ లక్షణాల పనితీరు</v>
      </c>
      <c r="F167" s="1" t="s">
        <v>300</v>
      </c>
      <c r="G167" s="1" t="str">
        <f>IFERROR(__xludf.DUMMYFUNCTION("GOOGLETRANSLATE(F:F, ""en"", ""te"")"),"అల్ట్రాలైట్ ట్రైక్")</f>
        <v>అల్ట్రాలైట్ ట్రైక్</v>
      </c>
      <c r="H167" s="1" t="s">
        <v>301</v>
      </c>
      <c r="I167" s="1" t="s">
        <v>2925</v>
      </c>
      <c r="J167" s="1" t="str">
        <f>IFERROR(__xludf.DUMMYFUNCTION("GOOGLETRANSLATE(I:I, ""en"", ""te"")"),"బౌటెక్")</f>
        <v>బౌటెక్</v>
      </c>
      <c r="K167" s="4" t="s">
        <v>2926</v>
      </c>
      <c r="M167" s="2"/>
      <c r="R167" s="1" t="s">
        <v>222</v>
      </c>
      <c r="U167" s="1" t="s">
        <v>2741</v>
      </c>
      <c r="V167" s="1" t="s">
        <v>1044</v>
      </c>
      <c r="W167" s="1" t="s">
        <v>2927</v>
      </c>
      <c r="X167" s="1" t="s">
        <v>2928</v>
      </c>
      <c r="Z167" s="1" t="s">
        <v>2929</v>
      </c>
      <c r="AA167" s="1" t="s">
        <v>1456</v>
      </c>
      <c r="AB167" s="1" t="s">
        <v>2930</v>
      </c>
      <c r="AD167" s="1" t="s">
        <v>2779</v>
      </c>
      <c r="AF167" s="1" t="s">
        <v>335</v>
      </c>
      <c r="AG167" s="4" t="s">
        <v>336</v>
      </c>
      <c r="AK167" s="1" t="s">
        <v>2931</v>
      </c>
      <c r="AL167" s="1" t="s">
        <v>1228</v>
      </c>
      <c r="AO167" s="1">
        <v>2009.0</v>
      </c>
      <c r="AR167" s="1" t="s">
        <v>2762</v>
      </c>
      <c r="AS167" s="1" t="s">
        <v>570</v>
      </c>
      <c r="AU167" s="1" t="s">
        <v>2932</v>
      </c>
      <c r="AX167" s="1">
        <v>2009.0</v>
      </c>
    </row>
    <row r="168">
      <c r="A168" s="1" t="s">
        <v>2933</v>
      </c>
      <c r="B168" s="1" t="str">
        <f>IFERROR(__xludf.DUMMYFUNCTION("GOOGLETRANSLATE(A:A, ""en"", ""te"")"),"సెయింట్ క్రోయిక్స్ సోప్విత్ ట్రిప్లేన్")</f>
        <v>సెయింట్ క్రోయిక్స్ సోప్విత్ ట్రిప్లేన్</v>
      </c>
      <c r="C168" s="1" t="s">
        <v>2934</v>
      </c>
      <c r="D168" s="2" t="str">
        <f>IFERROR(__xludf.DUMMYFUNCTION("GOOGLETRANSLATE(C:C, ""en"", ""te"")"),"సెయింట్ క్రోయిక్స్ సోప్విత్ ట్రిప్లేన్ అనేది ఒక అమెరికన్ హోమ్‌బిల్ట్ విమానం, దీనిని అయోవాలోని కార్నింగ్ యొక్క సెయింట్ క్రోయిక్స్ ఎయిర్‌క్రాఫ్ట్ రూపొందించి ఉత్పత్తి చేసింది. ఇది అందుబాటులో ఉన్నప్పుడు విమానం కిట్‌గా లేదా te త్సాహిక నిర్మాణానికి ప్రణాళికల రూ"&amp;"పంలో సరఫరా చేయబడింది. ఈ విమానం 1916 సోప్విత్ ట్రిప్లేన్ ఫైటర్ ఎయిర్క్రాఫ్ట్ యొక్క పూర్తి-పరిమాణ ప్రతిరూపం. [1] ఈ విమానం ఒక కాంటిలివర్ స్ట్రట్-బ్రేస్డ్ ట్రిప్లేన్ లేఅవుట్, సింగిల్-సీట్, ఐచ్ఛిక రెండు-సీట్ల-టెన్డం ఓపెన్ కాక్‌పిట్, స్థిర సాంప్రదాయ ల్యాండింగ్ "&amp;"గేర్ మరియు ట్రాక్టర్ కాన్ఫిగరేషన్‌లో ఒకే ఇంజిన్ కలిగి ఉంది. [1] సెయింట్ క్రోయిక్స్ సోప్విత్ ట్రిప్లేన్ అసలు 1916 డిజైన్‌కు భిన్నంగా ఉంటుంది, దీనిలో ఇది వెల్డెడ్ స్టీల్ ట్యూబ్ ఫ్యూజ్‌లేజ్, ఆధునిక ఇంజిన్ ఇన్‌స్టాలేషన్ మరియు ఇతర చిన్న వివరాలను ఉపయోగిస్తుంది."&amp;" ట్రిప్లేన్ అన్నీ డోప్డ్ ఎయిర్క్రాఫ్ట్ ఫాబ్రిక్‌లో కప్పబడి ఉంటాయి. దాని 26.50 అడుగుల (8.1 మీ) స్పాన్ వింగ్ స్ట్రట్ మరియు కేబుల్-బ్రేసింగ్‌ను ఉపయోగిస్తుంది మరియు రెక్క ప్రాంతాన్ని 231.0 చదరపు అడుగులు (21.46 మీ 2) కలిగి ఉంది. క్యాబిన్ వెడల్పు 27 అంగుళాలు (6"&amp;"9 సెం.మీ). ఆమోదయోగ్యమైన శక్తి శ్రేణి 150 నుండి 250 హెచ్‌పి (112 నుండి 186 కిలోవాట్) మరియు ఉపయోగించిన ప్రామాణిక ఇంజిన్ 190 హెచ్‌పి (142 కిలోవాట్) లైమింగ్ ఓ -435 పవర్‌ప్లాంట్. [1] సెయింట్ క్రోయిక్స్ సోప్విత్ ట్రిప్లేన్ 1,475 ఎల్బి (669 కిలోల) మరియు స్థూల బర"&amp;"ువు 2,000 ఎల్బి (910 కిలోలు) ఖాళీ బరువును కలిగి ఉంది, ఇది 525 ఎల్బి (238 కిలోల) ఉపయోగకరమైన లోడ్ ఇస్తుంది. 35 యు.ఎస్. గ్యాలన్ల పూర్తి ఇంధనంతో (130 ఎల్; 29 ఇంప్ గల్) పైలట్ కోసం పేలోడ్, ప్రయాణీకులు మరియు సామాను 315 ఎల్బి (143 కిలోలు). [1] ప్రామాణిక రోజు, సము"&amp;"ద్ర మట్టం, గాలి లేదు, 190 హెచ్‌పి (142 కిలోవాట్) ఇంజిన్‌తో టేకాఫ్ 250 అడుగులు (76 మీ) మరియు ల్యాండింగ్ రోల్ 750 అడుగులు (229 మీ). [1] తయారీదారు నిర్మాణ సమయాన్ని సరఫరా చేసిన కిట్ నుండి 4000 గంటలుగా అంచనా వేశారు. [1] 1998 నాటికి 25 కిట్లు అమ్ముడయ్యాయని మరియ"&amp;"ు 15 విమానాలు పూర్తయ్యాయని మరియు ఎగురుతున్నాయని కంపెనీ నివేదించింది. [1] ఏరోక్రాఫ్టర్ నుండి డేటా [1] సాధారణ లక్షణాలు పనితీరు ఆయుధాలు")</f>
        <v>సెయింట్ క్రోయిక్స్ సోప్విత్ ట్రిప్లేన్ అనేది ఒక అమెరికన్ హోమ్‌బిల్ట్ విమానం, దీనిని అయోవాలోని కార్నింగ్ యొక్క సెయింట్ క్రోయిక్స్ ఎయిర్‌క్రాఫ్ట్ రూపొందించి ఉత్పత్తి చేసింది. ఇది అందుబాటులో ఉన్నప్పుడు విమానం కిట్‌గా లేదా te త్సాహిక నిర్మాణానికి ప్రణాళికల రూపంలో సరఫరా చేయబడింది. ఈ విమానం 1916 సోప్విత్ ట్రిప్లేన్ ఫైటర్ ఎయిర్క్రాఫ్ట్ యొక్క పూర్తి-పరిమాణ ప్రతిరూపం. [1] ఈ విమానం ఒక కాంటిలివర్ స్ట్రట్-బ్రేస్డ్ ట్రిప్లేన్ లేఅవుట్, సింగిల్-సీట్, ఐచ్ఛిక రెండు-సీట్ల-టెన్డం ఓపెన్ కాక్‌పిట్, స్థిర సాంప్రదాయ ల్యాండింగ్ గేర్ మరియు ట్రాక్టర్ కాన్ఫిగరేషన్‌లో ఒకే ఇంజిన్ కలిగి ఉంది. [1] సెయింట్ క్రోయిక్స్ సోప్విత్ ట్రిప్లేన్ అసలు 1916 డిజైన్‌కు భిన్నంగా ఉంటుంది, దీనిలో ఇది వెల్డెడ్ స్టీల్ ట్యూబ్ ఫ్యూజ్‌లేజ్, ఆధునిక ఇంజిన్ ఇన్‌స్టాలేషన్ మరియు ఇతర చిన్న వివరాలను ఉపయోగిస్తుంది. ట్రిప్లేన్ అన్నీ డోప్డ్ ఎయిర్క్రాఫ్ట్ ఫాబ్రిక్‌లో కప్పబడి ఉంటాయి. దాని 26.50 అడుగుల (8.1 మీ) స్పాన్ వింగ్ స్ట్రట్ మరియు కేబుల్-బ్రేసింగ్‌ను ఉపయోగిస్తుంది మరియు రెక్క ప్రాంతాన్ని 231.0 చదరపు అడుగులు (21.46 మీ 2) కలిగి ఉంది. క్యాబిన్ వెడల్పు 27 అంగుళాలు (69 సెం.మీ). ఆమోదయోగ్యమైన శక్తి శ్రేణి 150 నుండి 250 హెచ్‌పి (112 నుండి 186 కిలోవాట్) మరియు ఉపయోగించిన ప్రామాణిక ఇంజిన్ 190 హెచ్‌పి (142 కిలోవాట్) లైమింగ్ ఓ -435 పవర్‌ప్లాంట్. [1] సెయింట్ క్రోయిక్స్ సోప్విత్ ట్రిప్లేన్ 1,475 ఎల్బి (669 కిలోల) మరియు స్థూల బరువు 2,000 ఎల్బి (910 కిలోలు) ఖాళీ బరువును కలిగి ఉంది, ఇది 525 ఎల్బి (238 కిలోల) ఉపయోగకరమైన లోడ్ ఇస్తుంది. 35 యు.ఎస్. గ్యాలన్ల పూర్తి ఇంధనంతో (130 ఎల్; 29 ఇంప్ గల్) పైలట్ కోసం పేలోడ్, ప్రయాణీకులు మరియు సామాను 315 ఎల్బి (143 కిలోలు). [1] ప్రామాణిక రోజు, సముద్ర మట్టం, గాలి లేదు, 190 హెచ్‌పి (142 కిలోవాట్) ఇంజిన్‌తో టేకాఫ్ 250 అడుగులు (76 మీ) మరియు ల్యాండింగ్ రోల్ 750 అడుగులు (229 మీ). [1] తయారీదారు నిర్మాణ సమయాన్ని సరఫరా చేసిన కిట్ నుండి 4000 గంటలుగా అంచనా వేశారు. [1] 1998 నాటికి 25 కిట్లు అమ్ముడయ్యాయని మరియు 15 విమానాలు పూర్తయ్యాయని మరియు ఎగురుతున్నాయని కంపెనీ నివేదించింది. [1] ఏరోక్రాఫ్టర్ నుండి డేటా [1] సాధారణ లక్షణాలు పనితీరు ఆయుధాలు</v>
      </c>
      <c r="F168" s="1" t="s">
        <v>920</v>
      </c>
      <c r="G168" s="1" t="str">
        <f>IFERROR(__xludf.DUMMYFUNCTION("GOOGLETRANSLATE(F:F, ""en"", ""te"")"),"హోమ్‌బిల్ట్ విమానం")</f>
        <v>హోమ్‌బిల్ట్ విమానం</v>
      </c>
      <c r="H168" s="1" t="s">
        <v>921</v>
      </c>
      <c r="I168" s="1" t="s">
        <v>2935</v>
      </c>
      <c r="J168" s="1" t="str">
        <f>IFERROR(__xludf.DUMMYFUNCTION("GOOGLETRANSLATE(I:I, ""en"", ""te"")"),"సెయింట్ క్రోయిక్స్ విమానం")</f>
        <v>సెయింట్ క్రోయిక్స్ విమానం</v>
      </c>
      <c r="K168" s="1" t="s">
        <v>2936</v>
      </c>
      <c r="M168" s="2"/>
      <c r="P168" s="1" t="s">
        <v>2937</v>
      </c>
      <c r="Q168" s="1" t="s">
        <v>2938</v>
      </c>
      <c r="R168" s="1" t="s">
        <v>222</v>
      </c>
      <c r="S168" s="1" t="s">
        <v>250</v>
      </c>
      <c r="T168" s="1" t="s">
        <v>2254</v>
      </c>
      <c r="U168" s="1" t="s">
        <v>2355</v>
      </c>
      <c r="V168" s="1" t="s">
        <v>2939</v>
      </c>
      <c r="W168" s="1" t="s">
        <v>2940</v>
      </c>
      <c r="X168" s="1" t="s">
        <v>2941</v>
      </c>
      <c r="Z168" s="1" t="s">
        <v>2942</v>
      </c>
      <c r="AA168" s="1" t="s">
        <v>2943</v>
      </c>
      <c r="AB168" s="1" t="s">
        <v>2488</v>
      </c>
      <c r="AC168" s="1" t="s">
        <v>2944</v>
      </c>
      <c r="AD168" s="1" t="s">
        <v>1713</v>
      </c>
      <c r="AF168" s="1" t="s">
        <v>206</v>
      </c>
      <c r="AG168" s="4" t="s">
        <v>207</v>
      </c>
      <c r="AK168" s="1" t="s">
        <v>2945</v>
      </c>
      <c r="AL168" s="1" t="s">
        <v>2946</v>
      </c>
      <c r="AR168" s="1" t="s">
        <v>1013</v>
      </c>
      <c r="AS168" s="1" t="s">
        <v>318</v>
      </c>
      <c r="AU168" s="1" t="s">
        <v>2947</v>
      </c>
      <c r="BS168" s="1" t="s">
        <v>2948</v>
      </c>
    </row>
    <row r="169">
      <c r="A169" s="1" t="s">
        <v>2949</v>
      </c>
      <c r="B169" s="1" t="str">
        <f>IFERROR(__xludf.DUMMYFUNCTION("GOOGLETRANSLATE(A:A, ""en"", ""te"")"),"1912 బ్రిటిష్ సైనిక విమానం పోటీ")</f>
        <v>1912 బ్రిటిష్ సైనిక విమానం పోటీ</v>
      </c>
      <c r="C169" s="1" t="s">
        <v>2950</v>
      </c>
      <c r="D169" s="2" t="str">
        <f>IFERROR(__xludf.DUMMYFUNCTION("GOOGLETRANSLATE(C:C, ""en"", ""te"")"),"1911 లో బ్రిటిష్ యుద్ధ కార్యాలయం ఎయిర్ బెటాలియన్ రాయల్ ఇంజనీర్ల అవసరాలను తీర్చడానికి విమానం కోసం వారి మొదటి సైనిక విమాన పోటీని ప్రకటించింది. అధికారిక అవసరాలు డిసెంబర్ 1911 లో ప్రచురించబడ్డాయి. [1] ఆగష్టు 1912 లో విచారణలు జరిగే సమయానికి, ఎయిర్ బెటాలియన్ రా"&amp;"యల్ ఫ్లయింగ్ కార్ప్స్ (ఆర్‌ఎఫ్‌సి) యొక్క సైనిక విభాగంగా మారింది. ఇది సాలిస్‌బరీ ప్లెయిన్‌పై లార్‌క్‌హిల్‌లో జరిగింది, [2] మరియు ఈ పోటీని ఎస్. ఎఫ్. కోడి తన కోడి వి బిప్‌లేన్‌తో గెలుచుకున్నాడు. [3] 1911 నాటికి విమానాల అభివృద్ధి వారు సైనిక ప్రాముఖ్యత ఉన్న స్"&amp;"థితికి చేరుకుందని స్పష్టమైంది. ఆ సమయంలో విమానయానంలో ప్రపంచ నాయకుడైన ఫ్రాన్స్, సైనిక సేవలో 200 కి పైగా విమానాలను కలిగి ఉంది. దీనికి విరుద్ధంగా, బ్రిటన్ యొక్క మొత్తం సైనిక విమాన బలం పంతొమ్మిది విమానం, వీటిలో, కల్నల్ J.E.B యొక్క మాటలలో, యుద్ధానికి అండర్ సెక్"&amp;"రటరీ, ""ఒకటి మరమ్మత్తుకు మించి విచ్ఛిన్నమైంది మరియు ఒకటి చాలా పాతది. ఇతరులు ఎక్కువ లేదా తక్కువ మరమ్మత్తు కింద ""జోడించడం"" కింద మేము ఉత్తమమైనదాన్ని ఎన్నుకోవటానికి మా మార్గాన్ని చూస్తామని అనుకున్నప్పుడు, మొదట ప్రజలకు ఎగరడానికి నేర్పడానికి, మరియు రెండవది, య"&amp;"ుద్ధ ప్రయోజనాల కోసం కొనుగోలు చేయడానికి యుద్ధం తప్పక యుద్ధం చేయబడాలి "". [[పట్టుదల) యుద్ధ కార్యాలయం తీసుకున్న ఏకైక ఆచరణాత్మక దశ విమాన రూపకల్పనలో పాల్గొన్న వివిధ సమస్యల యొక్క శాస్త్రీయ పరీక్ష కోసం ఒక స్థాపనను సృష్టించడం. రాయల్ ఏరో క్లబ్ మరియు వివిధ విమాన తయ"&amp;"ారీదారులతో కొంత సంప్రదింపుల తరువాత, వారు డిసెంబర్ చివరలో వారి ""సైనిక విమానం కోసం స్పెసిఫికేషన్"" అని ప్రకటించారు, ఈ వివరాలు 23 డిసెంబర్ 1911 న ఫ్లైట్ మ్యాగజైన్‌లో ప్రచురించబడుతున్నాయి. విమానం యొక్క పనితీరు ఈ క్రింది అవసరాలను తీర్చవలసి ఉంది: [[ 1] అదనంగా,"&amp;" ఈ విమానం పేర్కొన్న పరిమాణంలో లార్క్‌హిల్‌కు రవాణా చేయవలసి ఉంది మరియు అక్కడ సమావేశమై ఉంటుంది. విమానం రహదారి లేదా రైలు ద్వారా కూల్చివేయబడి, రవాణా చేయగలిగే సామర్థ్యాన్ని కలిగి ఉండాలి, మరియు రిగ్గింగ్ మరియు డి-రిగ్గింగ్ యొక్క సౌలభ్యం న్యాయమూర్తులు పరిగణనలోకి"&amp;" తీసుకున్న కారకాల్లో ఒకటి. ఏ దేశంలోనైనా నిర్మించిన విమానాలకు బహుమతులు ఇవ్వవలసి ఉంది: మొదటి బహుమతి £ 4,000, రెండవ బహుమతి £ 2,000. [2] యునైటెడ్ కింగ్‌డమ్‌లో తయారు చేసిన విమానంలో బ్రిటిష్ సబ్జెక్టులకు బహుమతులు (ఇంజిన్ మినహా): మొదటి బహుమతి £ 1500, రెండు రెండవ"&amp;" బహుమతులు £ 1,000, మరియు మూడు మూడవ బహుమతులు £ 500. [2] ఎగిరే పరీక్షలో ఉత్తీర్ణత సాధించిన పది ఇతర విమానాలు £ 100 ఇవ్వబడతాయి. [2] యుద్ధ కార్యాలయం మే 1912 లో సవరించిన మరియు కొంచెం తక్కువ డిమాండ్ ఉన్న స్పెసిఫికేషన్ల జాబితాను జారీ చేసింది, మరియు తయారీదారులు తమ"&amp;" ఎంట్రీలను జూన్ 15 నాటికి న్యాయమూర్తుల కమిటీ కార్యదర్శికి సమర్పించాలి. ఈ విమానం జూలై 15 న లేదా అంతకు ముందు లార్క్‌హిల్‌కు పంపిణీ చేయాల్సి వచ్చింది. అసలు ఫ్లయింగ్ ట్రయల్స్ కోసం తేదీ ఇవ్వబడలేదు. [5] ఇవి చివరికి 2 ఆగస్టు 1912 న ప్రారంభమయ్యాయి. వాస్తవానికి 32"&amp;" వేర్వేరు విమానాలు ట్రయల్స్ కోసం నమోదు చేయబడ్డాయి, కాని కొన్ని ప్రారంభించడంలో విఫలమయ్యాయి. [2] ఈ పోటీని బ్రిగేడియర్‌తో కూడిన కమిటీ నిర్ణయించింది d. హెండర్సన్, కెప్టెన్ గాడ్ఫ్రే పైన్ మరియు మెర్విన్ ఓ'గోర్మాన్, మేజర్ ఎఫ్.హెచ్. సైక్స్ కార్యదర్శిగా వ్యవహరిస్త"&amp;"ున్నారు. ఈ పరీక్షలు ఆధునిక సైనిక విమాన పరీక్షల నుండి చాలా భిన్నంగా ఉన్నాయి. ప్రజలను విమానం హ్యాంగర్లు మరియు ఫ్లయింగ్ ఫీల్డ్ నుండి మినహాయించినప్పటికీ, లేకపోతే ఉచిత ప్రాప్యత అనుమతించబడింది. ఏవియేషన్ అప్పుడు చాలా ప్రజాదరణ పొందిన ఆసక్తి, మరియు చాలా మంది ప్రజల"&amp;"ు చూడటానికి వచ్చారు. [6] ట్రయల్ ఫ్రెంచ్-నిర్మించిన తరువాత రాయల్ ఫ్లయింగ్ కార్ప్స్ కొనుగోలు చేసిన బ్రిటిష్-నిర్మించిన విభాగంలో 3 వ బహుమతి £ 500, ఏ దేశ విభాగంలోనైనా £ 2,000 యొక్క 2 వ బహుమతి, రాయల్ ఫ్లయింగ్ కార్ప్స్ కొనుగోలు చేసిన కోడి బిప్‌లేన్ అన్ని పరీక్ష"&amp;"లను విజయవంతంగా దాటింది మరియు పోటీదారులు (హన్రియోట్ మోనోప్లేన్స్ వంటివి) మెరుగైన ఆల్ రౌండ్ పనితీరును ప్రదర్శించినప్పటికీ, పోటీ విజేతగా ప్రకటించారు. తత్ఫలితంగా, కోడిని ఫ్లయింగ్ కార్ప్స్ కొనుగోలు చేసింది, రెండవ ఉదాహరణ కోసం కోడి నిర్మించటానికి ఒక ఆర్డర్‌ను ఉం"&amp;"చారు. [10] [11] మరెన్నో పోటీదారులను రాయల్ ఫ్లయింగ్ కార్ప్స్ కూడా కొనుగోలు చేశారు. ఇవి బ్లెరియోట్ XI-2, రెండు బ్రిస్టల్ కోండా మోనోప్లేన్స్ మరియు రెండు గ్నోమ్-శక్తితో కూడిన డెపెర్డస్సిన్స్. ఈ విమానాలలో ఎక్కువ భాగం తక్కువ ఉపయోగం చూసింది, డెపెర్డస్సిన్స్ 6 సె"&amp;"ప్టెంబర్ 1912 న ప్రాణాంతకంగా క్రాష్ అవుతోంది, తరువాత సెప్టెంబర్ 10 న బ్రిస్టల్-కోయాండా మోనోప్లేన్లలో ఒకటి (బ్రిస్టల్ క్రాష్ త్వరితగతిన క్యాచ్ యొక్క విమానంలో అనుకోకుండా ఆపరేషన్ చేయడం వల్ల సంభవించింది ట్రయల్స్ కోసం సులభంగా విడదీయడానికి ఇది అమర్చబడింది). ఈ క"&amp;"్రాష్ల ఫలితంగా RFC మోనోప్లేన్ వాడకంపై నిషేధం విధించబడింది, [12] ఇది బ్రిటిష్ విమాన రూపకల్పనలో దీర్ఘకాలిక ప్రభావాన్ని చూపింది. ఏప్రిల్ 1913 లో నిర్మాణాత్మక వైఫల్యం కారణంగా కోడి ట్రయల్స్ విమానం ప్రాణాంతకంగా కుప్పకూలింది, మరియు రెండవ కోడి బిప్‌లేన్ ఉపయోగం ను"&amp;"ండి ఉపసంహరించబడింది. [13] ఎ. వి. రో యొక్క టైప్ 500 రెండు సీట్ల బిప్‌లేన్ కోసం యుద్ధ కార్యాలయం ఇప్పటికే ఆర్డర్లు ఇచ్చింది, జి. టైప్ యొక్క గ్నోమ్-ఇంజిన్ తక్షణ పూర్వీకుడు. . ఈ డిజైన్ యొక్క ప్రోటోటైప్‌లు ట్రయల్స్‌లో అనేక ప్రదర్శనలు ఇచ్చాయి మరియు ఇతర విమానాలపై"&amp;" దాని ఆల్ రౌండ్ ఆధిపత్యాన్ని స్పష్టంగా ప్రదర్శించాయి; రాయల్ ఎయిర్క్రాఫ్ట్ ఫ్యాక్టరీ డైరెక్టర్ మెర్విన్ ఓ'గార్మాన్ న్యాయమూర్తుల బృందంలో ఉన్నందున వారు పోటీ నుండి నిషేధించబడ్డారు.")</f>
        <v>1911 లో బ్రిటిష్ యుద్ధ కార్యాలయం ఎయిర్ బెటాలియన్ రాయల్ ఇంజనీర్ల అవసరాలను తీర్చడానికి విమానం కోసం వారి మొదటి సైనిక విమాన పోటీని ప్రకటించింది. అధికారిక అవసరాలు డిసెంబర్ 1911 లో ప్రచురించబడ్డాయి. [1] ఆగష్టు 1912 లో విచారణలు జరిగే సమయానికి, ఎయిర్ బెటాలియన్ రాయల్ ఫ్లయింగ్ కార్ప్స్ (ఆర్‌ఎఫ్‌సి) యొక్క సైనిక విభాగంగా మారింది. ఇది సాలిస్‌బరీ ప్లెయిన్‌పై లార్‌క్‌హిల్‌లో జరిగింది, [2] మరియు ఈ పోటీని ఎస్. ఎఫ్. కోడి తన కోడి వి బిప్‌లేన్‌తో గెలుచుకున్నాడు. [3] 1911 నాటికి విమానాల అభివృద్ధి వారు సైనిక ప్రాముఖ్యత ఉన్న స్థితికి చేరుకుందని స్పష్టమైంది. ఆ సమయంలో విమానయానంలో ప్రపంచ నాయకుడైన ఫ్రాన్స్, సైనిక సేవలో 200 కి పైగా విమానాలను కలిగి ఉంది. దీనికి విరుద్ధంగా, బ్రిటన్ యొక్క మొత్తం సైనిక విమాన బలం పంతొమ్మిది విమానం, వీటిలో, కల్నల్ J.E.B యొక్క మాటలలో, యుద్ధానికి అండర్ సెక్రటరీ, "ఒకటి మరమ్మత్తుకు మించి విచ్ఛిన్నమైంది మరియు ఒకటి చాలా పాతది. ఇతరులు ఎక్కువ లేదా తక్కువ మరమ్మత్తు కింద "జోడించడం" కింద మేము ఉత్తమమైనదాన్ని ఎన్నుకోవటానికి మా మార్గాన్ని చూస్తామని అనుకున్నప్పుడు, మొదట ప్రజలకు ఎగరడానికి నేర్పడానికి, మరియు రెండవది, యుద్ధ ప్రయోజనాల కోసం కొనుగోలు చేయడానికి యుద్ధం తప్పక యుద్ధం చేయబడాలి ". [[పట్టుదల) యుద్ధ కార్యాలయం తీసుకున్న ఏకైక ఆచరణాత్మక దశ విమాన రూపకల్పనలో పాల్గొన్న వివిధ సమస్యల యొక్క శాస్త్రీయ పరీక్ష కోసం ఒక స్థాపనను సృష్టించడం. రాయల్ ఏరో క్లబ్ మరియు వివిధ విమాన తయారీదారులతో కొంత సంప్రదింపుల తరువాత, వారు డిసెంబర్ చివరలో వారి "సైనిక విమానం కోసం స్పెసిఫికేషన్" అని ప్రకటించారు, ఈ వివరాలు 23 డిసెంబర్ 1911 న ఫ్లైట్ మ్యాగజైన్‌లో ప్రచురించబడుతున్నాయి. విమానం యొక్క పనితీరు ఈ క్రింది అవసరాలను తీర్చవలసి ఉంది: [[ 1] అదనంగా, ఈ విమానం పేర్కొన్న పరిమాణంలో లార్క్‌హిల్‌కు రవాణా చేయవలసి ఉంది మరియు అక్కడ సమావేశమై ఉంటుంది. విమానం రహదారి లేదా రైలు ద్వారా కూల్చివేయబడి, రవాణా చేయగలిగే సామర్థ్యాన్ని కలిగి ఉండాలి, మరియు రిగ్గింగ్ మరియు డి-రిగ్గింగ్ యొక్క సౌలభ్యం న్యాయమూర్తులు పరిగణనలోకి తీసుకున్న కారకాల్లో ఒకటి. ఏ దేశంలోనైనా నిర్మించిన విమానాలకు బహుమతులు ఇవ్వవలసి ఉంది: మొదటి బహుమతి £ 4,000, రెండవ బహుమతి £ 2,000. [2] యునైటెడ్ కింగ్‌డమ్‌లో తయారు చేసిన విమానంలో బ్రిటిష్ సబ్జెక్టులకు బహుమతులు (ఇంజిన్ మినహా): మొదటి బహుమతి £ 1500, రెండు రెండవ బహుమతులు £ 1,000, మరియు మూడు మూడవ బహుమతులు £ 500. [2] ఎగిరే పరీక్షలో ఉత్తీర్ణత సాధించిన పది ఇతర విమానాలు £ 100 ఇవ్వబడతాయి. [2] యుద్ధ కార్యాలయం మే 1912 లో సవరించిన మరియు కొంచెం తక్కువ డిమాండ్ ఉన్న స్పెసిఫికేషన్ల జాబితాను జారీ చేసింది, మరియు తయారీదారులు తమ ఎంట్రీలను జూన్ 15 నాటికి న్యాయమూర్తుల కమిటీ కార్యదర్శికి సమర్పించాలి. ఈ విమానం జూలై 15 న లేదా అంతకు ముందు లార్క్‌హిల్‌కు పంపిణీ చేయాల్సి వచ్చింది. అసలు ఫ్లయింగ్ ట్రయల్స్ కోసం తేదీ ఇవ్వబడలేదు. [5] ఇవి చివరికి 2 ఆగస్టు 1912 న ప్రారంభమయ్యాయి. వాస్తవానికి 32 వేర్వేరు విమానాలు ట్రయల్స్ కోసం నమోదు చేయబడ్డాయి, కాని కొన్ని ప్రారంభించడంలో విఫలమయ్యాయి. [2] ఈ పోటీని బ్రిగేడియర్‌తో కూడిన కమిటీ నిర్ణయించింది d. హెండర్సన్, కెప్టెన్ గాడ్ఫ్రే పైన్ మరియు మెర్విన్ ఓ'గోర్మాన్, మేజర్ ఎఫ్.హెచ్. సైక్స్ కార్యదర్శిగా వ్యవహరిస్తున్నారు. ఈ పరీక్షలు ఆధునిక సైనిక విమాన పరీక్షల నుండి చాలా భిన్నంగా ఉన్నాయి. ప్రజలను విమానం హ్యాంగర్లు మరియు ఫ్లయింగ్ ఫీల్డ్ నుండి మినహాయించినప్పటికీ, లేకపోతే ఉచిత ప్రాప్యత అనుమతించబడింది. ఏవియేషన్ అప్పుడు చాలా ప్రజాదరణ పొందిన ఆసక్తి, మరియు చాలా మంది ప్రజలు చూడటానికి వచ్చారు. [6] ట్రయల్ ఫ్రెంచ్-నిర్మించిన తరువాత రాయల్ ఫ్లయింగ్ కార్ప్స్ కొనుగోలు చేసిన బ్రిటిష్-నిర్మించిన విభాగంలో 3 వ బహుమతి £ 500, ఏ దేశ విభాగంలోనైనా £ 2,000 యొక్క 2 వ బహుమతి, రాయల్ ఫ్లయింగ్ కార్ప్స్ కొనుగోలు చేసిన కోడి బిప్‌లేన్ అన్ని పరీక్షలను విజయవంతంగా దాటింది మరియు పోటీదారులు (హన్రియోట్ మోనోప్లేన్స్ వంటివి) మెరుగైన ఆల్ రౌండ్ పనితీరును ప్రదర్శించినప్పటికీ, పోటీ విజేతగా ప్రకటించారు. తత్ఫలితంగా, కోడిని ఫ్లయింగ్ కార్ప్స్ కొనుగోలు చేసింది, రెండవ ఉదాహరణ కోసం కోడి నిర్మించటానికి ఒక ఆర్డర్‌ను ఉంచారు. [10] [11] మరెన్నో పోటీదారులను రాయల్ ఫ్లయింగ్ కార్ప్స్ కూడా కొనుగోలు చేశారు. ఇవి బ్లెరియోట్ XI-2, రెండు బ్రిస్టల్ కోండా మోనోప్లేన్స్ మరియు రెండు గ్నోమ్-శక్తితో కూడిన డెపెర్డస్సిన్స్. ఈ విమానాలలో ఎక్కువ భాగం తక్కువ ఉపయోగం చూసింది, డెపెర్డస్సిన్స్ 6 సెప్టెంబర్ 1912 న ప్రాణాంతకంగా క్రాష్ అవుతోంది, తరువాత సెప్టెంబర్ 10 న బ్రిస్టల్-కోయాండా మోనోప్లేన్లలో ఒకటి (బ్రిస్టల్ క్రాష్ త్వరితగతిన క్యాచ్ యొక్క విమానంలో అనుకోకుండా ఆపరేషన్ చేయడం వల్ల సంభవించింది ట్రయల్స్ కోసం సులభంగా విడదీయడానికి ఇది అమర్చబడింది). ఈ క్రాష్ల ఫలితంగా RFC మోనోప్లేన్ వాడకంపై నిషేధం విధించబడింది, [12] ఇది బ్రిటిష్ విమాన రూపకల్పనలో దీర్ఘకాలిక ప్రభావాన్ని చూపింది. ఏప్రిల్ 1913 లో నిర్మాణాత్మక వైఫల్యం కారణంగా కోడి ట్రయల్స్ విమానం ప్రాణాంతకంగా కుప్పకూలింది, మరియు రెండవ కోడి బిప్‌లేన్ ఉపయోగం నుండి ఉపసంహరించబడింది. [13] ఎ. వి. రో యొక్క టైప్ 500 రెండు సీట్ల బిప్‌లేన్ కోసం యుద్ధ కార్యాలయం ఇప్పటికే ఆర్డర్లు ఇచ్చింది, జి. టైప్ యొక్క గ్నోమ్-ఇంజిన్ తక్షణ పూర్వీకుడు. . ఈ డిజైన్ యొక్క ప్రోటోటైప్‌లు ట్రయల్స్‌లో అనేక ప్రదర్శనలు ఇచ్చాయి మరియు ఇతర విమానాలపై దాని ఆల్ రౌండ్ ఆధిపత్యాన్ని స్పష్టంగా ప్రదర్శించాయి; రాయల్ ఎయిర్క్రాఫ్ట్ ఫ్యాక్టరీ డైరెక్టర్ మెర్విన్ ఓ'గార్మాన్ న్యాయమూర్తుల బృందంలో ఉన్నందున వారు పోటీ నుండి నిషేధించబడ్డారు.</v>
      </c>
      <c r="E169" s="1" t="s">
        <v>2951</v>
      </c>
      <c r="G169" s="1" t="str">
        <f>IFERROR(__xludf.DUMMYFUNCTION("GOOGLETRANSLATE(F:F, ""en"", ""te"")"),"#VALUE!")</f>
        <v>#VALUE!</v>
      </c>
      <c r="M169" s="2"/>
    </row>
    <row r="170">
      <c r="A170" s="1" t="s">
        <v>2952</v>
      </c>
      <c r="B170" s="1" t="str">
        <f>IFERROR(__xludf.DUMMYFUNCTION("GOOGLETRANSLATE(A:A, ""en"", ""te"")"),"ఎయిర్‌ట్రిక్ ఈగిల్ 5")</f>
        <v>ఎయిర్‌ట్రిక్ ఈగిల్ 5</v>
      </c>
      <c r="C170" s="1" t="s">
        <v>2953</v>
      </c>
      <c r="D170" s="2" t="str">
        <f>IFERROR(__xludf.DUMMYFUNCTION("GOOGLETRANSLATE(C:C, ""en"", ""te"")"),"ఎయిర్‌ట్రైక్ ఈగిల్ 5 ఒక జర్మన్ అల్ట్రాలైట్ ట్రైక్, దీనిని బెర్లిన్ యొక్క ఎయిర్‌ట్రైక్ రూపొందించి ఉత్పత్తి చేసింది. ఇది ఉత్పత్తిలో ఉన్నప్పుడు, విమానం పూర్తి రెడీ-టు-ఫ్లై-విమానయానంగా సరఫరా చేయబడింది. [1] తయారీదారు 1 జనవరి 2017 న లిక్విడేషన్‌లోకి ప్రవేశించాడ"&amp;"ు. [2] వర్గం యొక్క గరిష్ట స్థూల బరువు 450 కిలోల (992 పౌండ్లు) తో సహా, ఫెడెరేషన్ ఏరోనటిక్ ఇంటర్నేషనల్ మైక్రోలైట్ వర్గానికి అనుగుణంగా ఈగిల్ రూపొందించబడింది. ఈ విమానం గరిష్టంగా స్థూల బరువు 450 కిలోలు (992 పౌండ్లు). ఇది కేబుల్-బ్రేస్డ్ హాంగ్ గ్లైడర్-స్టైల్ హై"&amp;"-వింగ్, వెయిట్-షిఫ్ట్ కంట్రోల్స్, రెండు-సీట్ల తేమ ఓపెన్ కాక్‌పిట్, వీల్ ప్యాంటుతో ట్రైసైకిల్ ల్యాండింగ్ గేర్ మరియు పషర్ కాన్ఫిగరేషన్‌లో ఒకే ఇంజిన్ కలిగి ఉంది. [1] ఈ విమానం బోల్ట్-టుగెథర్ అల్యూమినియం గొట్టాల నుండి తయారవుతుంది, దాని ఫ్యూజ్‌లేజ్ ప్రధానంగా మి"&amp;"శ్రమాల నుండి మరియు దాని డబుల్ ఉపరితల వింగ్‌తో డాక్రాన్ సెయిల్‌క్లాత్‌లో కప్పబడి ఉంటుంది. దీని 9.8 మీ (32.2 అడుగులు) స్పాన్ హజార్డ్ 12 ఎస్ వింగ్ లిఫ్ట్ స్ట్రట్‌ల ద్వారా దాని ""ఎ"" ఫ్రేమ్ వెయిట్-షిఫ్ట్ కంట్రోల్ బార్‌కు జతచేయబడుతుంది. ప్రామాణిక పవర్‌ప్లాంట్ "&amp;"ఎయిర్-కూల్డ్, ఫోర్-స్ట్రోక్, 90 హెచ్‌పి (67 కిలోవాట్) బిడబ్ల్యుఎం మోటార్‌సైకిల్ ఇంజిన్. ఐచ్ఛిక పవర్‌ప్లాంట్లలో నాలుగు సిలిండర్, ఎయిర్ మరియు లిక్విడ్-కూల్డ్, ఫోర్-స్ట్రోక్, డ్యూయల్-ఇగ్నిషన్ 80 హెచ్‌పి (60 కిలోవాట్) రోటాక్స్ 912 ఇంజిన్ మరియు అంతర్గత రూపకల్ప"&amp;"న ఎయిర్‌ట్రైక్ 850 టిఐ 120 హెచ్‌పి (89 కిలోవాట్) ఇంజిన్ ఉన్నాయి. ఈ విమానం ఖాళీ బరువు 215 కిలోల (474 ​​ఎల్బి) మరియు దాని స్థూల బరువు 450 కిలోల (992 ఎల్బి) తో 235 కిలోల (518 ఎల్బి) ఉపయోగకరమైన లోడ్ కలిగి ఉంది. 65 లీటర్ల పూర్తి ఇంధనంతో (14 ఇంప్ గల్; 17 యుఎస్ "&amp;"గాల్) పేలోడ్ 168 కిలోలు (370 ఎల్బి). [1] స్ట్రట్-బ్రేస్డ్ హజార్డ్ 12 లు మరియు అనేక ఎరోస్ రెక్కలతో సహా ప్రాథమిక క్యారేజీకి అనేక విభిన్న రెక్కలను అమర్చవచ్చు. [1] బేయర్ల్ నుండి డేటా [1] సాధారణ లక్షణాల పనితీరు")</f>
        <v>ఎయిర్‌ట్రైక్ ఈగిల్ 5 ఒక జర్మన్ అల్ట్రాలైట్ ట్రైక్, దీనిని బెర్లిన్ యొక్క ఎయిర్‌ట్రైక్ రూపొందించి ఉత్పత్తి చేసింది. ఇది ఉత్పత్తిలో ఉన్నప్పుడు, విమానం పూర్తి రెడీ-టు-ఫ్లై-విమానయానంగా సరఫరా చేయబడింది. [1] తయారీదారు 1 జనవరి 2017 న లిక్విడేషన్‌లోకి ప్రవేశించాడు. [2] వర్గం యొక్క గరిష్ట స్థూల బరువు 450 కిలోల (992 పౌండ్లు) తో సహా, ఫెడెరేషన్ ఏరోనటిక్ ఇంటర్నేషనల్ మైక్రోలైట్ వర్గానికి అనుగుణంగా ఈగిల్ రూపొందించబడింది. ఈ విమానం గరిష్టంగా స్థూల బరువు 450 కిలోలు (992 పౌండ్లు). ఇది కేబుల్-బ్రేస్డ్ హాంగ్ గ్లైడర్-స్టైల్ హై-వింగ్, వెయిట్-షిఫ్ట్ కంట్రోల్స్, రెండు-సీట్ల తేమ ఓపెన్ కాక్‌పిట్, వీల్ ప్యాంటుతో ట్రైసైకిల్ ల్యాండింగ్ గేర్ మరియు పషర్ కాన్ఫిగరేషన్‌లో ఒకే ఇంజిన్ కలిగి ఉంది. [1] ఈ విమానం బోల్ట్-టుగెథర్ అల్యూమినియం గొట్టాల నుండి తయారవుతుంది, దాని ఫ్యూజ్‌లేజ్ ప్రధానంగా మిశ్రమాల నుండి మరియు దాని డబుల్ ఉపరితల వింగ్‌తో డాక్రాన్ సెయిల్‌క్లాత్‌లో కప్పబడి ఉంటుంది. దీని 9.8 మీ (32.2 అడుగులు) స్పాన్ హజార్డ్ 12 ఎస్ వింగ్ లిఫ్ట్ స్ట్రట్‌ల ద్వారా దాని "ఎ" ఫ్రేమ్ వెయిట్-షిఫ్ట్ కంట్రోల్ బార్‌కు జతచేయబడుతుంది. ప్రామాణిక పవర్‌ప్లాంట్ ఎయిర్-కూల్డ్, ఫోర్-స్ట్రోక్, 90 హెచ్‌పి (67 కిలోవాట్) బిడబ్ల్యుఎం మోటార్‌సైకిల్ ఇంజిన్. ఐచ్ఛిక పవర్‌ప్లాంట్లలో నాలుగు సిలిండర్, ఎయిర్ మరియు లిక్విడ్-కూల్డ్, ఫోర్-స్ట్రోక్, డ్యూయల్-ఇగ్నిషన్ 80 హెచ్‌పి (60 కిలోవాట్) రోటాక్స్ 912 ఇంజిన్ మరియు అంతర్గత రూపకల్పన ఎయిర్‌ట్రైక్ 850 టిఐ 120 హెచ్‌పి (89 కిలోవాట్) ఇంజిన్ ఉన్నాయి. ఈ విమానం ఖాళీ బరువు 215 కిలోల (474 ​​ఎల్బి) మరియు దాని స్థూల బరువు 450 కిలోల (992 ఎల్బి) తో 235 కిలోల (518 ఎల్బి) ఉపయోగకరమైన లోడ్ కలిగి ఉంది. 65 లీటర్ల పూర్తి ఇంధనంతో (14 ఇంప్ గల్; 17 యుఎస్ గాల్) పేలోడ్ 168 కిలోలు (370 ఎల్బి). [1] స్ట్రట్-బ్రేస్డ్ హజార్డ్ 12 లు మరియు అనేక ఎరోస్ రెక్కలతో సహా ప్రాథమిక క్యారేజీకి అనేక విభిన్న రెక్కలను అమర్చవచ్చు. [1] బేయర్ల్ నుండి డేటా [1] సాధారణ లక్షణాల పనితీరు</v>
      </c>
      <c r="F170" s="1" t="s">
        <v>300</v>
      </c>
      <c r="G170" s="1" t="str">
        <f>IFERROR(__xludf.DUMMYFUNCTION("GOOGLETRANSLATE(F:F, ""en"", ""te"")"),"అల్ట్రాలైట్ ట్రైక్")</f>
        <v>అల్ట్రాలైట్ ట్రైక్</v>
      </c>
      <c r="H170" s="1" t="s">
        <v>301</v>
      </c>
      <c r="I170" s="1" t="s">
        <v>2954</v>
      </c>
      <c r="J170" s="1" t="str">
        <f>IFERROR(__xludf.DUMMYFUNCTION("GOOGLETRANSLATE(I:I, ""en"", ""te"")"),"ఎయిర్‌ట్రైక్")</f>
        <v>ఎయిర్‌ట్రైక్</v>
      </c>
      <c r="K170" s="4" t="s">
        <v>2955</v>
      </c>
      <c r="M170" s="2"/>
      <c r="R170" s="1" t="s">
        <v>222</v>
      </c>
      <c r="S170" s="1" t="s">
        <v>250</v>
      </c>
      <c r="V170" s="1" t="s">
        <v>458</v>
      </c>
      <c r="W170" s="1" t="s">
        <v>380</v>
      </c>
      <c r="X170" s="1" t="s">
        <v>1023</v>
      </c>
      <c r="Z170" s="1" t="s">
        <v>2956</v>
      </c>
      <c r="AA170" s="1" t="s">
        <v>333</v>
      </c>
      <c r="AB170" s="1" t="s">
        <v>334</v>
      </c>
      <c r="AD170" s="1" t="s">
        <v>2957</v>
      </c>
      <c r="AF170" s="1" t="s">
        <v>335</v>
      </c>
      <c r="AG170" s="4" t="s">
        <v>336</v>
      </c>
      <c r="AK170" s="1" t="s">
        <v>315</v>
      </c>
      <c r="AL170" s="1" t="s">
        <v>387</v>
      </c>
      <c r="AR170" s="1" t="s">
        <v>2762</v>
      </c>
      <c r="AS170" s="1" t="s">
        <v>2958</v>
      </c>
      <c r="AU170" s="1" t="s">
        <v>2959</v>
      </c>
    </row>
    <row r="171">
      <c r="A171" s="1" t="s">
        <v>2960</v>
      </c>
      <c r="B171" s="1" t="str">
        <f>IFERROR(__xludf.DUMMYFUNCTION("GOOGLETRANSLATE(A:A, ""en"", ""te"")"),"DEWOITINE HD.412")</f>
        <v>DEWOITINE HD.412</v>
      </c>
      <c r="C171" s="1" t="s">
        <v>2961</v>
      </c>
      <c r="D171" s="2" t="str">
        <f>IFERROR(__xludf.DUMMYFUNCTION("GOOGLETRANSLATE(C:C, ""en"", ""te"")"),"డ్యూయిటిన్ HD.412 1930 లలో ఫ్రెంచ్ రేసింగ్ ఫ్లోట్‌ప్లేన్ అనే నమూనా. HD.412 ఆల్-మెటల్ నిర్మాణంలో తక్కువ-వింగ్ మోనోప్లేన్ రేసర్. ఇది టేకాఫ్ మరియు నీటిపై దిగడానికి ఫ్లోట్లను ఉపయోగించింది. [1] సాధారణ లక్షణాల పనితీరు సంబంధిత జాబితాల నుండి డేటా")</f>
        <v>డ్యూయిటిన్ HD.412 1930 లలో ఫ్రెంచ్ రేసింగ్ ఫ్లోట్‌ప్లేన్ అనే నమూనా. HD.412 ఆల్-మెటల్ నిర్మాణంలో తక్కువ-వింగ్ మోనోప్లేన్ రేసర్. ఇది టేకాఫ్ మరియు నీటిపై దిగడానికి ఫ్లోట్లను ఉపయోగించింది. [1] సాధారణ లక్షణాల పనితీరు సంబంధిత జాబితాల నుండి డేటా</v>
      </c>
      <c r="E171" s="1" t="s">
        <v>2962</v>
      </c>
      <c r="F171" s="1" t="s">
        <v>2963</v>
      </c>
      <c r="G171" s="1" t="str">
        <f>IFERROR(__xludf.DUMMYFUNCTION("GOOGLETRANSLATE(F:F, ""en"", ""te"")"),"రేసింగ్ ఫ్లోట్ ప్లేన్")</f>
        <v>రేసింగ్ ఫ్లోట్ ప్లేన్</v>
      </c>
      <c r="I171" s="1" t="s">
        <v>2964</v>
      </c>
      <c r="J171" s="1" t="str">
        <f>IFERROR(__xludf.DUMMYFUNCTION("GOOGLETRANSLATE(I:I, ""en"", ""te"")"),"డ్యూయిటిన్")</f>
        <v>డ్యూయిటిన్</v>
      </c>
      <c r="K171" s="4" t="s">
        <v>2965</v>
      </c>
      <c r="M171" s="2"/>
      <c r="O171" s="1">
        <v>1.0</v>
      </c>
      <c r="R171" s="1" t="s">
        <v>222</v>
      </c>
      <c r="T171" s="1" t="s">
        <v>2966</v>
      </c>
      <c r="U171" s="1" t="s">
        <v>1621</v>
      </c>
      <c r="V171" s="1" t="s">
        <v>2967</v>
      </c>
      <c r="W171" s="1" t="s">
        <v>2968</v>
      </c>
      <c r="X171" s="1" t="s">
        <v>2969</v>
      </c>
      <c r="Z171" s="1" t="s">
        <v>2970</v>
      </c>
      <c r="AF171" s="1" t="s">
        <v>465</v>
      </c>
      <c r="AG171" s="4" t="s">
        <v>466</v>
      </c>
      <c r="AH171" s="1" t="s">
        <v>261</v>
      </c>
      <c r="AI171" s="1" t="s">
        <v>2971</v>
      </c>
      <c r="AL171" s="1" t="s">
        <v>2972</v>
      </c>
      <c r="AO171" s="1">
        <v>1931.0</v>
      </c>
      <c r="AS171" s="1" t="s">
        <v>1741</v>
      </c>
    </row>
    <row r="172">
      <c r="A172" s="1" t="s">
        <v>2973</v>
      </c>
      <c r="B172" s="1" t="str">
        <f>IFERROR(__xludf.DUMMYFUNCTION("GOOGLETRANSLATE(A:A, ""en"", ""te"")"),"సన్‌బీమ్ బాంబర్")</f>
        <v>సన్‌బీమ్ బాంబర్</v>
      </c>
      <c r="C172" s="1" t="s">
        <v>2974</v>
      </c>
      <c r="D172" s="2" t="str">
        <f>IFERROR(__xludf.DUMMYFUNCTION("GOOGLETRANSLATE(C:C, ""en"", ""te"")"),"సన్‌బీమ్ బాంబర్ మొదటి ప్రపంచ యుద్ధం యొక్క ప్రోటోటైప్ సింగిల్-ఇంజిన్, సింగిల్ సీట్ బాంబర్ విమానం. ఈ రకం విజయవంతం కాలేదని మరియు వదిలివేయబడినందున ఒక ఉదాహరణ మాత్రమే ఎగిరింది. మొదటి ప్రపంచ యుద్ధం ప్రారంభమైన తరువాత, సన్‌బీమ్ మోటార్ కార్ కంపెనీ రాయల్ నావల్ ఎయిర్"&amp;" సర్వీస్ (ఆర్‌ఎన్‌ఏ) కోసం లైసెన్స్ నిర్మించిన విమానానికి ప్రధాన సరఫరాదారుగా మారింది, ఏరో-ఇంజిన్లు మరియు మోటారు యొక్క డిజైనర్ మరియు బిల్డర్‌గా ప్రస్తుత పనితో పాటు వాహనాలు. [1] [2] నవంబర్ 1916 లో, RNA ల తరపున ఒకే ఇంజిన్, సింగిల్-సీట్ల బాంబర్ జారీ చేయబడింది,"&amp;" [3] మరియు సన్‌బీమ్ ఈ స్పెసిఫికేషన్‌కు ప్రతిస్పందించడానికి ఒక విమానాన్ని రూపొందించాలని నిర్ణయించుకున్నప్పుడు, ఇది రెండు ప్రోటోటైప్‌ల కోసం ఒక ఆర్డర్‌ను పొందింది అడ్మిరల్టీ. [2] సన్‌బీమ్ యొక్క డిజైన్ సాంప్రదాయ ట్రాక్టర్ కాన్ఫిగరేషన్ యొక్క రెండు-బే బైప్‌లేన్"&amp;". ఇది సన్‌బీమ్ యొక్క సొంత అరబ్ వి 8 ఇంజిన్లలో ఒకటి 200 హార్స్‌పవర్ (150 కిలోవాట్) వద్ద రేట్ చేయబడింది మరియు రెండు బ్లేడెడ్ ప్రొపెల్లర్‌ను నడుపుతుంది. విమానం యొక్క ఇంధన ట్యాంకులు విమానం యొక్క గురుత్వాకర్షణ కేంద్రంలో ఫ్యూజ్‌లేజ్‌లో ఉన్నాయి, దీని ఫలితంగా పైల"&amp;"ట్ యొక్క కాక్‌పిట్ రెక్కల వెనుక (మరియు ముక్కు వెనుక 13 అడుగుల (4.0 మీ)) బాగా ఉంది. మూడు 100 ఎల్బి (45 కిలోల) బాంబుల రాక్లను రెక్కల కింద అమర్చారు, అయితే ఒకే ఫార్వర్డ్-ఫైరింగ్ సింక్రొనైజ్డ్ విక్కర్స్ మెషిన్ గన్ విమానం యొక్క ఇంజిన్ పైన అమర్చబడింది. [2] [4] మ"&amp;"ొట్టమొదటి నమూనా, సీరియల్ నంబర్ N515 మొట్టమొదట 1917 చివరలో కాజిల్ బ్రోమ్‌విచ్ వద్ద ప్రయాణించింది, కాని అనేక సమస్యలను ప్రదర్శించింది. ప్యూమా ఇంజిన్, పెద్ద సంఖ్యలో ఆదేశించినప్పటికీ, నమ్మదగనిది మరియు తీవ్రమైన కంపనంతో బాధపడుతోంది, ఇది సేవా పరీక్షను గణనీయంగా ఆల"&amp;"స్యం చేసింది. విమానం యొక్క లేఅవుట్, పైలట్ ఇప్పటివరకు కూర్చుని, అతనికి పేలవమైన దృశ్యం ఇచ్చింది, మరియు విక్కర్స్ తుపాకీ నుండి 8 అడుగుల (2.4 మీ) దూరంలో కూర్చుని, తుపాకీ ఆగిపోవడాన్ని పరిష్కరించడానికి ఏమీ చేయలేము. చివరికి అధికారికంగా పరీక్షించినప్పుడు, ఆగష్టు "&amp;"1918 లో, ఇది ఇలాంటి భావన యొక్క ప్రైవేట్ వెంచర్ సోప్విత్ బి .1 కంటే తక్కువ బాంబులను కలిగి ఉందని నిరూపించబడింది. [4] రెండవ నమూనా అది పూర్తయ్యేలోపు వదిలివేయబడింది, మరియు సన్‌బీమ్ లేదా సోప్విత్ కోసం ఎటువంటి ఉత్తర్వులు ఉంచబడలేదు, [5] ఇవి ఎయిర్‌కో డిహెచ్ వంటి ర"&amp;"ెండు-సీట్ల విమానాలను [6] దాడి చేయకుండా తమను తాము రక్షించుకోలేకపోయాయి. [4] RNAS (తరువాత రాయల్ ఎయిర్ ఫోర్స్) అవసరాలను బాగా కలుసుకున్నారు. [7] బ్రిటిష్ విమానాల నుండి డేటా 1914–18 [8] సాధారణ లక్షణాలు పనితీరు ఆయుధాలు, కాన్ఫిగరేషన్ మరియు యుగం యొక్క ఆయుధ విమానం")</f>
        <v>సన్‌బీమ్ బాంబర్ మొదటి ప్రపంచ యుద్ధం యొక్క ప్రోటోటైప్ సింగిల్-ఇంజిన్, సింగిల్ సీట్ బాంబర్ విమానం. ఈ రకం విజయవంతం కాలేదని మరియు వదిలివేయబడినందున ఒక ఉదాహరణ మాత్రమే ఎగిరింది. మొదటి ప్రపంచ యుద్ధం ప్రారంభమైన తరువాత, సన్‌బీమ్ మోటార్ కార్ కంపెనీ రాయల్ నావల్ ఎయిర్ సర్వీస్ (ఆర్‌ఎన్‌ఏ) కోసం లైసెన్స్ నిర్మించిన విమానానికి ప్రధాన సరఫరాదారుగా మారింది, ఏరో-ఇంజిన్లు మరియు మోటారు యొక్క డిజైనర్ మరియు బిల్డర్‌గా ప్రస్తుత పనితో పాటు వాహనాలు. [1] [2] నవంబర్ 1916 లో, RNA ల తరపున ఒకే ఇంజిన్, సింగిల్-సీట్ల బాంబర్ జారీ చేయబడింది, [3] మరియు సన్‌బీమ్ ఈ స్పెసిఫికేషన్‌కు ప్రతిస్పందించడానికి ఒక విమానాన్ని రూపొందించాలని నిర్ణయించుకున్నప్పుడు, ఇది రెండు ప్రోటోటైప్‌ల కోసం ఒక ఆర్డర్‌ను పొందింది అడ్మిరల్టీ. [2] సన్‌బీమ్ యొక్క డిజైన్ సాంప్రదాయ ట్రాక్టర్ కాన్ఫిగరేషన్ యొక్క రెండు-బే బైప్‌లేన్. ఇది సన్‌బీమ్ యొక్క సొంత అరబ్ వి 8 ఇంజిన్లలో ఒకటి 200 హార్స్‌పవర్ (150 కిలోవాట్) వద్ద రేట్ చేయబడింది మరియు రెండు బ్లేడెడ్ ప్రొపెల్లర్‌ను నడుపుతుంది. విమానం యొక్క ఇంధన ట్యాంకులు విమానం యొక్క గురుత్వాకర్షణ కేంద్రంలో ఫ్యూజ్‌లేజ్‌లో ఉన్నాయి, దీని ఫలితంగా పైలట్ యొక్క కాక్‌పిట్ రెక్కల వెనుక (మరియు ముక్కు వెనుక 13 అడుగుల (4.0 మీ)) బాగా ఉంది. మూడు 100 ఎల్బి (45 కిలోల) బాంబుల రాక్లను రెక్కల కింద అమర్చారు, అయితే ఒకే ఫార్వర్డ్-ఫైరింగ్ సింక్రొనైజ్డ్ విక్కర్స్ మెషిన్ గన్ విమానం యొక్క ఇంజిన్ పైన అమర్చబడింది. [2] [4] మొట్టమొదటి నమూనా, సీరియల్ నంబర్ N515 మొట్టమొదట 1917 చివరలో కాజిల్ బ్రోమ్‌విచ్ వద్ద ప్రయాణించింది, కాని అనేక సమస్యలను ప్రదర్శించింది. ప్యూమా ఇంజిన్, పెద్ద సంఖ్యలో ఆదేశించినప్పటికీ, నమ్మదగనిది మరియు తీవ్రమైన కంపనంతో బాధపడుతోంది, ఇది సేవా పరీక్షను గణనీయంగా ఆలస్యం చేసింది. విమానం యొక్క లేఅవుట్, పైలట్ ఇప్పటివరకు కూర్చుని, అతనికి పేలవమైన దృశ్యం ఇచ్చింది, మరియు విక్కర్స్ తుపాకీ నుండి 8 అడుగుల (2.4 మీ) దూరంలో కూర్చుని, తుపాకీ ఆగిపోవడాన్ని పరిష్కరించడానికి ఏమీ చేయలేము. చివరికి అధికారికంగా పరీక్షించినప్పుడు, ఆగష్టు 1918 లో, ఇది ఇలాంటి భావన యొక్క ప్రైవేట్ వెంచర్ సోప్విత్ బి .1 కంటే తక్కువ బాంబులను కలిగి ఉందని నిరూపించబడింది. [4] రెండవ నమూనా అది పూర్తయ్యేలోపు వదిలివేయబడింది, మరియు సన్‌బీమ్ లేదా సోప్విత్ కోసం ఎటువంటి ఉత్తర్వులు ఉంచబడలేదు, [5] ఇవి ఎయిర్‌కో డిహెచ్ వంటి రెండు-సీట్ల విమానాలను [6] దాడి చేయకుండా తమను తాము రక్షించుకోలేకపోయాయి. [4] RNAS (తరువాత రాయల్ ఎయిర్ ఫోర్స్) అవసరాలను బాగా కలుసుకున్నారు. [7] బ్రిటిష్ విమానాల నుండి డేటా 1914–18 [8] సాధారణ లక్షణాలు పనితీరు ఆయుధాలు, కాన్ఫిగరేషన్ మరియు యుగం యొక్క ఆయుధ విమానం</v>
      </c>
      <c r="F172" s="1" t="s">
        <v>1825</v>
      </c>
      <c r="G172" s="1" t="str">
        <f>IFERROR(__xludf.DUMMYFUNCTION("GOOGLETRANSLATE(F:F, ""en"", ""te"")"),"బాంబర్")</f>
        <v>బాంబర్</v>
      </c>
      <c r="I172" s="1" t="s">
        <v>2975</v>
      </c>
      <c r="J172" s="1" t="str">
        <f>IFERROR(__xludf.DUMMYFUNCTION("GOOGLETRANSLATE(I:I, ""en"", ""te"")"),"సన్‌బీమ్ మోటార్ కార్ కంపెనీ")</f>
        <v>సన్‌బీమ్ మోటార్ కార్ కంపెనీ</v>
      </c>
      <c r="K172" s="1" t="s">
        <v>2976</v>
      </c>
      <c r="M172" s="2"/>
      <c r="R172" s="1">
        <v>1.0</v>
      </c>
      <c r="T172" s="1" t="s">
        <v>2977</v>
      </c>
      <c r="U172" s="1" t="s">
        <v>2978</v>
      </c>
      <c r="V172" s="1" t="s">
        <v>2979</v>
      </c>
      <c r="W172" s="1" t="s">
        <v>2980</v>
      </c>
      <c r="X172" s="1" t="s">
        <v>2981</v>
      </c>
      <c r="Z172" s="1" t="s">
        <v>2982</v>
      </c>
      <c r="AF172" s="1" t="s">
        <v>314</v>
      </c>
      <c r="AI172" s="1" t="s">
        <v>2983</v>
      </c>
      <c r="AL172" s="1" t="s">
        <v>2984</v>
      </c>
      <c r="AN172" s="1" t="s">
        <v>2985</v>
      </c>
      <c r="AO172" s="1">
        <v>1917.0</v>
      </c>
      <c r="AV172" s="1" t="s">
        <v>2986</v>
      </c>
      <c r="BC172" s="1" t="s">
        <v>2987</v>
      </c>
      <c r="BJ172" s="1">
        <v>1.0</v>
      </c>
      <c r="BS172" s="1" t="s">
        <v>2988</v>
      </c>
      <c r="CM172" s="1" t="s">
        <v>2989</v>
      </c>
    </row>
    <row r="173">
      <c r="A173" s="1" t="s">
        <v>2990</v>
      </c>
      <c r="B173" s="1" t="str">
        <f>IFERROR(__xludf.DUMMYFUNCTION("GOOGLETRANSLATE(A:A, ""en"", ""te"")"),"ఏస్ మ్యాజిక్")</f>
        <v>ఏస్ మ్యాజిక్</v>
      </c>
      <c r="C173" s="1" t="s">
        <v>2991</v>
      </c>
      <c r="D173" s="2" t="str">
        <f>IFERROR(__xludf.DUMMYFUNCTION("GOOGLETRANSLATE(C:C, ""en"", ""te"")"),"ఏస్ మ్యాజిక్ అనేది భారతీయ అల్ట్రాలైట్ ట్రైక్, దీనిని జాన్ పెన్రీ-ఎవాన్స్ రూపొందించారు మరియు తమిళనాడు యొక్క ఏస్ ఏవియేషన్ నిర్మించింది. విమానం పూర్తి రెడీ-టు-ఫ్లై-ఎయిర్‌క్రాఫ్ట్‌గా సరఫరా చేయబడుతుంది. [1] [2] వర్గం యొక్క గరిష్ట స్థూల బరువు 450 కిలోల (992 పౌం"&amp;"డ్లు) తో సహా, ఫెడెరేషన్ ఏరోనాటిక్ ఇంటర్నేషనల్ మైక్రోలైట్ వర్గానికి అనుగుణంగా ఈ మ్యాజిక్ రూపొందించబడింది. ఈ విమానం గరిష్టంగా స్థూల బరువు 245 కిలోలు (540 ఎల్బి). ఇది 20 లీటర్లు (4.4 ఇంప్ గల్; 5.3 యుఎస్ గాల్) ఇంధన ట్యాంక్ కలిగి ఉన్నప్పుడు యుఎస్ ఫార్ 103 అల్ట"&amp;"్రాలైట్ వాహనాల నిబంధనలకు కూడా అనుగుణంగా ఉంటుంది. [1] [2] మేజిక్ కేబుల్-బ్రేస్డ్ హాంగ్ గ్లైడర్-స్టైల్ హై వింగ్, వెయిట్-షిఫ్ట్ కంట్రోల్స్, సింగిల్-సీట్ ఓపెన్ కాక్‌పిట్, ట్రైసైకిల్ ల్యాండింగ్ గేర్ మరియు పషర్ కాన్ఫిగరేషన్‌లో ఒకే ఇంజిన్ కలిగి ఉంది. [1] [2] యున"&amp;"ైటెడ్ కింగ్‌డమ్‌లో రూపొందించబడింది మరియు భారతదేశంలో ఉత్పత్తి చేయబడింది, ఈ విమానం పి అండ్ ఎమ్ ఏవియేషన్ ద్వారా UK లోకి దిగుమతి అవుతుంది. [1] [2] ఈ విమానం బోల్ట్-టుగెథర్ అల్యూమినియం గొట్టాల నుండి తయారవుతుంది, దాని రెండు-ఉపరితల విభాగం డాక్రాన్ సెయిల్‌క్లాత్‌ల"&amp;"ో కప్పబడి ఉంటుంది. దీని 9.2 మీ (30.2 అడుగులు) వింగ్స్పాన్ ఒకే ట్యూబ్-రకం కింగ్‌పోస్ట్ చేత మద్దతు ఇస్తుంది మరియు ""ఫ్రేమ్ వెయిట్-షిఫ్ట్ కంట్రోల్ బార్‌ను ఉపయోగిస్తుంది. పవర్‌ప్లాంట్ ఒక ట్విన్-సిలిండర్, ఎయిర్-కూల్డ్, టూ-స్ట్రోక్, సింగిల్-ఇగ్నిషన్, 40 హెచ్‌పి"&amp;" (30 కిలోవాట్) రోటాక్స్ 447 ఇంజిన్. ఐచ్ఛిక ఇంజిన్లలో 48 హెచ్‌పి (36 kW) సిమోనిని విక్టర్ 1 ప్లస్ మరియు నాలుగు-స్ట్రోక్ NS.T NS650 ఉన్నాయి. ట్రిమ్ సిస్టమ్, సర్దుబాటు చేయగల లెగ్ పొడవు మరియు 60 లీటర్లు (13 ఇంప్ గల్; 16 యుఎస్ గాల్) పన్నీర్లు అన్నీ ప్రామాణిక ప"&amp;"రికరాలు. సైక్లోన్ వింగ్ తో ఈ విమానం ఖాళీ బరువు 115 కిలోల (254 పౌండ్లు) మరియు స్థూల బరువు 245 కిలోల (540 ఎల్బి), ఇది 130 కిలోల (287 పౌండ్లు) ఉపయోగకరమైన లోడ్ ఇస్తుంది. 36 లీటర్ల (7.9 ఇంప్ గల్; 9.5 యుఎస్ గాల్) పూర్తి ఇంధన లోడ్‌తో పేలోడ్ 104 కిలోలు (229 ఎల్బి"&amp;"). [1] [2] అధిక పనితీరు తుఫాను, స్పోర్ట్ 90% డబుల్ సర్ఫేస్ లేజర్, ఇంటర్మీడియట్ టచ్ మరియు బిగినర్స్ స్పిరిట్ వంటి ప్రాథమిక క్యారేజీకి అనేక విభిన్న రెక్కలను అమర్చవచ్చు. [1] [2] బేయర్ల్ మరియు టాక్ నుండి డేటా [1] [2] సాధారణ లక్షణాల పనితీరు")</f>
        <v>ఏస్ మ్యాజిక్ అనేది భారతీయ అల్ట్రాలైట్ ట్రైక్, దీనిని జాన్ పెన్రీ-ఎవాన్స్ రూపొందించారు మరియు తమిళనాడు యొక్క ఏస్ ఏవియేషన్ నిర్మించింది. విమానం పూర్తి రెడీ-టు-ఫ్లై-ఎయిర్‌క్రాఫ్ట్‌గా సరఫరా చేయబడుతుంది. [1] [2] వర్గం యొక్క గరిష్ట స్థూల బరువు 450 కిలోల (992 పౌండ్లు) తో సహా, ఫెడెరేషన్ ఏరోనాటిక్ ఇంటర్నేషనల్ మైక్రోలైట్ వర్గానికి అనుగుణంగా ఈ మ్యాజిక్ రూపొందించబడింది. ఈ విమానం గరిష్టంగా స్థూల బరువు 245 కిలోలు (540 ఎల్బి). ఇది 20 లీటర్లు (4.4 ఇంప్ గల్; 5.3 యుఎస్ గాల్) ఇంధన ట్యాంక్ కలిగి ఉన్నప్పుడు యుఎస్ ఫార్ 103 అల్ట్రాలైట్ వాహనాల నిబంధనలకు కూడా అనుగుణంగా ఉంటుంది. [1] [2] మేజిక్ కేబుల్-బ్రేస్డ్ హాంగ్ గ్లైడర్-స్టైల్ హై వింగ్, వెయిట్-షిఫ్ట్ కంట్రోల్స్, సింగిల్-సీట్ ఓపెన్ కాక్‌పిట్, ట్రైసైకిల్ ల్యాండింగ్ గేర్ మరియు పషర్ కాన్ఫిగరేషన్‌లో ఒకే ఇంజిన్ కలిగి ఉంది. [1] [2] యునైటెడ్ కింగ్‌డమ్‌లో రూపొందించబడింది మరియు భారతదేశంలో ఉత్పత్తి చేయబడింది, ఈ విమానం పి అండ్ ఎమ్ ఏవియేషన్ ద్వారా UK లోకి దిగుమతి అవుతుంది. [1] [2] ఈ విమానం బోల్ట్-టుగెథర్ అల్యూమినియం గొట్టాల నుండి తయారవుతుంది, దాని రెండు-ఉపరితల విభాగం డాక్రాన్ సెయిల్‌క్లాత్‌లో కప్పబడి ఉంటుంది. దీని 9.2 మీ (30.2 అడుగులు) వింగ్స్పాన్ ఒకే ట్యూబ్-రకం కింగ్‌పోస్ట్ చేత మద్దతు ఇస్తుంది మరియు "ఫ్రేమ్ వెయిట్-షిఫ్ట్ కంట్రోల్ బార్‌ను ఉపయోగిస్తుంది. పవర్‌ప్లాంట్ ఒక ట్విన్-సిలిండర్, ఎయిర్-కూల్డ్, టూ-స్ట్రోక్, సింగిల్-ఇగ్నిషన్, 40 హెచ్‌పి (30 కిలోవాట్) రోటాక్స్ 447 ఇంజిన్. ఐచ్ఛిక ఇంజిన్లలో 48 హెచ్‌పి (36 kW) సిమోనిని విక్టర్ 1 ప్లస్ మరియు నాలుగు-స్ట్రోక్ NS.T NS650 ఉన్నాయి. ట్రిమ్ సిస్టమ్, సర్దుబాటు చేయగల లెగ్ పొడవు మరియు 60 లీటర్లు (13 ఇంప్ గల్; 16 యుఎస్ గాల్) పన్నీర్లు అన్నీ ప్రామాణిక పరికరాలు. సైక్లోన్ వింగ్ తో ఈ విమానం ఖాళీ బరువు 115 కిలోల (254 పౌండ్లు) మరియు స్థూల బరువు 245 కిలోల (540 ఎల్బి), ఇది 130 కిలోల (287 పౌండ్లు) ఉపయోగకరమైన లోడ్ ఇస్తుంది. 36 లీటర్ల (7.9 ఇంప్ గల్; 9.5 యుఎస్ గాల్) పూర్తి ఇంధన లోడ్‌తో పేలోడ్ 104 కిలోలు (229 ఎల్బి). [1] [2] అధిక పనితీరు తుఫాను, స్పోర్ట్ 90% డబుల్ సర్ఫేస్ లేజర్, ఇంటర్మీడియట్ టచ్ మరియు బిగినర్స్ స్పిరిట్ వంటి ప్రాథమిక క్యారేజీకి అనేక విభిన్న రెక్కలను అమర్చవచ్చు. [1] [2] బేయర్ల్ మరియు టాక్ నుండి డేటా [1] [2] సాధారణ లక్షణాల పనితీరు</v>
      </c>
      <c r="F173" s="1" t="s">
        <v>300</v>
      </c>
      <c r="G173" s="1" t="str">
        <f>IFERROR(__xludf.DUMMYFUNCTION("GOOGLETRANSLATE(F:F, ""en"", ""te"")"),"అల్ట్రాలైట్ ట్రైక్")</f>
        <v>అల్ట్రాలైట్ ట్రైక్</v>
      </c>
      <c r="H173" s="1" t="s">
        <v>301</v>
      </c>
      <c r="I173" s="1" t="s">
        <v>2992</v>
      </c>
      <c r="J173" s="1" t="str">
        <f>IFERROR(__xludf.DUMMYFUNCTION("GOOGLETRANSLATE(I:I, ""en"", ""te"")"),"ఏస్ ఏవియేషన్")</f>
        <v>ఏస్ ఏవియేషన్</v>
      </c>
      <c r="K173" s="1" t="s">
        <v>2993</v>
      </c>
      <c r="L173" s="1" t="s">
        <v>2994</v>
      </c>
      <c r="M173" s="2" t="str">
        <f>IFERROR(__xludf.DUMMYFUNCTION("GOOGLETRANSLATE(L:L, ""en"", ""te"")"),"జాన్ పెన్రీ-ఎవాన్స్")</f>
        <v>జాన్ పెన్రీ-ఎవాన్స్</v>
      </c>
      <c r="R173" s="1" t="s">
        <v>222</v>
      </c>
      <c r="U173" s="1" t="s">
        <v>2995</v>
      </c>
      <c r="V173" s="1" t="s">
        <v>2996</v>
      </c>
      <c r="W173" s="1" t="s">
        <v>1283</v>
      </c>
      <c r="X173" s="1" t="s">
        <v>2997</v>
      </c>
      <c r="Z173" s="1" t="s">
        <v>2998</v>
      </c>
      <c r="AA173" s="1" t="s">
        <v>2999</v>
      </c>
      <c r="AB173" s="1" t="s">
        <v>3000</v>
      </c>
      <c r="AD173" s="1" t="s">
        <v>2760</v>
      </c>
      <c r="AF173" s="1" t="s">
        <v>3001</v>
      </c>
      <c r="AG173" s="4" t="s">
        <v>3002</v>
      </c>
      <c r="AK173" s="1" t="s">
        <v>3003</v>
      </c>
      <c r="AL173" s="1" t="s">
        <v>2274</v>
      </c>
      <c r="AR173" s="1" t="s">
        <v>3004</v>
      </c>
      <c r="AS173" s="1" t="s">
        <v>570</v>
      </c>
      <c r="AU173" s="1" t="s">
        <v>3005</v>
      </c>
    </row>
    <row r="174">
      <c r="A174" s="1" t="s">
        <v>3006</v>
      </c>
      <c r="B174" s="1" t="str">
        <f>IFERROR(__xludf.DUMMYFUNCTION("GOOGLETRANSLATE(A:A, ""en"", ""te"")"),"బ్లెరియోట్-స్పాడ్ S.42")</f>
        <v>బ్లెరియోట్-స్పాడ్ S.42</v>
      </c>
      <c r="C174" s="1" t="s">
        <v>3007</v>
      </c>
      <c r="D174" s="2" t="str">
        <f>IFERROR(__xludf.DUMMYFUNCTION("GOOGLETRANSLATE(C:C, ""en"", ""te"")"),"స్పాడ్ S.42 1920 ల ప్రారంభంలో ఫ్రెంచ్ బిప్‌లేన్ ట్రైనర్ విమానం, దీనిని ఫలవంతమైన స్పాడ్ S.XIII ఫైటర్ నుండి సోషియాట్ పోర్ ఎల్'అవియేషన్ ఎట్ సెస్ డెరివ్స్ (స్పాడ్) అభివృద్ధి చేసింది. [1] సాధారణ లక్షణాల పనితీరు నుండి డేటా")</f>
        <v>స్పాడ్ S.42 1920 ల ప్రారంభంలో ఫ్రెంచ్ బిప్‌లేన్ ట్రైనర్ విమానం, దీనిని ఫలవంతమైన స్పాడ్ S.XIII ఫైటర్ నుండి సోషియాట్ పోర్ ఎల్'అవియేషన్ ఎట్ సెస్ డెరివ్స్ (స్పాడ్) అభివృద్ధి చేసింది. [1] సాధారణ లక్షణాల పనితీరు నుండి డేటా</v>
      </c>
      <c r="E174" s="1" t="s">
        <v>3008</v>
      </c>
      <c r="F174" s="1" t="s">
        <v>3009</v>
      </c>
      <c r="G174" s="1" t="str">
        <f>IFERROR(__xludf.DUMMYFUNCTION("GOOGLETRANSLATE(F:F, ""en"", ""te"")"),"బిప్‌లేన్ ట్రైనర్")</f>
        <v>బిప్‌లేన్ ట్రైనర్</v>
      </c>
      <c r="I174" s="1" t="s">
        <v>3010</v>
      </c>
      <c r="J174" s="1" t="str">
        <f>IFERROR(__xludf.DUMMYFUNCTION("GOOGLETRANSLATE(I:I, ""en"", ""te"")"),"స్పాడ్")</f>
        <v>స్పాడ్</v>
      </c>
      <c r="K174" s="4" t="s">
        <v>3011</v>
      </c>
      <c r="L174" s="1" t="s">
        <v>3012</v>
      </c>
      <c r="M174" s="2" t="str">
        <f>IFERROR(__xludf.DUMMYFUNCTION("GOOGLETRANSLATE(L:L, ""en"", ""te"")"),"లూయిస్ బెచెరే")</f>
        <v>లూయిస్ బెచెరే</v>
      </c>
      <c r="O174" s="1">
        <v>10.0</v>
      </c>
      <c r="R174" s="1">
        <v>1.0</v>
      </c>
      <c r="T174" s="1" t="s">
        <v>3013</v>
      </c>
      <c r="U174" s="1" t="s">
        <v>1043</v>
      </c>
      <c r="V174" s="1" t="s">
        <v>3014</v>
      </c>
      <c r="W174" s="1" t="s">
        <v>3015</v>
      </c>
      <c r="X174" s="1" t="s">
        <v>3016</v>
      </c>
      <c r="Z174" s="1" t="s">
        <v>3017</v>
      </c>
      <c r="AC174" s="1" t="s">
        <v>3018</v>
      </c>
      <c r="AF174" s="1" t="s">
        <v>465</v>
      </c>
      <c r="AI174" s="1" t="s">
        <v>3019</v>
      </c>
      <c r="AL174" s="1" t="s">
        <v>462</v>
      </c>
      <c r="AN174" s="1" t="s">
        <v>3020</v>
      </c>
      <c r="AO174" s="5">
        <v>7889.0</v>
      </c>
      <c r="AP174" s="1" t="s">
        <v>3021</v>
      </c>
      <c r="AQ174" s="1" t="s">
        <v>3022</v>
      </c>
    </row>
    <row r="175">
      <c r="A175" s="1" t="s">
        <v>3023</v>
      </c>
      <c r="B175" s="1" t="str">
        <f>IFERROR(__xludf.DUMMYFUNCTION("GOOGLETRANSLATE(A:A, ""en"", ""te"")"),"పోటెజ్ 37")</f>
        <v>పోటెజ్ 37</v>
      </c>
      <c r="C175" s="1" t="s">
        <v>3024</v>
      </c>
      <c r="D175" s="2" t="str">
        <f>IFERROR(__xludf.DUMMYFUNCTION("GOOGLETRANSLATE(C:C, ""en"", ""te"")"),"పోటెజ్ 37 అనేది ఫ్రెంచ్ ప్రభుత్వ ఒప్పందం కోసం పోటీ చేయడానికి నిర్మించిన రెండు-సీట్ల, సుదూర నిఘా విమానం. ఇది 1930 మధ్యలో ప్రయాణించింది కాని పోటీని గెలవలేదు, కాబట్టి రెండు మాత్రమే పూర్తయ్యాయి. 1928 యొక్క ఫ్రెంచ్ R.2 స్పెసిఫికేషన్ ఆల్-మెటల్ రెండు సీట్ల నిఘా "&amp;"విమానం, వేగంగా మరియు వేగవంతమైన ఆరోహణ రేటు మరియు పెద్ద వ్యాసార్థం కోసం పిలుపునిచ్చింది. ఇది ఎనిమిది మంది తయారీదారులు, అమియోట్ 130, బ్రెగెట్ 33, లాటకోర్ 490, లెస్ మురియక్స్ 111, న్యూపోర్ట్-డిలేజ్ ని-డి 580, పోటెజ్ 37, వీమాన్ వెల్ -80 మరియు విబాల్ట్ 260 నుండ"&amp;"ి ప్రోటోటైప్‌లకు దారితీసింది. అవసరమైన నిబంధనలలో ఒకటి తయారీదారులు ఒకే హిస్పానో-సుయిజా 12 ఎన్బి వాటర్-కూల్డ్ వి -12 ఇంజిన్‌ను ఉపయోగించటానికి. [1] [2] పోటెజ్ 37 ఒక పారాసోల్ వింగ్ విమానం. దీని రెక్క మూడు భాగాలలో ఉంది, రెండు బాహ్య-వాలు, ఎన్-ఫారమ్ క్యాబన్ స్ట్ర"&amp;"ట్‌లపై ఎగువ ఫ్యూజ్‌లేజ్‌తో ఒక చిన్న సెంటర్-సెక్షన్ జతచేయబడింది మరియు రెండు బాహ్య ప్యానెల్‌లతో, ప్రతి ఒక్కటి సమాంతర జత స్ట్రట్‌లలో సగం-స్పాన్ వద్ద అమర్చబడి ఉంటుంది తక్కువ ఫ్యూజ్‌లేజ్. అన్ని స్ట్రట్‌ల మాదిరిగానే, వీటిని ఎయిర్‌ఫాయిల్ సెక్షన్ ఫెయిరింగ్స్‌లో జ"&amp;"తచేయారు. ప్రణాళికలో రెక్కలు సూటిగా, ప్రముఖ అంచులను కలిగి ఉన్నాయి, కానీ వెనుకంజలో ఉన్న అంచులు మరియు చిట్కాలపై స్వల్పంగా వక్రంగా ఉన్నాయి. పైలట్ యొక్క పైకి వీక్షణకు సహాయపడటానికి సెంటర్-సెక్షన్ యొక్క వెనుకంజలో ఉన్న అంచులో గుండ్రని కటౌట్ ఉంది. ఉదారమైన ఐలెరాన్ల"&amp;"ు వెనుకంజలో ఉన్న అంచులను అవుట్‌బోర్డ్‌లో నింపాయి. నిర్మాణాత్మకంగా ప్రతి బయటి ప్యానెల్ రెండు స్టీల్ స్పార్స్ చుట్టూ డ్యూరల్ పక్కటెముకలు మరియు డ్యూరల్ కప్పబడి నిర్మించబడింది; ప్రముఖ అంచులు తక్షణమే తొలగించబడతాయి. [3] ఫ్యూజ్‌లేజ్ మూడు భాగాలుగా ఉంది. ఫార్వర్డ్"&amp;" పార్ట్ హిస్పానో-సుయిజా వి -12 ఇంజిన్‌ను దగ్గరగా సరిపోయే, షీట్ మెటల్ కౌలింగ్‌లో సిలిండర్ బ్యాంకుల తరువాత మరియు దాని వెనుక భాగంలో వంగిన, విలోమ లాంబ్లిన్ రేడియేటర్‌తో అమర్చారు. ఇంజిన్ వెనుక ఫ్యూజ్‌లేజ్ నిర్మాణం సాంప్రదాయిక దీర్ఘచతురస్రాకార విభాగం గిర్డర్ ఫ్"&amp;"రేమ్ వింగ్ స్ట్రట్స్ మరియు అండర్ క్యారేజీని కలిగి ఉంది మరియు రెండు టెన్డం ఓపెన్ కాక్‌పిట్‌లను కలిగి ఉంది. ఈ విమానం సాధారణంగా ఫార్వర్డ్ ఒకటి నుండి ఎగురవేయబడుతుంది, ఇది రెక్క కటౌట్ కింద ఉంచబడింది, మరియు పరిశీలకుడి స్థానం వెనుకబడి ఉంది, ఎగిరే నియంత్రణ కాలమ్,"&amp;" సౌకర్యవంతమైన మెషిన్ గన్ మౌంటు మరియు చిన్న సైడ్-విండోస్ ఉన్నాయి. వెంటనే గిర్డర్ క్రాస్-సెక్షన్ వేగంగా తగ్గించబడింది, తరువాత ఫ్యూజ్‌లేజ్ యొక్క చివరి భాగానికి చేరింది, అసాధారణమైన కత్తిరించబడిన డ్యూరల్ కోన్ అంతర్గతంగా లాంగన్స్ మరియు ఫ్రేమ్‌లతో బలోపేతం చేయబడి"&amp;"ంది. [3] [4] తోక యూనిట్ సాంప్రదాయంగా ఉంది, మొద్దుబారిన త్రిభుజాకార ఫిన్ వక్ర, లోతైన చుక్కానితో అమర్చబడి ఉంటుంది. అధిక కారక నిష్పత్తి టెయిల్‌ప్లేన్ ఫిన్ పై ఫ్యూజ్‌లేజ్ పైన అమర్చబడింది; దిగువ నుండి విలోమ V- స్ట్రట్‌లపై మద్దతు ఇవ్వబడింది, దాని సంఘటనల కోణాన్న"&amp;"ి విమానంలో సర్దుబాటు చేయవచ్చు. ఎలివేటర్లు తీగలో ఇరుకైనవి; ప్రణాళికలో క్షితిజ సమాంతర తోక మొద్దుబారిన చిట్కాలతో నేరుగా టేప్ చేయబడింది. [3] పోటెజ్ 37 స్థిర, సాంప్రదాయిక ల్యాండింగ్ గేర్, మెయిన్‌వీల్స్‌తో, బ్రేక్‌లతో అమర్చబడి, సగం-ఆక్సిల్స్ చివర్లలో 3.0 మీ (9 "&amp;"అడుగుల 10 అంగుళాలు) మరియు ఫ్యూజ్‌లేజ్‌కు అతుక్కొని ఉన్న డ్రాగ్ స్ట్రట్‌లను కలిగి ఉంది. చక్రాలు ఫార్వర్డ్ వింగ్ స్ట్రట్‌లపై ఎగువ ఫ్యూజ్‌లేజ్‌కు మరియు వెనుక వింగ్ స్ట్రట్ యొక్క బేస్ వరకు బలోపేతం చేయబడిన ఒక పాయింట్ వద్ద ఫార్వర్డ్ వింగ్ స్ట్రట్‌లపై అమర్చిన ని"&amp;"లువు షాక్ అబ్జార్బర్‌లను కలిగి ఉన్నాయి. ఒక చిన్న, మొలకెత్తిన టెయిల్‌స్కిడ్ ఉంది. [3] పోటెజ్ 37 యొక్క మొదటి ఫ్లైట్ యొక్క తేదీ తెలియదు కాని జూన్ 1930 నాటికి లెమోయిన్ చేత ఎగిరిన టెస్ట్ విమానాలు జరుగుతున్నాయి. [5] లెమోయిన్ మరియు డురోయోన్ కనీసం జూలై చివరి వరకు"&amp;" అభివృద్ధిని కొనసాగించారు. వారు అంగీకారయోగ్యమైన మరియు సూటిగా హ్యాండింగ్ లక్షణాలను నివేదించారు. [6] S.T.I.Aé కాంకోర్స్ డెస్ ఏవియన్స్ డి గ్రాండే రికనైసెన్స్ (లాంగ్ రేంజ్ రికనైసెన్స్ ఎయిర్క్రాఫ్ట్ కాంపిటీషన్) ఏప్రిల్ 1931 లో విల్లాకౌబ్లేలో ప్రారంభమైంది, అన్న"&amp;"ి ప్రోటోటైప్‌లు బ్రెగెట్ కలిసి ఉన్నాయి. [7] ఎంపిక ప్రక్రియ అసాధారణంగా పొడవుగా ఉంది మరియు ఇది కొనసాగుతున్నప్పుడు, రెండవ పోటెజ్ 37 పూర్తయింది [8] మరియు పరీక్ష ప్రారంభించాడు. ఇది కొత్త రేడియేటర్‌తో అమర్చబడింది మరియు ప్రాథమిక విమానాలు ఇది వేగంగా ఉందని సూచించా"&amp;"యి. [9] ఏప్రిల్ 1932 లో, ఒక సంవత్సరం పోటీ తరువాత, ANF-MUREAX 111 ను విజేతగా ప్రకటించారు [10] కాబట్టి పోటెజ్ 37 లు నిర్మించబడలేదు. కనీసం ఒకరు పద్దెనిమిది నెలల తరువాత ఎగురుతూనే ఉన్నారు మరియు సెప్టెంబర్ 1933 లో 3 వ టూర్ డి ఫ్రాన్స్ డు ప్రోటోటైప్స్‌లో పాల్గొన"&amp;"్నారు. సెప్టెంబర్ 9 నుండి పోటెజ్‌లో జోంచే నేతృత్వంలోని ఎనిమిది ప్రోటోటైప్‌లు, తొమ్మిది రోజుల సర్క్యూట్ నుండి ఓర్లీ నుండి ఎగిరిపోయాయి ఉత్తర ఫ్రాన్స్. [11] 1930 నుండి 1938 వరకు ఫ్రెంచ్ సైనిక ప్రోటోటైప్‌లు ఎఫ్-అక్స్క్స్ గ్రూపులోని సివిల్ రిజిస్టర్‌లో కనిపించ"&amp;"ాయి. మొదటి పోటెజ్ 37 ఎఫ్-అక్ఫ్స్ మరియు రెండవ ఎఫ్-అక్ఫ్ట్. రిజిస్టర్ పోటెజ్ 371 కు తరువాతి రకం మార్పును నమోదు చేస్తుంది. [12] లెస్ ఐల్స్ నుండి డేటా డిసెంబర్ 1930 [3] సాధారణ లక్షణాల పనితీరు")</f>
        <v>పోటెజ్ 37 అనేది ఫ్రెంచ్ ప్రభుత్వ ఒప్పందం కోసం పోటీ చేయడానికి నిర్మించిన రెండు-సీట్ల, సుదూర నిఘా విమానం. ఇది 1930 మధ్యలో ప్రయాణించింది కాని పోటీని గెలవలేదు, కాబట్టి రెండు మాత్రమే పూర్తయ్యాయి. 1928 యొక్క ఫ్రెంచ్ R.2 స్పెసిఫికేషన్ ఆల్-మెటల్ రెండు సీట్ల నిఘా విమానం, వేగంగా మరియు వేగవంతమైన ఆరోహణ రేటు మరియు పెద్ద వ్యాసార్థం కోసం పిలుపునిచ్చింది. ఇది ఎనిమిది మంది తయారీదారులు, అమియోట్ 130, బ్రెగెట్ 33, లాటకోర్ 490, లెస్ మురియక్స్ 111, న్యూపోర్ట్-డిలేజ్ ని-డి 580, పోటెజ్ 37, వీమాన్ వెల్ -80 మరియు విబాల్ట్ 260 నుండి ప్రోటోటైప్‌లకు దారితీసింది. అవసరమైన నిబంధనలలో ఒకటి తయారీదారులు ఒకే హిస్పానో-సుయిజా 12 ఎన్బి వాటర్-కూల్డ్ వి -12 ఇంజిన్‌ను ఉపయోగించటానికి. [1] [2] పోటెజ్ 37 ఒక పారాసోల్ వింగ్ విమానం. దీని రెక్క మూడు భాగాలలో ఉంది, రెండు బాహ్య-వాలు, ఎన్-ఫారమ్ క్యాబన్ స్ట్రట్‌లపై ఎగువ ఫ్యూజ్‌లేజ్‌తో ఒక చిన్న సెంటర్-సెక్షన్ జతచేయబడింది మరియు రెండు బాహ్య ప్యానెల్‌లతో, ప్రతి ఒక్కటి సమాంతర జత స్ట్రట్‌లలో సగం-స్పాన్ వద్ద అమర్చబడి ఉంటుంది తక్కువ ఫ్యూజ్‌లేజ్. అన్ని స్ట్రట్‌ల మాదిరిగానే, వీటిని ఎయిర్‌ఫాయిల్ సెక్షన్ ఫెయిరింగ్స్‌లో జతచేయారు. ప్రణాళికలో రెక్కలు సూటిగా, ప్రముఖ అంచులను కలిగి ఉన్నాయి, కానీ వెనుకంజలో ఉన్న అంచులు మరియు చిట్కాలపై స్వల్పంగా వక్రంగా ఉన్నాయి. పైలట్ యొక్క పైకి వీక్షణకు సహాయపడటానికి సెంటర్-సెక్షన్ యొక్క వెనుకంజలో ఉన్న అంచులో గుండ్రని కటౌట్ ఉంది. ఉదారమైన ఐలెరాన్లు వెనుకంజలో ఉన్న అంచులను అవుట్‌బోర్డ్‌లో నింపాయి. నిర్మాణాత్మకంగా ప్రతి బయటి ప్యానెల్ రెండు స్టీల్ స్పార్స్ చుట్టూ డ్యూరల్ పక్కటెముకలు మరియు డ్యూరల్ కప్పబడి నిర్మించబడింది; ప్రముఖ అంచులు తక్షణమే తొలగించబడతాయి. [3] ఫ్యూజ్‌లేజ్ మూడు భాగాలుగా ఉంది. ఫార్వర్డ్ పార్ట్ హిస్పానో-సుయిజా వి -12 ఇంజిన్‌ను దగ్గరగా సరిపోయే, షీట్ మెటల్ కౌలింగ్‌లో సిలిండర్ బ్యాంకుల తరువాత మరియు దాని వెనుక భాగంలో వంగిన, విలోమ లాంబ్లిన్ రేడియేటర్‌తో అమర్చారు. ఇంజిన్ వెనుక ఫ్యూజ్‌లేజ్ నిర్మాణం సాంప్రదాయిక దీర్ఘచతురస్రాకార విభాగం గిర్డర్ ఫ్రేమ్ వింగ్ స్ట్రట్స్ మరియు అండర్ క్యారేజీని కలిగి ఉంది మరియు రెండు టెన్డం ఓపెన్ కాక్‌పిట్‌లను కలిగి ఉంది. ఈ విమానం సాధారణంగా ఫార్వర్డ్ ఒకటి నుండి ఎగురవేయబడుతుంది, ఇది రెక్క కటౌట్ కింద ఉంచబడింది, మరియు పరిశీలకుడి స్థానం వెనుకబడి ఉంది, ఎగిరే నియంత్రణ కాలమ్, సౌకర్యవంతమైన మెషిన్ గన్ మౌంటు మరియు చిన్న సైడ్-విండోస్ ఉన్నాయి. వెంటనే గిర్డర్ క్రాస్-సెక్షన్ వేగంగా తగ్గించబడింది, తరువాత ఫ్యూజ్‌లేజ్ యొక్క చివరి భాగానికి చేరింది, అసాధారణమైన కత్తిరించబడిన డ్యూరల్ కోన్ అంతర్గతంగా లాంగన్స్ మరియు ఫ్రేమ్‌లతో బలోపేతం చేయబడింది. [3] [4] తోక యూనిట్ సాంప్రదాయంగా ఉంది, మొద్దుబారిన త్రిభుజాకార ఫిన్ వక్ర, లోతైన చుక్కానితో అమర్చబడి ఉంటుంది. అధిక కారక నిష్పత్తి టెయిల్‌ప్లేన్ ఫిన్ పై ఫ్యూజ్‌లేజ్ పైన అమర్చబడింది; దిగువ నుండి విలోమ V- స్ట్రట్‌లపై మద్దతు ఇవ్వబడింది, దాని సంఘటనల కోణాన్ని విమానంలో సర్దుబాటు చేయవచ్చు. ఎలివేటర్లు తీగలో ఇరుకైనవి; ప్రణాళికలో క్షితిజ సమాంతర తోక మొద్దుబారిన చిట్కాలతో నేరుగా టేప్ చేయబడింది. [3] పోటెజ్ 37 స్థిర, సాంప్రదాయిక ల్యాండింగ్ గేర్, మెయిన్‌వీల్స్‌తో, బ్రేక్‌లతో అమర్చబడి, సగం-ఆక్సిల్స్ చివర్లలో 3.0 మీ (9 అడుగుల 10 అంగుళాలు) మరియు ఫ్యూజ్‌లేజ్‌కు అతుక్కొని ఉన్న డ్రాగ్ స్ట్రట్‌లను కలిగి ఉంది. చక్రాలు ఫార్వర్డ్ వింగ్ స్ట్రట్‌లపై ఎగువ ఫ్యూజ్‌లేజ్‌కు మరియు వెనుక వింగ్ స్ట్రట్ యొక్క బేస్ వరకు బలోపేతం చేయబడిన ఒక పాయింట్ వద్ద ఫార్వర్డ్ వింగ్ స్ట్రట్‌లపై అమర్చిన నిలువు షాక్ అబ్జార్బర్‌లను కలిగి ఉన్నాయి. ఒక చిన్న, మొలకెత్తిన టెయిల్‌స్కిడ్ ఉంది. [3] పోటెజ్ 37 యొక్క మొదటి ఫ్లైట్ యొక్క తేదీ తెలియదు కాని జూన్ 1930 నాటికి లెమోయిన్ చేత ఎగిరిన టెస్ట్ విమానాలు జరుగుతున్నాయి. [5] లెమోయిన్ మరియు డురోయోన్ కనీసం జూలై చివరి వరకు అభివృద్ధిని కొనసాగించారు. వారు అంగీకారయోగ్యమైన మరియు సూటిగా హ్యాండింగ్ లక్షణాలను నివేదించారు. [6] S.T.I.Aé కాంకోర్స్ డెస్ ఏవియన్స్ డి గ్రాండే రికనైసెన్స్ (లాంగ్ రేంజ్ రికనైసెన్స్ ఎయిర్క్రాఫ్ట్ కాంపిటీషన్) ఏప్రిల్ 1931 లో విల్లాకౌబ్లేలో ప్రారంభమైంది, అన్ని ప్రోటోటైప్‌లు బ్రెగెట్ కలిసి ఉన్నాయి. [7] ఎంపిక ప్రక్రియ అసాధారణంగా పొడవుగా ఉంది మరియు ఇది కొనసాగుతున్నప్పుడు, రెండవ పోటెజ్ 37 పూర్తయింది [8] మరియు పరీక్ష ప్రారంభించాడు. ఇది కొత్త రేడియేటర్‌తో అమర్చబడింది మరియు ప్రాథమిక విమానాలు ఇది వేగంగా ఉందని సూచించాయి. [9] ఏప్రిల్ 1932 లో, ఒక సంవత్సరం పోటీ తరువాత, ANF-MUREAX 111 ను విజేతగా ప్రకటించారు [10] కాబట్టి పోటెజ్ 37 లు నిర్మించబడలేదు. కనీసం ఒకరు పద్దెనిమిది నెలల తరువాత ఎగురుతూనే ఉన్నారు మరియు సెప్టెంబర్ 1933 లో 3 వ టూర్ డి ఫ్రాన్స్ డు ప్రోటోటైప్స్‌లో పాల్గొన్నారు. సెప్టెంబర్ 9 నుండి పోటెజ్‌లో జోంచే నేతృత్వంలోని ఎనిమిది ప్రోటోటైప్‌లు, తొమ్మిది రోజుల సర్క్యూట్ నుండి ఓర్లీ నుండి ఎగిరిపోయాయి ఉత్తర ఫ్రాన్స్. [11] 1930 నుండి 1938 వరకు ఫ్రెంచ్ సైనిక ప్రోటోటైప్‌లు ఎఫ్-అక్స్క్స్ గ్రూపులోని సివిల్ రిజిస్టర్‌లో కనిపించాయి. మొదటి పోటెజ్ 37 ఎఫ్-అక్ఫ్స్ మరియు రెండవ ఎఫ్-అక్ఫ్ట్. రిజిస్టర్ పోటెజ్ 371 కు తరువాతి రకం మార్పును నమోదు చేస్తుంది. [12] లెస్ ఐల్స్ నుండి డేటా డిసెంబర్ 1930 [3] సాధారణ లక్షణాల పనితీరు</v>
      </c>
      <c r="E175" s="1" t="s">
        <v>3025</v>
      </c>
      <c r="F175" s="1" t="s">
        <v>179</v>
      </c>
      <c r="G175" s="1" t="str">
        <f>IFERROR(__xludf.DUMMYFUNCTION("GOOGLETRANSLATE(F:F, ""en"", ""te"")"),"నిఘా విమానం")</f>
        <v>నిఘా విమానం</v>
      </c>
      <c r="H175" s="1" t="s">
        <v>1433</v>
      </c>
      <c r="I175" s="1" t="s">
        <v>3026</v>
      </c>
      <c r="J175" s="1" t="str">
        <f>IFERROR(__xludf.DUMMYFUNCTION("GOOGLETRANSLATE(I:I, ""en"", ""te"")"),"Aéroplanes హెన్రీ పోటెజ్")</f>
        <v>Aéroplanes హెన్రీ పోటెజ్</v>
      </c>
      <c r="K175" s="1" t="s">
        <v>3027</v>
      </c>
      <c r="M175" s="2"/>
      <c r="O175" s="1">
        <v>2.0</v>
      </c>
      <c r="R175" s="1" t="s">
        <v>1138</v>
      </c>
      <c r="T175" s="1" t="s">
        <v>3028</v>
      </c>
      <c r="U175" s="1" t="s">
        <v>1231</v>
      </c>
      <c r="V175" s="1" t="s">
        <v>1652</v>
      </c>
      <c r="W175" s="1" t="s">
        <v>3029</v>
      </c>
      <c r="X175" s="1" t="s">
        <v>3030</v>
      </c>
      <c r="Z175" s="1" t="s">
        <v>3031</v>
      </c>
      <c r="AF175" s="1" t="s">
        <v>465</v>
      </c>
      <c r="AG175" s="4" t="s">
        <v>466</v>
      </c>
      <c r="AI175" s="1" t="s">
        <v>3032</v>
      </c>
      <c r="AJ175" s="1" t="s">
        <v>3033</v>
      </c>
      <c r="AK175" s="1" t="s">
        <v>3034</v>
      </c>
      <c r="AL175" s="1" t="s">
        <v>3035</v>
      </c>
      <c r="AN175" s="1" t="s">
        <v>3036</v>
      </c>
      <c r="AO175" s="1" t="s">
        <v>3037</v>
      </c>
      <c r="AR175" s="1" t="s">
        <v>372</v>
      </c>
      <c r="BC175" s="1" t="s">
        <v>3038</v>
      </c>
      <c r="CR175" s="1" t="s">
        <v>3039</v>
      </c>
      <c r="DR175" s="1" t="s">
        <v>3040</v>
      </c>
    </row>
    <row r="176">
      <c r="A176" s="1" t="s">
        <v>3041</v>
      </c>
      <c r="B176" s="1" t="str">
        <f>IFERROR(__xludf.DUMMYFUNCTION("GOOGLETRANSLATE(A:A, ""en"", ""te"")"),"AVIASOUZ క్రూయిజ్")</f>
        <v>AVIASOUZ క్రూయిజ్</v>
      </c>
      <c r="C176" s="1" t="s">
        <v>3042</v>
      </c>
      <c r="D176" s="2" t="str">
        <f>IFERROR(__xludf.DUMMYFUNCTION("GOOGLETRANSLATE(C:C, ""en"", ""te"")"),"అవియాసౌజ్ క్రూజ్ అనేది రష్యన్ అల్ట్రాలైట్ ట్రైక్, దీనిని కజాన్ యొక్క ఏవియాసౌజ్ రూపొందించారు మరియు నిర్మించారు. విమానం పూర్తి రెడీ-టు-ఫ్లై-ఎయిర్‌క్రాఫ్ట్‌గా సరఫరా చేయబడుతుంది. [1] [2] టుపోలెవ్ డిజైన్ బ్యూరో యొక్క మాజీ ఉద్యోగులు ఈ సంస్థను ఏర్పాటు చేశారు. [2"&amp;"]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430 కిలోలు (948 పౌండ్లు). ఇది కేబుల్-బ్రేస్డ్ హాంగ్ గ్లైడర్-స్టైల్ హై-వి"&amp;"ంగ్, వెయిట్-షిఫ్ట్ కంట్రోల్స్, రెండు-సీట్ల-సైడ్-సైడ్-సైడ్ కాన్ఫిగరేషన్ ఓపెన్ కాక్‌పిట్ కలిగి ఉంది, ఇది ప్రత్యేకమైన ఫైబర్‌గ్లాస్ కాక్‌పిట్ ఫెయిరింగ్, వీల్ ప్యాంటుతో ట్రైసైకిల్ ల్యాండింగ్ గేర్ మరియు సింగిల్ పషర్ కాన్ఫిగరేషన్‌లో ఇంజిన్. [1] [2] ఈ విమానం బోల్"&amp;"ట్-టుగెథర్ అల్యూమినియం గొట్టాల నుండి తయారవుతుంది, దాని సింగిల్ ఉపరితల వింగ్ డాక్రాన్ సెయిల్‌క్లాత్‌లో కప్పబడి ఉంటుంది. దాని 10 మీ (32.8 అడుగుల) స్పాన్ వింగ్‌కు ఒకే ట్యూబ్-రకం కింగ్‌పోస్ట్ మద్దతు ఇస్తుంది మరియు ""ఎ"" ఫ్రేమ్ వెయిట్-షిఫ్ట్ కంట్రోల్ బార్‌ను ఉ"&amp;"పయోగిస్తుంది. పవర్‌ప్లాంట్ ఒక ట్విన్ సిలిండర్, ఎయిర్-కూల్డ్, టూ-స్ట్రోక్, డ్యూయల్-ఇగ్నిషన్ 64 హెచ్‌పి (48 కిలోవాట్ kW) రోటాక్స్ 912 ఇంజిన్ ఐచ్ఛికం. ఈ విమానం ఖాళీ బరువు 180 కిలోల (397 పౌండ్లు) మరియు స్థూల బరువు 430 కిలోలు (948 పౌండ్లు), ఇది 250 కిలోల (551 "&amp;"పౌండ్లు) ఉపయోగకరమైన లోడ్ ఇస్తుంది. 50 లీటర్ల పూర్తి ఇంధనంతో (11 ఇంప్ గల్; 13 యుఎస్ గాల్) పేలోడ్ 214 కిలోలు (472 ఎల్బి). [1] [2] బేయర్ల్ మరియు బెర్ట్రాండ్ నుండి డేటా [1] [2] సాధారణ లక్షణాల పనితీరు")</f>
        <v>అవియాసౌజ్ క్రూజ్ అనేది రష్యన్ అల్ట్రాలైట్ ట్రైక్, దీనిని కజాన్ యొక్క ఏవియాసౌజ్ రూపొందించారు మరియు నిర్మించారు. విమానం పూర్తి రెడీ-టు-ఫ్లై-ఎయిర్‌క్రాఫ్ట్‌గా సరఫరా చేయబడుతుంది. [1] [2] టుపోలెవ్ డిజైన్ బ్యూరో యొక్క మాజీ ఉద్యోగులు ఈ సంస్థను ఏర్పాటు చేశారు. [2]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430 కిలోలు (948 పౌండ్లు). ఇది కేబుల్-బ్రేస్డ్ హాంగ్ గ్లైడర్-స్టైల్ హై-వింగ్, వెయిట్-షిఫ్ట్ కంట్రోల్స్, రెండు-సీట్ల-సైడ్-సైడ్-సైడ్ కాన్ఫిగరేషన్ ఓపెన్ కాక్‌పిట్ కలిగి ఉంది, ఇది ప్రత్యేకమైన ఫైబర్‌గ్లాస్ కాక్‌పిట్ ఫెయిరింగ్, వీల్ ప్యాంటుతో ట్రైసైకిల్ ల్యాండింగ్ గేర్ మరియు సింగిల్ పషర్ కాన్ఫిగరేషన్‌లో ఇంజిన్. [1] [2] ఈ విమానం బోల్ట్-టుగెథర్ అల్యూమినియం గొట్టాల నుండి తయారవుతుంది, దాని సింగిల్ ఉపరితల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పవర్‌ప్లాంట్ ఒక ట్విన్ సిలిండర్, ఎయిర్-కూల్డ్, టూ-స్ట్రోక్, డ్యూయల్-ఇగ్నిషన్ 64 హెచ్‌పి (48 కిలోవాట్ kW) రోటాక్స్ 912 ఇంజిన్ ఐచ్ఛికం. ఈ విమానం ఖాళీ బరువు 180 కిలోల (397 పౌండ్లు) మరియు స్థూల బరువు 430 కిలోలు (948 పౌండ్లు), ఇది 250 కిలోల (551 పౌండ్లు) ఉపయోగకరమైన లోడ్ ఇస్తుంది. 50 లీటర్ల పూర్తి ఇంధనంతో (11 ఇంప్ గల్; 13 యుఎస్ గాల్) పేలోడ్ 214 కిలోలు (472 ఎల్బి). [1] [2] బేయర్ల్ మరియు బెర్ట్రాండ్ నుండి డేటా [1] [2] సాధారణ లక్షణాల పనితీరు</v>
      </c>
      <c r="F176" s="1" t="s">
        <v>300</v>
      </c>
      <c r="G176" s="1" t="str">
        <f>IFERROR(__xludf.DUMMYFUNCTION("GOOGLETRANSLATE(F:F, ""en"", ""te"")"),"అల్ట్రాలైట్ ట్రైక్")</f>
        <v>అల్ట్రాలైట్ ట్రైక్</v>
      </c>
      <c r="H176" s="1" t="s">
        <v>301</v>
      </c>
      <c r="I176" s="1" t="s">
        <v>3043</v>
      </c>
      <c r="J176" s="1" t="str">
        <f>IFERROR(__xludf.DUMMYFUNCTION("GOOGLETRANSLATE(I:I, ""en"", ""te"")"),"AVIASOUZ")</f>
        <v>AVIASOUZ</v>
      </c>
      <c r="K176" s="4" t="s">
        <v>3044</v>
      </c>
      <c r="M176" s="2"/>
      <c r="R176" s="1" t="s">
        <v>222</v>
      </c>
      <c r="S176" s="1" t="s">
        <v>250</v>
      </c>
      <c r="U176" s="1" t="s">
        <v>457</v>
      </c>
      <c r="V176" s="1" t="s">
        <v>3045</v>
      </c>
      <c r="W176" s="1" t="s">
        <v>2778</v>
      </c>
      <c r="X176" s="1" t="s">
        <v>381</v>
      </c>
      <c r="Z176" s="1" t="s">
        <v>2806</v>
      </c>
      <c r="AA176" s="1" t="s">
        <v>1456</v>
      </c>
      <c r="AB176" s="1" t="s">
        <v>334</v>
      </c>
      <c r="AD176" s="1" t="s">
        <v>2779</v>
      </c>
      <c r="AF176" s="1" t="s">
        <v>448</v>
      </c>
      <c r="AG176" s="4" t="s">
        <v>449</v>
      </c>
      <c r="AK176" s="1" t="s">
        <v>386</v>
      </c>
      <c r="AL176" s="1" t="s">
        <v>2274</v>
      </c>
      <c r="AR176" s="1" t="s">
        <v>2762</v>
      </c>
      <c r="AS176" s="1" t="s">
        <v>570</v>
      </c>
      <c r="AU176" s="1" t="s">
        <v>3046</v>
      </c>
    </row>
    <row r="177">
      <c r="A177" s="1" t="s">
        <v>3047</v>
      </c>
      <c r="B177" s="1" t="str">
        <f>IFERROR(__xludf.DUMMYFUNCTION("GOOGLETRANSLATE(A:A, ""en"", ""te"")"),"ఏరిస్ నావిటర్ అన్ -2 ఎనారా")</f>
        <v>ఏరిస్ నావిటర్ అన్ -2 ఎనారా</v>
      </c>
      <c r="C177" s="1" t="s">
        <v>3048</v>
      </c>
      <c r="D177" s="2" t="str">
        <f>IFERROR(__xludf.DUMMYFUNCTION("GOOGLETRANSLATE(C:C, ""en"", ""te"")"),"ఏరిస్ నావిటర్ అన్ -2 ఎనారా ('స్వాలో' కోసం బాస్క్) స్పానిష్ హెలికాప్టర్, ఇది శాన్ సెబాస్టియన్ యొక్క ఏరిస్ నావిటర్ అభివృద్ధిలో ఉంది. పారిస్-లే బౌర్గెట్ విమానాశ్రయంలో 2009 పారిస్ ఎయిర్ షోలో AN-2 మొదట చూపబడింది. ఈ విమానం te త్సాహిక నిర్మాణానికి కిట్‌గా లేదా ప"&amp;"ూర్తి రెడీ-టు-ఫ్లై-ఎయిర్‌క్రాఫ్ట్‌గా సరఫరా చేయడానికి ఉద్దేశించబడింది. [1] [2] AN-2 మే 2010 నాటికి యూరోపియన్ ఏవియేషన్ సేఫ్టీ ఏజెన్సీ చాలా తేలికపాటి రోటర్‌క్రాఫ్ట్ విభాగంలో ధృవీకరణను పూర్తి చేయడానికి ఉద్దేశించబడింది, ఆపై మళ్ళీ 2012 చివరి నాటికి, జనవరి 2013 "&amp;"నాటికి, ఇది పూర్తయినట్లు లేదు. కిట్లు ఫిబ్రవరి 2010 లో డెలివరీకి సిద్ధంగా ఉండటానికి ఉద్దేశించబడ్డాయి, కాని జనవరి 2013 నాటికి ఇంకా అందుబాటులో లేవు. 2011 చివరి నాటికి ప్రోటోటైప్ ఎగురవేయబడిందని సూచనలు లేవు. [3] [4] 2012 నాటికి కంపెనీ వెబ్‌సైట్ సికేర్ యూరప్‌క"&amp;"ు మళ్ళించబడింది మరియు AN-2 గురించి ప్రస్తావన తొలగించబడింది. ఆ సమయానికి అభివృద్ధి ముగిసే అవకాశం ఉంది. [5] AN-2 ఎనారాలో రెండు-రోటర్ ఏకాక్షక ప్రధాన రోటర్, రెండు-సీట్ల టెన్డం పరివేష్టిత కాక్‌పిట్, సస్పెన్షన్ తో ట్రైసైకిల్ ల్యాండింగ్ గేర్, ఒక హెచ్-టెయిల్ మరియు"&amp;" నాలుగు సిలిండర్, నాలుగు-స్ట్రోక్, 115 హెచ్‌పి (86 kW) ఉన్నాయి BMW ఆటోమోటివ్ ఇంజిన్. ఇతర పవర్‌ప్లాంట్ల ప్రణాళికలు నాలుగు సిలిండర్, ఎయిర్-కూల్డ్, ఫోర్-స్ట్రోక్, డ్యూయల్-ఇగ్నిషన్ 115 హెచ్‌పి (86 కిలోవాట్ విమానం ఫ్యూజ్‌లేజ్ అల్యూమినియం షీట్ నుండి తయారు చేయబడ"&amp;"ింది. దీని 6.99 మీ (22.9 అడుగులు) వ్యాసం రెండు-బ్లేడెడ్ రోటర్లు రెండూ 18 సెం.మీ (7.1 అంగుళాలు) తీగలను కలిగి ఉంటాయి. ఈ విమానం ఖాళీ బరువు 390 కిలోల (860 పౌండ్లు) మరియు స్థూల బరువు 600 కిలోలు (1,323 పౌండ్లు), ఇది 210 కిలోల (463 పౌండ్లు) ఉపయోగకరమైన లోడ్ ఇస్తు"&amp;"ంది. [1] బేయర్ల్ నుండి డేటా [1] సాధారణ లక్షణాల పనితీరు")</f>
        <v>ఏరిస్ నావిటర్ అన్ -2 ఎనారా ('స్వాలో' కోసం బాస్క్) స్పానిష్ హెలికాప్టర్, ఇది శాన్ సెబాస్టియన్ యొక్క ఏరిస్ నావిటర్ అభివృద్ధిలో ఉంది. పారిస్-లే బౌర్గెట్ విమానాశ్రయంలో 2009 పారిస్ ఎయిర్ షోలో AN-2 మొదట చూపబడింది. ఈ విమానం te త్సాహిక నిర్మాణానికి కిట్‌గా లేదా పూర్తి రెడీ-టు-ఫ్లై-ఎయిర్‌క్రాఫ్ట్‌గా సరఫరా చేయడానికి ఉద్దేశించబడింది. [1] [2] AN-2 మే 2010 నాటికి యూరోపియన్ ఏవియేషన్ సేఫ్టీ ఏజెన్సీ చాలా తేలికపాటి రోటర్‌క్రాఫ్ట్ విభాగంలో ధృవీకరణను పూర్తి చేయడానికి ఉద్దేశించబడింది, ఆపై మళ్ళీ 2012 చివరి నాటికి, జనవరి 2013 నాటికి, ఇది పూర్తయినట్లు లేదు. కిట్లు ఫిబ్రవరి 2010 లో డెలివరీకి సిద్ధంగా ఉండటానికి ఉద్దేశించబడ్డాయి, కాని జనవరి 2013 నాటికి ఇంకా అందుబాటులో లేవు. 2011 చివరి నాటికి ప్రోటోటైప్ ఎగురవేయబడిందని సూచనలు లేవు. [3] [4] 2012 నాటికి కంపెనీ వెబ్‌సైట్ సికేర్ యూరప్‌కు మళ్ళించబడింది మరియు AN-2 గురించి ప్రస్తావన తొలగించబడింది. ఆ సమయానికి అభివృద్ధి ముగిసే అవకాశం ఉంది. [5] AN-2 ఎనారాలో రెండు-రోటర్ ఏకాక్షక ప్రధాన రోటర్, రెండు-సీట్ల టెన్డం పరివేష్టిత కాక్‌పిట్, సస్పెన్షన్ తో ట్రైసైకిల్ ల్యాండింగ్ గేర్, ఒక హెచ్-టెయిల్ మరియు నాలుగు సిలిండర్, నాలుగు-స్ట్రోక్, 115 హెచ్‌పి (86 kW) ఉన్నాయి BMW ఆటోమోటివ్ ఇంజిన్. ఇతర పవర్‌ప్లాంట్ల ప్రణాళికలు నాలుగు సిలిండర్, ఎయిర్-కూల్డ్, ఫోర్-స్ట్రోక్, డ్యూయల్-ఇగ్నిషన్ 115 హెచ్‌పి (86 కిలోవాట్ విమానం ఫ్యూజ్‌లేజ్ అల్యూమినియం షీట్ నుండి తయారు చేయబడింది. దీని 6.99 మీ (22.9 అడుగులు) వ్యాసం రెండు-బ్లేడెడ్ రోటర్లు రెండూ 18 సెం.మీ (7.1 అంగుళాలు) తీగలను కలిగి ఉంటాయి. ఈ విమానం ఖాళీ బరువు 390 కిలోల (860 పౌండ్లు) మరియు స్థూల బరువు 600 కిలోలు (1,323 పౌండ్లు), ఇది 210 కిలోల (463 పౌండ్లు) ఉపయోగకరమైన లోడ్ ఇస్తుంది. [1] బేయర్ల్ నుండి డేటా [1] సాధారణ లక్షణాల పనితీరు</v>
      </c>
      <c r="F177" s="1" t="s">
        <v>2524</v>
      </c>
      <c r="G177" s="1" t="str">
        <f>IFERROR(__xludf.DUMMYFUNCTION("GOOGLETRANSLATE(F:F, ""en"", ""te"")"),"హెలికాప్టర్")</f>
        <v>హెలికాప్టర్</v>
      </c>
      <c r="H177" s="4" t="s">
        <v>2525</v>
      </c>
      <c r="I177" s="1" t="s">
        <v>3049</v>
      </c>
      <c r="J177" s="1" t="str">
        <f>IFERROR(__xludf.DUMMYFUNCTION("GOOGLETRANSLATE(I:I, ""en"", ""te"")"),"ఏరిస్ నావిటర్")</f>
        <v>ఏరిస్ నావిటర్</v>
      </c>
      <c r="K177" s="1" t="s">
        <v>3050</v>
      </c>
      <c r="M177" s="2"/>
      <c r="R177" s="1" t="s">
        <v>222</v>
      </c>
      <c r="S177" s="1" t="s">
        <v>250</v>
      </c>
      <c r="W177" s="1" t="s">
        <v>308</v>
      </c>
      <c r="X177" s="1" t="s">
        <v>254</v>
      </c>
      <c r="Z177" s="1" t="s">
        <v>3051</v>
      </c>
      <c r="AA177" s="1" t="s">
        <v>387</v>
      </c>
      <c r="AF177" s="1" t="s">
        <v>3052</v>
      </c>
      <c r="AG177" s="4" t="s">
        <v>3053</v>
      </c>
      <c r="AL177" s="1" t="s">
        <v>154</v>
      </c>
      <c r="AO177" s="1" t="s">
        <v>3054</v>
      </c>
      <c r="AS177" s="1" t="s">
        <v>3055</v>
      </c>
      <c r="AX177" s="1">
        <v>2009.0</v>
      </c>
    </row>
    <row r="178">
      <c r="A178" s="1" t="s">
        <v>3056</v>
      </c>
      <c r="B178" s="1" t="str">
        <f>IFERROR(__xludf.DUMMYFUNCTION("GOOGLETRANSLATE(A:A, ""en"", ""te"")"),"ఎరోస్ డెల్ సుర్ మాంటా")</f>
        <v>ఎరోస్ డెల్ సుర్ మాంటా</v>
      </c>
      <c r="C178" s="1" t="s">
        <v>3057</v>
      </c>
      <c r="D178" s="2" t="str">
        <f>IFERROR(__xludf.DUMMYFUNCTION("GOOGLETRANSLATE(C:C, ""en"", ""te"")"),"ఎరోస్ డెల్ సుర్ మాంటా అర్జెంటీనా అల్ట్రాలైట్ ట్రైక్, దీనిని ఎరోస్ డెల్ సుర్ రూపొందించారు మరియు నిర్మించారు. విమానం పూర్తి రెడీ-టు-ఫ్లై-ఎయిర్‌క్రాఫ్ట్‌గా సరఫరా చేయబడుతుంది. [1] ఎరోస్ డెల్ సుర్ అర్జెంటీనాకు EROS ఉత్పత్తుల దిగుమతి. ఎరోస్ ప్రొఫై ట్రైక్ వింగ్‌"&amp;"ను కొత్త, స్థానికంగా రూపొందించిన క్యారేజీతో సంభోగం చేయడం ద్వారా మాంటా రూపొందించబడింది. మాంటా ఫెడరేషన్ Aéronautique ఇంటర్నేషనల్ మైక్రోలైట్ వర్గానికి అనుగుణంగా రూపొందించబడింది, ఇందులో వర్గం యొక్క గరిష్ట స్థూల బరువు 472.5 కిలోల (1,042 పౌండ్లు), బాలిస్టిక్ పా"&amp;"రాచూట్‌తో. మాంటా గరిష్టంగా స్థూల బరువు 472.5 కిలోలు (1,042 పౌండ్లు) కలిగి ఉంటుంది. ఇది కేబుల్-బ్రేస్డ్ హాంగ్ గ్లైడర్-స్టైల్ హై-వింగ్, వెయిట్-షిఫ్ట్ కంట్రోల్స్, రెండు-సీట్ల-రుచిని, ఓపెన్ కాక్‌పిట్, వీల్ ప్యాంటుతో ట్రైసైకిల్ ల్యాండింగ్ గేర్ మరియు పషర్ కాన్ఫ"&amp;"ిగరేషన్‌లో ఒకే ఇంజిన్ కలిగి ఉంది. [1] ఈ విమానం బోల్ట్-తోగెదర్ అల్యూమినియం మరియు స్టీల్ గొట్టాల మిశ్రమం నుండి తయారవుతుంది, దాని డబుల్ ఉపరితల వింగ్ డాక్రాన్ సెయిల్‌క్లాత్‌లో కప్పబడి ఉంటుంది. దాని 10 మీ (32.8 అడుగుల) స్పాన్ వింగ్‌కు ఒకే ట్యూబ్-రకం కింగ్‌పోస్"&amp;"ట్ మద్దతు ఇస్తుంది మరియు ""ఎ"" ఫ్రేమ్ వెయిట్-షిఫ్ట్ కంట్రోల్ బార్‌ను ఉపయోగిస్తుంది. ప్రామాణిక పవర్‌ప్లాంట్ ఒక ట్విన్ సిలిండర్, లిక్విడ్-కూల్డ్, టూ-స్ట్రోక్, డ్యూయల్-ఇగ్నిషన్ 64 హెచ్‌పి (48 కిలోవాట్ హిర్త్ మరియు సిమోనిని పవర్‌ప్లాంట్లు. [1] బేయర్ల్ నుండి డ"&amp;"ేటా [1] సాధారణ లక్షణాల పనితీరు")</f>
        <v>ఎరోస్ డెల్ సుర్ మాంటా అర్జెంటీనా అల్ట్రాలైట్ ట్రైక్, దీనిని ఎరోస్ డెల్ సుర్ రూపొందించారు మరియు నిర్మించారు. విమానం పూర్తి రెడీ-టు-ఫ్లై-ఎయిర్‌క్రాఫ్ట్‌గా సరఫరా చేయబడుతుంది. [1] ఎరోస్ డెల్ సుర్ అర్జెంటీనాకు EROS ఉత్పత్తుల దిగుమతి. ఎరోస్ ప్రొఫై ట్రైక్ వింగ్‌ను కొత్త, స్థానికంగా రూపొందించిన క్యారేజీతో సంభోగం చేయడం ద్వారా మాంటా రూపొందించబడింది. మాంటా ఫెడరేషన్ Aéronautique ఇంటర్నేషనల్ మైక్రోలైట్ వర్గానికి అనుగుణంగా రూపొందించబడింది, ఇందులో వర్గం యొక్క గరిష్ట స్థూల బరువు 472.5 కిలోల (1,042 పౌండ్లు), బాలిస్టిక్ పారాచూట్‌తో. మాంటా గరిష్టంగా స్థూల బరువు 472.5 కిలోలు (1,042 పౌండ్లు) కలిగి ఉంటుంది. ఇది కేబుల్-బ్రేస్డ్ హాంగ్ గ్లైడర్-స్టైల్ హై-వింగ్, వెయిట్-షిఫ్ట్ కంట్రోల్స్, రెండు-సీట్ల-రుచిని, ఓపెన్ కాక్‌పిట్, వీల్ ప్యాంటుతో ట్రైసైకిల్ ల్యాండింగ్ గేర్ మరియు పషర్ కాన్ఫిగరేషన్‌లో ఒకే ఇంజిన్ కలిగి ఉంది. [1] ఈ విమానం బోల్ట్-తోగెదర్ అల్యూమినియం మరియు స్టీల్ గొట్టాల మిశ్రమం నుండి తయారవుతుంది, దాని డబుల్ ఉపరితల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ప్రామాణిక పవర్‌ప్లాంట్ ఒక ట్విన్ సిలిండర్, లిక్విడ్-కూల్డ్, టూ-స్ట్రోక్, డ్యూయల్-ఇగ్నిషన్ 64 హెచ్‌పి (48 కిలోవాట్ హిర్త్ మరియు సిమోనిని పవర్‌ప్లాంట్లు. [1] బేయర్ల్ నుండి డేటా [1] సాధారణ లక్షణాల పనితీరు</v>
      </c>
      <c r="F178" s="1" t="s">
        <v>300</v>
      </c>
      <c r="G178" s="1" t="str">
        <f>IFERROR(__xludf.DUMMYFUNCTION("GOOGLETRANSLATE(F:F, ""en"", ""te"")"),"అల్ట్రాలైట్ ట్రైక్")</f>
        <v>అల్ట్రాలైట్ ట్రైక్</v>
      </c>
      <c r="H178" s="1" t="s">
        <v>301</v>
      </c>
      <c r="I178" s="1" t="s">
        <v>3058</v>
      </c>
      <c r="J178" s="1" t="str">
        <f>IFERROR(__xludf.DUMMYFUNCTION("GOOGLETRANSLATE(I:I, ""en"", ""te"")"),"EROS DEL SUR")</f>
        <v>EROS DEL SUR</v>
      </c>
      <c r="K178" s="1" t="s">
        <v>3059</v>
      </c>
      <c r="M178" s="2"/>
      <c r="R178" s="1" t="s">
        <v>222</v>
      </c>
      <c r="S178" s="1" t="s">
        <v>250</v>
      </c>
      <c r="U178" s="1" t="s">
        <v>457</v>
      </c>
      <c r="V178" s="1" t="s">
        <v>3060</v>
      </c>
      <c r="X178" s="1" t="s">
        <v>352</v>
      </c>
      <c r="Z178" s="1" t="s">
        <v>3061</v>
      </c>
      <c r="AF178" s="1" t="s">
        <v>3062</v>
      </c>
      <c r="AG178" s="4" t="s">
        <v>3063</v>
      </c>
      <c r="AK178" s="1" t="s">
        <v>386</v>
      </c>
      <c r="AR178" s="1" t="s">
        <v>2762</v>
      </c>
      <c r="AS178" s="1" t="s">
        <v>570</v>
      </c>
      <c r="AU178" s="1" t="s">
        <v>3064</v>
      </c>
    </row>
    <row r="179">
      <c r="A179" s="1" t="s">
        <v>3065</v>
      </c>
      <c r="B179" s="1" t="str">
        <f>IFERROR(__xludf.DUMMYFUNCTION("GOOGLETRANSLATE(A:A, ""en"", ""te"")"),"ఎయిర్ఫర్ ట్రాన్సన్")</f>
        <v>ఎయిర్ఫర్ ట్రాన్సన్</v>
      </c>
      <c r="C179" s="1" t="s">
        <v>3066</v>
      </c>
      <c r="D179" s="2" t="str">
        <f>IFERROR(__xludf.DUMMYFUNCTION("GOOGLETRANSLATE(C:C, ""en"", ""te"")"),"ఐఫెర్ ట్రాన్సన్ అనేది స్పానిష్ శక్తితో కూడిన పారాచూట్, ఇది ఎయిర్ఫర్ పారామోటోర్స్ చేత రూపొందించబడింది మరియు ఉత్పత్తి చేస్తుంది. [1] ఈ విమానం ఫెడెరేషన్ ఏరోనటిక్ ఇంటర్నేషనల్ మైక్రోలైట్ నిబంధనలకు అనుగుణంగా రూపొందించబడింది. ఇది పారాచూట్-స్టైల్ హై-వింగ్ మరియు ఓ"&amp;"పెన్ ఫ్రేమ్డ్ స్ట్రక్చర్, ట్రైసైకిల్ ల్యాండింగ్ గేర్ మరియు పషర్ కాన్ఫిగరేషన్‌లో ఒకే 52 హెచ్‌పి (39 కిలోవాట్) హిర్త్ ఇంజిన్‌లో రెండు సీట్లను కలిగి ఉంది. [1] ట్రాన్సన్ రోటాక్స్ 503, హిర్త్ 2702 మరియు 2703 ఇంజిన్లతో నడిచేది. వరల్డ్ డైరెక్టరీ ఆఫ్ లీజర్ ఏవియేష"&amp;"న్ 2004/2005 నుండి డేటా [1] సాధారణ లక్షణాలు")</f>
        <v>ఐఫెర్ ట్రాన్సన్ అనేది స్పానిష్ శక్తితో కూడిన పారాచూట్, ఇది ఎయిర్ఫర్ పారామోటోర్స్ చేత రూపొందించబడింది మరియు ఉత్పత్తి చేస్తుంది. [1] ఈ విమానం ఫెడెరేషన్ ఏరోనటిక్ ఇంటర్నేషనల్ మైక్రోలైట్ నిబంధనలకు అనుగుణంగా రూపొందించబడింది. ఇది పారాచూట్-స్టైల్ హై-వింగ్ మరియు ఓపెన్ ఫ్రేమ్డ్ స్ట్రక్చర్, ట్రైసైకిల్ ల్యాండింగ్ గేర్ మరియు పషర్ కాన్ఫిగరేషన్‌లో ఒకే 52 హెచ్‌పి (39 కిలోవాట్) హిర్త్ ఇంజిన్‌లో రెండు సీట్లను కలిగి ఉంది. [1] ట్రాన్సన్ రోటాక్స్ 503, హిర్త్ 2702 మరియు 2703 ఇంజిన్లతో నడిచేది. వరల్డ్ డైరెక్టరీ ఆఫ్ లీజర్ ఏవియేషన్ 2004/2005 నుండి డేటా [1] సాధారణ లక్షణాలు</v>
      </c>
      <c r="F179" s="1" t="s">
        <v>3067</v>
      </c>
      <c r="G179" s="1" t="str">
        <f>IFERROR(__xludf.DUMMYFUNCTION("GOOGLETRANSLATE(F:F, ""en"", ""te"")"),"శక్తితో కూడిన పారాచూట్")</f>
        <v>శక్తితో కూడిన పారాచూట్</v>
      </c>
      <c r="H179" s="1" t="s">
        <v>3068</v>
      </c>
      <c r="I179" s="1" t="s">
        <v>3069</v>
      </c>
      <c r="J179" s="1" t="str">
        <f>IFERROR(__xludf.DUMMYFUNCTION("GOOGLETRANSLATE(I:I, ""en"", ""te"")"),"ఎయిర్ఫర్ పారామోటోర్స్")</f>
        <v>ఎయిర్ఫర్ పారామోటోర్స్</v>
      </c>
      <c r="K179" s="1" t="s">
        <v>3070</v>
      </c>
      <c r="M179" s="2"/>
      <c r="R179" s="1" t="s">
        <v>637</v>
      </c>
      <c r="W179" s="1" t="s">
        <v>3071</v>
      </c>
      <c r="Z179" s="1" t="s">
        <v>3072</v>
      </c>
      <c r="AF179" s="1" t="s">
        <v>3052</v>
      </c>
      <c r="AG179" s="4" t="s">
        <v>3053</v>
      </c>
      <c r="AH179" s="1" t="s">
        <v>261</v>
      </c>
      <c r="AR179" s="1" t="s">
        <v>3073</v>
      </c>
    </row>
    <row r="180">
      <c r="A180" s="1" t="s">
        <v>3074</v>
      </c>
      <c r="B180" s="1" t="str">
        <f>IFERROR(__xludf.DUMMYFUNCTION("GOOGLETRANSLATE(A:A, ""en"", ""te"")"),"అపోలో డెల్టా జెట్")</f>
        <v>అపోలో డెల్టా జెట్</v>
      </c>
      <c r="C180" s="1" t="s">
        <v>3075</v>
      </c>
      <c r="D180" s="2" t="str">
        <f>IFERROR(__xludf.DUMMYFUNCTION("GOOGLETRANSLATE(C:C, ""en"", ""te"")"),"అపోలో డెల్టా జెట్ హంగేరియన్ అల్ట్రాలైట్ ట్రైక్, ఇది ఎజెర్ యొక్క అపోలో అల్ట్రాలైట్ విమానం రూపొందించి ఉత్పత్తి చేస్తుంది. ఈ విమానం te త్సాహిక నిర్మాణానికి కిట్‌గా లేదా పూర్తి రెడీ-టు-ఫ్లై-ఎయిర్‌క్రాఫ్ట్‌గా సరఫరా చేయబడుతుంది. [1] ఈ విమానం ఫెడరేషన్ Aéronautiq"&amp;"ue ఇంటర్నేషనల్ మైక్రోలైట్ కేటగిరీ మరియు యుఎస్ లైట్-స్పోర్ట్ ఎయిర్క్రాఫ్ట్ వర్గానికి అనుగుణంగా రూపొందించబడింది. ఇది కేబుల్-బ్రేస్డ్ లేదా స్ట్రట్-బ్రేస్డ్ హాంగ్ గ్లైడర్-స్టైల్ హై-వింగ్, వెయిట్-షిఫ్ట్ కంట్రోల్స్, రెండు-సీట్ల-టెన్డం, ఓపెన్ కాక్‌పిట్, వీల్ ప్య"&amp;"ాంటుతో ట్రైసైకిల్ ల్యాండింగ్ గేర్ మరియు పషర్ కాన్ఫిగరేషన్‌లో సింగిల్ ఇంజిన్‌ను కలిగి ఉంది. [[[ 1] డెల్టా జెట్ అమెరికాలో ప్రయోగాత్మక మరియు ప్రత్యేక లైట్-స్పోర్ట్ విమానాల వలె అంగీకరించబడింది. [2] [3] ఈ విమానం బోల్ట్-టుగెథర్ అల్యూమినియం గొట్టాల నుండి తయారవుత"&amp;"ుంది, దాని డబుల్ ఉపరితల వింగ్ డాక్రాన్ సెయిల్‌క్లాత్‌లో కప్పబడి ఉంటుంది. విమానం ""ఎ"" ఫ్రేమ్ వెయిట్-షిఫ్ట్ కంట్రోల్ బార్‌ను ఉపయోగిస్తుంది. పవర్‌ప్లాంట్ ఎంపికలలో ట్విన్ సిలిండర్, లిక్విడ్-కూల్డ్, టూ-స్ట్రోక్, డ్యూయల్-ఇగ్నిషన్ 64 హెచ్‌పి (48 కిలోవాట్ kW) రో"&amp;"టాక్స్ 912 లేదా 100 హెచ్‌పి (75 kW) రోటాక్స్ 912S ఇంజిన్. దాని AS-III మోడల్‌లో ఈ విమానం ఖాళీ బరువు 236 కిలోలు (520 పౌండ్లు) మరియు స్థూల బరువు 472.5 కిలోలు (1,042 పౌండ్లు), ఇది 236.5 కిలోల (521 పౌండ్లు) ఉపయోగకరమైన లోడ్‌ను ఇస్తుంది. 55 లీటర్ల పూర్తి ఇంధనంతో"&amp;" (12 ఇంప్ గల్; 15 యుఎస్ గాల్) పేలోడ్ 196.5 కిలోలు (433 ఎల్బి). [1] కేబుల్-బ్రెస్డ్ ఎరోస్ ప్రొఫై, స్ట్రట్-బ్రెస్డ్ ఎరోస్ ప్రొఫై టిఎల్ మరియు అపోలో రిఫ్లెక్స్ 11 లేదా 13 తో సహా అనేక విభిన్న రెక్కలను ప్రాథమిక క్యారేజీకి అమర్చవచ్చు. [1] బేయర్ల్ నుండి డేటా [1] "&amp;"సాధారణ లక్షణాల పనితీరు")</f>
        <v>అపోలో డెల్టా జెట్ హంగేరియన్ అల్ట్రాలైట్ ట్రైక్, ఇది ఎజెర్ యొక్క అపోలో అల్ట్రాలైట్ విమానం రూపొందించి ఉత్పత్తి చేస్తుంది. ఈ విమానం te త్సాహిక నిర్మాణానికి కిట్‌గా లేదా పూర్తి రెడీ-టు-ఫ్లై-ఎయిర్‌క్రాఫ్ట్‌గా సరఫరా చేయబడుతుంది. [1] ఈ విమానం ఫెడరేషన్ Aéronautique ఇంటర్నేషనల్ మైక్రోలైట్ కేటగిరీ మరియు యుఎస్ లైట్-స్పోర్ట్ ఎయిర్క్రాఫ్ట్ వర్గానికి అనుగుణంగా రూపొందించబడింది. ఇది కేబుల్-బ్రేస్డ్ లేదా స్ట్రట్-బ్రేస్డ్ హాంగ్ గ్లైడర్-స్టైల్ హై-వింగ్, వెయిట్-షిఫ్ట్ కంట్రోల్స్, రెండు-సీట్ల-టెన్డం, ఓపెన్ కాక్‌పిట్, వీల్ ప్యాంటుతో ట్రైసైకిల్ ల్యాండింగ్ గేర్ మరియు పషర్ కాన్ఫిగరేషన్‌లో సింగిల్ ఇంజిన్‌ను కలిగి ఉంది. [[[ 1] డెల్టా జెట్ అమెరికాలో ప్రయోగాత్మక మరియు ప్రత్యేక లైట్-స్పోర్ట్ విమానాల వలె అంగీకరించబడింది. [2] [3] ఈ విమానం బోల్ట్-టుగెథర్ అల్యూమినియం గొట్టాల నుండి తయారవుతుంది, దాని డబుల్ ఉపరితల వింగ్ డాక్రాన్ సెయిల్‌క్లాత్‌లో కప్పబడి ఉంటుంది. విమానం "ఎ" ఫ్రేమ్ వెయిట్-షిఫ్ట్ కంట్రోల్ బార్‌ను ఉపయోగిస్తుంది. పవర్‌ప్లాంట్ ఎంపికలలో ట్విన్ సిలిండర్, లిక్విడ్-కూల్డ్, టూ-స్ట్రోక్, డ్యూయల్-ఇగ్నిషన్ 64 హెచ్‌పి (48 కిలోవాట్ kW) రోటాక్స్ 912 లేదా 100 హెచ్‌పి (75 kW) రోటాక్స్ 912S ఇంజిన్. దాని AS-III మోడల్‌లో ఈ విమానం ఖాళీ బరువు 236 కిలోలు (520 పౌండ్లు) మరియు స్థూల బరువు 472.5 కిలోలు (1,042 పౌండ్లు), ఇది 236.5 కిలోల (521 పౌండ్లు) ఉపయోగకరమైన లోడ్‌ను ఇస్తుంది. 55 లీటర్ల పూర్తి ఇంధనంతో (12 ఇంప్ గల్; 15 యుఎస్ గాల్) పేలోడ్ 196.5 కిలోలు (433 ఎల్బి). [1] కేబుల్-బ్రెస్డ్ ఎరోస్ ప్రొఫై, స్ట్రట్-బ్రెస్డ్ ఎరోస్ ప్రొఫై టిఎల్ మరియు అపోలో రిఫ్లెక్స్ 11 లేదా 13 తో సహా అనేక విభిన్న రెక్కలను ప్రాథమిక క్యారేజీకి అమర్చవచ్చు. [1] బేయర్ల్ నుండి డేటా [1] సాధారణ లక్షణాల పనితీరు</v>
      </c>
      <c r="F180" s="1" t="s">
        <v>300</v>
      </c>
      <c r="G180" s="1" t="str">
        <f>IFERROR(__xludf.DUMMYFUNCTION("GOOGLETRANSLATE(F:F, ""en"", ""te"")"),"అల్ట్రాలైట్ ట్రైక్")</f>
        <v>అల్ట్రాలైట్ ట్రైక్</v>
      </c>
      <c r="H180" s="1" t="s">
        <v>301</v>
      </c>
      <c r="I180" s="1" t="s">
        <v>2775</v>
      </c>
      <c r="J180" s="1" t="str">
        <f>IFERROR(__xludf.DUMMYFUNCTION("GOOGLETRANSLATE(I:I, ""en"", ""te"")"),"అపోలో అల్ట్రాలైట్ విమానం")</f>
        <v>అపోలో అల్ట్రాలైట్ విమానం</v>
      </c>
      <c r="K180" s="1" t="s">
        <v>2776</v>
      </c>
      <c r="M180" s="2"/>
      <c r="R180" s="1" t="s">
        <v>222</v>
      </c>
      <c r="S180" s="1" t="s">
        <v>250</v>
      </c>
      <c r="U180" s="1" t="s">
        <v>328</v>
      </c>
      <c r="V180" s="1" t="s">
        <v>3076</v>
      </c>
      <c r="W180" s="1" t="s">
        <v>3077</v>
      </c>
      <c r="X180" s="1" t="s">
        <v>352</v>
      </c>
      <c r="Z180" s="1" t="s">
        <v>1045</v>
      </c>
      <c r="AA180" s="1" t="s">
        <v>1228</v>
      </c>
      <c r="AB180" s="1" t="s">
        <v>3078</v>
      </c>
      <c r="AD180" s="1" t="s">
        <v>722</v>
      </c>
      <c r="AF180" s="1" t="s">
        <v>2780</v>
      </c>
      <c r="AG180" s="4" t="s">
        <v>2781</v>
      </c>
      <c r="AH180" s="1" t="s">
        <v>261</v>
      </c>
      <c r="AK180" s="1" t="s">
        <v>2798</v>
      </c>
      <c r="AL180" s="1" t="s">
        <v>3079</v>
      </c>
      <c r="AR180" s="1" t="s">
        <v>2762</v>
      </c>
      <c r="AS180" s="1" t="s">
        <v>570</v>
      </c>
      <c r="AU180" s="1" t="s">
        <v>3080</v>
      </c>
    </row>
    <row r="181">
      <c r="A181" s="1" t="s">
        <v>3081</v>
      </c>
      <c r="B181" s="1" t="str">
        <f>IFERROR(__xludf.DUMMYFUNCTION("GOOGLETRANSLATE(A:A, ""en"", ""te"")"),"ఏవియో డెల్టా థ్రస్టర్")</f>
        <v>ఏవియో డెల్టా థ్రస్టర్</v>
      </c>
      <c r="C181" s="1" t="s">
        <v>3082</v>
      </c>
      <c r="D181" s="2" t="str">
        <f>IFERROR(__xludf.DUMMYFUNCTION("GOOGLETRANSLATE(C:C, ""en"", ""te"")"),"ఏవియో డెల్టా థ్రస్టర్ బల్గేరియన్ అల్ట్రాలైట్ ట్రైక్, ఇది వెట్రినో యొక్క ఏవియో డిజైన్ చేత రూపొందించబడింది మరియు ఉత్పత్తి చేస్తుంది. విమానం పూర్తి రెడీ-టు-ఫ్లై-ఎయిర్‌క్రాఫ్ట్‌గా సరఫరా చేయబడుతుంది. [1] వర్గం యొక్క గరిష్ట ఖాళీ బరువు 115 కిలోల (254 పౌండ్లు) తో"&amp;" సహా యుఎస్ ఫార్ 103 అల్ట్రాలైట్ వెహికల్స్ నిబంధనలను పాటించేలా ఈ విమానం రూపొందించబడింది. ఇది జర్మన్ DULV ధృవీకరించబడింది మరియు తగిన కేబుల్-బ్రాస్డ్ హాంగ్ గ్లైడర్ హై-వింగ్‌తో ఎగరవచ్చు. ఈ విమానం వెయిట్-షిఫ్ట్ నియంత్రణలు, సింగిల్-సీట్ల ఓపెన్ కాక్‌పిట్, ట్రైసై"&amp;"కిల్ ల్యాండింగ్ గేర్ మరియు పషర్ కాన్ఫిగరేషన్‌లో ఒకే ఇంజిన్ కలిగి ఉంది. హాంగ్ గ్లైడర్ వింగ్‌ను పారాగ్లైడర్ వింగ్‌తో భర్తీ చేయవచ్చు మరియు మార్చడానికి పది నిమిషాలు అవసరం. [1] ఈ విమానం భూమి రవాణా కోసం కారులోకి సరిపోయేంత చిన్న ప్యాకేజీలోకి త్వరగా ముడుచుకోవటాని"&amp;"కి ఉద్దేశించబడింది. [1] ఈ విమానం బోల్ట్-టుగెథర్ అల్యూమినియం గొట్టాల నుండి తయారవుతుంది, దాని సింగిల్ లేదా డబుల్ ఉపరితల వింగ్ డాక్రాన్ సెయిల్‌క్లాత్‌లో కప్పబడి ఉంటుంది. అనేక విభిన్న హాంగ్ గ్లైడర్ మరియు పారాగ్లైడర్ రెక్కలను ప్రాథమిక క్యారేజీకి అమర్చవచ్చు. ఉప"&amp;"యోగించిన ఒక సాధారణ హాంగ్ గైడర్ వింగ్ 9.5 మీ (31.2 అడుగులు) వ్యవధిని కలిగి ఉంటుంది మరియు ఒకే ట్యూబ్-రకం కింగ్‌పోస్ట్ చేత మద్దతు ఇవ్వబడుతుంది మరియు ""ఎ"" ఫ్రేమ్ వెయిట్-షిఫ్ట్ కంట్రోల్ బార్‌ను ఉపయోగిస్తుంది. క్యారేజ్ ఫ్రంట్ వీల్ వేర్వేరు పైలట్ లెగ్ పొడవులను "&amp;"అనుమతించడానికి సర్దుబాటు అవుతుంది. [1] పవర్‌ప్లాంట్ ఒకే సిలిండర్, ఎయిర్-కూల్డ్, టూ-స్ట్రోక్, 28 హెచ్‌పి (21 కిలోవాట్) సిమోనిని మినీ 2 ఇంజిన్. రెక్క లేకుండా, ఈ విమానం ఖాళీ బరువు 32 కిలోలు (71 పౌండ్లు) మరియు స్థూల బరువు 200 కిలోలు (441 పౌండ్లు). ఇంధన ట్యాంక"&amp;"్ 10 లీటర్లు (2.2 ఇంప్ గల్; 2.6 యుఎస్ గాల్) కలిగి ఉంది. [1] ఎలక్ట్రిక్ వెర్షన్ 2011 లో అభివృద్ధిలో ఉంది. [1] బేయర్ల్ నుండి డేటా [1] సాధారణ లక్షణాల పనితీరు")</f>
        <v>ఏవియో డెల్టా థ్రస్టర్ బల్గేరియన్ అల్ట్రాలైట్ ట్రైక్, ఇది వెట్రినో యొక్క ఏవియో డిజైన్ చేత రూపొందించబడింది మరియు ఉత్పత్తి చేస్తుంది. విమానం పూర్తి రెడీ-టు-ఫ్లై-ఎయిర్‌క్రాఫ్ట్‌గా సరఫరా చేయబడుతుంది. [1] వర్గం యొక్క గరిష్ట ఖాళీ బరువు 115 కిలోల (254 పౌండ్లు) తో సహా యుఎస్ ఫార్ 103 అల్ట్రాలైట్ వెహికల్స్ నిబంధనలను పాటించేలా ఈ విమానం రూపొందించబడింది. ఇది జర్మన్ DULV ధృవీకరించబడింది మరియు తగిన కేబుల్-బ్రాస్డ్ హాంగ్ గ్లైడర్ హై-వింగ్‌తో ఎగరవచ్చు. ఈ విమానం వెయిట్-షిఫ్ట్ నియంత్రణలు, సింగిల్-సీట్ల ఓపెన్ కాక్‌పిట్, ట్రైసైకిల్ ల్యాండింగ్ గేర్ మరియు పషర్ కాన్ఫిగరేషన్‌లో ఒకే ఇంజిన్ కలిగి ఉంది. హాంగ్ గ్లైడర్ వింగ్‌ను పారాగ్లైడర్ వింగ్‌తో భర్తీ చేయవచ్చు మరియు మార్చడానికి పది నిమిషాలు అవసరం. [1] ఈ విమానం భూమి రవాణా కోసం కారులోకి సరిపోయేంత చిన్న ప్యాకేజీలోకి త్వరగా ముడుచుకోవటానికి ఉద్దేశించబడింది. [1] ఈ విమానం బోల్ట్-టుగెథర్ అల్యూమినియం గొట్టాల నుండి తయారవుతుంది, దాని సింగిల్ లేదా డబుల్ ఉపరితల వింగ్ డాక్రాన్ సెయిల్‌క్లాత్‌లో కప్పబడి ఉంటుంది. అనేక విభిన్న హాంగ్ గ్లైడర్ మరియు పారాగ్లైడర్ రెక్కలను ప్రాథమిక క్యారేజీకి అమర్చవచ్చు. ఉపయోగించిన ఒక సాధారణ హాంగ్ గైడర్ వింగ్ 9.5 మీ (31.2 అడుగులు) వ్యవధిని కలిగి ఉంటుంది మరియు ఒకే ట్యూబ్-రకం కింగ్‌పోస్ట్ చేత మద్దతు ఇవ్వబడుతుంది మరియు "ఎ" ఫ్రేమ్ వెయిట్-షిఫ్ట్ కంట్రోల్ బార్‌ను ఉపయోగిస్తుంది. క్యారేజ్ ఫ్రంట్ వీల్ వేర్వేరు పైలట్ లెగ్ పొడవులను అనుమతించడానికి సర్దుబాటు అవుతుంది. [1] పవర్‌ప్లాంట్ ఒకే సిలిండర్, ఎయిర్-కూల్డ్, టూ-స్ట్రోక్, 28 హెచ్‌పి (21 కిలోవాట్) సిమోనిని మినీ 2 ఇంజిన్. రెక్క లేకుండా, ఈ విమానం ఖాళీ బరువు 32 కిలోలు (71 పౌండ్లు) మరియు స్థూల బరువు 200 కిలోలు (441 పౌండ్లు). ఇంధన ట్యాంక్ 10 లీటర్లు (2.2 ఇంప్ గల్; 2.6 యుఎస్ గాల్) కలిగి ఉంది. [1] ఎలక్ట్రిక్ వెర్షన్ 2011 లో అభివృద్ధిలో ఉంది. [1] బేయర్ల్ నుండి డేటా [1] సాధారణ లక్షణాల పనితీరు</v>
      </c>
      <c r="F181" s="1" t="s">
        <v>300</v>
      </c>
      <c r="G181" s="1" t="str">
        <f>IFERROR(__xludf.DUMMYFUNCTION("GOOGLETRANSLATE(F:F, ""en"", ""te"")"),"అల్ట్రాలైట్ ట్రైక్")</f>
        <v>అల్ట్రాలైట్ ట్రైక్</v>
      </c>
      <c r="H181" s="1" t="s">
        <v>301</v>
      </c>
      <c r="I181" s="1" t="s">
        <v>2801</v>
      </c>
      <c r="J181" s="1" t="str">
        <f>IFERROR(__xludf.DUMMYFUNCTION("GOOGLETRANSLATE(I:I, ""en"", ""te"")"),"AGIO డిజైన్")</f>
        <v>AGIO డిజైన్</v>
      </c>
      <c r="K181" s="1" t="s">
        <v>2802</v>
      </c>
      <c r="M181" s="2"/>
      <c r="R181" s="1" t="s">
        <v>222</v>
      </c>
      <c r="U181" s="1" t="s">
        <v>2741</v>
      </c>
      <c r="V181" s="1" t="s">
        <v>2804</v>
      </c>
      <c r="W181" s="1" t="s">
        <v>3083</v>
      </c>
      <c r="X181" s="1" t="s">
        <v>3084</v>
      </c>
      <c r="Z181" s="1" t="s">
        <v>3085</v>
      </c>
      <c r="AF181" s="1" t="s">
        <v>2149</v>
      </c>
      <c r="AG181" s="4" t="s">
        <v>2281</v>
      </c>
      <c r="AH181" s="1" t="s">
        <v>3086</v>
      </c>
      <c r="AK181" s="1" t="s">
        <v>2748</v>
      </c>
      <c r="AR181" s="1" t="s">
        <v>3004</v>
      </c>
      <c r="AS181" s="1" t="s">
        <v>570</v>
      </c>
      <c r="AU181" s="1" t="s">
        <v>3087</v>
      </c>
      <c r="BD181" s="1" t="s">
        <v>3088</v>
      </c>
    </row>
    <row r="182">
      <c r="A182" s="1" t="s">
        <v>3089</v>
      </c>
      <c r="B182" s="1" t="str">
        <f>IFERROR(__xludf.DUMMYFUNCTION("GOOGLETRANSLATE(A:A, ""en"", ""te"")"),"అక్విలైర్ కిడ్")</f>
        <v>అక్విలైర్ కిడ్</v>
      </c>
      <c r="C182" s="1" t="s">
        <v>3090</v>
      </c>
      <c r="D182" s="2" t="str">
        <f>IFERROR(__xludf.DUMMYFUNCTION("GOOGLETRANSLATE(C:C, ""en"", ""te"")"),"అక్విలైర్ కిడ్ అనేది ఫ్రెంచ్ అల్ట్రాలైట్ ట్రైక్, ఇది థైజ్ యొక్క అక్విలైర్ రూపొందించిన మరియు ఉత్పత్తి చేసింది. ఈ విమానం te త్సాహిక నిర్మాణానికి కిట్‌గా లేదా పూర్తి రెడీ-టు-ఫ్లై-ఎయిర్‌క్రాఫ్ట్‌గా సరఫరా చేయబడుతుంది. [1] ఈ విమానం ఫెడరేషన్ ఏరోనటిక్ ఇంటర్నేషనల్"&amp;" మైక్రోలైట్ వర్గానికి అనుగుణంగా రూపొందించబడింది, ఇందులో వర్గం యొక్క గరిష్ట స్థూల బరువు 450 కిలోల (992 పౌండ్లు). ఈ విమానం గరిష్టంగా స్థూల బరువు 300 కిలోలు (661 పౌండ్లు). ఇది కేబుల్-బ్రేస్డ్ హాంగ్ గ్లైడర్-స్టైల్ హై-వింగ్, వెయిట్-షిఫ్ట్ కంట్రోల్స్, సింగిల్-స"&amp;"ీట్ల ఓపెన్ కాక్‌పిట్, ట్రైసైకిల్ ల్యాండింగ్ గేర్ మరియు పషర్ కాన్ఫిగరేషన్‌లో ఒకే ఇంజిన్ కలిగి ఉంది. [1] ఈ విమానం మెటల్ గొట్టాల నుండి తయారవుతుంది, దాని రెక్క డాక్రాన్ సెయిల్‌క్లాత్‌లో కప్పబడి ఉంటుంది. దీని 9.9 మీ (32.5 అడుగులు) స్పాన్ స్టార్ 12 వింగ్‌కు ఒకే"&amp;" ట్యూబ్-రకం కింగ్‌పోస్ట్ మద్దతు ఇస్తుంది మరియు ""ఎ"" ఫ్రేమ్ వెయిట్-షిఫ్ట్ కంట్రోల్ బార్‌ను ఉపయోగిస్తుంది. ప్రామాణిక పవర్‌ప్లాంట్ ఒక జంట సిలిండర్, ఎయిర్-కూల్డ్, టూ-స్ట్రోక్, డ్యూయల్-ఇగ్నిషన్ 50 హెచ్‌పి (37 కిలోవాట్) రోటాక్స్ 503 ఇంజిన్, 40 హెచ్‌పి (30 కిలో"&amp;"వాట్) రోటాక్స్ 447 మరియు 64 హెచ్‌పి (48 కిలోవాట్ రోటాక్స్ 582 ఐచ్ఛికం. [1] స్టార్ 12 వింగ్‌తో ఈ విమానం ఖాళీ బరువు 132 కిలోలు (291 పౌండ్లు) మరియు స్థూల బరువు 300 కిలోలు (661 పౌండ్లు), ఇది 168 కిలోల (370 ఎల్బి) ఉపయోగకరమైన లోడ్‌ను ఇస్తుంది. 30 లీటర్ల పూర్తి "&amp;"ఇంధనంతో (6.6 ఇంప్ గల్; 7.9 యుఎస్ గాల్) పేలోడ్ 146 కిలోలు (322 ఎల్బి). [1] ఈ విమానం మాడ్యులర్ రూపంలో సరఫరా చేయబడుతుంది, చట్రం, ఇంజిన్, రిడక్షన్ డ్రైవ్ మరియు ప్రొపెల్లర్ అన్నీ విడిగా అందుబాటులో ఉన్నాయి. అనేక విభిన్న రెక్కలను ప్రాథమిక క్యారేజీకి అమర్చవచ్చు, "&amp;"కాని స్టార్ 12 గతంలో ప్రామాణిక విభాగం. చట్రం అండర్-సీట్ పివట్ వ్యవస్థను కలిగి ఉంటుంది, ఇది రెక్కను అమర్చడానికి మరియు తరువాత స్థానానికి పెంచడానికి అనుమతిస్తుంది. [1] బేయర్ల్ నుండి డేటా [1] సాధారణ లక్షణాల పనితీరు")</f>
        <v>అక్విలైర్ కిడ్ అనేది ఫ్రెంచ్ అల్ట్రాలైట్ ట్రైక్, ఇది థైజ్ యొక్క అక్విలైర్ రూపొందించిన మరియు ఉత్పత్తి చేసింది. ఈ విమానం te త్సాహిక నిర్మాణానికి కిట్‌గా లేదా పూర్తి రెడీ-టు-ఫ్లై-ఎయిర్‌క్రాఫ్ట్‌గా సరఫరా చేయబడుతుంది. [1]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300 కిలోలు (661 పౌండ్లు). ఇది కేబుల్-బ్రేస్డ్ హాంగ్ గ్లైడర్-స్టైల్ హై-వింగ్, వెయిట్-షిఫ్ట్ కంట్రోల్స్, సింగిల్-సీట్ల ఓపెన్ కాక్‌పిట్, ట్రైసైకిల్ ల్యాండింగ్ గేర్ మరియు పషర్ కాన్ఫిగరేషన్‌లో ఒకే ఇంజిన్ కలిగి ఉంది. [1] ఈ విమానం మెటల్ గొట్టాల నుండి తయారవుతుంది, దాని రెక్క డాక్రాన్ సెయిల్‌క్లాత్‌లో కప్పబడి ఉంటుంది. దీని 9.9 మీ (32.5 అడుగులు) స్పాన్ స్టార్ 12 వింగ్‌కు ఒకే ట్యూబ్-రకం కింగ్‌పోస్ట్ మద్దతు ఇస్తుంది మరియు "ఎ" ఫ్రేమ్ వెయిట్-షిఫ్ట్ కంట్రోల్ బార్‌ను ఉపయోగిస్తుంది. ప్రామాణిక పవర్‌ప్లాంట్ ఒక జంట సిలిండర్, ఎయిర్-కూల్డ్, టూ-స్ట్రోక్, డ్యూయల్-ఇగ్నిషన్ 50 హెచ్‌పి (37 కిలోవాట్) రోటాక్స్ 503 ఇంజిన్, 40 హెచ్‌పి (30 కిలోవాట్) రోటాక్స్ 447 మరియు 64 హెచ్‌పి (48 కిలోవాట్ రోటాక్స్ 582 ఐచ్ఛికం. [1] స్టార్ 12 వింగ్‌తో ఈ విమానం ఖాళీ బరువు 132 కిలోలు (291 పౌండ్లు) మరియు స్థూల బరువు 300 కిలోలు (661 పౌండ్లు), ఇది 168 కిలోల (370 ఎల్బి) ఉపయోగకరమైన లోడ్‌ను ఇస్తుంది. 30 లీటర్ల పూర్తి ఇంధనంతో (6.6 ఇంప్ గల్; 7.9 యుఎస్ గాల్) పేలోడ్ 146 కిలోలు (322 ఎల్బి). [1] ఈ విమానం మాడ్యులర్ రూపంలో సరఫరా చేయబడుతుంది, చట్రం, ఇంజిన్, రిడక్షన్ డ్రైవ్ మరియు ప్రొపెల్లర్ అన్నీ విడిగా అందుబాటులో ఉన్నాయి. అనేక విభిన్న రెక్కలను ప్రాథమిక క్యారేజీకి అమర్చవచ్చు, కాని స్టార్ 12 గతంలో ప్రామాణిక విభాగం. చట్రం అండర్-సీట్ పివట్ వ్యవస్థను కలిగి ఉంటుంది, ఇది రెక్కను అమర్చడానికి మరియు తరువాత స్థానానికి పెంచడానికి అనుమతిస్తుంది. [1] బేయర్ల్ నుండి డేటా [1] సాధారణ లక్షణాల పనితీరు</v>
      </c>
      <c r="F182" s="1" t="s">
        <v>300</v>
      </c>
      <c r="G182" s="1" t="str">
        <f>IFERROR(__xludf.DUMMYFUNCTION("GOOGLETRANSLATE(F:F, ""en"", ""te"")"),"అల్ట్రాలైట్ ట్రైక్")</f>
        <v>అల్ట్రాలైట్ ట్రైక్</v>
      </c>
      <c r="H182" s="1" t="s">
        <v>301</v>
      </c>
      <c r="I182" s="1" t="s">
        <v>3091</v>
      </c>
      <c r="J182" s="1" t="str">
        <f>IFERROR(__xludf.DUMMYFUNCTION("GOOGLETRANSLATE(I:I, ""en"", ""te"")"),"అక్విలైర్")</f>
        <v>అక్విలైర్</v>
      </c>
      <c r="K182" s="4" t="s">
        <v>3092</v>
      </c>
      <c r="M182" s="2"/>
      <c r="R182" s="1" t="s">
        <v>222</v>
      </c>
      <c r="U182" s="1" t="s">
        <v>3093</v>
      </c>
      <c r="V182" s="1" t="s">
        <v>3094</v>
      </c>
      <c r="W182" s="1" t="s">
        <v>3095</v>
      </c>
      <c r="X182" s="1" t="s">
        <v>3096</v>
      </c>
      <c r="Z182" s="1" t="s">
        <v>3097</v>
      </c>
      <c r="AA182" s="1" t="s">
        <v>1456</v>
      </c>
      <c r="AB182" s="1" t="s">
        <v>770</v>
      </c>
      <c r="AD182" s="1" t="s">
        <v>356</v>
      </c>
      <c r="AF182" s="1" t="s">
        <v>465</v>
      </c>
      <c r="AG182" s="4" t="s">
        <v>466</v>
      </c>
      <c r="AH182" s="1" t="s">
        <v>261</v>
      </c>
      <c r="AK182" s="1" t="s">
        <v>2931</v>
      </c>
      <c r="AL182" s="1" t="s">
        <v>316</v>
      </c>
      <c r="AR182" s="1" t="s">
        <v>3004</v>
      </c>
      <c r="AS182" s="1" t="s">
        <v>1014</v>
      </c>
      <c r="AU182" s="1" t="s">
        <v>3098</v>
      </c>
    </row>
    <row r="183">
      <c r="A183" s="1" t="s">
        <v>3099</v>
      </c>
      <c r="B183" s="1" t="str">
        <f>IFERROR(__xludf.DUMMYFUNCTION("GOOGLETRANSLATE(A:A, ""en"", ""te"")"),"కీస్టోన్ B-4")</f>
        <v>కీస్టోన్ B-4</v>
      </c>
      <c r="C183" s="1" t="s">
        <v>3100</v>
      </c>
      <c r="D183" s="2" t="str">
        <f>IFERROR(__xludf.DUMMYFUNCTION("GOOGLETRANSLATE(C:C, ""en"", ""te"")"),"కీస్టోన్ బి -4 ఒక బిప్‌లేన్ బాంబర్, దీనిని అమెరికా ఆర్మీ ఎయిర్ కార్ప్స్ కోసం కీస్టోన్ ఎయిర్‌క్రాఫ్ట్ కంపెనీ నిర్మించింది. వాస్తవానికి అమెరికా ఆర్మీ ఎయిర్ కార్ప్స్ ఎల్బి -13 లైట్ బాంబర్ గా ఆదేశించింది. 1930 లో LB- హోదా తొలగించబడినప్పుడు, మొదటి ఐదు విమానాలు"&amp;" Y1B-4 ను పున es రూపకల్పన చేశారు. . రేడియల్ ఇంజన్లు మరియు అల్ప పీడన టైర్లు. మరింత శక్తివంతమైన ఇంజిన్ల కారణంగా, Y1B-4 యొక్క పనితీరు B-3 లో స్వల్ప మెరుగుదల, కానీ రెండు విమానాల మధ్య తేడా ఏమిటంటే వారి ఇంజన్లు. ఏప్రిల్ 28, 1931 న, సైన్యం 25 మెరుగైన Y1B-4 లను క"&amp;"ీస్టోన్ B-4A గా ఆదేశించింది. ఈ ఉత్పత్తి సంస్కరణ ఆర్మీ ఎయిర్ కార్ప్స్ (39 B-6AS తో పాటు, వారి ఇంజిన్ తయారీ మినహా అన్ని విధాలుగా ఒకేలా ఉంటుంది) చేసిన చివరి బిప్‌లేన్ బాంబర్ ఆర్డర్‌లో భాగం, మరియు జనవరి మరియు ఏప్రిల్ 1932 మధ్య పంపిణీ చేయబడిన B-4AS, చివరి బిప్"&amp;"‌లేన్ బాంబర్లు ఎయిర్ కార్ప్స్‌కు పంపిణీ చేశారు. 1931 చివరలో యు.ఎస్. ఆర్మీ ఆదేశించిన కీస్టోన్ బిప్‌లేన్ బాంబర్లలో బి -4 చివరిది. ఈ విమానాలను ప్రధానంగా 1934 లోనే మార్టిన్ బి -10 బి కార్యాచరణ సేవలోకి వెళ్ళినప్పుడు 1934 లోనే పరిశీలన మరియు నిఘా విమానాలుగా ఉపయో"&amp;"గించారు. కొన్ని 1940 ల ప్రారంభంలో సేవలో ఉన్నాయి. సాధారణ లక్షణాలు పనితీరు ఆయుధ సంబంధిత అభివృద్ధి సంబంధిత జాబితాలు")</f>
        <v>కీస్టోన్ బి -4 ఒక బిప్‌లేన్ బాంబర్, దీనిని అమెరికా ఆర్మీ ఎయిర్ కార్ప్స్ కోసం కీస్టోన్ ఎయిర్‌క్రాఫ్ట్ కంపెనీ నిర్మించింది. వాస్తవానికి అమెరికా ఆర్మీ ఎయిర్ కార్ప్స్ ఎల్బి -13 లైట్ బాంబర్ గా ఆదేశించింది. 1930 లో LB- హోదా తొలగించబడినప్పుడు, మొదటి ఐదు విమానాలు Y1B-4 ను పున es రూపకల్పన చేశారు. . రేడియల్ ఇంజన్లు మరియు అల్ప పీడన టైర్లు. మరింత శక్తివంతమైన ఇంజిన్ల కారణంగా, Y1B-4 యొక్క పనితీరు B-3 లో స్వల్ప మెరుగుదల, కానీ రెండు విమానాల మధ్య తేడా ఏమిటంటే వారి ఇంజన్లు. ఏప్రిల్ 28, 1931 న, సైన్యం 25 మెరుగైన Y1B-4 లను కీస్టోన్ B-4A గా ఆదేశించింది. ఈ ఉత్పత్తి సంస్కరణ ఆర్మీ ఎయిర్ కార్ప్స్ (39 B-6AS తో పాటు, వారి ఇంజిన్ తయారీ మినహా అన్ని విధాలుగా ఒకేలా ఉంటుంది) చేసిన చివరి బిప్‌లేన్ బాంబర్ ఆర్డర్‌లో భాగం, మరియు జనవరి మరియు ఏప్రిల్ 1932 మధ్య పంపిణీ చేయబడిన B-4AS, చివరి బిప్‌లేన్ బాంబర్లు ఎయిర్ కార్ప్స్‌కు పంపిణీ చేశారు. 1931 చివరలో యు.ఎస్. ఆర్మీ ఆదేశించిన కీస్టోన్ బిప్‌లేన్ బాంబర్లలో బి -4 చివరిది. ఈ విమానాలను ప్రధానంగా 1934 లోనే మార్టిన్ బి -10 బి కార్యాచరణ సేవలోకి వెళ్ళినప్పుడు 1934 లోనే పరిశీలన మరియు నిఘా విమానాలుగా ఉపయోగించారు. కొన్ని 1940 ల ప్రారంభంలో సేవలో ఉన్నాయి. సాధారణ లక్షణాలు పనితీరు ఆయుధ సంబంధిత అభివృద్ధి సంబంధిత జాబితాలు</v>
      </c>
      <c r="E183" s="1" t="s">
        <v>3101</v>
      </c>
      <c r="F183" s="1" t="s">
        <v>3102</v>
      </c>
      <c r="G183" s="1" t="str">
        <f>IFERROR(__xludf.DUMMYFUNCTION("GOOGLETRANSLATE(F:F, ""en"", ""te"")"),"లైట్ బాంబర్")</f>
        <v>లైట్ బాంబర్</v>
      </c>
      <c r="H183" s="1" t="s">
        <v>3103</v>
      </c>
      <c r="I183" s="1" t="s">
        <v>3104</v>
      </c>
      <c r="J183" s="1" t="str">
        <f>IFERROR(__xludf.DUMMYFUNCTION("GOOGLETRANSLATE(I:I, ""en"", ""te"")"),"కీస్టోన్ విమానం")</f>
        <v>కీస్టోన్ విమానం</v>
      </c>
      <c r="K183" s="1" t="s">
        <v>3105</v>
      </c>
      <c r="M183" s="2"/>
      <c r="O183" s="1" t="s">
        <v>3106</v>
      </c>
      <c r="P183" s="1" t="s">
        <v>3107</v>
      </c>
      <c r="Q183" s="1" t="s">
        <v>3108</v>
      </c>
      <c r="R183" s="1">
        <v>5.0</v>
      </c>
      <c r="T183" s="1" t="s">
        <v>3109</v>
      </c>
      <c r="U183" s="1" t="s">
        <v>3110</v>
      </c>
      <c r="V183" s="1" t="s">
        <v>3111</v>
      </c>
      <c r="W183" s="1" t="s">
        <v>3112</v>
      </c>
      <c r="X183" s="1" t="s">
        <v>3113</v>
      </c>
      <c r="Z183" s="1" t="s">
        <v>3114</v>
      </c>
      <c r="AA183" s="1" t="s">
        <v>3115</v>
      </c>
      <c r="AC183" s="1" t="s">
        <v>3116</v>
      </c>
      <c r="AD183" s="1" t="s">
        <v>3117</v>
      </c>
      <c r="AE183" s="1" t="s">
        <v>3118</v>
      </c>
      <c r="AH183" s="1" t="s">
        <v>261</v>
      </c>
      <c r="AI183" s="1" t="s">
        <v>3119</v>
      </c>
      <c r="AL183" s="1" t="s">
        <v>677</v>
      </c>
      <c r="AN183" s="1" t="s">
        <v>3120</v>
      </c>
      <c r="AP183" s="1" t="s">
        <v>996</v>
      </c>
      <c r="AQ183" s="1" t="s">
        <v>997</v>
      </c>
      <c r="AS183" s="1" t="s">
        <v>60</v>
      </c>
      <c r="AU183" s="1" t="s">
        <v>3121</v>
      </c>
      <c r="BS183" s="1" t="s">
        <v>3122</v>
      </c>
      <c r="CM183" s="1" t="s">
        <v>3123</v>
      </c>
    </row>
    <row r="184">
      <c r="A184" s="1" t="s">
        <v>3124</v>
      </c>
      <c r="B184" s="1" t="str">
        <f>IFERROR(__xludf.DUMMYFUNCTION("GOOGLETRANSLATE(A:A, ""en"", ""te"")"),"కీస్టోన్ XLB-3")</f>
        <v>కీస్టోన్ XLB-3</v>
      </c>
      <c r="C184" s="1" t="s">
        <v>3125</v>
      </c>
      <c r="D184" s="2" t="str">
        <f>IFERROR(__xludf.DUMMYFUNCTION("GOOGLETRANSLATE(C:C, ""en"", ""te"")"),"కీస్టోన్ XLB-3 (వాస్తవానికి హఫ్-డాలాండ్ పేరుతో నిర్మించబడింది) 1920 ల చివరలో అమెరికాలో అభివృద్ధి చేసిన ప్రోటోటైప్ బాంబర్ బైప్‌లేన్. ఇది సింగిల్-ఇంజిన్ ఎల్బి -1 యొక్క జంట-ఇంజిన్ అభివృద్ధి, ఇది అమెరికా ఆర్మీ ఎయిర్ కార్ప్స్ (యుఎస్ఎసి) పాలసీలో మార్పు ద్వారా త"&amp;"ీసుకువచ్చింది. ముక్కు-మౌంటెడ్ ఇంజిన్ నుండి నాసెల్ల్స్‌లో అమర్చిన ఇంజిన్‌లకు మారడం రెండు అదనపు సిబ్బందికి స్టేషన్లను అందించే అవకాశాన్ని సృష్టించింది: బొంబార్డియర్ మరియు ముక్కు-గన్నర్, మొత్తం ఐదుగురికి తీసుకువచ్చింది. LB-1 యొక్క సింగిల్ టెయిల్‌ఫిన్ మరియు చు"&amp;"క్కాని దాని ఇరువైపులా అదనపు చుక్కానితో పెంచారు. ఒకే నమూనాను నిర్మించారు మరియు 1927 చివరిలో మూల్యాంకనం కోసం USAAC కి పంపిణీ చేయబడింది. అయితే, మూల్యాంకనం, పనితీరు వాస్తవానికి సింగిల్-ఇంజిన్ LB-1 కంటే తక్కువగా ఉందని చూపించింది. ఎయిర్-కూల్డ్ రేడియల్స్ కోసం XL"&amp;"B-3 యొక్క ఎయిర్-కూల్డ్ విలోమ లిబర్టీ ఇంజిన్లను మార్చడానికి నిర్ణయం తీసుకోబడింది, ఈ సమయంలో ఇది XLB-3A ను పున es రూపకల్పన చేసింది. పనితీరు ఇప్పటికీ సంతృప్తికరంగా లేనందున, సమాంతర రూపకల్పన, LB-5 కు అనుకూలంగా అభివృద్ధిని వదిలివేసింది. జేన్ యొక్క ఎన్సైక్లోపీడియ"&amp;"ా ఆఫ్ ఏవియేషన్ నుండి డేటా [1] సాధారణ లక్షణాలు పనితీరు ఆయుధాలు")</f>
        <v>కీస్టోన్ XLB-3 (వాస్తవానికి హఫ్-డాలాండ్ పేరుతో నిర్మించబడింది) 1920 ల చివరలో అమెరికాలో అభివృద్ధి చేసిన ప్రోటోటైప్ బాంబర్ బైప్‌లేన్. ఇది సింగిల్-ఇంజిన్ ఎల్బి -1 యొక్క జంట-ఇంజిన్ అభివృద్ధి, ఇది అమెరికా ఆర్మీ ఎయిర్ కార్ప్స్ (యుఎస్ఎసి) పాలసీలో మార్పు ద్వారా తీసుకువచ్చింది. ముక్కు-మౌంటెడ్ ఇంజిన్ నుండి నాసెల్ల్స్‌లో అమర్చిన ఇంజిన్‌లకు మారడం రెండు అదనపు సిబ్బందికి స్టేషన్లను అందించే అవకాశాన్ని సృష్టించింది: బొంబార్డియర్ మరియు ముక్కు-గన్నర్, మొత్తం ఐదుగురికి తీసుకువచ్చింది. LB-1 యొక్క సింగిల్ టెయిల్‌ఫిన్ మరియు చుక్కాని దాని ఇరువైపులా అదనపు చుక్కానితో పెంచారు. ఒకే నమూనాను నిర్మించారు మరియు 1927 చివరిలో మూల్యాంకనం కోసం USAAC కి పంపిణీ చేయబడింది. అయితే, మూల్యాంకనం, పనితీరు వాస్తవానికి సింగిల్-ఇంజిన్ LB-1 కంటే తక్కువగా ఉందని చూపించింది. ఎయిర్-కూల్డ్ రేడియల్స్ కోసం XLB-3 యొక్క ఎయిర్-కూల్డ్ విలోమ లిబర్టీ ఇంజిన్లను మార్చడానికి నిర్ణయం తీసుకోబడింది, ఈ సమయంలో ఇది XLB-3A ను పున es రూపకల్పన చేసింది. పనితీరు ఇప్పటికీ సంతృప్తికరంగా లేనందున, సమాంతర రూపకల్పన, LB-5 కు అనుకూలంగా అభివృద్ధిని వదిలివేసింది. జేన్ యొక్క ఎన్సైక్లోపీడియా ఆఫ్ ఏవియేషన్ నుండి డేటా [1] సాధారణ లక్షణాలు పనితీరు ఆయుధాలు</v>
      </c>
      <c r="E184" s="1" t="s">
        <v>3126</v>
      </c>
      <c r="F184" s="1" t="s">
        <v>3102</v>
      </c>
      <c r="G184" s="1" t="str">
        <f>IFERROR(__xludf.DUMMYFUNCTION("GOOGLETRANSLATE(F:F, ""en"", ""te"")"),"లైట్ బాంబర్")</f>
        <v>లైట్ బాంబర్</v>
      </c>
      <c r="H184" s="1" t="s">
        <v>3103</v>
      </c>
      <c r="I184" s="1" t="s">
        <v>3104</v>
      </c>
      <c r="J184" s="1" t="str">
        <f>IFERROR(__xludf.DUMMYFUNCTION("GOOGLETRANSLATE(I:I, ""en"", ""te"")"),"కీస్టోన్ విమానం")</f>
        <v>కీస్టోన్ విమానం</v>
      </c>
      <c r="K184" s="1" t="s">
        <v>3105</v>
      </c>
      <c r="M184" s="2"/>
      <c r="O184" s="1">
        <v>1.0</v>
      </c>
      <c r="R184" s="1" t="s">
        <v>3127</v>
      </c>
      <c r="T184" s="1" t="s">
        <v>3128</v>
      </c>
      <c r="U184" s="1" t="s">
        <v>3129</v>
      </c>
      <c r="V184" s="1" t="s">
        <v>3130</v>
      </c>
      <c r="W184" s="1" t="s">
        <v>3131</v>
      </c>
      <c r="X184" s="1" t="s">
        <v>3132</v>
      </c>
      <c r="Z184" s="1" t="s">
        <v>3133</v>
      </c>
      <c r="AC184" s="1" t="s">
        <v>3134</v>
      </c>
      <c r="AD184" s="1" t="s">
        <v>3135</v>
      </c>
      <c r="AF184" s="1" t="s">
        <v>206</v>
      </c>
      <c r="AH184" s="1" t="s">
        <v>3136</v>
      </c>
      <c r="AI184" s="1" t="s">
        <v>3137</v>
      </c>
      <c r="AL184" s="1" t="s">
        <v>3138</v>
      </c>
      <c r="AN184" s="1" t="s">
        <v>3139</v>
      </c>
      <c r="AO184" s="1" t="s">
        <v>3140</v>
      </c>
      <c r="AP184" s="1" t="s">
        <v>996</v>
      </c>
      <c r="AQ184" s="1" t="s">
        <v>997</v>
      </c>
    </row>
    <row r="185">
      <c r="A185" s="1" t="s">
        <v>3141</v>
      </c>
      <c r="B185" s="1" t="str">
        <f>IFERROR(__xludf.DUMMYFUNCTION("GOOGLETRANSLATE(A:A, ""en"", ""te"")"),"హురెల్-డుబోయిస్ HD.31")</f>
        <v>హురెల్-డుబోయిస్ HD.31</v>
      </c>
      <c r="C185" s="1" t="s">
        <v>3142</v>
      </c>
      <c r="D185" s="2" t="str">
        <f>IFERROR(__xludf.DUMMYFUNCTION("GOOGLETRANSLATE(C:C, ""en"", ""te"")"),"మారిస్ హ్యూరెల్ యొక్క అధిక కారక నిష్పత్తి వింగ్ డిజైన్ల ఆధారంగా హురెల్-డుబోయిస్ HD.31, HD.32, మరియు HD.34 1950 లలో ఫ్రాన్స్‌లో ఉత్పత్తి చేయబడిన పౌర విమానాల కుటుంబం. హురెల్-డుబోయిస్ HD.10 పరిశోధన విమానాలతో పరీక్షలు అటువంటి రెక్కల యొక్క ప్రాక్టికాలిటీ గురిం"&amp;"చి హురెల్ యొక్క ఆలోచనలను ధృవీకరించాయి మరియు ఇదే సూత్రాన్ని ఉపయోగించుకునే మధ్యస్థ-శ్రేణి విమానాల యొక్క రెండు ప్రోటోటైప్‌ల నిర్మాణానికి స్పాన్సర్ చేయడానికి ఫ్రెంచ్ ప్రభుత్వం అంగీకరించింది. ఈ విమానాలు, HD.31 మరియు HD.32 వారి అసాధారణమైన రెక్కలు కాకుండా అన్ని "&amp;"విధాలుగా సాంప్రదాయిక నమూనాలు, మరియు వాటి పవర్‌ప్లాంట్లలో ఒకదానికొకటి మాత్రమే భిన్నంగా ఉన్నాయి, అయినప్పటికీ రెండూ అదే ఇంజిన్‌లను ఉపయోగించటానికి మార్చబడ్డాయి. మొదట అమర్చిన జంట తోకలు తరువాత చిన్న సహాయక రెక్కల ద్వారా సహాయపడే పెద్ద సింగిల్ టెయిల్ ఫిన్ ద్వారా భ"&amp;"ర్తీ చేయబడ్డాయి. వారి కొత్త ఇంజన్లు మరియు తోకలతో, అవి HD.321.01 మరియు HD.321.02 ను పున es రూపకల్పన చేశారు. HD.34 సర్వే విమానాలతో పాటు, అన్నీ స్థిర, ఫెయిర్‌డ్ ట్రైసైకిల్ అండర్ క్యారేజీలను కలిగి ఉన్నాయి. రెండు HD.31 లను ఫ్రెంచ్ ప్రభుత్వం ఆదేశించింది, కాని ఒ"&amp;"కటి మాత్రమే నిర్మించబడింది, రైట్ తుఫానుతో నడిచే HD.31 F-WFKU 27 జనవరి 1953 న ప్రయాణించింది. అప్పుడు కంపెనీ ప్రాట్ &amp; విట్నీ R-1830-92- శక్తితో పనిచేసే వేరియంట్‌ను ఉత్పత్తి చేసింది , HD.32. ఇంజిన్లు కాకుండా ఇది HD.31 వలె ఉంటుంది. ప్రోటోటైప్ యొక్క అసలు జంట త"&amp;"ోకలను ఉంచడం మొట్టమొదటి HD.32 29 డిసెంబర్ 1953 న ప్రయాణించింది. ఇంజన్లు 1525 HP రైట్ 982-4 ఇంజిన్‌లకు మార్చబడ్డాయి మరియు పెరిగిన శక్తిని ఎదుర్కోవటానికి ట్విన్ ఫిన్ ఒకే ఒక్కో భర్తీ చేయబడ్డాయి మరియు రకం రకం HD.321 ను పున es రూపకల్పన చేసింది. ఫిబ్రవరి 1955 లో"&amp;" మొదట ప్రయాణించిన రెండవ HD.32 కూడా HD.321 ప్రమాణానికి సవరించబడింది. ఎయిర్ ఫ్రాన్స్ మొదట నవంబర్ 1953 లో 24 విమానాలకు ఫీడ్‌లైనర్‌లుగా ఉపయోగించమని ఒక ఆర్డర్‌ను ఉంచింది, తరువాత దీనిని ఇన్స్టిట్యూట్ జియోగ్రాఫిక్ నేషనల్ కోసం నాలుగు మరియు ఐగల్ అజూర్‌కు నాలుగుకు "&amp;"ఆర్డర్ ఇచ్చింది. ఈ ఆర్డర్‌లతో 150 విమానాలను నిర్మించడానికి మరియు మార్కెట్ చేయడానికి SNCase తో చర్చ జరిగింది. వాస్తవానికి ఎయిర్ ఫ్రాన్స్ లేదా ఐగల్ అజూర్ కోసం ఏదీ నిర్మించబడలేదు, కాని ఐజిఎన్ ఏరియల్ ఫోటోగ్రఫీ వేరియంట్‌పై ఆసక్తి కలిగి ఉంది, అప్పుడు కంపెనీ ఉపయ"&amp;"ోగిస్తున్న బోయింగ్ బి -17 ఫ్లయింగ్ కోటను భర్తీ చేయడానికి. పారిస్ యొక్క ఉత్తరాన ఉన్న క్రీల్ ఎయిర్ఫీల్డ్ వద్ద ఉన్న ఐజిఎన్ ఎనిమిది విమానాలను ఆదేశించింది. విమానం యొక్క రెక్కల రూపకల్పన దీర్ఘకాలిక, తక్కువ-వేగ విమానానికి అనువైనది, వైమానిక ఫోటోగ్రఫీ మరియు సర్వే ప"&amp;"నులకు అనువైనది. ఈ యంత్రాలు HD.34 గా నియమించబడ్డాయి మరియు విస్తృతంగా మెరుస్తున్న ముక్కు మరియు ఆఫ్‌సెట్ ముడుచుకునే నోస్‌వీల్‌తో అమర్చబడ్డాయి. వారు 1950 ల చివరలో మరియు 1970 ల మధ్య మధ్య IGN తో ప్రయాణించారు. ఒక ఉదాహరణ గాలికి తగినట్లుగా ఉంది, ఇది అసోసియేషన్ డెస"&amp;"్ మెకానిసియన్స్-పైలట్స్ డి'అరోనెఫ్స్ యాన్సియన్స్ చేత నిర్వహించబడుతుంది. ఏరోనాటిక్ నావికాదళం HD.31 ను అంచనా వేసింది మరియు 100 విమానాలకు అవసరాన్ని తీర్చడానికి కంపెనీ సబ్‌మెరైన్ యాంటీ వార్ఫేర్ వేరియంట్‌ను ప్రతిపాదించింది, కాని ఏమీ కార్యరూపం దాల్చలేదు. . జేన్"&amp;" యొక్క అన్ని ప్రపంచ విమానాల నుండి డేటా 1958–59 [6] సాధారణ లక్షణాల పనితీరు")</f>
        <v>మారిస్ హ్యూరెల్ యొక్క అధిక కారక నిష్పత్తి వింగ్ డిజైన్ల ఆధారంగా హురెల్-డుబోయిస్ HD.31, HD.32, మరియు HD.34 1950 లలో ఫ్రాన్స్‌లో ఉత్పత్తి చేయబడిన పౌర విమానాల కుటుంబం. హురెల్-డుబోయిస్ HD.10 పరిశోధన విమానాలతో పరీక్షలు అటువంటి రెక్కల యొక్క ప్రాక్టికాలిటీ గురించి హురెల్ యొక్క ఆలోచనలను ధృవీకరించాయి మరియు ఇదే సూత్రాన్ని ఉపయోగించుకునే మధ్యస్థ-శ్రేణి విమానాల యొక్క రెండు ప్రోటోటైప్‌ల నిర్మాణానికి స్పాన్సర్ చేయడానికి ఫ్రెంచ్ ప్రభుత్వం అంగీకరించింది. ఈ విమానాలు, HD.31 మరియు HD.32 వారి అసాధారణమైన రెక్కలు కాకుండా అన్ని విధాలుగా సాంప్రదాయిక నమూనాలు, మరియు వాటి పవర్‌ప్లాంట్లలో ఒకదానికొకటి మాత్రమే భిన్నంగా ఉన్నాయి, అయినప్పటికీ రెండూ అదే ఇంజిన్‌లను ఉపయోగించటానికి మార్చబడ్డాయి. మొదట అమర్చిన జంట తోకలు తరువాత చిన్న సహాయక రెక్కల ద్వారా సహాయపడే పెద్ద సింగిల్ టెయిల్ ఫిన్ ద్వారా భర్తీ చేయబడ్డాయి. వారి కొత్త ఇంజన్లు మరియు తోకలతో, అవి HD.321.01 మరియు HD.321.02 ను పున es రూపకల్పన చేశారు. HD.34 సర్వే విమానాలతో పాటు, అన్నీ స్థిర, ఫెయిర్‌డ్ ట్రైసైకిల్ అండర్ క్యారేజీలను కలిగి ఉన్నాయి. రెండు HD.31 లను ఫ్రెంచ్ ప్రభుత్వం ఆదేశించింది, కాని ఒకటి మాత్రమే నిర్మించబడింది, రైట్ తుఫానుతో నడిచే HD.31 F-WFKU 27 జనవరి 1953 న ప్రయాణించింది. అప్పుడు కంపెనీ ప్రాట్ &amp; విట్నీ R-1830-92- శక్తితో పనిచేసే వేరియంట్‌ను ఉత్పత్తి చేసింది , HD.32. ఇంజిన్లు కాకుండా ఇది HD.31 వలె ఉంటుంది. ప్రోటోటైప్ యొక్క అసలు జంట తోకలను ఉంచడం మొట్టమొదటి HD.32 29 డిసెంబర్ 1953 న ప్రయాణించింది. ఇంజన్లు 1525 HP రైట్ 982-4 ఇంజిన్‌లకు మార్చబడ్డాయి మరియు పెరిగిన శక్తిని ఎదుర్కోవటానికి ట్విన్ ఫిన్ ఒకే ఒక్కో భర్తీ చేయబడ్డాయి మరియు రకం రకం HD.321 ను పున es రూపకల్పన చేసింది. ఫిబ్రవరి 1955 లో మొదట ప్రయాణించిన రెండవ HD.32 కూడా HD.321 ప్రమాణానికి సవరించబడింది. ఎయిర్ ఫ్రాన్స్ మొదట నవంబర్ 1953 లో 24 విమానాలకు ఫీడ్‌లైనర్‌లుగా ఉపయోగించమని ఒక ఆర్డర్‌ను ఉంచింది, తరువాత దీనిని ఇన్స్టిట్యూట్ జియోగ్రాఫిక్ నేషనల్ కోసం నాలుగు మరియు ఐగల్ అజూర్‌కు నాలుగుకు ఆర్డర్ ఇచ్చింది. ఈ ఆర్డర్‌లతో 150 విమానాలను నిర్మించడానికి మరియు మార్కెట్ చేయడానికి SNCase తో చర్చ జరిగింది. వాస్తవానికి ఎయిర్ ఫ్రాన్స్ లేదా ఐగల్ అజూర్ కోసం ఏదీ నిర్మించబడలేదు, కాని ఐజిఎన్ ఏరియల్ ఫోటోగ్రఫీ వేరియంట్‌పై ఆసక్తి కలిగి ఉంది, అప్పుడు కంపెనీ ఉపయోగిస్తున్న బోయింగ్ బి -17 ఫ్లయింగ్ కోటను భర్తీ చేయడానికి. పారిస్ యొక్క ఉత్తరాన ఉన్న క్రీల్ ఎయిర్ఫీల్డ్ వద్ద ఉన్న ఐజిఎన్ ఎనిమిది విమానాలను ఆదేశించింది. విమానం యొక్క రెక్కల రూపకల్పన దీర్ఘకాలిక, తక్కువ-వేగ విమానానికి అనువైనది, వైమానిక ఫోటోగ్రఫీ మరియు సర్వే పనులకు అనువైనది. ఈ యంత్రాలు HD.34 గా నియమించబడ్డాయి మరియు విస్తృతంగా మెరుస్తున్న ముక్కు మరియు ఆఫ్‌సెట్ ముడుచుకునే నోస్‌వీల్‌తో అమర్చబడ్డాయి. వారు 1950 ల చివరలో మరియు 1970 ల మధ్య మధ్య IGN తో ప్రయాణించారు. ఒక ఉదాహరణ గాలికి తగినట్లుగా ఉంది, ఇది అసోసియేషన్ డెస్ మెకానిసియన్స్-పైలట్స్ డి'అరోనెఫ్స్ యాన్సియన్స్ చేత నిర్వహించబడుతుంది. ఏరోనాటిక్ నావికాదళం HD.31 ను అంచనా వేసింది మరియు 100 విమానాలకు అవసరాన్ని తీర్చడానికి కంపెనీ సబ్‌మెరైన్ యాంటీ వార్ఫేర్ వేరియంట్‌ను ప్రతిపాదించింది, కాని ఏమీ కార్యరూపం దాల్చలేదు. . జేన్ యొక్క అన్ని ప్రపంచ విమానాల నుండి డేటా 1958–59 [6] సాధారణ లక్షణాల పనితీరు</v>
      </c>
      <c r="E185" s="1" t="s">
        <v>3143</v>
      </c>
      <c r="F185" s="1" t="s">
        <v>1487</v>
      </c>
      <c r="G185" s="1" t="str">
        <f>IFERROR(__xludf.DUMMYFUNCTION("GOOGLETRANSLATE(F:F, ""en"", ""te"")"),"విమానాల")</f>
        <v>విమానాల</v>
      </c>
      <c r="I185" s="1" t="s">
        <v>3144</v>
      </c>
      <c r="J185" s="1" t="str">
        <f>IFERROR(__xludf.DUMMYFUNCTION("GOOGLETRANSLATE(I:I, ""en"", ""te"")"),"హురెల్-డుబోయిస్")</f>
        <v>హురెల్-డుబోయిస్</v>
      </c>
      <c r="K185" s="4" t="s">
        <v>3145</v>
      </c>
      <c r="M185" s="2"/>
      <c r="O185" s="1">
        <v>11.0</v>
      </c>
      <c r="R185" s="1" t="s">
        <v>3146</v>
      </c>
      <c r="S185" s="1" t="s">
        <v>3147</v>
      </c>
      <c r="T185" s="1" t="s">
        <v>3148</v>
      </c>
      <c r="U185" s="1" t="s">
        <v>3149</v>
      </c>
      <c r="V185" s="1" t="s">
        <v>3150</v>
      </c>
      <c r="W185" s="1" t="s">
        <v>3151</v>
      </c>
      <c r="X185" s="1" t="s">
        <v>3152</v>
      </c>
      <c r="Z185" s="1" t="s">
        <v>3153</v>
      </c>
      <c r="AA185" s="1" t="s">
        <v>3154</v>
      </c>
      <c r="AB185" s="1" t="s">
        <v>333</v>
      </c>
      <c r="AC185" s="1" t="s">
        <v>3155</v>
      </c>
      <c r="AD185" s="1" t="s">
        <v>157</v>
      </c>
      <c r="AF185" s="1" t="s">
        <v>465</v>
      </c>
      <c r="AH185" s="1" t="s">
        <v>3156</v>
      </c>
      <c r="AI185" s="1" t="s">
        <v>3157</v>
      </c>
      <c r="AO185" s="1" t="s">
        <v>3158</v>
      </c>
      <c r="AP185" s="1" t="s">
        <v>3159</v>
      </c>
      <c r="AQ185" s="1" t="s">
        <v>3160</v>
      </c>
      <c r="BE185" s="1">
        <v>20.2</v>
      </c>
    </row>
    <row r="186">
      <c r="A186" s="1" t="s">
        <v>3161</v>
      </c>
      <c r="B186" s="1" t="str">
        <f>IFERROR(__xludf.DUMMYFUNCTION("GOOGLETRANSLATE(A:A, ""en"", ""te"")"),"బ్రిటిష్ ఎయిర్క్రాఫ్ట్ కంపెనీ డ్రోన్")</f>
        <v>బ్రిటిష్ ఎయిర్క్రాఫ్ట్ కంపెనీ డ్రోన్</v>
      </c>
      <c r="C186" s="1" t="s">
        <v>3162</v>
      </c>
      <c r="D186" s="2" t="str">
        <f>IFERROR(__xludf.DUMMYFUNCTION("GOOGLETRANSLATE(C:C, ""en"", ""te"")"),"B.A.C. డ్రోన్ 1930 లలో బ్రిటిష్ అల్ట్రాలైట్ సింగిల్-సీట్ విమానం. 1930 ల ప్రారంభంలో, బ్రిటిష్ ఎయిర్క్రాఫ్ట్ కంపెనీ ఆఫ్ మైడ్‌స్టోన్, కెంట్ B.A.C. Vii tandem రెండు-సీటర్లు. 1932 లో సంస్థ 600 సి.సి. డగ్లస్ మోటారుసైకిల్ ఇంజిన్ స్టీల్ ట్యూబ్ పైలాన్ పై హై వింగ్ "&amp;"పైన. ఇది సింగిల్-సీటర్‌గా ఎగిరింది మరియు దీనిని B.A.C. ప్లానెట్. 13 మే 1933 న, ప్రతిభావంతులైన 32 ఏళ్ల డిజైనర్ సి.హెచ్. వెస్ట్ మల్లింగ్ వద్ద మొదటి ప్లానెట్ యొక్క ప్రమాదంలో లోవ్-వైల్డ్ చంపబడ్డాడు. ఈ సంస్థను రాబర్ట్ క్రోన్ఫెల్డ్ స్వాధీనం చేసుకున్నాడు, అతను ర"&amp;"ెండవ ప్లానెట్‌ను క్రమబద్ధీకరించిన పైలాన్‌తో సవరించాడు మరియు డిజైన్ ది డ్రోన్ అని పేరు మార్చాడు. [1] 1937 లో, B.A.C. ఫ్లయింగ్ గ్రౌండ్ ట్రైనర్ అనే యంత్రాన్ని కూడా పరిచయం చేసింది. ఇది శక్తితో కూడిన ప్రాధమిక గ్లైడర్, ఇది స్టబ్ వింగ్‌తో లేదా డ్రోన్ వింగ్‌తో సమ"&amp;"ావేశమవుతుంది. ఇది తరువాతి వాటితో మాత్రమే ఎగురుతుంది మరియు అనుభవం లేని పైలటింగ్ యొక్క పరిణామాలను మెరుగుపరచడానికి ముక్కు మరియు రెక్క చిట్కాల వద్ద అదనపు చక్రాలతో అమర్చబడి ఉంటుంది. 1935 లో మిడిల్‌సెక్స్‌లోని హాన్‌వర్త్‌లోని లండన్ ఎయిర్ పార్క్‌లో 1935 లో ప్రాం"&amp;"గణాన్ని కొనుగోలు చేశారు మరియు సింగిల్-సీట్ల విమానాల ఉత్పత్తి అక్కడ ప్రారంభమైంది. 1936 లో, ఈ సంస్థకు క్రోన్‌ఫెల్డ్ లిమిటెడ్ అని పేరు మార్చబడింది మరియు సంవత్సరంలో 20 డ్రోన్లు నిర్మించబడ్డాయి. 23 హెచ్‌పి (17 కిలోవాట్ల) డగ్లస్ స్ప్రైట్ ఇంజిన్‌తో అమర్చిన విమాన"&amp;"ం క్రోన్‌ఫెల్డ్ సూపర్ డ్రోన్‌గా ప్రసిద్ది చెందింది. 30 హెచ్‌పి (22 కిలోవాట్ల) వాటర్-కూల్డ్ కార్డెన్-ఫోర్డ్ కన్వర్టెడ్ కార్ ఇంజిన్ మరియు మడత రెక్కలతో కూడిన సంస్కరణను డ్రోన్ డి లక్సే అని పిలుస్తారు. 33 డ్రోన్లు పూర్తయిన తర్వాత 1937 లో సంస్థ మూసివేయబడింది. ["&amp;"1] డ్రోన్ ప్రైవేట్ యజమానులతో ప్రాచుర్యం పొందింది. కల్నల్ ఆఫ్ సెంపిల్ ఏప్రిల్ 1936 లో సెంపిల్ ది ఏవియేషన్ వరల్డ్ ను ఆశ్చర్యపరిచాడు, అతను 14 గ్యాలన్ల పెట్రోల్ లో 11 గంటలలో క్రోయిడాన్ విమానాశ్రయం నుండి బెర్లిన్ వరకు డ్రోన్ జి-అడ్పిజెను ఎగరేశాడు. తిరిగి రావడా"&amp;"నికి అతనికి తొమ్మిది గంటలు పట్టింది. [2] రెండు డ్రోన్లు C.W.A. తో 40,000 మైళ్ళకు పైగా ప్రయాణించాయి. స్కాట్ యొక్క ఎయిర్ డిస్ప్లే టీం. రెండవ ప్రపంచ యుద్ధంలో, 12-బోర్ షాట్ గన్ మరియు రింగ్-అండ్-బీడ్ దృశ్యాన్ని ఉపయోగించి డక్-షూటింగ్ సోర్టీలపై మభ్యపెట్టే డ్రోన్"&amp;" డి లక్సేను అనధికారికంగా 609 స్క్వాడ్రన్ పైలట్లు ఎగురవేశారు. [1] ఎనిమిది డ్రోన్లు రెండవ ప్రపంచ యుద్ధం నుండి బయటపడ్డాయి, మరియు వారిలో ముగ్గురు మళ్లీ ప్రయాణించారు. 2006 లో మూడు డ్రోన్లు ఉన్నాయి, వీటిలో ఏకైక క్రోన్ఫెల్డ్ డ్రోన్ డి లక్సే, జి-ఎకెవి, ఇది చివరిస"&amp;"ారిగా 1984 లో ప్రయాణించారు మరియు ఇప్పుడు సర్రేలోని బ్రూక్లాండ్స్ మ్యూజియం యాజమాన్యంలో ఉంది. [3] మరియు ప్రస్తుతం హాంట్స్‌లోని లాషమ్ వద్ద ఉన్న గ్లైడింగ్ హెరిటేజ్ సెంటర్‌కు అప్పుగా ఇచ్చారు. బ్రిటిష్ సివిల్ ఎయిర్క్రాఫ్ట్ నుండి డేటా, 1919-1972 వాల్యూమ్ I [1] స"&amp;"ాధారణ లక్షణాలు పనితీరు సంబంధిత అభివృద్ధి విమానం పోల్చదగిన పాత్ర, కాన్ఫిగరేషన్ మరియు ERA")</f>
        <v>B.A.C. డ్రోన్ 1930 లలో బ్రిటిష్ అల్ట్రాలైట్ సింగిల్-సీట్ విమానం. 1930 ల ప్రారంభంలో, బ్రిటిష్ ఎయిర్క్రాఫ్ట్ కంపెనీ ఆఫ్ మైడ్‌స్టోన్, కెంట్ B.A.C. Vii tandem రెండు-సీటర్లు. 1932 లో సంస్థ 600 సి.సి. డగ్లస్ మోటారుసైకిల్ ఇంజిన్ స్టీల్ ట్యూబ్ పైలాన్ పై హై వింగ్ పైన. ఇది సింగిల్-సీటర్‌గా ఎగిరింది మరియు దీనిని B.A.C. ప్లానెట్. 13 మే 1933 న, ప్రతిభావంతులైన 32 ఏళ్ల డిజైనర్ సి.హెచ్. వెస్ట్ మల్లింగ్ వద్ద మొదటి ప్లానెట్ యొక్క ప్రమాదంలో లోవ్-వైల్డ్ చంపబడ్డాడు. ఈ సంస్థను రాబర్ట్ క్రోన్ఫెల్డ్ స్వాధీనం చేసుకున్నాడు, అతను రెండవ ప్లానెట్‌ను క్రమబద్ధీకరించిన పైలాన్‌తో సవరించాడు మరియు డిజైన్ ది డ్రోన్ అని పేరు మార్చాడు. [1] 1937 లో, B.A.C. ఫ్లయింగ్ గ్రౌండ్ ట్రైనర్ అనే యంత్రాన్ని కూడా పరిచయం చేసింది. ఇది శక్తితో కూడిన ప్రాధమిక గ్లైడర్, ఇది స్టబ్ వింగ్‌తో లేదా డ్రోన్ వింగ్‌తో సమావేశమవుతుంది. ఇది తరువాతి వాటితో మాత్రమే ఎగురుతుంది మరియు అనుభవం లేని పైలటింగ్ యొక్క పరిణామాలను మెరుగుపరచడానికి ముక్కు మరియు రెక్క చిట్కాల వద్ద అదనపు చక్రాలతో అమర్చబడి ఉంటుంది. 1935 లో మిడిల్‌సెక్స్‌లోని హాన్‌వర్త్‌లోని లండన్ ఎయిర్ పార్క్‌లో 1935 లో ప్రాంగణాన్ని కొనుగోలు చేశారు మరియు సింగిల్-సీట్ల విమానాల ఉత్పత్తి అక్కడ ప్రారంభమైంది. 1936 లో, ఈ సంస్థకు క్రోన్‌ఫెల్డ్ లిమిటెడ్ అని పేరు మార్చబడింది మరియు సంవత్సరంలో 20 డ్రోన్లు నిర్మించబడ్డాయి. 23 హెచ్‌పి (17 కిలోవాట్ల) డగ్లస్ స్ప్రైట్ ఇంజిన్‌తో అమర్చిన విమానం క్రోన్‌ఫెల్డ్ సూపర్ డ్రోన్‌గా ప్రసిద్ది చెందింది. 30 హెచ్‌పి (22 కిలోవాట్ల) వాటర్-కూల్డ్ కార్డెన్-ఫోర్డ్ కన్వర్టెడ్ కార్ ఇంజిన్ మరియు మడత రెక్కలతో కూడిన సంస్కరణను డ్రోన్ డి లక్సే అని పిలుస్తారు. 33 డ్రోన్లు పూర్తయిన తర్వాత 1937 లో సంస్థ మూసివేయబడింది. [1] డ్రోన్ ప్రైవేట్ యజమానులతో ప్రాచుర్యం పొందింది. కల్నల్ ఆఫ్ సెంపిల్ ఏప్రిల్ 1936 లో సెంపిల్ ది ఏవియేషన్ వరల్డ్ ను ఆశ్చర్యపరిచాడు, అతను 14 గ్యాలన్ల పెట్రోల్ లో 11 గంటలలో క్రోయిడాన్ విమానాశ్రయం నుండి బెర్లిన్ వరకు డ్రోన్ జి-అడ్పిజెను ఎగరేశాడు. తిరిగి రావడానికి అతనికి తొమ్మిది గంటలు పట్టింది. [2] రెండు డ్రోన్లు C.W.A. తో 40,000 మైళ్ళకు పైగా ప్రయాణించాయి. స్కాట్ యొక్క ఎయిర్ డిస్ప్లే టీం. రెండవ ప్రపంచ యుద్ధంలో, 12-బోర్ షాట్ గన్ మరియు రింగ్-అండ్-బీడ్ దృశ్యాన్ని ఉపయోగించి డక్-షూటింగ్ సోర్టీలపై మభ్యపెట్టే డ్రోన్ డి లక్సేను అనధికారికంగా 609 స్క్వాడ్రన్ పైలట్లు ఎగురవేశారు. [1] ఎనిమిది డ్రోన్లు రెండవ ప్రపంచ యుద్ధం నుండి బయటపడ్డాయి, మరియు వారిలో ముగ్గురు మళ్లీ ప్రయాణించారు. 2006 లో మూడు డ్రోన్లు ఉన్నాయి, వీటిలో ఏకైక క్రోన్ఫెల్డ్ డ్రోన్ డి లక్సే, జి-ఎకెవి, ఇది చివరిసారిగా 1984 లో ప్రయాణించారు మరియు ఇప్పుడు సర్రేలోని బ్రూక్లాండ్స్ మ్యూజియం యాజమాన్యంలో ఉంది. [3] మరియు ప్రస్తుతం హాంట్స్‌లోని లాషమ్ వద్ద ఉన్న గ్లైడింగ్ హెరిటేజ్ సెంటర్‌కు అప్పుగా ఇచ్చారు. బ్రిటిష్ సివిల్ ఎయిర్క్రాఫ్ట్ నుండి డేటా, 1919-1972 వాల్యూమ్ I [1] సాధారణ లక్షణాలు పనితీరు సంబంధిత అభివృద్ధి విమానం పోల్చదగిన పాత్ర, కాన్ఫిగరేషన్ మరియు ERA</v>
      </c>
      <c r="E186" s="1" t="s">
        <v>3163</v>
      </c>
      <c r="F186" s="1" t="s">
        <v>343</v>
      </c>
      <c r="G186" s="1" t="str">
        <f>IFERROR(__xludf.DUMMYFUNCTION("GOOGLETRANSLATE(F:F, ""en"", ""te"")"),"అల్ట్రాలైట్ విమానం")</f>
        <v>అల్ట్రాలైట్ విమానం</v>
      </c>
      <c r="I186" s="1" t="s">
        <v>3164</v>
      </c>
      <c r="J186" s="1" t="str">
        <f>IFERROR(__xludf.DUMMYFUNCTION("GOOGLETRANSLATE(I:I, ""en"", ""te"")"),"బ్రిటిష్ ఎయిర్క్రాఫ్ట్ కంపెనీ")</f>
        <v>బ్రిటిష్ ఎయిర్క్రాఫ్ట్ కంపెనీ</v>
      </c>
      <c r="K186" s="1" t="s">
        <v>3165</v>
      </c>
      <c r="L186" s="1" t="s">
        <v>3166</v>
      </c>
      <c r="M186" s="2" t="str">
        <f>IFERROR(__xludf.DUMMYFUNCTION("GOOGLETRANSLATE(L:L, ""en"", ""te"")"),"C.H లోవ్ వైల్డ్")</f>
        <v>C.H లోవ్ వైల్డ్</v>
      </c>
      <c r="O186" s="1">
        <v>33.0</v>
      </c>
      <c r="R186" s="1">
        <v>1.0</v>
      </c>
      <c r="T186" s="1" t="s">
        <v>3167</v>
      </c>
      <c r="U186" s="1" t="s">
        <v>3168</v>
      </c>
      <c r="V186" s="1" t="s">
        <v>3169</v>
      </c>
      <c r="W186" s="1" t="s">
        <v>3170</v>
      </c>
      <c r="X186" s="1" t="s">
        <v>3171</v>
      </c>
      <c r="Z186" s="1" t="s">
        <v>3172</v>
      </c>
      <c r="AA186" s="1" t="s">
        <v>556</v>
      </c>
      <c r="AC186" s="1" t="s">
        <v>3173</v>
      </c>
      <c r="AD186" s="1" t="s">
        <v>3174</v>
      </c>
      <c r="AE186" s="1" t="s">
        <v>3175</v>
      </c>
      <c r="AF186" s="1" t="s">
        <v>314</v>
      </c>
      <c r="AG186" s="1" t="s">
        <v>370</v>
      </c>
      <c r="AI186" s="1" t="s">
        <v>3176</v>
      </c>
      <c r="AL186" s="1" t="s">
        <v>3177</v>
      </c>
      <c r="AN186" s="1" t="s">
        <v>3178</v>
      </c>
      <c r="AO186" s="1">
        <v>1932.0</v>
      </c>
      <c r="AR186" s="1" t="s">
        <v>3179</v>
      </c>
      <c r="AU186" s="1" t="s">
        <v>3180</v>
      </c>
    </row>
    <row r="187">
      <c r="A187" s="1" t="s">
        <v>3181</v>
      </c>
      <c r="B187" s="1" t="str">
        <f>IFERROR(__xludf.DUMMYFUNCTION("GOOGLETRANSLATE(A:A, ""en"", ""te"")"),"కీస్టోన్ బి -5")</f>
        <v>కీస్టోన్ బి -5</v>
      </c>
      <c r="C187" s="1" t="s">
        <v>3182</v>
      </c>
      <c r="D187" s="2" t="str">
        <f>IFERROR(__xludf.DUMMYFUNCTION("GOOGLETRANSLATE(C:C, ""en"", ""te"")"),"కీస్టోన్ బి -5 అనేది 1930 ల ప్రారంభంలో అమెరికా ఆర్మీ ఎయిర్ కార్ప్స్ కోసం కీస్టోన్ ఎయిర్క్రాఫ్ట్ కంపెనీ తయారుచేసిన లైట్ బాంబర్. B-5A అనేది ప్రాట్ &amp; విట్నీ ఇంజిన్ల కంటే రైట్ తుఫానుతో కీస్టోన్ B-3A. మూడు B-3A (LB-10A) ను రైట్ R-1750-3 రేడియల్ ఇంజిన్లతో తిరిగ"&amp;"ి ఇంజిన్ చేశారు మరియు Y1B-5 ను పున es రూపకల్పన చేశారు. ఆర్మీ ఎయిర్ కార్ప్స్ గత 27 ఎల్బి -10AS రూపకల్పనను ఆర్డర్‌పై మార్చింది, ప్రాట్ &amp; విట్నీ R-1690 రేడియల్ ఇంజిన్‌లను రైట్ R-1750-3తో భర్తీ చేసింది. ప్రాట్ &amp; విట్నీ-శక్తితో పనిచేసే విమానం B-3A గా నియమించబడ"&amp;"ింది, మరియు రైట్-శక్తితో కూడిన విమానం B-5A గా మారింది. వారు అప్పటి నుండి 1934 వరకు యు.ఎస్. బాంబర్ ఫోర్స్ యొక్క వెన్నెముకను అందించారు. B-5A 1930 మరియు 1934 మధ్య కాలంలో అమెరికా యొక్క మొదటి లైన్ బాంబర్లు. తరువాత, వారు ప్రధానంగా 1940 ల ప్రారంభం వరకు పరిశీలన వ"&amp;"ిమానంగా సేవలో ఉన్నారు. సాధారణ లక్షణాలు పనితీరు ఆయుధ సంబంధిత అభివృద్ధి సంబంధిత జాబితాలు")</f>
        <v>కీస్టోన్ బి -5 అనేది 1930 ల ప్రారంభంలో అమెరికా ఆర్మీ ఎయిర్ కార్ప్స్ కోసం కీస్టోన్ ఎయిర్క్రాఫ్ట్ కంపెనీ తయారుచేసిన లైట్ బాంబర్. B-5A అనేది ప్రాట్ &amp; విట్నీ ఇంజిన్ల కంటే రైట్ తుఫానుతో కీస్టోన్ B-3A. మూడు B-3A (LB-10A) ను రైట్ R-1750-3 రేడియల్ ఇంజిన్లతో తిరిగి ఇంజిన్ చేశారు మరియు Y1B-5 ను పున es రూపకల్పన చేశారు. ఆర్మీ ఎయిర్ కార్ప్స్ గత 27 ఎల్బి -10AS రూపకల్పనను ఆర్డర్‌పై మార్చింది, ప్రాట్ &amp; విట్నీ R-1690 రేడియల్ ఇంజిన్‌లను రైట్ R-1750-3తో భర్తీ చేసింది. ప్రాట్ &amp; విట్నీ-శక్తితో పనిచేసే విమానం B-3A గా నియమించబడింది, మరియు రైట్-శక్తితో కూడిన విమానం B-5A గా మారింది. వారు అప్పటి నుండి 1934 వరకు యు.ఎస్. బాంబర్ ఫోర్స్ యొక్క వెన్నెముకను అందించారు. B-5A 1930 మరియు 1934 మధ్య కాలంలో అమెరికా యొక్క మొదటి లైన్ బాంబర్లు. తరువాత, వారు ప్రధానంగా 1940 ల ప్రారంభం వరకు పరిశీలన విమానంగా సేవలో ఉన్నారు. సాధారణ లక్షణాలు పనితీరు ఆయుధ సంబంధిత అభివృద్ధి సంబంధిత జాబితాలు</v>
      </c>
      <c r="E187" s="1" t="s">
        <v>3183</v>
      </c>
      <c r="F187" s="1" t="s">
        <v>3102</v>
      </c>
      <c r="G187" s="1" t="str">
        <f>IFERROR(__xludf.DUMMYFUNCTION("GOOGLETRANSLATE(F:F, ""en"", ""te"")"),"లైట్ బాంబర్")</f>
        <v>లైట్ బాంబర్</v>
      </c>
      <c r="H187" s="1" t="s">
        <v>3103</v>
      </c>
      <c r="I187" s="1" t="s">
        <v>3104</v>
      </c>
      <c r="J187" s="1" t="str">
        <f>IFERROR(__xludf.DUMMYFUNCTION("GOOGLETRANSLATE(I:I, ""en"", ""te"")"),"కీస్టోన్ విమానం")</f>
        <v>కీస్టోన్ విమానం</v>
      </c>
      <c r="K187" s="1" t="s">
        <v>3105</v>
      </c>
      <c r="M187" s="2"/>
      <c r="O187" s="1" t="s">
        <v>3184</v>
      </c>
      <c r="P187" s="1" t="s">
        <v>3107</v>
      </c>
      <c r="Q187" s="1" t="s">
        <v>3108</v>
      </c>
      <c r="R187" s="1">
        <v>5.0</v>
      </c>
      <c r="T187" s="1" t="s">
        <v>3109</v>
      </c>
      <c r="U187" s="1" t="s">
        <v>3110</v>
      </c>
      <c r="V187" s="1" t="s">
        <v>3111</v>
      </c>
      <c r="W187" s="1" t="s">
        <v>3185</v>
      </c>
      <c r="X187" s="1" t="s">
        <v>3113</v>
      </c>
      <c r="Z187" s="1" t="s">
        <v>3186</v>
      </c>
      <c r="AA187" s="1" t="s">
        <v>3187</v>
      </c>
      <c r="AC187" s="1" t="s">
        <v>3188</v>
      </c>
      <c r="AE187" s="1" t="s">
        <v>3189</v>
      </c>
      <c r="AH187" s="1" t="s">
        <v>3190</v>
      </c>
      <c r="AI187" s="1" t="s">
        <v>3119</v>
      </c>
      <c r="AL187" s="1" t="s">
        <v>3191</v>
      </c>
      <c r="AN187" s="1" t="s">
        <v>3192</v>
      </c>
      <c r="AP187" s="1" t="s">
        <v>996</v>
      </c>
      <c r="AQ187" s="1" t="s">
        <v>997</v>
      </c>
      <c r="AU187" s="1" t="s">
        <v>3193</v>
      </c>
      <c r="BS187" s="1" t="s">
        <v>3122</v>
      </c>
      <c r="CM187" s="1" t="s">
        <v>3123</v>
      </c>
    </row>
    <row r="188">
      <c r="A188" s="1" t="s">
        <v>3194</v>
      </c>
      <c r="B188" s="1" t="str">
        <f>IFERROR(__xludf.DUMMYFUNCTION("GOOGLETRANSLATE(A:A, ""en"", ""te"")"),"LH ఏవియేషన్ LH-10 దీర్ఘవృత్తం")</f>
        <v>LH ఏవియేషన్ LH-10 దీర్ఘవృత్తం</v>
      </c>
      <c r="C188" s="1" t="s">
        <v>3195</v>
      </c>
      <c r="D188" s="2" t="str">
        <f>IFERROR(__xludf.DUMMYFUNCTION("GOOGLETRANSLATE(C:C, ""en"", ""te"")"),"LH ఏవియేషన్ LH-10 ఎలిప్స్ అనేది రెండు-సీట్ల లైట్ ఎయిర్క్రాఫ్ట్ కిట్‌ప్లేన్, ఇది ఫ్రాన్స్ యొక్క LH విమానయానం రూపొందించింది. ఇది తక్కువ-వింగ్ సింగిల్-ఇంజిన్ పషర్ కాన్ఫిగరేషన్, ఇది టెన్డం సీటింగ్ అమరికతో, మరియు మిశ్రమ పదార్థాలతో నిర్మించబడింది. [1] [2] ఈ విమ"&amp;"ానం నిఘా కాన్ఫిగరేషన్‌లో గ్రాండ్ డియుసి (యురేషియన్ ఈగిల్-ఓల్) గా విక్రయించబడింది. LH-10 దీర్ఘవృత్తాన్ని ఫ్రెంచ్ వ్యక్తి సెబాస్టియన్ లెఫెబ్రే చేత రూపొందించారు, ""ప్రైవేట్ పైలట్లకు అందుబాటులో ఉన్న దానికంటే భిన్నమైన డిజైన్ మరియు పనితీరుతో ఒక చిన్న విమానం"" అ"&amp;"ని రూపొందించడానికి ఇంజనీరింగ్ గ్రాండే ఎకోల్ (విశ్వవిద్యాలయం) ప్రాజెక్టుగా ప్రారంభమైంది. [3] ఇది మే 2004 లో కంపెనీ స్థాపనకు దారితీసింది. నిఘా విమానంగా, సెబాస్టియన్ లెఫెబ్రే డ్రోన్ యుఎవిలకు ప్రత్యామ్నాయంగా విమానం గురించి భావించాడు, రెండోది ముఖ్యంగా విమానాశ్"&amp;"రయాల దగ్గర పనిచేయడానికి ఖరీదైనది. దీర్ఘవృత్తం ""డ్రోన్ మిషన్ల పరిధిలో 80% 20% ఖర్చుకు అందించడం"" లక్ష్యంగా పెట్టుకుంది. [3] నిఘా మరియు సైనిక కార్యకలాపాల కోసం విమానం యొక్క సామర్థ్యం ఇన్వెస్ట్మెంట్ ఫండ్ మాగెల్లాన్ ఇండస్ట్రీస్ LH విమానయానంలో వాటాదారుగా మారడా"&amp;"నికి దారితీసింది. పగలు మరియు రాత్రి దృష్టి, రాకెట్ లాంచింగ్ మరియు ఆన్-బోర్డ్ కమ్యూనికేషన్ సిస్టమ్‌లతో సహా వివిధ పరికరాల వ్యవస్థలతో పౌర మరియు సైనిక కార్యకలాపాల కోసం మాడ్యులర్ ప్లాట్‌ఫామ్‌గా థేల్స్‌తో కలిసి ఎలిప్స్ మరింత అభివృద్ధి చేయబడింది. [3] LH-10 దీర్ఘ"&amp;"వృత్తం తక్కువ-వింగ్, టెన్డం టూ-సీట్ల లైట్ కిట్ విమానం, ఇది 100 HP రోటాక్స్ పెట్రోల్ ఇంజిన్‌తో పషర్-ప్రొపెల్లర్ కాన్ఫిగరేషన్‌లో శక్తినిస్తుంది. దాని తక్కువ బరువు మరియు అసాధారణమైన కాన్ఫిగరేషన్ అసాధారణమైన ఇంధన ఆర్థిక వ్యవస్థతో చాలా ఎక్కువ క్రూజింగ్ వేగాన్ని "&amp;"అందించడానికి రూపొందించబడింది. [2] ఈ అధిక వేగం మరియు సాపేక్షంగా అధిక 50-నాట్ స్టాల్ వేగం దీనిని UK మైక్రోలైట్ లేదా అమెరికా LSA వర్గాల నుండి మినహాయించింది, కాబట్టి పూర్తి సింగిల్-ఇంజిన్ ప్రైవేట్ పైలట్ సర్టిఫికేట్ ఈ దేశాలలో ఎగరడానికి కనీస ధృవీకరణ అవసరం, అవి "&amp;"కాదు ఏమైనప్పటికీ, తయారీదారు యొక్క తక్షణ లక్ష్యం. 2008 లో ఫర్న్‌బరో ఎయిర్‌షో ఎల్‌హెచ్-ఎవియేషన్ మాట్లాడుతూ, భవిష్యత్తు కోసం వారు ఎల్‌ఎస్‌ఎ/ఎలా కంప్లైంట్ ఉత్పత్తిని పరిశీలిస్తారని, బహుశా అమెరికా కోసం. ఎయిర్‌ఫ్రేమ్ DSM చేత ఉత్పత్తి చేయబడిన పదార్ధాల ఆధారంగా మి"&amp;"శ్రమ పదార్థంతో నిర్మించబడింది. [1] ఉత్పత్తి నమూనా రోటాక్స్ 912 నాలుగు-సిలిండర్ రెసిప్రొకేటింగ్ ఇంజిన్ ద్వారా శక్తినిస్తుంది. . విమానం యొక్క రూపకల్పన, తోకలో ప్రొపెల్లర్ మరియు గ్లైడర్ కాన్ఫిగరేషన్‌లో ఫార్వర్డ్ పైలట్ సీటుతో చిన్న-ముక్కు ఫ్యూజ్‌లేజ్‌తో, 300 డ"&amp;"ిగ్రీల వీక్షణ క్షేత్రాన్ని అందిస్తుంది. [3] డిజైన్ BEDE BD-5 కాన్ఫిగరేషన్‌ను అనుసరిస్తుంది, కానీ ఎక్కువ కాలం, మరింత క్రమబద్ధీకరించబడింది మరియు తేలికైన మిశ్రమ పదార్థం. [4] ఫిబ్రవరి 2010 లో, ఈ విమానం ఫ్రెంచ్ CNSK ప్రమాణాన్ని సాధించడానికి అవసరమైన పరీక్షల శ్ర"&amp;"ేణిని ప్రారంభించింది (సర్టిఫికేట్ డి నావిగాబిలిటీ స్పేషియల్ కిట్, ఫ్రెంచ్ కిట్‌ప్లేన్ ధృవీకరణ). ""అన్ని నిర్మాణ పత్రాలను డిసెంబర్ 2009 లో ఫ్రెంచ్ మరియు ఆంగ్ల అధికారులు ధృవీకరించారు"" అని కంపెనీ నివేదించింది. [5] బెనిన్ సాయుధ దళాలు రెండు గ్రాండ్ డ్యూక్లను "&amp;"రాజధాని పోర్టో-నోవో చుట్టూ తమ తీరప్రాంతాలను పర్యవేక్షించాలని ఆదేశించాయి. గ్రాండ్ DUC అనేది ""వైమానిక భూభాగ నిఘా వ్యవస్థ"" అని పిలవబడేది మరియు అసలు సంస్కరణకు భిన్నంగా ఉంటుంది, దాని విస్తృతమైన ఆన్-బోర్డ్ ఇన్స్ట్రుమెంటేషన్‌లో మాత్రమే, ఆటోపైలట్, నైట్ ఫ్లయింగ్"&amp;" కోసం పరికరాలు, GPS, ఇరిడియం ఉపగ్రహ సమాచార మార్పిడి, ట్రాన్స్‌పాండర్, డిజిటల్ కెమెరా మరియు విమానం భూమి నుండి ట్రాక్ చేయడానికి జియోబాక్స్ వ్యవస్థ. [6] మొట్టమొదటి ఉత్పత్తి గ్రాండ్ డక్ జూన్ 2011 పారిస్ ఎయిర్ షోలో కనిపించింది, ఇది బెనిన్ వైమానిక దళం యొక్క రంగ"&amp;"ులలో పెయింట్ చేయబడింది. [7] మొదటి యూనిట్ 2012 చివరలో బెనిన్‌కు పంపిణీ చేయబడింది మరియు రెండవ యూనిట్ సెప్టెంబర్ 2013 లో పంపిణీ చేయవలసి ఉంది. 2018 నాటికి, ఏ విమానం పనిచేయలేదు. [8] 2013 పారిస్ ఎయిర్ షోలో, దుబాయ్‌కు చెందిన జెట్ ఎనర్జీ నుండి 10 విమానాలకు ఆర్డర్"&amp;" లభించినట్లు కంపెనీ ప్రకటించింది. ఇరాన్ మరియు యునైటెడ్ అరబ్ ఎమిరేట్స్ మధ్య నిషేధ వాణిజ్యాన్ని నిర్వహించే పైప్‌లైన్‌లు, ఆయిల్ రిగ్‌లను పర్యవేక్షించడం మరియు DHO లను ట్రాక్ చేయడంలో విమానాలను ఉపయోగించాలి. [3] జేన్ యొక్క అన్ని ప్రపంచ విమానాల నుండి డేటా 2011/12"&amp;" [9] పోల్చదగిన పాత్ర, కాన్ఫిగరేషన్ మరియు ERA యొక్క సాధారణ లక్షణాల పనితీరు విమానం")</f>
        <v>LH ఏవియేషన్ LH-10 ఎలిప్స్ అనేది రెండు-సీట్ల లైట్ ఎయిర్క్రాఫ్ట్ కిట్‌ప్లేన్, ఇది ఫ్రాన్స్ యొక్క LH విమానయానం రూపొందించింది. ఇది తక్కువ-వింగ్ సింగిల్-ఇంజిన్ పషర్ కాన్ఫిగరేషన్, ఇది టెన్డం సీటింగ్ అమరికతో, మరియు మిశ్రమ పదార్థాలతో నిర్మించబడింది. [1] [2] ఈ విమానం నిఘా కాన్ఫిగరేషన్‌లో గ్రాండ్ డియుసి (యురేషియన్ ఈగిల్-ఓల్) గా విక్రయించబడింది. LH-10 దీర్ఘవృత్తాన్ని ఫ్రెంచ్ వ్యక్తి సెబాస్టియన్ లెఫెబ్రే చేత రూపొందించారు, "ప్రైవేట్ పైలట్లకు అందుబాటులో ఉన్న దానికంటే భిన్నమైన డిజైన్ మరియు పనితీరుతో ఒక చిన్న విమానం" అని రూపొందించడానికి ఇంజనీరింగ్ గ్రాండే ఎకోల్ (విశ్వవిద్యాలయం) ప్రాజెక్టుగా ప్రారంభమైంది. [3] ఇది మే 2004 లో కంపెనీ స్థాపనకు దారితీసింది. నిఘా విమానంగా, సెబాస్టియన్ లెఫెబ్రే డ్రోన్ యుఎవిలకు ప్రత్యామ్నాయంగా విమానం గురించి భావించాడు, రెండోది ముఖ్యంగా విమానాశ్రయాల దగ్గర పనిచేయడానికి ఖరీదైనది. దీర్ఘవృత్తం "డ్రోన్ మిషన్ల పరిధిలో 80% 20% ఖర్చుకు అందించడం" లక్ష్యంగా పెట్టుకుంది. [3] నిఘా మరియు సైనిక కార్యకలాపాల కోసం విమానం యొక్క సామర్థ్యం ఇన్వెస్ట్మెంట్ ఫండ్ మాగెల్లాన్ ఇండస్ట్రీస్ LH విమానయానంలో వాటాదారుగా మారడానికి దారితీసింది. పగలు మరియు రాత్రి దృష్టి, రాకెట్ లాంచింగ్ మరియు ఆన్-బోర్డ్ కమ్యూనికేషన్ సిస్టమ్‌లతో సహా వివిధ పరికరాల వ్యవస్థలతో పౌర మరియు సైనిక కార్యకలాపాల కోసం మాడ్యులర్ ప్లాట్‌ఫామ్‌గా థేల్స్‌తో కలిసి ఎలిప్స్ మరింత అభివృద్ధి చేయబడింది. [3] LH-10 దీర్ఘవృత్తం తక్కువ-వింగ్, టెన్డం టూ-సీట్ల లైట్ కిట్ విమానం, ఇది 100 HP రోటాక్స్ పెట్రోల్ ఇంజిన్‌తో పషర్-ప్రొపెల్లర్ కాన్ఫిగరేషన్‌లో శక్తినిస్తుంది. దాని తక్కువ బరువు మరియు అసాధారణమైన కాన్ఫిగరేషన్ అసాధారణమైన ఇంధన ఆర్థిక వ్యవస్థతో చాలా ఎక్కువ క్రూజింగ్ వేగాన్ని అందించడానికి రూపొందించబడింది. [2] ఈ అధిక వేగం మరియు సాపేక్షంగా అధిక 50-నాట్ స్టాల్ వేగం దీనిని UK మైక్రోలైట్ లేదా అమెరికా LSA వర్గాల నుండి మినహాయించింది, కాబట్టి పూర్తి సింగిల్-ఇంజిన్ ప్రైవేట్ పైలట్ సర్టిఫికేట్ ఈ దేశాలలో ఎగరడానికి కనీస ధృవీకరణ అవసరం, అవి కాదు ఏమైనప్పటికీ, తయారీదారు యొక్క తక్షణ లక్ష్యం. 2008 లో ఫర్న్‌బరో ఎయిర్‌షో ఎల్‌హెచ్-ఎవియేషన్ మాట్లాడుతూ, భవిష్యత్తు కోసం వారు ఎల్‌ఎస్‌ఎ/ఎలా కంప్లైంట్ ఉత్పత్తిని పరిశీలిస్తారని, బహుశా అమెరికా కోసం. ఎయిర్‌ఫ్రేమ్ DSM చేత ఉత్పత్తి చేయబడిన పదార్ధాల ఆధారంగా మిశ్రమ పదార్థంతో నిర్మించబడింది. [1] ఉత్పత్తి నమూనా రోటాక్స్ 912 నాలుగు-సిలిండర్ రెసిప్రొకేటింగ్ ఇంజిన్ ద్వారా శక్తినిస్తుంది. . విమానం యొక్క రూపకల్పన, తోకలో ప్రొపెల్లర్ మరియు గ్లైడర్ కాన్ఫిగరేషన్‌లో ఫార్వర్డ్ పైలట్ సీటుతో చిన్న-ముక్కు ఫ్యూజ్‌లేజ్‌తో, 300 డిగ్రీల వీక్షణ క్షేత్రాన్ని అందిస్తుంది. [3] డిజైన్ BEDE BD-5 కాన్ఫిగరేషన్‌ను అనుసరిస్తుంది, కానీ ఎక్కువ కాలం, మరింత క్రమబద్ధీకరించబడింది మరియు తేలికైన మిశ్రమ పదార్థం. [4] ఫిబ్రవరి 2010 లో, ఈ విమానం ఫ్రెంచ్ CNSK ప్రమాణాన్ని సాధించడానికి అవసరమైన పరీక్షల శ్రేణిని ప్రారంభించింది (సర్టిఫికేట్ డి నావిగాబిలిటీ స్పేషియల్ కిట్, ఫ్రెంచ్ కిట్‌ప్లేన్ ధృవీకరణ). "అన్ని నిర్మాణ పత్రాలను డిసెంబర్ 2009 లో ఫ్రెంచ్ మరియు ఆంగ్ల అధికారులు ధృవీకరించారు" అని కంపెనీ నివేదించింది. [5] బెనిన్ సాయుధ దళాలు రెండు గ్రాండ్ డ్యూక్లను రాజధాని పోర్టో-నోవో చుట్టూ తమ తీరప్రాంతాలను పర్యవేక్షించాలని ఆదేశించాయి. గ్రాండ్ DUC అనేది "వైమానిక భూభాగ నిఘా వ్యవస్థ" అని పిలవబడేది మరియు అసలు సంస్కరణకు భిన్నంగా ఉంటుంది, దాని విస్తృతమైన ఆన్-బోర్డ్ ఇన్స్ట్రుమెంటేషన్‌లో మాత్రమే, ఆటోపైలట్, నైట్ ఫ్లయింగ్ కోసం పరికరాలు, GPS, ఇరిడియం ఉపగ్రహ సమాచార మార్పిడి, ట్రాన్స్‌పాండర్, డిజిటల్ కెమెరా మరియు విమానం భూమి నుండి ట్రాక్ చేయడానికి జియోబాక్స్ వ్యవస్థ. [6] మొట్టమొదటి ఉత్పత్తి గ్రాండ్ డక్ జూన్ 2011 పారిస్ ఎయిర్ షోలో కనిపించింది, ఇది బెనిన్ వైమానిక దళం యొక్క రంగులలో పెయింట్ చేయబడింది. [7] మొదటి యూనిట్ 2012 చివరలో బెనిన్‌కు పంపిణీ చేయబడింది మరియు రెండవ యూనిట్ సెప్టెంబర్ 2013 లో పంపిణీ చేయవలసి ఉంది. 2018 నాటికి, ఏ విమానం పనిచేయలేదు. [8] 2013 పారిస్ ఎయిర్ షోలో, దుబాయ్‌కు చెందిన జెట్ ఎనర్జీ నుండి 10 విమానాలకు ఆర్డర్ లభించినట్లు కంపెనీ ప్రకటించింది. ఇరాన్ మరియు యునైటెడ్ అరబ్ ఎమిరేట్స్ మధ్య నిషేధ వాణిజ్యాన్ని నిర్వహించే పైప్‌లైన్‌లు, ఆయిల్ రిగ్‌లను పర్యవేక్షించడం మరియు DHO లను ట్రాక్ చేయడంలో విమానాలను ఉపయోగించాలి. [3] జేన్ యొక్క అన్ని ప్రపంచ విమానాల నుండి డేటా 2011/12 [9] పోల్చదగిన పాత్ర, కాన్ఫిగరేషన్ మరియు ERA యొక్క సాధారణ లక్షణాల పనితీరు విమానం</v>
      </c>
      <c r="E188" s="1" t="s">
        <v>3196</v>
      </c>
      <c r="F188" s="1" t="s">
        <v>3197</v>
      </c>
      <c r="G188" s="1" t="str">
        <f>IFERROR(__xludf.DUMMYFUNCTION("GOOGLETRANSLATE(F:F, ""en"", ""te"")"),"తేలికపాటి విమానం")</f>
        <v>తేలికపాటి విమానం</v>
      </c>
      <c r="I188" s="1" t="s">
        <v>3198</v>
      </c>
      <c r="J188" s="1" t="str">
        <f>IFERROR(__xludf.DUMMYFUNCTION("GOOGLETRANSLATE(I:I, ""en"", ""te"")"),"LH ఏవియేషన్")</f>
        <v>LH ఏవియేషన్</v>
      </c>
      <c r="K188" s="1" t="s">
        <v>3199</v>
      </c>
      <c r="M188" s="2"/>
      <c r="O188" s="1">
        <v>3.0</v>
      </c>
      <c r="R188" s="1" t="s">
        <v>1138</v>
      </c>
      <c r="T188" s="1" t="s">
        <v>3200</v>
      </c>
      <c r="U188" s="1" t="s">
        <v>3201</v>
      </c>
      <c r="V188" s="1" t="s">
        <v>3202</v>
      </c>
      <c r="W188" s="1" t="s">
        <v>3096</v>
      </c>
      <c r="Y188" s="1" t="s">
        <v>3203</v>
      </c>
      <c r="Z188" s="1" t="s">
        <v>3204</v>
      </c>
      <c r="AA188" s="1" t="s">
        <v>3205</v>
      </c>
      <c r="AB188" s="1" t="s">
        <v>310</v>
      </c>
      <c r="AC188" s="1" t="s">
        <v>3206</v>
      </c>
      <c r="AI188" s="1" t="s">
        <v>1243</v>
      </c>
      <c r="AK188" s="1" t="s">
        <v>3207</v>
      </c>
      <c r="AL188" s="1" t="s">
        <v>3208</v>
      </c>
      <c r="AM188" s="1" t="s">
        <v>3209</v>
      </c>
      <c r="AO188" s="1">
        <v>2007.0</v>
      </c>
      <c r="AP188" s="1" t="s">
        <v>3210</v>
      </c>
      <c r="AQ188" s="1" t="s">
        <v>3211</v>
      </c>
      <c r="AR188" s="1" t="s">
        <v>3212</v>
      </c>
      <c r="AS188" s="1" t="s">
        <v>240</v>
      </c>
      <c r="AT188" s="1" t="s">
        <v>3213</v>
      </c>
      <c r="AV188" s="1" t="s">
        <v>3214</v>
      </c>
      <c r="BE188" s="1">
        <v>14.2</v>
      </c>
      <c r="BJ188" s="1" t="s">
        <v>3215</v>
      </c>
    </row>
    <row r="189">
      <c r="A189" s="1" t="s">
        <v>3216</v>
      </c>
      <c r="B189" s="1" t="str">
        <f>IFERROR(__xludf.DUMMYFUNCTION("GOOGLETRANSLATE(A:A, ""en"", ""te"")"),"హోండా MH01")</f>
        <v>హోండా MH01</v>
      </c>
      <c r="C189" s="1" t="s">
        <v>3217</v>
      </c>
      <c r="D189" s="2" t="str">
        <f>IFERROR(__xludf.DUMMYFUNCTION("GOOGLETRANSLATE(C:C, ""en"", ""te"")"),"హోండా MH01 అనేది జపాన్ సంస్థ హోండా అభివృద్ధి చేసిన ఒక ప్రయోగాత్మక వ్యాపార జెట్, ఇది మిస్సిస్సిప్పి స్టేట్ యూనివర్శిటీ యొక్క రాస్పెట్ ఫ్లైట్ రీసెర్చ్ లాబొరేటరీ సహకారంతో. బీచ్‌క్రాఫ్ట్ బొనాంజా యొక్క ఎయిర్‌ఫ్రేమ్‌ను ఉపయోగించి, హోండా మిశ్రమ పదార్థాలను లోహ విమ"&amp;"ానంలో చేర్చడానికి ప్రయత్నించింది, మొదటిది ఇది వ్యాపార విమానంలో జరిగింది. విమాన రూపకల్పన మరియు నిర్మాణంలో అనుభవాన్ని పొందడమే లక్ష్యం. [1] ఆ సమయంలో రెక్కల పైన ఉన్న ఇంజిన్లతో (VFW-ఫోకర్ 614) జంట ఇంజిన్ ఉన్నప్పటికీ, MH01 లో ఉపయోగించిన ఈ అమరిక అసాధారణమైనది. [స"&amp;"ైటేషన్ అవసరం] రెక్కలు కొద్దిగా అన్హెడ్రల్ మరియు రెండు ఇంజన్లు వాటికి పైన ఉన్నాయి. [[ సైటేషన్ అవసరం] ప్రోటోటైప్ ప్రస్తుతం జపాన్లోని మ్యూజియంలో ఉంది. [సైటేషన్ అవసరం] [ఎక్కడ?] దాని వారసుడు హోండా MH02, అదే కాన్ఫిగరేషన్‌ను ఉపయోగించే జెట్ మరియు ప్రత్యేకంగా మిశ్"&amp;"రమ పదార్థాలను ఉపయోగిస్తుంది. 1980 ల విమానంపై వ్యాసం ఒక స్టబ్. వికీపీడియా విస్తరించడం ద్వారా మీరు సహాయపడవచ్చు.")</f>
        <v>హోండా MH01 అనేది జపాన్ సంస్థ హోండా అభివృద్ధి చేసిన ఒక ప్రయోగాత్మక వ్యాపార జెట్, ఇది మిస్సిస్సిప్పి స్టేట్ యూనివర్శిటీ యొక్క రాస్పెట్ ఫ్లైట్ రీసెర్చ్ లాబొరేటరీ సహకారంతో. బీచ్‌క్రాఫ్ట్ బొనాంజా యొక్క ఎయిర్‌ఫ్రేమ్‌ను ఉపయోగించి, హోండా మిశ్రమ పదార్థాలను లోహ విమానంలో చేర్చడానికి ప్రయత్నించింది, మొదటిది ఇది వ్యాపార విమానంలో జరిగింది. విమాన రూపకల్పన మరియు నిర్మాణంలో అనుభవాన్ని పొందడమే లక్ష్యం. [1] ఆ సమయంలో రెక్కల పైన ఉన్న ఇంజిన్లతో (VFW-ఫోకర్ 614) జంట ఇంజిన్ ఉన్నప్పటికీ, MH01 లో ఉపయోగించిన ఈ అమరిక అసాధారణమైనది. [సైటేషన్ అవసరం] రెక్కలు కొద్దిగా అన్హెడ్రల్ మరియు రెండు ఇంజన్లు వాటికి పైన ఉన్నాయి. [[ సైటేషన్ అవసరం] ప్రోటోటైప్ ప్రస్తుతం జపాన్లోని మ్యూజియంలో ఉంది. [సైటేషన్ అవసరం] [ఎక్కడ?] దాని వారసుడు హోండా MH02, అదే కాన్ఫిగరేషన్‌ను ఉపయోగించే జెట్ మరియు ప్రత్యేకంగా మిశ్రమ పదార్థాలను ఉపయోగిస్తుంది. 1980 ల విమానంపై వ్యాసం ఒక స్టబ్. వికీపీడియా విస్తరించడం ద్వారా మీరు సహాయపడవచ్చు.</v>
      </c>
      <c r="F189" s="1" t="s">
        <v>2891</v>
      </c>
      <c r="G189" s="1" t="str">
        <f>IFERROR(__xludf.DUMMYFUNCTION("GOOGLETRANSLATE(F:F, ""en"", ""te"")"),"ప్రయోగాత్మక విమానం")</f>
        <v>ప్రయోగాత్మక విమానం</v>
      </c>
      <c r="H189" s="1" t="s">
        <v>2892</v>
      </c>
      <c r="I189" s="1" t="s">
        <v>3218</v>
      </c>
      <c r="J189" s="1" t="str">
        <f>IFERROR(__xludf.DUMMYFUNCTION("GOOGLETRANSLATE(I:I, ""en"", ""te"")"),"హోండమిసిసిపీ స్టేట్ యూనివర్శిటీ")</f>
        <v>హోండమిసిసిపీ స్టేట్ యూనివర్శిటీ</v>
      </c>
      <c r="K189" s="1" t="s">
        <v>3219</v>
      </c>
      <c r="M189" s="2"/>
      <c r="O189" s="1">
        <v>1.0</v>
      </c>
      <c r="AS189" s="1" t="s">
        <v>60</v>
      </c>
    </row>
    <row r="190">
      <c r="A190" s="1" t="s">
        <v>3220</v>
      </c>
      <c r="B190" s="1" t="str">
        <f>IFERROR(__xludf.DUMMYFUNCTION("GOOGLETRANSLATE(A:A, ""en"", ""te"")"),"హఫ్-డాలాండ్ XHB-1")</f>
        <v>హఫ్-డాలాండ్ XHB-1</v>
      </c>
      <c r="C190" s="1" t="s">
        <v>3221</v>
      </c>
      <c r="D190" s="2" t="str">
        <f>IFERROR(__xludf.DUMMYFUNCTION("GOOGLETRANSLATE(C:C, ""en"", ""te"")"),"హఫ్-డాలాండ్ XHB-1 ""సైక్లోప్స్"" 1920 ల అమెరికన్ ప్రోటోటైప్ హెవీ బాంబర్, ఇది హఫ్-డాలాండ్ కంపెనీ రూపొందించి నిర్మించబడింది. [1] XHB-1 ను ఒకే 750 HP ప్యాకర్డ్ 2A-250 ముక్కు-మౌంటెడ్ ఇంజిన్ ద్వారా నడిచే మునుపటి LB-1 యొక్క విస్తరించిన సంస్కరణగా రూపొందించబడింది"&amp;". ఇది నలుగురు సిబ్బందిని కలిగి ఉంది మరియు 4000 పౌండ్ల బాంబు లోడ్ ఉంది. సింగిల్ ఇంజిన్ విమానం ఈ పాత్రకు తగినది కాదని నిర్ణయించినందున సైక్లోప్‌లను ఉత్పత్తిలోకి ఆదేశించకూడదని సైన్యం నిర్ణయించింది. జంట-ఇంజిన్ వెర్షన్ XB-1 సూపర్ సైక్లోప్‌లుగా అభివృద్ధి చేయబడిం"&amp;"ది. [2] [3] సాధారణ లక్షణాల పనితీరు సంబంధిత జాబితాల నుండి డేటా")</f>
        <v>హఫ్-డాలాండ్ XHB-1 "సైక్లోప్స్" 1920 ల అమెరికన్ ప్రోటోటైప్ హెవీ బాంబర్, ఇది హఫ్-డాలాండ్ కంపెనీ రూపొందించి నిర్మించబడింది. [1] XHB-1 ను ఒకే 750 HP ప్యాకర్డ్ 2A-250 ముక్కు-మౌంటెడ్ ఇంజిన్ ద్వారా నడిచే మునుపటి LB-1 యొక్క విస్తరించిన సంస్కరణగా రూపొందించబడింది. ఇది నలుగురు సిబ్బందిని కలిగి ఉంది మరియు 4000 పౌండ్ల బాంబు లోడ్ ఉంది. సింగిల్ ఇంజిన్ విమానం ఈ పాత్రకు తగినది కాదని నిర్ణయించినందున సైక్లోప్‌లను ఉత్పత్తిలోకి ఆదేశించకూడదని సైన్యం నిర్ణయించింది. జంట-ఇంజిన్ వెర్షన్ XB-1 సూపర్ సైక్లోప్‌లుగా అభివృద్ధి చేయబడింది. [2] [3] సాధారణ లక్షణాల పనితీరు సంబంధిత జాబితాల నుండి డేటా</v>
      </c>
      <c r="E190" s="1" t="s">
        <v>3222</v>
      </c>
      <c r="F190" s="1" t="s">
        <v>3223</v>
      </c>
      <c r="G190" s="1" t="str">
        <f>IFERROR(__xludf.DUMMYFUNCTION("GOOGLETRANSLATE(F:F, ""en"", ""te"")"),"హెవీ సింగిల్-ఇంజిన్ బాంబర్")</f>
        <v>హెవీ సింగిల్-ఇంజిన్ బాంబర్</v>
      </c>
      <c r="I190" s="1" t="s">
        <v>3224</v>
      </c>
      <c r="J190" s="1" t="str">
        <f>IFERROR(__xludf.DUMMYFUNCTION("GOOGLETRANSLATE(I:I, ""en"", ""te"")"),"హఫ్-డాలాండ్")</f>
        <v>హఫ్-డాలాండ్</v>
      </c>
      <c r="K190" s="4" t="s">
        <v>3225</v>
      </c>
      <c r="M190" s="2"/>
      <c r="O190" s="1">
        <v>1.0</v>
      </c>
      <c r="R190" s="1" t="s">
        <v>3226</v>
      </c>
      <c r="T190" s="1" t="s">
        <v>3227</v>
      </c>
      <c r="U190" s="1" t="s">
        <v>3228</v>
      </c>
      <c r="X190" s="1" t="s">
        <v>3229</v>
      </c>
      <c r="Z190" s="1" t="s">
        <v>3230</v>
      </c>
      <c r="AF190" s="1" t="s">
        <v>206</v>
      </c>
      <c r="AH190" s="1" t="s">
        <v>3231</v>
      </c>
      <c r="AI190" s="1" t="s">
        <v>3232</v>
      </c>
      <c r="AL190" s="1" t="s">
        <v>3233</v>
      </c>
      <c r="AP190" s="1" t="s">
        <v>996</v>
      </c>
      <c r="BD190" s="1" t="s">
        <v>3234</v>
      </c>
    </row>
    <row r="191">
      <c r="A191" s="1" t="s">
        <v>3235</v>
      </c>
      <c r="B191" s="1" t="str">
        <f>IFERROR(__xludf.DUMMYFUNCTION("GOOGLETRANSLATE(A:A, ""en"", ""te"")"),"PTO-4")</f>
        <v>PTO-4</v>
      </c>
      <c r="C191" s="1" t="s">
        <v>3236</v>
      </c>
      <c r="D191" s="2" t="str">
        <f>IFERROR(__xludf.DUMMYFUNCTION("GOOGLETRANSLATE(C:C, ""en"", ""te"")"),"PTO-4 రెండవ ప్రపంచ యుద్ధం యొక్క ఎస్టోనియన్-రూపొందించిన సైనిక శిక్షణా విమానం. 1938 లో, ఎస్టోనియన్ ఏవియేషన్ ఇంజనీర్లు వోల్డ్‌మార్ పోస్ట్, రీన్ టూమా మరియు ఒట్టో ఆర్గ్, గతంలో PON-1 శిక్షకుడికి బాధ్యత వహిస్తారు, PTO-4 శిక్షణా విమానాలను రూపొందించారు మరియు నిర్మ"&amp;"ించారు. [1] ఇది 120 హెచ్‌పి యొక్క డి హవిలాండ్ జిప్సీతో నడిచే రెండు-సీట్ల తక్కువ-రెక్కల మోనోప్లేన్, చక్రాలు లేదా స్కిస్‌తో అమర్చగల స్థిరమైన అండర్ క్యారేజీతో. [సైటేషన్ అవసరం] విమానం గంటకు గరిష్టంగా 245 కిలోమీటర్ల వేగంతో ఎగురుతుంది మరియు 5,000 మీటర్ల పైకప్పు"&amp;"ను కలిగి ఉంది. 12 అక్టోబర్ 1938 న [సైటేషన్ అవసరం], PTO-4 ను వైమానిక దళం సేవలోకి తీసుకున్నారు. [సైటేషన్ అవసరం] ఈస్టోనియన్ వైమానిక దళం రెండు PTO-4 లను పొందింది (సీరియల్ నంబర్లు 161 మరియు 162) , ఒకటి ఓపెన్ కాక్‌పిట్ మరియు మరొకటి పరివేష్టిత కాక్‌పిట్. [1] ఆరు"&amp;" ఉదాహరణలు సివిల్ వాడకంలో ఉన్నాయి, [సైటేషన్ అవసరం] వీటిలో ఐదు ఈస్టీ ఏరోక్లుబి (EAK) చేత ఉపయోగించబడ్డాయి, ఎస్టోనియన్ మిలిటరీ చేత నియంత్రించబడే ఫ్లయింగ్ క్లబ్. [1] ఎస్టోనియా యొక్క సోవియట్ ఆక్రమణ (1940–41) నుండి బతికి ఉన్న నాలుగు ఉదాహరణలు జర్మన్ లుఫ్ట్‌వాఫ్ఫ్"&amp;" చేత నిర్వహించబడ్డాయి, వీటిని ఎస్టోనియన్ వాలంటీర్లు (ప్రారంభంలో సోండర్‌స్టాఫెల్ బుష్మాన్ అని పిలుస్తారు మరియు తరువాత 1./sagr.127) రెవల్-యూలెమిస్ట్ ఎయిర్ ఫీల్డ్ వద్ద ఉంది . బాల్టిక్ ఒడ్డున తీరప్రాంత పెట్రోలింగ్ కోసం వారు శిక్షణ మరియు అనుసంధాన విమానంగా నిర్"&amp;"వహించబడ్డారు. [2] సంబంధిత అభివృద్ధి సంబంధిత జాబితాలు ఈ సైనిక విమానయాన వ్యాసం ఒక స్టబ్. మీరు వికీపీడియాను విస్తరించడం ద్వారా సహాయపడవచ్చు. ఈ రెండవ ప్రపంచ యుద్ధం వ్యాసం ఒక స్టబ్. వికీపీడియా విస్తరించడం ద్వారా మీరు సహాయపడవచ్చు.")</f>
        <v>PTO-4 రెండవ ప్రపంచ యుద్ధం యొక్క ఎస్టోనియన్-రూపొందించిన సైనిక శిక్షణా విమానం. 1938 లో, ఎస్టోనియన్ ఏవియేషన్ ఇంజనీర్లు వోల్డ్‌మార్ పోస్ట్, రీన్ టూమా మరియు ఒట్టో ఆర్గ్, గతంలో PON-1 శిక్షకుడికి బాధ్యత వహిస్తారు, PTO-4 శిక్షణా విమానాలను రూపొందించారు మరియు నిర్మించారు. [1] ఇది 120 హెచ్‌పి యొక్క డి హవిలాండ్ జిప్సీతో నడిచే రెండు-సీట్ల తక్కువ-రెక్కల మోనోప్లేన్, చక్రాలు లేదా స్కిస్‌తో అమర్చగల స్థిరమైన అండర్ క్యారేజీతో. [సైటేషన్ అవసరం] విమానం గంటకు గరిష్టంగా 245 కిలోమీటర్ల వేగంతో ఎగురుతుంది మరియు 5,000 మీటర్ల పైకప్పును కలిగి ఉంది. 12 అక్టోబర్ 1938 న [సైటేషన్ అవసరం], PTO-4 ను వైమానిక దళం సేవలోకి తీసుకున్నారు. [సైటేషన్ అవసరం] ఈస్టోనియన్ వైమానిక దళం రెండు PTO-4 లను పొందింది (సీరియల్ నంబర్లు 161 మరియు 162) , ఒకటి ఓపెన్ కాక్‌పిట్ మరియు మరొకటి పరివేష్టిత కాక్‌పిట్. [1] ఆరు ఉదాహరణలు సివిల్ వాడకంలో ఉన్నాయి, [సైటేషన్ అవసరం] వీటిలో ఐదు ఈస్టీ ఏరోక్లుబి (EAK) చేత ఉపయోగించబడ్డాయి, ఎస్టోనియన్ మిలిటరీ చేత నియంత్రించబడే ఫ్లయింగ్ క్లబ్. [1] ఎస్టోనియా యొక్క సోవియట్ ఆక్రమణ (1940–41) నుండి బతికి ఉన్న నాలుగు ఉదాహరణలు జర్మన్ లుఫ్ట్‌వాఫ్ఫ్ చేత నిర్వహించబడ్డాయి, వీటిని ఎస్టోనియన్ వాలంటీర్లు (ప్రారంభంలో సోండర్‌స్టాఫెల్ బుష్మాన్ అని పిలుస్తారు మరియు తరువాత 1./sagr.127) రెవల్-యూలెమిస్ట్ ఎయిర్ ఫీల్డ్ వద్ద ఉంది . బాల్టిక్ ఒడ్డున తీరప్రాంత పెట్రోలింగ్ కోసం వారు శిక్షణ మరియు అనుసంధాన విమానంగా నిర్వహించబడ్డారు. [2] సంబంధిత అభివృద్ధి సంబంధిత జాబితాలు ఈ సైనిక విమానయాన వ్యాసం ఒక స్టబ్. మీరు వికీపీడియాను విస్తరించడం ద్వారా సహాయపడవచ్చు. ఈ రెండవ ప్రపంచ యుద్ధం వ్యాసం ఒక స్టబ్. వికీపీడియా విస్తరించడం ద్వారా మీరు సహాయపడవచ్చు.</v>
      </c>
      <c r="E191" s="1" t="s">
        <v>3237</v>
      </c>
      <c r="F191" s="1" t="s">
        <v>1425</v>
      </c>
      <c r="G191" s="1" t="str">
        <f>IFERROR(__xludf.DUMMYFUNCTION("GOOGLETRANSLATE(F:F, ""en"", ""te"")"),"శిక్షకుడు")</f>
        <v>శిక్షకుడు</v>
      </c>
      <c r="H191" s="4" t="s">
        <v>1426</v>
      </c>
      <c r="I191" s="1" t="s">
        <v>3238</v>
      </c>
      <c r="J191" s="1" t="str">
        <f>IFERROR(__xludf.DUMMYFUNCTION("GOOGLETRANSLATE(I:I, ""en"", ""te"")"),"అవియోటోకోడా, టాలిన్")</f>
        <v>అవియోటోకోడా, టాలిన్</v>
      </c>
      <c r="K191" s="1" t="s">
        <v>3239</v>
      </c>
      <c r="L191" s="1" t="s">
        <v>3240</v>
      </c>
      <c r="M191" s="2" t="str">
        <f>IFERROR(__xludf.DUMMYFUNCTION("GOOGLETRANSLATE(L:L, ""en"", ""te"")"),"వోల్డ్‌మార్ పోస్ట్, రిచర్డ్ టూమా మరియు ఒట్టో ఆర్గ్")</f>
        <v>వోల్డ్‌మార్ పోస్ట్, రిచర్డ్ టూమా మరియు ఒట్టో ఆర్గ్</v>
      </c>
      <c r="O191" s="1">
        <v>8.0</v>
      </c>
      <c r="AP191" s="1" t="s">
        <v>3241</v>
      </c>
      <c r="AQ191" s="1" t="s">
        <v>3242</v>
      </c>
      <c r="AX191" s="1">
        <v>1938.0</v>
      </c>
      <c r="BJ191" s="1">
        <v>1938.0</v>
      </c>
      <c r="BN191" s="1">
        <v>1944.0</v>
      </c>
    </row>
    <row r="192">
      <c r="A192" s="1" t="s">
        <v>3243</v>
      </c>
      <c r="B192" s="1" t="str">
        <f>IFERROR(__xludf.DUMMYFUNCTION("GOOGLETRANSLATE(A:A, ""en"", ""te"")"),"రైట్ గ్లైడర్")</f>
        <v>రైట్ గ్లైడర్</v>
      </c>
      <c r="C192" s="1" t="s">
        <v>3244</v>
      </c>
      <c r="D192" s="2" t="str">
        <f>IFERROR(__xludf.DUMMYFUNCTION("GOOGLETRANSLATE(C:C, ""en"", ""te"")"),"రైట్ బ్రదర్స్ 1900-1902లో మూడు మనుషుల గ్లైడర్‌ల శ్రేణిని రూపొందించారు, నిర్మించారు మరియు ప్రయాణించారు. వారు 1899 లో గాలిపటం తో ప్రాథమిక పరీక్షలు చేశారు. 1911 లో ఓర్విల్లే మరింత అధునాతన గ్లైడర్‌తో పరీక్షలు నిర్వహించారు. గాలిపటం లేదా గ్లైడర్‌లు ఏవీ భద్రపరచబ"&amp;"డలేదు, కాని అందరి ప్రతిరూపాలు నిర్మించబడ్డాయి. 1899 కైట్, విల్బర్, ఒహియోలోని డేటన్ లోని తన ఇంటి దగ్గరకు వెళ్లి 5 అడుగుల (1.5 మీ) రెక్కలు మాత్రమే ఉన్నాయి. ఈ పైన్ కలప మరియు షెల్లాక్డ్ క్రాఫ్ట్, పైలట్‌ను తీసుకెళ్లడానికి చాలా చిన్నది అయినప్పటికీ, రోల్ కంట్రోల"&amp;"్ కోసం రెక్క-వార్పింగ్ అనే భావనను పరీక్షించింది, ఇది నియంత్రిత విమాన సమస్యను పరిష్కరించడానికి సోదరుల నుండి అవసరమైనదని రుజువు చేస్తుంది. 1905 లో రైట్స్ ఇతర చెత్తతో పాటు క్రాఫ్ట్‌ను కాల్చారు. [1] 1900 రైట్ గ్లైడర్ బ్రదర్స్ యొక్క మొట్టమొదటిది మానవుడిని మోయగల"&amp;"దు. దీని మొత్తం నిర్మాణం 1896 నాటి ఆక్టేవ్ చాన్యూట్ యొక్క రెండు-ఉపరితల గ్లైడర్ ఆధారంగా రూపొందించబడింది. దీని వింగ్ ఎయిర్‌ఫాయిల్ ఒట్టో లిలియంతల్ యొక్క ప్రచురించిన పట్టికల ఏరోడైనమిక్ లిఫ్ట్ నుండి తీసుకోబడింది. 1899 రైట్ కైట్‌లో మొదట ప్రయత్నించిన భావన యొక్క "&amp;"పూర్తి-పరిమాణ పరీక్ష కోసం వింగ్-వార్పింగ్ సామర్ధ్యంతో గ్లైడర్ రూపొందించబడింది. 23 సెప్టెంబర్ 1900 న, విల్బర్ కిట్టి హాక్ నుండి ఇలా వ్రాశాడు, ""నా ఆలోచన కేవలం సమతుల్యత సమస్యను పరిష్కరించే ఉద్దేశ్యంతో ప్రయోగాలు మరియు సాధన చేయడమే. ఒకసారి ఒక యంత్రం అన్ని పరిస"&amp;"్థితులలో సరైన నియంత్రణలో ఉన్నప్పుడు, మోటారు సమస్య త్వరగా పరిష్కరించబడుతుంది. నా బరువును ఐదు రెట్లు కొనసాగించడానికి నేను నా యంత్రాన్ని నిర్మిస్తున్నాను ... వంతెనలాగా ట్రస్ చేయబడింది. "" 52 పౌండ్ల (24 కిలోల) బరువు, గ్లైడర్‌లో 17.5 అడుగుల (5.3 మీ) రెక్కలు ఉన"&amp;"్నాయి, ఇది 155 చదరపు అడుగుల (14.4 మీ 2) రెక్కల ప్రాంతం, రెక్కలు 1-ఇన్ -22 నిష్పత్తితో వక్రంగా ఉన్నాయి. 1924 లో, ఓర్విల్లే ఇలా వ్రాశాడు, ""... మేము చాలా సంవత్సరాలు ఎలివేటర్‌ను ముందు ఉంచాము, ఎందుకంటే ఇది ముక్కు డైవ్‌ను పూర్తిగా నిరోధించింది, దీనిలో లిలియంతల"&amp;"్ మరియు మరెన్నో వారి మరణాలను కలుసుకున్నారు."" హ్యారీ బి. కాంబ్స్ ఇలా పేర్కొన్నాడు, ""... ఎందుకంటే ఎలివేటర్ వెనుకకు బదులుగా ముందుకు సాగారు, విమానం, అది నిలిచిపోయినప్పుడు, స్పిన్ చేసి, సాంప్రదాయిక విమానం చేసిన విధంగా వాటిని చంపడానికి బదులుగా, ఒక ఫ్లాట్‌లో న"&amp;"ేలమీద పారాచూట్ చేయబడింది స్థానం. ఫార్వర్డ్ ఎలివేటర్ విమానంలో విమానం యొక్క వైఖరి యొక్క దృశ్య సూచికగా కూడా పనిచేసింది. "" గాలి నిరోధకతను తగ్గించడానికి ఫ్లైయర్ దిగువ రెక్కపైకి వచ్చే స్థానం నుండి క్రాఫ్ట్‌ను ఆపరేట్ చేస్తుంది. [2] గ్లైడర్ మొట్టమొదట అక్టోబర్ 5,"&amp;" 1900 న నార్త్ కరోలినాలోని కిట్టి హాక్ సమీపంలో మానవరహిత గాలిపటం వలె ఎగిరింది. తరువాత, విల్బర్ పైలట్‌గా ప్రయాణించగా, మైదానంలో ఉన్న పురుషులు వాయుమార్గాన క్రాఫ్ట్‌కు జతచేయబడిన టెథర్ తాడులను పట్టుకున్నారు. తదనంతరం, విల్బర్ ఒకే రోజున డజను ఉచిత విమానాలను తయారుచ"&amp;"ేశాడు, సీజన్ పరీక్ష ప్రయత్నాలను ముగించాడు. అక్టోబర్ 23 న శిబిరాన్ని విచ్ఛిన్నం చేసినప్పుడు సోదరులు గ్లైడర్‌ను విడిచిపెట్టారు, చివరికి అది ఈ ప్రాంతం యొక్క తీవ్రమైన తుఫానులలో అదృశ్యమైంది. రెక్క భాగాల యొక్క ఫాబ్రిక్ కవరింగ్ హెల్పర్ బిల్ టేట్ భార్యకు ఇవ్వబడిం"&amp;"ది, అతని కుటుంబం విల్బర్ మొట్టమొదట 1900 లో కిట్టి హాక్ వద్ద ఉండిపోయింది. శ్రీమతి టేట్ తన కుమార్తెలకు దుస్తులు తయారు చేయడానికి ఈ పదార్థాన్ని ఉపయోగించారని ఆరోపించారు. తరువాత, విల్బర్ ఇలా వ్రాశాడు, ""రేఖాంశ బ్యాలెన్సింగ్ మరియు స్టీరింగ్ విమానాల ముందు ఒక క్షి"&amp;"తిజ సమాంతర చుక్కాని ప్రొజెక్ట్ చేయడం ద్వారా ప్రభావితమయ్యాయి. ఒక చివర రెక్కల వంపును పెంచడం ద్వారా పార్శ్వ బ్యాలెన్సింగ్ మరియు కుడి మరియు ఎడమ స్టీరింగ్ పొందబడ్డాయి మరియు వాటి వద్ద వాటి వంపు తగ్గడం ఇతర. "" సోదరులు చివరికి మూడు-డైమెన్షన్ నియంత్రణ వ్యవస్థలో మూ"&amp;"డింట రెండు వంతులని ప్రదర్శించారు (గ్లైడర్ నిలువు చుక్కాని కలిగి లేదు). [2]: 116–122 1901 రైట్ గ్లైడర్ సోదరుల ప్రయోగాత్మక గ్లైడర్లలో రెండవది. కిట్టి హాక్‌కు దక్షిణాన నాలుగు మైళ్ల దూరంలో ఉన్న కిల్ డెవిల్ హిల్స్‌పై వారు దీనిని పరీక్షించారు. గ్లైడర్ 1900 సంస్"&amp;"కరణకు సమానంగా ఉంటుంది, కానీ పెద్ద రెక్కలు ఉన్నాయి. ఇది మొట్టమొదట జూలై 27, 1901 న ప్రయాణించింది మరియు ఆగస్టు 17 న రిటైర్ అయ్యింది. ఈ సమయంలో ఇది 50 మరియు 100 ఉచిత విమానాల మధ్య, గాలిపటం విమానాలతో పాటు గాలిపటం. బిగ్ కిల్ డెవిల్ హిల్ నుండి మరోసారి పనిచేస్తున్న"&amp;" కొత్త గ్లైడర్‌లో ఇప్పుడు 22 అడుగుల (6.7 మీ) రెక్కలు, 7 అడుగుల (2.1 మీ) తీగ, 290 చదరపు అడుగుల (27 మీ 2) రెక్క ప్రాంతం, మరియు 98 పౌండ్ల బరువు ( 44 కిలోలు). ఏదేమైనా, కాంబర్ 1-ఇన్ -12 నిష్పత్తికి పెరిగింది, మొద్దుబారిన అంచుతో. ఈ కొత్త వింగ్ డిజైన్‌కు గ్లైడర్"&amp;" ఎగురుతూ ఉండటానికి పూర్తి ఎలివేటర్ విక్షేపం వర్తింపజేయడానికి విల్బర్ అవసరం, మరియు విల్బర్ మొదటిసారి స్టాల్స్‌ను ఎదుర్కొన్నాడు. ఏదేమైనా, ఎలివేటర్ యొక్క ఫార్వర్డ్ ప్లేస్‌మెంట్ గ్లైడర్‌ను స్పిన్‌లోకి పడకుండా, తేలియాడే పద్ధతిలో అవరోహణను అనుమతించింది. విల్బర్ "&amp;"తేలికపాటి గాలులతో, ""గురుత్వాకర్షణ కేంద్రం ముందు ఒత్తిడి కేంద్రం ఉంది"", పెరుగుతున్న గాలి వేగంతో, ఒత్తిడి కేంద్రం వెనుకకు కదిలింది, బలమైన గాలులతో, ""ఒత్తిడి కేంద్రం కూడా ఒక దశకు చేరుకుంది గురుత్వాకర్షణ కేంద్రం వెనుక. "" ఈ ఆవిష్కరణ సోదరులు వక్రత యొక్క రెక్"&amp;"క లోతును తగ్గించడానికి దారితీసింది. విల్బర్ సవరణతో, ""... మేము గ్లైడ్ తర్వాత గ్లైడ్ చేసాము, కొన్నిసార్లు భూమిని దగ్గరగా అనుసరిస్తాము మరియు కొన్నిసార్లు గాలిలో ప్రయాణించాము."" వారు సంభవం యొక్క వివిధ కోణాలలో ఒత్తిడిని కూడా కొలుస్తారు, మరియు ఒత్తిడి expected"&amp;" హించిన విధంగా తీగకు లంబ కోణంలో లేదని గుర్తించారు, కానీ ముందుకు వంపుతిరిగిన, నిర్మాణాత్మక ప్రతిఘటనను అధిగమించడం మరియు లిఫ్ట్ ఉత్పత్తి చేయడం. ఇంకా కొలిచిన లిఫ్ట్ వారు లెక్కించిన వాటిలో మూడింట ఒక వంతు మాత్రమే. ఇది ఆ లిఫ్ట్‌ను లెక్కించడానికి ఉపయోగించే స్మెటన"&amp;"్ గుణకాన్ని అనుమానించడానికి మరియు ఒట్టో లిలియంతల్ మరియు శామ్యూల్ లాంగ్లీ చేసిన లెక్కలను అనుమానించడానికి దారితీసింది. వింగ్-వార్పింగ్ ఉపయోగించి ఒక మలుపును ప్రారంభించడానికి గ్లైడర్ కూడా ఉపయోగించబడింది, ఇది ఆశ్చర్యానికి దారితీసింది. విల్బర్, ""పైకి లేచిన విం"&amp;"గ్ వెనుకబడి ఉన్నట్లు అనిపిస్తుంది, కాని మొదట పెరుగుతుంది."" వింగ్-వార్పింగ్ మరియు ఎలివేటర్ విక్షేపంతో పాటు గ్లైడర్‌ను నియంత్రించడానికి దీనికి మూడవ మార్గాలు అవసరం. [2]: 131–147 రెక్కల బరువు కింద వంగిన రెక్కల పక్కటెముకలు, రెక్కల ఎయిర్‌ఫాయిల్ ఆకృతులను వక్రీక"&amp;"రిస్తాయి. సోదరులు ఇబ్బందిని పరిష్కరించారు, కాని రెక్కలు ఇప్పటికీ expected హించిన దానికంటే చాలా తక్కువ లిఫ్ట్‌ను ఉత్పత్తి చేశాయి, మరియు వింగ్-వార్పింగ్ కొన్నిసార్లు గ్లైడర్ ఉద్దేశించిన దిశకు ఎదురుగా తిరిగేలా చేసింది: ఇది ప్రతికూల యా యొక్క ఆవిష్కరణ మరియు మొ"&amp;"దటి వివరణ. [3] పరీక్ష ముగిసిన తరువాత, సోదరులు తమ క్యాంప్ షెడ్‌లో గ్లైడర్‌ను నిల్వ చేశారు. షెడ్ మరియు గ్లైడర్ తరువాత గాలి తుఫానుల వల్ల తీవ్రంగా దెబ్బతిన్నాయి. 1902 గ్లైడర్ కోసం రెక్కల పైకి లేపబడింది, కాని మిగిలినవి వదిలివేయబడ్డాయి. కాంబ్స్ ప్రకారం, ""రైట్స"&amp;"్ మొదట బిగ్ కిల్ డెవిల్ హిల్‌లో తమ 1900 గ్లైడర్‌ను పరీక్షించినప్పుడు, వారు తమ లెక్కలను తప్పుగా భావించారు. వాస్తవానికి, గ్లైడర్, వారి చేదు నిరాశకు, కంప్యూటెడ్ లిఫ్ట్‌లో సగం మందిని ఉత్పత్తి చేశారు. వారు గమనించారు మొత్తం ఫ్రేమ్ యొక్క లాగడం లేదా ప్రతిఘటన అది "&amp;"బరువును కలిగి ఉండదు మరియు అందువల్ల చాలా ఫ్లాట్ కోణంలో దాడి చేయబడింది, వారు had హించిన దానికంటే చాలా తక్కువ, బహుశా సగం కంటే ఎక్కువ. "" గాలి యొక్క పీడన గుణకం (స్మెటన్ గుణకం) కోసం రైట్స్ 0.005 ప్రచురించిన విలువను ఉపయోగించడం వల్ల ఈ వ్యత్యాసం జరిగింది. ఈ గుణకం"&amp;" విలువ పొరపాటున ఉందని ఒప్పించిన వారు వారి ప్రయోగాల నుండి 0.0033 చిన్న విలువను పొందారు, వాస్తవానికి తక్కువ లిఫ్ట్ ఎందుకు అని వివరిస్తుంది, మరియు డ్రాగ్, మొదట లెక్కించిన దానికంటే మరియు expected హించిన దానికంటే. [2]: 367–375 1902 రైట్ గ్లైడర్ మూడవ ఉచిత -ఆర్ "&amp;"ఫ్లైట్ గ్లైడర్ బ్రదర్స్ నిర్మించారు. వెనుక చుక్కాని ఉపయోగించడం ద్వారా యా నియంత్రణను చేర్చడానికి ఇది వారి మొట్టమొదటి గ్లైడర్, మరియు దాని డిజైన్ నేరుగా శక్తితో కూడిన 1903 రైట్ ఫ్లైయర్‌కు దారితీసింది. సోదరులు విండ్ టన్నెల్ 200 వింగ్ కాన్ఫిగరేషన్లను పరీక్షించ"&amp;"ారు, మోనోప్లేన్ మరియు మల్టీవింగ్ కాంబినేషన్లలో కారక నిష్పత్తులు, వక్రతలు, కాంబర్స్, డైహెడ్రల్ మరియు అన్హెడ్రల్. ప్రతి ఎయిర్‌ఫాయిల్ షీట్ మెటల్ నుండి తయారు చేయబడింది, వెల్డెడ్ ప్రముఖ అంచులతో. విల్బర్ ""విండ్ స్ట్రెయిట్నెర్ ... అనేక ఇరుకైన నిలువు ఉపరితలాలు"""&amp;" ఉపయోగించి వివరించాడు, తద్వారా ""ప్రస్తుతమున్నది దిశలో చాలా స్థిరంగా ఉంటుంది. ఈ పరికరం ఒక పొడవైన చదరపు గొట్టంలో లేదా గ్లాస్ కవర్ కలిగి ఉన్న పతనంలో అమర్చబడింది ... ""6 అడుగుల (1.8 మీ) పొడవు మరియు 16 అంగుళాలు (41 సెం.మీ) చదరపు కొలిచే, గాలి ఒక అభిమాని చేత అం"&amp;"దించబడింది, గేర్‌ల ద్వారా ఒక చిన్న అంతర్గత దహన ఇంజిన్‌కు అనుసంధానించబడి ఉంది, అన్నీ సోదరులు రూపొందించారు మరియు నిర్మించారు. ఫలితంగా కొత్త గ్లైడర్, విల్బర్ ప్రకారం, ""... 32 అడుగులు (9.8 మీ) x 5 అడుగులు (1.5 మీ) 305 చదరపు అడుగుల (28.3 మీ 2) విస్తరించి ఉంది"&amp;". వక్రత 25 లో 1. వక్రత. సూచనలు. సూచనలు. ఇది గత సంవత్సరం మాదిరిగా 9½ ° నుండి 10 bott కు బదులుగా 7 ° నుండి 7½ ° కోణంపై గ్లైడ్ అవుతుంది. "" విశేషమేమిటంటే, కాంబర్ యొక్క శిఖరం ఇప్పుడు ప్రముఖ అంచు నుండి తీగలో మూడింట ఒక వంతు ఉంది. ఫార్వర్డ్ ఎలివేటర్ ఇప్పుడు 15 చ"&amp;"దరపు అడుగుల (1.4 మీ 2) మరియు ఒక చిన్న రెక్క ఆకారంలో చిన్నది. గ్లైడర్‌లో వింగ్ వార్పింగ్ నియంత్రించడానికి హిప్ d యల, మరియు రెండు, స్థిర, నిలువు రడ్డర్లు, ప్రతి ఒక్కటి 1 అడుగు (0.30 మీ) ను 6 అడుగుల (1.8 మీ) కొలుస్తారు. [2]: 152–161 సోదరులు 1902 గ్లైడర్‌ను ర"&amp;"ూపొందించారు 1901/02 శీతాకాలంలో. రెక్కల రూపకల్పన వారి ఇంట్లో తయారుచేసిన విండ్ టన్నెల్‌లో సూక్ష్మ ఎయిర్‌ఫాయిల్స్ యొక్క విస్తృతమైన పరీక్షల నుండి వచ్చిన డేటా ఆధారంగా రూపొందించబడింది. వారు డేటన్లో గ్లైడర్ యొక్క భాగాలను నిర్మించారు మరియు 1902 సెప్టెంబరులో వారి "&amp;"కిల్ డెవిల్ హిల్స్ శిబిరంలో అసెంబ్లీని పూర్తి చేశారు. సెప్టెంబర్ 19 మరియు అక్టోబర్ 24 మధ్య విమానాలు జరిగాయి. గ్లైడర్‌లో వారి 1901 ప్రతికూల యా యొక్క ఆవిష్కరణను ఎదుర్కోవటానికి, రైట్స్ డబుల్ ఫిక్స్‌డ్ రియర్ చుక్కానిని పరీక్షించారు, మలుపు నియంత్రణను మెరుగుపరు"&amp;"స్తుందని ఆశించారు, అయితే చాలాసార్లు [4] పైలట్ తిరగడం ఆపలేకపోయాడు మరియు నేలమీద ided ీకొట్టాడు. ""వెనుక భాగంలో స్థిర నిలువు వేన్ యొక్క అదనంగా ఇబ్బంది పెరిగింది మరియు యంత్రాన్ని పూర్తిగా ప్రమాదకరంగా మార్చింది."" సోదరులు ఒక చుక్కాని తొలగించాలని నిర్ణయించుకున్"&amp;"నారు, ఆపై మిగిలిన చుక్కాని మెరుగైన నియంత్రణను సాధించడానికి స్టీరేబుల్ చేయండి. [5] కొత్త చుక్కాని అక్టోబర్ 6 నాటికి సిద్ధంగా ఉంది, 5 అడుగుల (1.5 మీ) ఎత్తైన, 14 అంగుళాలు (36 సెం.మీ) వెడల్పుతో కొలిచింది మరియు 30 డిగ్రీల ఎడమ లేదా కుడి కదలికను కలిగి ఉంది. వింగ"&amp;"్ వార్పింగ్ నియంత్రించే అదే వైర్లకు చుక్కాని జతచేయడం ద్వారా మలుపులు సమన్వయం చేయబడ్డాయి. కాంబ్స్ ప్రకారం, ""కిట్టి హాక్ వద్ద అక్టోబర్ చివరి వారాల్లో, వారు వెయ్యికి పైగా గ్లైడింగ్ విమానాలను తయారు చేశారు. వారు అనేక సందర్భాలలో 600 అడుగుల కంటే ఎక్కువ, మరియు ఒక"&amp;"ే విమానంలో 26 సెకన్ల వరకు ప్రయాణించారు. వారు గాలులలో ప్రయాణించారు గంటకు 30 మైళ్ళ కంటే ఎక్కువ. "" మరీ ముఖ్యంగా, సెప్టెంబర్ 23 న ఓర్విల్లే యొక్క మొదటి విమానంతో సోదరులు ఇద్దరూ ఎగిరిపోయారు. విల్బర్ ఇలా అన్నాడు, ""మేము ఇప్పుడు అన్ని రికార్డులను కలిగి ఉన్నాము! "&amp;"మేము ఏ రకమైన వాతావరణంలోనైనా నిర్వహించిన అతిపెద్ద యంత్రం, పొడవైన దూరపు గ్లైడ్ (అమెరికన్), గాలిలో ఎక్కువ సమయం, సంతతికి చెందిన అతిచిన్న కోణం మరియు ఎత్తైన గాలి !! ! శక్తితో కూడిన రైట్ ఫ్లైయర్‌ను సిద్ధం చేస్తున్నప్పుడు వారు 1902 గ్లైడర్‌ను ఫ్లయింగ్ సాధన చేయడాన"&amp;"ికి ఉపయోగించారు. వారు 44 అడుగుల (13 మీ) ను 16 అడుగుల (4.9 మీ) 9 అడుగుల (2.7 మీ) కొలిచే కొత్త భవనాన్ని ఉంచారు మరియు వారు అనేక గ్లైడింగ్ విమానాలను తయారుచేసినందున వెచ్చగా ఉండటానికి స్టవ్ నిర్మించారు. అక్టోబర్ 3 న, వారు 43 సెకన్ల వరల్డ్ గ్లైడర్ ఓర్పు రికార్డు"&amp;"ను నెలకొల్పారు, తరువాత నవంబరులో, వారు 1 నిమిషం 12 సెకన్ల కొత్త రికార్డును ఎగురవేశారు. [2]: 189-199 వారి ఛాయాచిత్రాలలో ఒకటి వారు రెండవ నిలువు ఫిన్‌ను ఇన్‌స్టాల్ చేసినట్లు చూపిస్తుంది స్టీరబుల్ రియర్ చుక్కానిలో భాగం, అసలు రూపకల్పనతో సరిపోతుంది మరియు శక్తితో"&amp;" కూడిన ఫ్లైయర్ యొక్క ట్విన్ వెనుక చుక్కానితో కూడా సరిపోతుంది. గ్లైడర్ చివరిసారిగా నవంబర్ 1903 లో ఎగురవేయబడింది. వారి విజయవంతమైన శక్తితో కూడిన విమానాల తరువాత, వారు క్రిస్మస్ కోసం ఇంటికి తిరిగి వచ్చే ముందు గ్లైడర్‌ను తిరిగి శిబిరంలో నిల్వ చేశారు. వారి మెరుగ"&amp;"ైన రైట్ ఫ్లైయర్ III ని పరీక్షించడానికి వారు 1908 లో కిట్టి హాక్‌ను సందర్శించినప్పుడు, uter టర్ బ్యాంకుల వాతావరణం దాని నష్టాన్ని తీసుకుంది: నిల్వ షెడ్ మరియు గ్లైడర్ లోపల గ్లైడర్ శిధిలమైంది. ఈ రోజు 1902 గ్లైడర్ నుండి రక్షించబడిన వింగ్టిప్ యొక్క భాగం 1903 రై"&amp;"ట్ ఫ్లైయర్ నుండి కొన్ని అడుగుల నేషనల్ ఎయిర్ అండ్ స్పేస్ మ్యూజియంలో భద్రపరచబడింది. 1911 లో సాధారణ లక్షణాలు ఓర్విల్లే రైట్ తన ఇంగ్లీష్ స్నేహితుడు అలెక్ ఓగిల్వీతో కలిసి కొత్త గ్లైడర్‌తో కిల్ డెవిల్ హిల్స్‌కు తిరిగి వచ్చాడు. ఓర్విల్లే గ్లైడర్‌పై ఆటోమేటిక్ కంట"&amp;"్రోల్ సిస్టమ్‌ను పరీక్షించడానికి ఉద్దేశించాడు, కాని విలేకరుల ఉనికి కారణంగా చేయలేదు (చివరికి అతను 1913 లో శక్తితో కూడిన విమానంలో వ్యవస్థను పరిపూర్ణంగా చేశాడు). ఫ్రంట్-మౌంటెడ్ ఎలివేటర్ లేదా కానార్డ్ కాకుండా గ్లైడర్‌లో సాంప్రదాయిక టెయిల్‌ప్లేన్‌గా మారుతోంది."&amp;" అసలు గ్లైడర్‌ల మాదిరిగానే, పైలట్ కూడా d యల లోకి రావడం కంటే చేతి నియంత్రణలతో కూర్చున్నాడు. అక్టోబర్ 24 న ఓర్విల్లే 9 నిమిషాల 45 సెకన్ల పాటు గంటకు 40 మైళ్ళ (గంటకు 64 కిమీ) గాలిలో డెవిల్ హిల్‌ను కిల్ డెవిల్ కొండలో పెంచింది, ఇది సోదరుల మునుపటి గ్లైడింగ్ వ్యవ"&amp;"ధులను మించిపోయింది. 1921 లో వోల్ఫ్‌గ్యాంగ్ క్లెంపెరర్ చేత జర్మనీలో విచ్ఛిన్నమయ్యే వరకు ఈ రికార్డు పదేళ్లపాటు నిలిచింది. [6] [7] సాధారణ లక్షణాలు గ్లైడర్‌ల యొక్క అనేక ప్రతిరూపాలు ఉన్నాయి. వర్జీనియాలోని రిచ్‌మండ్‌కు చెందిన రైట్ బ్రదర్స్ చరిత్రకారుడు రిక్ యంగ"&amp;"్ అన్ని రైట్ గ్లైడర్‌లు మరియు 1903 ఫ్లైయర్ యొక్క 9 ఖచ్చితమైన పని ప్రతిరూపాలను నిర్మించారు. యంగ్ యొక్క 1902 గ్లైడర్‌లు అనేక చిత్రాలు మరియు టెలివిజన్ డాక్యుమెంటరీలలో కనిపించాయి, వీటిలో 1986 ఐమాక్స్ ఫిల్మ్ ఆన్ ది వింగ్‌తో సహా. అతని 1902 ప్రతిరూపాలలో ఒకటి స్మ"&amp;"ిత్సోనియన్ నేషనల్ ఎయిర్ అండ్ స్పేస్ మ్యూజియం యొక్క రైట్ బ్రదర్స్ గ్యాలరీలో ప్రదర్శనలో ఉంది. రిచ్మండ్ అంతర్జాతీయ విమానాశ్రయంలోని వర్జీనియా ఏవియేషన్ మ్యూజియం [8] రైట్ 1899 కైట్, 1900, 1901 మరియు 1902 గ్లైడర్స్ మరియు 1903 ఫ్లైయర్, అన్నీ యంగ్ నిర్మించాయి. 201"&amp;"1 లో, యంగ్ రైట్ 1911 గ్లైడర్ ప్రతిరూపాన్ని పరిశోధించాడు మరియు నిర్మించాడు, ఇది ఓర్విల్లే రైట్ యొక్క రికార్డ్-సెట్టింగ్ గ్లైడ్ యొక్క 100 వ వార్షికోత్సవం సందర్భంగా రైట్ బ్రదర్స్ నేషనల్ మాన్యుమెంట్ వద్ద 100 కార్యక్రమంలో ప్రదర్శించబడింది. 1902 గ్లైడర్ యొక్క ప"&amp;"్రతిరూపం డేటన్ ఒహియోలోని డేటన్ ఏవియేషన్ హెరిటేజ్ నేషనల్ హిస్టారిక్ పార్క్ వద్ద ప్రదర్శనలో ఉంది. 1902 గ్లైడర్ యొక్క మరొక ప్రతిరూపం న్యూయార్క్‌లోని ఎల్మిరాలోని యు.ఎస్. నేషనల్ సోరింగ్ మ్యూజియంలో కూడా ప్రదర్శనలో ఉంది. [9] 1902 గ్లైడర్ యొక్క పూర్తి-స్థాయి ప్రత"&amp;"ిరూపం నిర్మించబడింది మరియు కాలిఫోర్నియాలోని శాన్ డియాగోలోని శాన్ డియాగో ఎయిర్ &amp; స్పేస్ మ్యూజియంలో ప్రదర్శనలో ఉంది. [10] మరొక ప్రతిరూపం, సగం-స్థాయి మోడల్, కొలరాడోలోని డెన్వర్ లోని రాకీస్ ఎయిర్ అండ్ స్పేస్ మ్యూజియంలో రెక్కల వద్ద ప్రదర్శనలో ఉంది. [11] రైట్ బ"&amp;"్రదర్స్ ఎయిర్‌ప్లేన్ కంపెనీకి చెందిన నిక్ ఎంగ్లర్ నేతృత్వంలోని బృందం మూడు గ్లైడర్‌ల ప్రతిరూపాలను కూడా నిర్మించింది. 1911 గ్లైడర్ యొక్క ప్రతిరూపం ఓర్విల్లే యొక్క పెరుగుతున్న ఫ్లైట్ యొక్క 75 వ వార్షికోత్సవం కోసం ఎర్నెస్ట్ ష్వీజర్ చేత నిర్మించబడింది. ఇది 198"&amp;"6 నుండి న్యూయార్క్‌లోని ఎల్మిరాలోని నేషనల్ సోరింగ్ మ్యూజియంలో వేలాడదీసింది. కొన్ని ప్రతిరూపాలను ఆధునిక కాలంలో ఎగురవేయారు. [12] వికీమీడియా కామన్స్ వద్ద రైట్ గ్లైడర్‌కు సంబంధించిన మీడియా")</f>
        <v>రైట్ బ్రదర్స్ 1900-1902లో మూడు మనుషుల గ్లైడర్‌ల శ్రేణిని రూపొందించారు, నిర్మించారు మరియు ప్రయాణించారు. వారు 1899 లో గాలిపటం తో ప్రాథమిక పరీక్షలు చేశారు. 1911 లో ఓర్విల్లే మరింత అధునాతన గ్లైడర్‌తో పరీక్షలు నిర్వహించారు. గాలిపటం లేదా గ్లైడర్‌లు ఏవీ భద్రపరచబడలేదు, కాని అందరి ప్రతిరూపాలు నిర్మించబడ్డాయి. 1899 కైట్, విల్బర్, ఒహియోలోని డేటన్ లోని తన ఇంటి దగ్గరకు వెళ్లి 5 అడుగుల (1.5 మీ) రెక్కలు మాత్రమే ఉన్నాయి. ఈ పైన్ కలప మరియు షెల్లాక్డ్ క్రాఫ్ట్, పైలట్‌ను తీసుకెళ్లడానికి చాలా చిన్నది అయినప్పటికీ, రోల్ కంట్రోల్ కోసం రెక్క-వార్పింగ్ అనే భావనను పరీక్షించింది, ఇది నియంత్రిత విమాన సమస్యను పరిష్కరించడానికి సోదరుల నుండి అవసరమైనదని రుజువు చేస్తుంది. 1905 లో రైట్స్ ఇతర చెత్తతో పాటు క్రాఫ్ట్‌ను కాల్చారు. [1] 1900 రైట్ గ్లైడర్ బ్రదర్స్ యొక్క మొట్టమొదటిది మానవుడిని మోయగలదు. దీని మొత్తం నిర్మాణం 1896 నాటి ఆక్టేవ్ చాన్యూట్ యొక్క రెండు-ఉపరితల గ్లైడర్ ఆధారంగా రూపొందించబడింది. దీని వింగ్ ఎయిర్‌ఫాయిల్ ఒట్టో లిలియంతల్ యొక్క ప్రచురించిన పట్టికల ఏరోడైనమిక్ లిఫ్ట్ నుండి తీసుకోబడింది. 1899 రైట్ కైట్‌లో మొదట ప్రయత్నించిన భావన యొక్క పూర్తి-పరిమాణ పరీక్ష కోసం వింగ్-వార్పింగ్ సామర్ధ్యంతో గ్లైడర్ రూపొందించబడింది. 23 సెప్టెంబర్ 1900 న, విల్బర్ కిట్టి హాక్ నుండి ఇలా వ్రాశాడు, "నా ఆలోచన కేవలం సమతుల్యత సమస్యను పరిష్కరించే ఉద్దేశ్యంతో ప్రయోగాలు మరియు సాధన చేయడమే. ఒకసారి ఒక యంత్రం అన్ని పరిస్థితులలో సరైన నియంత్రణలో ఉన్నప్పుడు, మోటారు సమస్య త్వరగా పరిష్కరించబడుతుంది. నా బరువును ఐదు రెట్లు కొనసాగించడానికి నేను నా యంత్రాన్ని నిర్మిస్తున్నాను ... వంతెనలాగా ట్రస్ చేయబడింది. " 52 పౌండ్ల (24 కిలోల) బరువు, గ్లైడర్‌లో 17.5 అడుగుల (5.3 మీ) రెక్కలు ఉన్నాయి, ఇది 155 చదరపు అడుగుల (14.4 మీ 2) రెక్కల ప్రాంతం, రెక్కలు 1-ఇన్ -22 నిష్పత్తితో వక్రంగా ఉన్నాయి. 1924 లో, ఓర్విల్లే ఇలా వ్రాశాడు, "... మేము చాలా సంవత్సరాలు ఎలివేటర్‌ను ముందు ఉంచాము, ఎందుకంటే ఇది ముక్కు డైవ్‌ను పూర్తిగా నిరోధించింది, దీనిలో లిలియంతల్ మరియు మరెన్నో వారి మరణాలను కలుసుకున్నారు." హ్యారీ బి. కాంబ్స్ ఇలా పేర్కొన్నాడు, "... ఎందుకంటే ఎలివేటర్ వెనుకకు బదులుగా ముందుకు సాగారు, విమానం, అది నిలిచిపోయినప్పుడు, స్పిన్ చేసి, సాంప్రదాయిక విమానం చేసిన విధంగా వాటిని చంపడానికి బదులుగా, ఒక ఫ్లాట్‌లో నేలమీద పారాచూట్ చేయబడింది స్థానం. ఫార్వర్డ్ ఎలివేటర్ విమానంలో విమానం యొక్క వైఖరి యొక్క దృశ్య సూచికగా కూడా పనిచేసింది. " గాలి నిరోధకతను తగ్గించడానికి ఫ్లైయర్ దిగువ రెక్కపైకి వచ్చే స్థానం నుండి క్రాఫ్ట్‌ను ఆపరేట్ చేస్తుంది. [2] గ్లైడర్ మొట్టమొదట అక్టోబర్ 5, 1900 న నార్త్ కరోలినాలోని కిట్టి హాక్ సమీపంలో మానవరహిత గాలిపటం వలె ఎగిరింది. తరువాత, విల్బర్ పైలట్‌గా ప్రయాణించగా, మైదానంలో ఉన్న పురుషులు వాయుమార్గాన క్రాఫ్ట్‌కు జతచేయబడిన టెథర్ తాడులను పట్టుకున్నారు. తదనంతరం, విల్బర్ ఒకే రోజున డజను ఉచిత విమానాలను తయారుచేశాడు, సీజన్ పరీక్ష ప్రయత్నాలను ముగించాడు. అక్టోబర్ 23 న శిబిరాన్ని విచ్ఛిన్నం చేసినప్పుడు సోదరులు గ్లైడర్‌ను విడిచిపెట్టారు, చివరికి అది ఈ ప్రాంతం యొక్క తీవ్రమైన తుఫానులలో అదృశ్యమైంది. రెక్క భాగాల యొక్క ఫాబ్రిక్ కవరింగ్ హెల్పర్ బిల్ టేట్ భార్యకు ఇవ్వబడింది, అతని కుటుంబం విల్బర్ మొట్టమొదట 1900 లో కిట్టి హాక్ వద్ద ఉండిపోయింది. శ్రీమతి టేట్ తన కుమార్తెలకు దుస్తులు తయారు చేయడానికి ఈ పదార్థాన్ని ఉపయోగించారని ఆరోపించారు. తరువాత, విల్బర్ ఇలా వ్రాశాడు, "రేఖాంశ బ్యాలెన్సింగ్ మరియు స్టీరింగ్ విమానాల ముందు ఒక క్షితిజ సమాంతర చుక్కాని ప్రొజెక్ట్ చేయడం ద్వారా ప్రభావితమయ్యాయి. ఒక చివర రెక్కల వంపును పెంచడం ద్వారా పార్శ్వ బ్యాలెన్సింగ్ మరియు కుడి మరియు ఎడమ స్టీరింగ్ పొందబడ్డాయి మరియు వాటి వద్ద వాటి వంపు తగ్గడం ఇతర. " సోదరులు చివరికి మూడు-డైమెన్షన్ నియంత్రణ వ్యవస్థలో మూడింట రెండు వంతులని ప్రదర్శించారు (గ్లైడర్ నిలువు చుక్కాని కలిగి లేదు). [2]: 116–122 1901 రైట్ గ్లైడర్ సోదరుల ప్రయోగాత్మక గ్లైడర్లలో రెండవది. కిట్టి హాక్‌కు దక్షిణాన నాలుగు మైళ్ల దూరంలో ఉన్న కిల్ డెవిల్ హిల్స్‌పై వారు దీనిని పరీక్షించారు. గ్లైడర్ 1900 సంస్కరణకు సమానంగా ఉంటుంది, కానీ పెద్ద రెక్కలు ఉన్నాయి. ఇది మొట్టమొదట జూలై 27, 1901 న ప్రయాణించింది మరియు ఆగస్టు 17 న రిటైర్ అయ్యింది. ఈ సమయంలో ఇది 50 మరియు 100 ఉచిత విమానాల మధ్య, గాలిపటం విమానాలతో పాటు గాలిపటం. బిగ్ కిల్ డెవిల్ హిల్ నుండి మరోసారి పనిచేస్తున్న కొత్త గ్లైడర్‌లో ఇప్పుడు 22 అడుగుల (6.7 మీ) రెక్కలు, 7 అడుగుల (2.1 మీ) తీగ, 290 చదరపు అడుగుల (27 మీ 2) రెక్క ప్రాంతం, మరియు 98 పౌండ్ల బరువు ( 44 కిలోలు). ఏదేమైనా, కాంబర్ 1-ఇన్ -12 నిష్పత్తికి పెరిగింది, మొద్దుబారిన అంచుతో. ఈ కొత్త వింగ్ డిజైన్‌కు గ్లైడర్ ఎగురుతూ ఉండటానికి పూర్తి ఎలివేటర్ విక్షేపం వర్తింపజేయడానికి విల్బర్ అవసరం, మరియు విల్బర్ మొదటిసారి స్టాల్స్‌ను ఎదుర్కొన్నాడు. ఏదేమైనా, ఎలివేటర్ యొక్క ఫార్వర్డ్ ప్లేస్‌మెంట్ గ్లైడర్‌ను స్పిన్‌లోకి పడకుండా, తేలియాడే పద్ధతిలో అవరోహణను అనుమతించింది. విల్బర్ తేలికపాటి గాలులతో, "గురుత్వాకర్షణ కేంద్రం ముందు ఒత్తిడి కేంద్రం ఉంది", పెరుగుతున్న గాలి వేగంతో, ఒత్తిడి కేంద్రం వెనుకకు కదిలింది, బలమైన గాలులతో, "ఒత్తిడి కేంద్రం కూడా ఒక దశకు చేరుకుంది గురుత్వాకర్షణ కేంద్రం వెనుక. " ఈ ఆవిష్కరణ సోదరులు వక్రత యొక్క రెక్క లోతును తగ్గించడానికి దారితీసింది. విల్బర్ సవరణతో, "... మేము గ్లైడ్ తర్వాత గ్లైడ్ చేసాము, కొన్నిసార్లు భూమిని దగ్గరగా అనుసరిస్తాము మరియు కొన్నిసార్లు గాలిలో ప్రయాణించాము." వారు సంభవం యొక్క వివిధ కోణాలలో ఒత్తిడిని కూడా కొలుస్తారు, మరియు ఒత్తిడి expected హించిన విధంగా తీగకు లంబ కోణంలో లేదని గుర్తించారు, కానీ ముందుకు వంపుతిరిగిన, నిర్మాణాత్మక ప్రతిఘటనను అధిగమించడం మరియు లిఫ్ట్ ఉత్పత్తి చేయడం. ఇంకా కొలిచిన లిఫ్ట్ వారు లెక్కించిన వాటిలో మూడింట ఒక వంతు మాత్రమే. ఇది ఆ లిఫ్ట్‌ను లెక్కించడానికి ఉపయోగించే స్మెటన్ గుణకాన్ని అనుమానించడానికి మరియు ఒట్టో లిలియంతల్ మరియు శామ్యూల్ లాంగ్లీ చేసిన లెక్కలను అనుమానించడానికి దారితీసింది. వింగ్-వార్పింగ్ ఉపయోగించి ఒక మలుపును ప్రారంభించడానికి గ్లైడర్ కూడా ఉపయోగించబడింది, ఇది ఆశ్చర్యానికి దారితీసింది. విల్బర్, "పైకి లేచిన వింగ్ వెనుకబడి ఉన్నట్లు అనిపిస్తుంది, కాని మొదట పెరుగుతుంది." వింగ్-వార్పింగ్ మరియు ఎలివేటర్ విక్షేపంతో పాటు గ్లైడర్‌ను నియంత్రించడానికి దీనికి మూడవ మార్గాలు అవసరం. [2]: 131–147 రెక్కల బరువు కింద వంగిన రెక్కల పక్కటెముకలు, రెక్కల ఎయిర్‌ఫాయిల్ ఆకృతులను వక్రీకరిస్తాయి. సోదరులు ఇబ్బందిని పరిష్కరించారు, కాని రెక్కలు ఇప్పటికీ expected హించిన దానికంటే చాలా తక్కువ లిఫ్ట్‌ను ఉత్పత్తి చేశాయి, మరియు వింగ్-వార్పింగ్ కొన్నిసార్లు గ్లైడర్ ఉద్దేశించిన దిశకు ఎదురుగా తిరిగేలా చేసింది: ఇది ప్రతికూల యా యొక్క ఆవిష్కరణ మరియు మొదటి వివరణ. [3] పరీక్ష ముగిసిన తరువాత, సోదరులు తమ క్యాంప్ షెడ్‌లో గ్లైడర్‌ను నిల్వ చేశారు. షెడ్ మరియు గ్లైడర్ తరువాత గాలి తుఫానుల వల్ల తీవ్రంగా దెబ్బతిన్నాయి. 1902 గ్లైడర్ కోసం రెక్కల పైకి లేపబడింది, కాని మిగిలినవి వదిలివేయబడ్డాయి. కాంబ్స్ ప్రకారం, "రైట్స్ మొదట బిగ్ కిల్ డెవిల్ హిల్‌లో తమ 1900 గ్లైడర్‌ను పరీక్షించినప్పుడు, వారు తమ లెక్కలను తప్పుగా భావించారు. వాస్తవానికి, గ్లైడర్, వారి చేదు నిరాశకు, కంప్యూటెడ్ లిఫ్ట్‌లో సగం మందిని ఉత్పత్తి చేశారు. వారు గమనించారు మొత్తం ఫ్రేమ్ యొక్క లాగడం లేదా ప్రతిఘటన అది బరువును కలిగి ఉండదు మరియు అందువల్ల చాలా ఫ్లాట్ కోణంలో దాడి చేయబడింది, వారు had హించిన దానికంటే చాలా తక్కువ, బహుశా సగం కంటే ఎక్కువ. " గాలి యొక్క పీడన గుణకం (స్మెటన్ గుణకం) కోసం రైట్స్ 0.005 ప్రచురించిన విలువను ఉపయోగించడం వల్ల ఈ వ్యత్యాసం జరిగింది. ఈ గుణకం విలువ పొరపాటున ఉందని ఒప్పించిన వారు వారి ప్రయోగాల నుండి 0.0033 చిన్న విలువను పొందారు, వాస్తవానికి తక్కువ లిఫ్ట్ ఎందుకు అని వివరిస్తుంది, మరియు డ్రాగ్, మొదట లెక్కించిన దానికంటే మరియు expected హించిన దానికంటే. [2]: 367–375 1902 రైట్ గ్లైడర్ మూడవ ఉచిత -ఆర్ ఫ్లైట్ గ్లైడర్ బ్రదర్స్ నిర్మించారు. వెనుక చుక్కాని ఉపయోగించడం ద్వారా యా నియంత్రణను చేర్చడానికి ఇది వారి మొట్టమొదటి గ్లైడర్, మరియు దాని డిజైన్ నేరుగా శక్తితో కూడిన 1903 రైట్ ఫ్లైయర్‌కు దారితీసింది. సోదరులు విండ్ టన్నెల్ 200 వింగ్ కాన్ఫిగరేషన్లను పరీక్షించారు, మోనోప్లేన్ మరియు మల్టీవింగ్ కాంబినేషన్లలో కారక నిష్పత్తులు, వక్రతలు, కాంబర్స్, డైహెడ్రల్ మరియు అన్హెడ్రల్. ప్రతి ఎయిర్‌ఫాయిల్ షీట్ మెటల్ నుండి తయారు చేయబడింది, వెల్డెడ్ ప్రముఖ అంచులతో. విల్బర్ "విండ్ స్ట్రెయిట్నెర్ ... అనేక ఇరుకైన నిలువు ఉపరితలాలు" ఉపయోగించి వివరించాడు, తద్వారా "ప్రస్తుతమున్నది దిశలో చాలా స్థిరంగా ఉంటుంది. ఈ పరికరం ఒక పొడవైన చదరపు గొట్టంలో లేదా గ్లాస్ కవర్ కలిగి ఉన్న పతనంలో అమర్చబడింది ... "6 అడుగుల (1.8 మీ) పొడవు మరియు 16 అంగుళాలు (41 సెం.మీ) చదరపు కొలిచే, గాలి ఒక అభిమాని చేత అందించబడింది, గేర్‌ల ద్వారా ఒక చిన్న అంతర్గత దహన ఇంజిన్‌కు అనుసంధానించబడి ఉంది, అన్నీ సోదరులు రూపొందించారు మరియు నిర్మించారు. ఫలితంగా కొత్త గ్లైడర్, విల్బర్ ప్రకారం, "... 32 అడుగులు (9.8 మీ) x 5 అడుగులు (1.5 మీ) 305 చదరపు అడుగుల (28.3 మీ 2) విస్తరించి ఉంది. వక్రత 25 లో 1. వక్రత. సూచనలు. సూచనలు. ఇది గత సంవత్సరం మాదిరిగా 9½ ° నుండి 10 bott కు బదులుగా 7 ° నుండి 7½ ° కోణంపై గ్లైడ్ అవుతుంది. " విశేషమేమిటంటే, కాంబర్ యొక్క శిఖరం ఇప్పుడు ప్రముఖ అంచు నుండి తీగలో మూడింట ఒక వంతు ఉంది. ఫార్వర్డ్ ఎలివేటర్ ఇప్పుడు 15 చదరపు అడుగుల (1.4 మీ 2) మరియు ఒక చిన్న రెక్క ఆకారంలో చిన్నది. గ్లైడర్‌లో వింగ్ వార్పింగ్ నియంత్రించడానికి హిప్ d యల, మరియు రెండు, స్థిర, నిలువు రడ్డర్లు, ప్రతి ఒక్కటి 1 అడుగు (0.30 మీ) ను 6 అడుగుల (1.8 మీ) కొలుస్తారు. [2]: 152–161 సోదరులు 1902 గ్లైడర్‌ను రూపొందించారు 1901/02 శీతాకాలంలో. రెక్కల రూపకల్పన వారి ఇంట్లో తయారుచేసిన విండ్ టన్నెల్‌లో సూక్ష్మ ఎయిర్‌ఫాయిల్స్ యొక్క విస్తృతమైన పరీక్షల నుండి వచ్చిన డేటా ఆధారంగా రూపొందించబడింది. వారు డేటన్లో గ్లైడర్ యొక్క భాగాలను నిర్మించారు మరియు 1902 సెప్టెంబరులో వారి కిల్ డెవిల్ హిల్స్ శిబిరంలో అసెంబ్లీని పూర్తి చేశారు. సెప్టెంబర్ 19 మరియు అక్టోబర్ 24 మధ్య విమానాలు జరిగాయి. గ్లైడర్‌లో వారి 1901 ప్రతికూల యా యొక్క ఆవిష్కరణను ఎదుర్కోవటానికి, రైట్స్ డబుల్ ఫిక్స్‌డ్ రియర్ చుక్కానిని పరీక్షించారు, మలుపు నియంత్రణను మెరుగుపరుస్తుందని ఆశించారు, అయితే చాలాసార్లు [4] పైలట్ తిరగడం ఆపలేకపోయాడు మరియు నేలమీద ided ీకొట్టాడు. "వెనుక భాగంలో స్థిర నిలువు వేన్ యొక్క అదనంగా ఇబ్బంది పెరిగింది మరియు యంత్రాన్ని పూర్తిగా ప్రమాదకరంగా మార్చింది." సోదరులు ఒక చుక్కాని తొలగించాలని నిర్ణయించుకున్నారు, ఆపై మిగిలిన చుక్కాని మెరుగైన నియంత్రణను సాధించడానికి స్టీరేబుల్ చేయండి. [5] కొత్త చుక్కాని అక్టోబర్ 6 నాటికి సిద్ధంగా ఉంది, 5 అడుగుల (1.5 మీ) ఎత్తైన, 14 అంగుళాలు (36 సెం.మీ) వెడల్పుతో కొలిచింది మరియు 30 డిగ్రీల ఎడమ లేదా కుడి కదలికను కలిగి ఉంది. వింగ్ వార్పింగ్ నియంత్రించే అదే వైర్లకు చుక్కాని జతచేయడం ద్వారా మలుపులు సమన్వయం చేయబడ్డాయి. కాంబ్స్ ప్రకారం, "కిట్టి హాక్ వద్ద అక్టోబర్ చివరి వారాల్లో, వారు వెయ్యికి పైగా గ్లైడింగ్ విమానాలను తయారు చేశారు. వారు అనేక సందర్భాలలో 600 అడుగుల కంటే ఎక్కువ, మరియు ఒకే విమానంలో 26 సెకన్ల వరకు ప్రయాణించారు. వారు గాలులలో ప్రయాణించారు గంటకు 30 మైళ్ళ కంటే ఎక్కువ. " మరీ ముఖ్యంగా, సెప్టెంబర్ 23 న ఓర్విల్లే యొక్క మొదటి విమానంతో సోదరులు ఇద్దరూ ఎగిరిపోయారు. విల్బర్ ఇలా అన్నాడు, "మేము ఇప్పుడు అన్ని రికార్డులను కలిగి ఉన్నాము! మేము ఏ రకమైన వాతావరణంలోనైనా నిర్వహించిన అతిపెద్ద యంత్రం, పొడవైన దూరపు గ్లైడ్ (అమెరికన్), గాలిలో ఎక్కువ సమయం, సంతతికి చెందిన అతిచిన్న కోణం మరియు ఎత్తైన గాలి !! ! శక్తితో కూడిన రైట్ ఫ్లైయర్‌ను సిద్ధం చేస్తున్నప్పుడు వారు 1902 గ్లైడర్‌ను ఫ్లయింగ్ సాధన చేయడానికి ఉపయోగించారు. వారు 44 అడుగుల (13 మీ) ను 16 అడుగుల (4.9 మీ) 9 అడుగుల (2.7 మీ) కొలిచే కొత్త భవనాన్ని ఉంచారు మరియు వారు అనేక గ్లైడింగ్ విమానాలను తయారుచేసినందున వెచ్చగా ఉండటానికి స్టవ్ నిర్మించారు. అక్టోబర్ 3 న, వారు 43 సెకన్ల వరల్డ్ గ్లైడర్ ఓర్పు రికార్డును నెలకొల్పారు, తరువాత నవంబరులో, వారు 1 నిమిషం 12 సెకన్ల కొత్త రికార్డును ఎగురవేశారు. [2]: 189-199 వారి ఛాయాచిత్రాలలో ఒకటి వారు రెండవ నిలువు ఫిన్‌ను ఇన్‌స్టాల్ చేసినట్లు చూపిస్తుంది స్టీరబుల్ రియర్ చుక్కానిలో భాగం, అసలు రూపకల్పనతో సరిపోతుంది మరియు శక్తితో కూడిన ఫ్లైయర్ యొక్క ట్విన్ వెనుక చుక్కానితో కూడా సరిపోతుంది. గ్లైడర్ చివరిసారిగా నవంబర్ 1903 లో ఎగురవేయబడింది. వారి విజయవంతమైన శక్తితో కూడిన విమానాల తరువాత, వారు క్రిస్మస్ కోసం ఇంటికి తిరిగి వచ్చే ముందు గ్లైడర్‌ను తిరిగి శిబిరంలో నిల్వ చేశారు. వారి మెరుగైన రైట్ ఫ్లైయర్ III ని పరీక్షించడానికి వారు 1908 లో కిట్టి హాక్‌ను సందర్శించినప్పుడు, uter టర్ బ్యాంకుల వాతావరణం దాని నష్టాన్ని తీసుకుంది: నిల్వ షెడ్ మరియు గ్లైడర్ లోపల గ్లైడర్ శిధిలమైంది. ఈ రోజు 1902 గ్లైడర్ నుండి రక్షించబడిన వింగ్టిప్ యొక్క భాగం 1903 రైట్ ఫ్లైయర్ నుండి కొన్ని అడుగుల నేషనల్ ఎయిర్ అండ్ స్పేస్ మ్యూజియంలో భద్రపరచబడింది. 1911 లో సాధారణ లక్షణాలు ఓర్విల్లే రైట్ తన ఇంగ్లీష్ స్నేహితుడు అలెక్ ఓగిల్వీతో కలిసి కొత్త గ్లైడర్‌తో కిల్ డెవిల్ హిల్స్‌కు తిరిగి వచ్చాడు. ఓర్విల్లే గ్లైడర్‌పై ఆటోమేటిక్ కంట్రోల్ సిస్టమ్‌ను పరీక్షించడానికి ఉద్దేశించాడు, కాని విలేకరుల ఉనికి కారణంగా చేయలేదు (చివరికి అతను 1913 లో శక్తితో కూడిన విమానంలో వ్యవస్థను పరిపూర్ణంగా చేశాడు). ఫ్రంట్-మౌంటెడ్ ఎలివేటర్ లేదా కానార్డ్ కాకుండా గ్లైడర్‌లో సాంప్రదాయిక టెయిల్‌ప్లేన్‌గా మారుతోంది. అసలు గ్లైడర్‌ల మాదిరిగానే, పైలట్ కూడా d యల లోకి రావడం కంటే చేతి నియంత్రణలతో కూర్చున్నాడు. అక్టోబర్ 24 న ఓర్విల్లే 9 నిమిషాల 45 సెకన్ల పాటు గంటకు 40 మైళ్ళ (గంటకు 64 కిమీ) గాలిలో డెవిల్ హిల్‌ను కిల్ డెవిల్ కొండలో పెంచింది, ఇది సోదరుల మునుపటి గ్లైడింగ్ వ్యవధులను మించిపోయింది. 1921 లో వోల్ఫ్‌గ్యాంగ్ క్లెంపెరర్ చేత జర్మనీలో విచ్ఛిన్నమయ్యే వరకు ఈ రికార్డు పదేళ్లపాటు నిలిచింది. [6] [7] సాధారణ లక్షణాలు గ్లైడర్‌ల యొక్క అనేక ప్రతిరూపాలు ఉన్నాయి. వర్జీనియాలోని రిచ్‌మండ్‌కు చెందిన రైట్ బ్రదర్స్ చరిత్రకారుడు రిక్ యంగ్ అన్ని రైట్ గ్లైడర్‌లు మరియు 1903 ఫ్లైయర్ యొక్క 9 ఖచ్చితమైన పని ప్రతిరూపాలను నిర్మించారు. యంగ్ యొక్క 1902 గ్లైడర్‌లు అనేక చిత్రాలు మరియు టెలివిజన్ డాక్యుమెంటరీలలో కనిపించాయి, వీటిలో 1986 ఐమాక్స్ ఫిల్మ్ ఆన్ ది వింగ్‌తో సహా. అతని 1902 ప్రతిరూపాలలో ఒకటి స్మిత్సోనియన్ నేషనల్ ఎయిర్ అండ్ స్పేస్ మ్యూజియం యొక్క రైట్ బ్రదర్స్ గ్యాలరీలో ప్రదర్శనలో ఉంది. రిచ్మండ్ అంతర్జాతీయ విమానాశ్రయంలోని వర్జీనియా ఏవియేషన్ మ్యూజియం [8] రైట్ 1899 కైట్, 1900, 1901 మరియు 1902 గ్లైడర్స్ మరియు 1903 ఫ్లైయర్, అన్నీ యంగ్ నిర్మించాయి. 2011 లో, యంగ్ రైట్ 1911 గ్లైడర్ ప్రతిరూపాన్ని పరిశోధించాడు మరియు నిర్మించాడు, ఇది ఓర్విల్లే రైట్ యొక్క రికార్డ్-సెట్టింగ్ గ్లైడ్ యొక్క 100 వ వార్షికోత్సవం సందర్భంగా రైట్ బ్రదర్స్ నేషనల్ మాన్యుమెంట్ వద్ద 100 కార్యక్రమంలో ప్రదర్శించబడింది. 1902 గ్లైడర్ యొక్క ప్రతిరూపం డేటన్ ఒహియోలోని డేటన్ ఏవియేషన్ హెరిటేజ్ నేషనల్ హిస్టారిక్ పార్క్ వద్ద ప్రదర్శనలో ఉంది. 1902 గ్లైడర్ యొక్క మరొక ప్రతిరూపం న్యూయార్క్‌లోని ఎల్మిరాలోని యు.ఎస్. నేషనల్ సోరింగ్ మ్యూజియంలో కూడా ప్రదర్శనలో ఉంది. [9] 1902 గ్లైడర్ యొక్క పూర్తి-స్థాయి ప్రతిరూపం నిర్మించబడింది మరియు కాలిఫోర్నియాలోని శాన్ డియాగోలోని శాన్ డియాగో ఎయిర్ &amp; స్పేస్ మ్యూజియంలో ప్రదర్శనలో ఉంది. [10] మరొక ప్రతిరూపం, సగం-స్థాయి మోడల్, కొలరాడోలోని డెన్వర్ లోని రాకీస్ ఎయిర్ అండ్ స్పేస్ మ్యూజియంలో రెక్కల వద్ద ప్రదర్శనలో ఉంది. [11] రైట్ బ్రదర్స్ ఎయిర్‌ప్లేన్ కంపెనీకి చెందిన నిక్ ఎంగ్లర్ నేతృత్వంలోని బృందం మూడు గ్లైడర్‌ల ప్రతిరూపాలను కూడా నిర్మించింది. 1911 గ్లైడర్ యొక్క ప్రతిరూపం ఓర్విల్లే యొక్క పెరుగుతున్న ఫ్లైట్ యొక్క 75 వ వార్షికోత్సవం కోసం ఎర్నెస్ట్ ష్వీజర్ చేత నిర్మించబడింది. ఇది 1986 నుండి న్యూయార్క్‌లోని ఎల్మిరాలోని నేషనల్ సోరింగ్ మ్యూజియంలో వేలాడదీసింది. కొన్ని ప్రతిరూపాలను ఆధునిక కాలంలో ఎగురవేయారు. [12] వికీమీడియా కామన్స్ వద్ద రైట్ గ్లైడర్‌కు సంబంధించిన మీడియా</v>
      </c>
      <c r="E192" s="1" t="s">
        <v>3245</v>
      </c>
      <c r="F192" s="1" t="s">
        <v>3246</v>
      </c>
      <c r="G192" s="1" t="str">
        <f>IFERROR(__xludf.DUMMYFUNCTION("GOOGLETRANSLATE(F:F, ""en"", ""te"")"),"ప్రయోగాత్మక గ్లైడర్")</f>
        <v>ప్రయోగాత్మక గ్లైడర్</v>
      </c>
      <c r="H192" s="1" t="s">
        <v>3247</v>
      </c>
      <c r="L192" s="1" t="s">
        <v>3248</v>
      </c>
      <c r="M192" s="2" t="str">
        <f>IFERROR(__xludf.DUMMYFUNCTION("GOOGLETRANSLATE(L:L, ""en"", ""te"")"),"ఓర్విల్లే మరియు విల్బర్ రైట్")</f>
        <v>ఓర్విల్లే మరియు విల్బర్ రైట్</v>
      </c>
      <c r="N192" s="1" t="s">
        <v>3249</v>
      </c>
      <c r="O192" s="1" t="s">
        <v>3250</v>
      </c>
      <c r="R192" s="1">
        <v>1.0</v>
      </c>
      <c r="T192" s="1" t="s">
        <v>3251</v>
      </c>
      <c r="U192" s="1" t="s">
        <v>3252</v>
      </c>
      <c r="V192" s="1" t="s">
        <v>3253</v>
      </c>
      <c r="W192" s="1" t="s">
        <v>3254</v>
      </c>
      <c r="AF192" s="1" t="s">
        <v>206</v>
      </c>
      <c r="AI192" s="1" t="s">
        <v>3255</v>
      </c>
      <c r="AY192" s="1" t="s">
        <v>3256</v>
      </c>
      <c r="AZ192" s="1" t="s">
        <v>3257</v>
      </c>
      <c r="DS192" s="1" t="s">
        <v>3258</v>
      </c>
    </row>
    <row r="193">
      <c r="A193" s="1" t="s">
        <v>3259</v>
      </c>
      <c r="B193" s="1" t="str">
        <f>IFERROR(__xludf.DUMMYFUNCTION("GOOGLETRANSLATE(A:A, ""en"", ""te"")"),"క్రెయిడర్-రీస్నర్ XC-31")</f>
        <v>క్రెయిడర్-రీస్నర్ XC-31</v>
      </c>
      <c r="C193" s="1" t="s">
        <v>3260</v>
      </c>
      <c r="D193" s="2" t="str">
        <f>IFERROR(__xludf.DUMMYFUNCTION("GOOGLETRANSLATE(C:C, ""en"", ""te"")"),"క్రెయిడర్-రీస్నర్ XC-31 లేదా ఫెయిర్‌చైల్డ్ XC-31 అనేది 1930 లలో ఒక అమెరికన్ సింగిల్-ఇంజిన్ మోనోప్లేన్ రవాణా విమానం, ఇది క్రెయిడర్-రీస్నర్ చేత రూపొందించబడింది మరియు నిర్మించింది. ఇది యు.ఎస్. ఆర్మీ ఎయిర్ కార్ప్స్ పరీక్షించిన చివరి ఫాబ్రిక్-కప్పబడిన విమానంలో"&amp;" ఒకటి. [1] డగ్లస్ డిసి -2 వంటి అభివృద్ధి చెందుతున్న జంట-ఇంజిన్ రవాణాకు ప్రత్యామ్నాయంగా రూపొందించబడిన దీనిని టెస్ట్ హోదా XC-941, [1] కింద ఒహియోలోని రైట్ ఫీల్డ్ వద్ద ఎయిర్ కార్ప్స్ అంచనా వేసింది, కానీ అనుకూలంగా తిరస్కరించబడింది ఆల్-మెటల్ ట్విన్-ఇంజిన్ డిజైన"&amp;"్లలో. XC-31 ఫాబ్రిక్ కప్పబడిన అల్యూమినియం మిశ్రమం ఫ్రేమ్‌వర్క్‌తో నిర్మించబడింది మరియు స్ట్రట్-బ్రేస్డ్ వింగ్ మరియు పూర్తిగా ముడుచుకునే ల్యాండింగ్ గేర్‌ను కలిగి ఉంది, ప్రధాన గేర్ యూనిట్లు చిన్న వింగ్ లాంటి స్టబ్‌లపై అమర్చబడి లోపలికి ఉపసంహరించబడ్డాయి. అదనప"&amp;"ు నవల లక్షణం ఏమిటంటే, లోడింగ్‌ను సులభతరం చేయడానికి భూమికి సమాంతరంగా ఉన్న ప్రధాన కార్గో తలుపులు అందించడం. USAAC యొక్క మూల్యాంకనం తరువాత, XC-31 NACA కి బదిలీ చేయబడింది, ఇది దాని లాంగ్లీ పరిశోధనా కేంద్రంలో ఐసింగ్ అధ్యయనాల కోసం ఉపయోగించింది. [2] నుండి డేటా, ["&amp;"1] [2] సాధారణ లక్షణాలు పనితీరు సంబంధిత అభివృద్ధి అభివృద్ధి విమానం పోల్చదగిన పాత్ర, కాన్ఫిగరేషన్ మరియు ERA సంబంధిత జాబితాలు")</f>
        <v>క్రెయిడర్-రీస్నర్ XC-31 లేదా ఫెయిర్‌చైల్డ్ XC-31 అనేది 1930 లలో ఒక అమెరికన్ సింగిల్-ఇంజిన్ మోనోప్లేన్ రవాణా విమానం, ఇది క్రెయిడర్-రీస్నర్ చేత రూపొందించబడింది మరియు నిర్మించింది. ఇది యు.ఎస్. ఆర్మీ ఎయిర్ కార్ప్స్ పరీక్షించిన చివరి ఫాబ్రిక్-కప్పబడిన విమానంలో ఒకటి. [1] డగ్లస్ డిసి -2 వంటి అభివృద్ధి చెందుతున్న జంట-ఇంజిన్ రవాణాకు ప్రత్యామ్నాయంగా రూపొందించబడిన దీనిని టెస్ట్ హోదా XC-941, [1] కింద ఒహియోలోని రైట్ ఫీల్డ్ వద్ద ఎయిర్ కార్ప్స్ అంచనా వేసింది, కానీ అనుకూలంగా తిరస్కరించబడింది ఆల్-మెటల్ ట్విన్-ఇంజిన్ డిజైన్లలో. XC-31 ఫాబ్రిక్ కప్పబడిన అల్యూమినియం మిశ్రమం ఫ్రేమ్‌వర్క్‌తో నిర్మించబడింది మరియు స్ట్రట్-బ్రేస్డ్ వింగ్ మరియు పూర్తిగా ముడుచుకునే ల్యాండింగ్ గేర్‌ను కలిగి ఉంది, ప్రధాన గేర్ యూనిట్లు చిన్న వింగ్ లాంటి స్టబ్‌లపై అమర్చబడి లోపలికి ఉపసంహరించబడ్డాయి. అదనపు నవల లక్షణం ఏమిటంటే, లోడింగ్‌ను సులభతరం చేయడానికి భూమికి సమాంతరంగా ఉన్న ప్రధాన కార్గో తలుపులు అందించడం. USAAC యొక్క మూల్యాంకనం తరువాత, XC-31 NACA కి బదిలీ చేయబడింది, ఇది దాని లాంగ్లీ పరిశోధనా కేంద్రంలో ఐసింగ్ అధ్యయనాల కోసం ఉపయోగించింది. [2] నుండి డేటా, [1] [2] సాధారణ లక్షణాలు పనితీరు సంబంధిత అభివృద్ధి అభివృద్ధి విమానం పోల్చదగిన పాత్ర, కాన్ఫిగరేషన్ మరియు ERA సంబంధిత జాబితాలు</v>
      </c>
      <c r="E193" s="1" t="s">
        <v>3261</v>
      </c>
      <c r="F193" s="1" t="s">
        <v>3262</v>
      </c>
      <c r="G193" s="1" t="str">
        <f>IFERROR(__xludf.DUMMYFUNCTION("GOOGLETRANSLATE(F:F, ""en"", ""te"")"),"సింగిల్-ఇంజిన్ రవాణా")</f>
        <v>సింగిల్-ఇంజిన్ రవాణా</v>
      </c>
      <c r="I193" s="1" t="s">
        <v>3263</v>
      </c>
      <c r="J193" s="1" t="str">
        <f>IFERROR(__xludf.DUMMYFUNCTION("GOOGLETRANSLATE(I:I, ""en"", ""te"")"),"క్రెయిడర్-రీస్నర్ ఫెయిర్‌చైల్డ్ విమానం")</f>
        <v>క్రెయిడర్-రీస్నర్ ఫెయిర్‌చైల్డ్ విమానం</v>
      </c>
      <c r="K193" s="1" t="s">
        <v>3264</v>
      </c>
      <c r="M193" s="2"/>
      <c r="O193" s="1">
        <v>1.0</v>
      </c>
      <c r="R193" s="1" t="s">
        <v>3265</v>
      </c>
      <c r="S193" s="1" t="s">
        <v>3266</v>
      </c>
      <c r="T193" s="1" t="s">
        <v>3267</v>
      </c>
      <c r="U193" s="1" t="s">
        <v>3268</v>
      </c>
      <c r="V193" s="1" t="s">
        <v>3269</v>
      </c>
      <c r="W193" s="1" t="s">
        <v>3270</v>
      </c>
      <c r="X193" s="1" t="s">
        <v>3271</v>
      </c>
      <c r="Z193" s="1" t="s">
        <v>3272</v>
      </c>
      <c r="AA193" s="1" t="s">
        <v>3273</v>
      </c>
      <c r="AC193" s="1" t="s">
        <v>3274</v>
      </c>
      <c r="AF193" s="1" t="s">
        <v>206</v>
      </c>
      <c r="AI193" s="1" t="s">
        <v>3275</v>
      </c>
      <c r="AL193" s="1" t="s">
        <v>3276</v>
      </c>
      <c r="AN193" s="1" t="s">
        <v>3277</v>
      </c>
      <c r="AO193" s="7">
        <v>12684.0</v>
      </c>
      <c r="AP193" s="1" t="s">
        <v>996</v>
      </c>
      <c r="AQ193" s="1" t="s">
        <v>997</v>
      </c>
    </row>
    <row r="194">
      <c r="A194" s="1" t="s">
        <v>3278</v>
      </c>
      <c r="B194" s="1" t="str">
        <f>IFERROR(__xludf.DUMMYFUNCTION("GOOGLETRANSLATE(A:A, ""en"", ""te"")"),"మార్టిన్ ఎక్స్‌బి -27")</f>
        <v>మార్టిన్ ఎక్స్‌బి -27</v>
      </c>
      <c r="C194" s="1" t="s">
        <v>3279</v>
      </c>
      <c r="D194" s="2" t="str">
        <f>IFERROR(__xludf.DUMMYFUNCTION("GOOGLETRANSLATE(C:C, ""en"", ""te"")"),"మార్టిన్ ఎక్స్‌బి -27 (మార్టిన్ మోడల్ 182) అనేది గ్లెన్ ఎల్. దీని రూపకల్పన మార్టిన్ యొక్క సొంత B-26 మారౌడర్ మీద ఆధారపడింది. XB-27 కాగితంపై ఉంది మరియు ప్రోటోటైప్‌లు నిర్మించబడలేదు. [1] సాధారణ లక్షణాల నుండి డేటా పనితీరు ఆయుధ సంబంధిత అభివృద్ధికి సంబంధించిన అ"&amp;"భివృద్ధి విమానం పోల్చదగిన పాత్ర, కాన్ఫిగరేషన్ మరియు ERA సంబంధిత 1940 ల విమానంలో ఈ కథనాన్ని జాబితా చేస్తుంది. మీరు వికీపీడియాను విస్తరించడం ద్వారా సహాయపడవచ్చు. బాంబర్ విమానంలో ఈ వ్యాసం ఒక స్టబ్. వికీపీడియా విస్తరించడం ద్వారా మీరు సహాయపడవచ్చు.")</f>
        <v>మార్టిన్ ఎక్స్‌బి -27 (మార్టిన్ మోడల్ 182) అనేది గ్లెన్ ఎల్. దీని రూపకల్పన మార్టిన్ యొక్క సొంత B-26 మారౌడర్ మీద ఆధారపడింది. XB-27 కాగితంపై ఉంది మరియు ప్రోటోటైప్‌లు నిర్మించబడలేదు. [1] సాధారణ లక్షణాల నుండి డేటా పనితీరు ఆయుధ సంబంధిత అభివృద్ధికి సంబంధించిన అభివృద్ధి విమానం పోల్చదగిన పాత్ర, కాన్ఫిగరేషన్ మరియు ERA సంబంధిత 1940 ల విమానంలో ఈ కథనాన్ని జాబితా చేస్తుంది. మీరు వికీపీడియాను విస్తరించడం ద్వారా సహాయపడవచ్చు. బాంబర్ విమానంలో ఈ వ్యాసం ఒక స్టబ్. వికీపీడియా విస్తరించడం ద్వారా మీరు సహాయపడవచ్చు.</v>
      </c>
      <c r="F194" s="1" t="s">
        <v>3280</v>
      </c>
      <c r="G194" s="1" t="str">
        <f>IFERROR(__xludf.DUMMYFUNCTION("GOOGLETRANSLATE(F:F, ""en"", ""te"")"),"అధిక ఎత్తులో ఉన్న మీడియం బాంబర్")</f>
        <v>అధిక ఎత్తులో ఉన్న మీడియం బాంబర్</v>
      </c>
      <c r="I194" s="1" t="s">
        <v>1827</v>
      </c>
      <c r="J194" s="1" t="str">
        <f>IFERROR(__xludf.DUMMYFUNCTION("GOOGLETRANSLATE(I:I, ""en"", ""te"")"),"గ్లెన్ ఎల్. మార్టిన్ కంపెనీ")</f>
        <v>గ్లెన్ ఎల్. మార్టిన్ కంపెనీ</v>
      </c>
      <c r="K194" s="1" t="s">
        <v>1828</v>
      </c>
      <c r="M194" s="2"/>
      <c r="P194" s="1" t="s">
        <v>1851</v>
      </c>
      <c r="Q194" s="1" t="s">
        <v>1852</v>
      </c>
      <c r="R194" s="1">
        <v>7.0</v>
      </c>
      <c r="T194" s="1" t="s">
        <v>3281</v>
      </c>
      <c r="U194" s="1" t="s">
        <v>3282</v>
      </c>
      <c r="Z194" s="1" t="s">
        <v>3283</v>
      </c>
      <c r="AC194" s="1" t="s">
        <v>3284</v>
      </c>
      <c r="AE194" s="1" t="s">
        <v>3285</v>
      </c>
      <c r="AF194" s="1" t="s">
        <v>206</v>
      </c>
      <c r="AG194" s="4" t="s">
        <v>207</v>
      </c>
      <c r="AI194" s="1" t="s">
        <v>1751</v>
      </c>
      <c r="AL194" s="1" t="s">
        <v>3286</v>
      </c>
      <c r="AN194" s="1" t="s">
        <v>3287</v>
      </c>
      <c r="AR194" s="1" t="s">
        <v>3288</v>
      </c>
      <c r="BS194" s="1" t="s">
        <v>3289</v>
      </c>
      <c r="CM194" s="1" t="s">
        <v>3290</v>
      </c>
    </row>
    <row r="195">
      <c r="A195" s="1" t="s">
        <v>3291</v>
      </c>
      <c r="B195" s="1" t="str">
        <f>IFERROR(__xludf.DUMMYFUNCTION("GOOGLETRANSLATE(A:A, ""en"", ""te"")"),"కెల్లెట్ XR-10")</f>
        <v>కెల్లెట్ XR-10</v>
      </c>
      <c r="C195" s="1" t="s">
        <v>3292</v>
      </c>
      <c r="D195" s="2" t="str">
        <f>IFERROR(__xludf.DUMMYFUNCTION("GOOGLETRANSLATE(C:C, ""en"", ""te"")"),"కెల్లెట్ XR-10 అనేది 1940 లలో అమెరికాలో అభివృద్ధి చేయబడిన సైనిక రవాణా హెలికాప్టర్, ఇది ప్రోటోటైప్ రూపంలో మాత్రమే ఎగిరింది. ఇది ఒక పరివేష్టిత ఫ్యూజ్‌లేజ్‌లో ప్రయాణీకులు, సరుకు లేదా గాయపడిన సిబ్బందిని రవాణా చేయడానికి హెలికాప్టర్ అభివృద్ధికి జారీ చేసిన USAAF"&amp;" సాంకేతిక సూచనలకు ప్రతిస్పందనగా రూపొందించబడింది. కెల్లెట్ యొక్క ప్రతిపాదన XR-8 లో కంపెనీ అభివృద్ధి చెందుతున్న సాధారణ లేఅవుట్ను అనుసరించింది, ట్విన్ ఇంటర్‌మెషింగ్ రోటర్లతో, మరియు అక్టోబర్ 16 న సికోర్స్కీ, బెల్ మరియు ప్లాట్-లెపేజ్ ప్రతిపాదనలపై వైమానిక దళం అ"&amp;"ంగీకరించింది. XR-10 స్కేల్డ్-అప్ XR-8 ను పోలి ఉంటుంది, అయినప్పటికీ దాని జంట ఇంజిన్లు ఫ్యూజ్‌లేజ్ వైపులా నాసెల్ల్‌లో తీసుకువెళ్ళబడ్డాయి, రోటర్లను పొడవాటి డ్రైవ్‌షాఫ్ట్‌ల ద్వారా నడుపుతున్నాయి మరియు విమానం పూర్తిగా లోహంలో చర్మం ఉంటుంది. రెండు ప్రోటోటైప్‌లలో "&amp;"మొదటిది 24 ఏప్రిల్ 1947 న ఎగిరింది, మరియు ఆ సమయంలో, అమెరికాలో ప్రయాణించే అతిపెద్ద రోటర్‌క్రాఫ్ట్. [2] అయితే, పరీక్ష-విమానకాల సమయంలో, రెండు రోటర్ల నుండి బ్లేడ్లు విమానంలో ided ీకొన్నప్పుడు XR-8 యొక్క రోటర్ సిస్టమ్‌తో ఎదుర్కొన్న అదే సమస్య ఉద్భవించింది. పరిష"&amp;"్కారాలతో, ఫ్లైట్ టెస్టింగ్ కొనసాగింది, కాని 3 అక్టోబర్ 1949 న, నియంత్రణ వ్యవస్థ వైఫల్యం కారణంగా మొదటి నమూనా కుప్పకూలింది మరియు కెల్లెట్ యొక్క చీఫ్ టెస్ట్ పైలట్ డేవ్ డ్రిస్కిల్‌ను చంపింది. ఈ ప్రాజెక్ట్ కొద్దిసేపటికే వదిలివేయబడింది, మరియు 16-సీట్ల సివిల్ వే"&amp;"రియంట్, KH-2, డ్రాయింగ్ బోర్డ్‌ను విడిచిపెట్టలేదు. జేన్ యొక్క అన్ని ప్రపంచ విమానాల నుండి డేటా 1948 [1] సాధారణ లక్షణాల పనితీరు")</f>
        <v>కెల్లెట్ XR-10 అనేది 1940 లలో అమెరికాలో అభివృద్ధి చేయబడిన సైనిక రవాణా హెలికాప్టర్, ఇది ప్రోటోటైప్ రూపంలో మాత్రమే ఎగిరింది. ఇది ఒక పరివేష్టిత ఫ్యూజ్‌లేజ్‌లో ప్రయాణీకులు, సరుకు లేదా గాయపడిన సిబ్బందిని రవాణా చేయడానికి హెలికాప్టర్ అభివృద్ధికి జారీ చేసిన USAAF సాంకేతిక సూచనలకు ప్రతిస్పందనగా రూపొందించబడింది. కెల్లెట్ యొక్క ప్రతిపాదన XR-8 లో కంపెనీ అభివృద్ధి చెందుతున్న సాధారణ లేఅవుట్ను అనుసరించింది, ట్విన్ ఇంటర్‌మెషింగ్ రోటర్లతో, మరియు అక్టోబర్ 16 న సికోర్స్కీ, బెల్ మరియు ప్లాట్-లెపేజ్ ప్రతిపాదనలపై వైమానిక దళం అంగీకరించింది. XR-10 స్కేల్డ్-అప్ XR-8 ను పోలి ఉంటుంది, అయినప్పటికీ దాని జంట ఇంజిన్లు ఫ్యూజ్‌లేజ్ వైపులా నాసెల్ల్‌లో తీసుకువెళ్ళబడ్డాయి, రోటర్లను పొడవాటి డ్రైవ్‌షాఫ్ట్‌ల ద్వారా నడుపుతున్నాయి మరియు విమానం పూర్తిగా లోహంలో చర్మం ఉంటుంది. రెండు ప్రోటోటైప్‌లలో మొదటిది 24 ఏప్రిల్ 1947 న ఎగిరింది, మరియు ఆ సమయంలో, అమెరికాలో ప్రయాణించే అతిపెద్ద రోటర్‌క్రాఫ్ట్. [2] అయితే, పరీక్ష-విమానకాల సమయంలో, రెండు రోటర్ల నుండి బ్లేడ్లు విమానంలో ided ీకొన్నప్పుడు XR-8 యొక్క రోటర్ సిస్టమ్‌తో ఎదుర్కొన్న అదే సమస్య ఉద్భవించింది. పరిష్కారాలతో, ఫ్లైట్ టెస్టింగ్ కొనసాగింది, కాని 3 అక్టోబర్ 1949 న, నియంత్రణ వ్యవస్థ వైఫల్యం కారణంగా మొదటి నమూనా కుప్పకూలింది మరియు కెల్లెట్ యొక్క చీఫ్ టెస్ట్ పైలట్ డేవ్ డ్రిస్కిల్‌ను చంపింది. ఈ ప్రాజెక్ట్ కొద్దిసేపటికే వదిలివేయబడింది, మరియు 16-సీట్ల సివిల్ వేరియంట్, KH-2, డ్రాయింగ్ బోర్డ్‌ను విడిచిపెట్టలేదు. జేన్ యొక్క అన్ని ప్రపంచ విమానాల నుండి డేటా 1948 [1] సాధారణ లక్షణాల పనితీరు</v>
      </c>
      <c r="E195" s="1" t="s">
        <v>3293</v>
      </c>
      <c r="F195" s="1" t="s">
        <v>3294</v>
      </c>
      <c r="G195" s="1" t="str">
        <f>IFERROR(__xludf.DUMMYFUNCTION("GOOGLETRANSLATE(F:F, ""en"", ""te"")"),"సైనిక రవాణా హెలికాప్టర్")</f>
        <v>సైనిక రవాణా హెలికాప్టర్</v>
      </c>
      <c r="I195" s="1" t="s">
        <v>3295</v>
      </c>
      <c r="J195" s="1" t="str">
        <f>IFERROR(__xludf.DUMMYFUNCTION("GOOGLETRANSLATE(I:I, ""en"", ""te"")"),"కెల్లెట్ ఆటోగిరో కార్పొరేషన్")</f>
        <v>కెల్లెట్ ఆటోగిరో కార్పొరేషన్</v>
      </c>
      <c r="K195" s="1" t="s">
        <v>3296</v>
      </c>
      <c r="M195" s="2"/>
      <c r="O195" s="1">
        <v>2.0</v>
      </c>
      <c r="P195" s="1" t="s">
        <v>3297</v>
      </c>
      <c r="Q195" s="1" t="s">
        <v>3298</v>
      </c>
      <c r="R195" s="1" t="s">
        <v>1465</v>
      </c>
      <c r="S195" s="1" t="s">
        <v>3299</v>
      </c>
      <c r="T195" s="1" t="s">
        <v>3300</v>
      </c>
      <c r="W195" s="1" t="s">
        <v>3301</v>
      </c>
      <c r="X195" s="1" t="s">
        <v>3302</v>
      </c>
      <c r="Z195" s="1" t="s">
        <v>3303</v>
      </c>
      <c r="AC195" s="1" t="s">
        <v>3304</v>
      </c>
      <c r="AF195" s="1" t="s">
        <v>206</v>
      </c>
      <c r="AI195" s="1" t="s">
        <v>3305</v>
      </c>
      <c r="AL195" s="1" t="s">
        <v>438</v>
      </c>
      <c r="AN195" s="1" t="s">
        <v>3306</v>
      </c>
      <c r="AO195" s="1" t="s">
        <v>3307</v>
      </c>
      <c r="AV195" s="1" t="s">
        <v>3308</v>
      </c>
      <c r="BQ195" s="1" t="s">
        <v>3309</v>
      </c>
      <c r="BR195" s="1" t="s">
        <v>3310</v>
      </c>
    </row>
    <row r="196">
      <c r="A196" s="1" t="s">
        <v>3311</v>
      </c>
      <c r="B196" s="1" t="str">
        <f>IFERROR(__xludf.DUMMYFUNCTION("GOOGLETRANSLATE(A:A, ""en"", ""te"")"),"కాడ్రాన్ C.60")</f>
        <v>కాడ్రాన్ C.60</v>
      </c>
      <c r="C196" s="1" t="s">
        <v>3312</v>
      </c>
      <c r="D196" s="2" t="str">
        <f>IFERROR(__xludf.DUMMYFUNCTION("GOOGLETRANSLATE(C:C, ""en"", ""te"")"),"కాడ్రాన్ C.60 1920 మరియు 1930 లలో ఫ్రెంచ్ రెండు-సీట్ల బైప్‌లేన్, ఒకే ఇంజిన్ మరియు కాన్వాస్ కప్పబడిన ఫ్యూజ్‌లేజ్‌తో. ఫ్రెంచ్ విమాన తయారీదారు కాడ్రాన్ ఈ విమానాన్ని కాడ్రాన్ C.59 నుండి అభివృద్ధి చేశారు. ఇది ప్రధానంగా శిక్షకుల విమానంగా ఉపయోగించబడింది. కాడ్రాన"&amp;"్ C.60 ను ఫ్రాన్స్, ఫిన్లాండ్, లాట్వియా మరియు వెనిజులాలో ఉపయోగించారు. 1921 మిచెలిన్ కప్ (3,000 కి.మీ. nowrap} .mw-parser-output .frac .num, .mw-Parser-output .frac .den {font- పరిమాణం: 80%; లైన్-హైట్: 0; నిలువు-అమరిక: సూపర్} .mw-Parser-output. frac .den {"&amp;"vertical-align: sub} .mw-Parser- అవుట్పుట్ .sr- ఓన్లీ {సరిహద్దు: 0; క్లిప్: రెక్ట్ (0,0,0,0); ఎత్తు: 1px; మార్జిన్: -1px; ఓవర్‌ఫ్లో: దాచబడింది ; పాడింగ్: 0; స్థానం: సంపూర్ణ; వెడల్పు: 1px} 1⁄4 గంటలు. [1] ఫిన్నిష్ వైమానిక దళం 1923-1924లో ఫ్రాన్స్ నుండి 30 క"&amp;"ాడ్రాన్ c.60 లను కొనుగోలు చేసింది. మరో 34 విమానాలు ఫిన్లాండ్ 1927-1928 లో లైసెన్స్ నిర్మించబడ్డాయి. ఫిన్నిష్ వైమానిక దళం మొత్తం 64 కాడ్రాన్ C.60 లను కలిగి ఉంది. ఫ్రెంచ్-తయారుచేసిన విమానం 1E20–1E30 మరియు 1F31–1F49, తరువాత CA-20-CA-49 సంకేతాలను తీసుకువెళ్ళి"&amp;"ంది. ఫిన్నిష్-తయారు చేసినవి CA-61-CA-94 సంకేతాలను తీసుకువెళ్లాయి. [2] ఈ విమానం 1923-1936 వాడుకలో ఉంది. వాన్టాలోని ఫిన్నిష్ ఏవియేషన్ మ్యూజియంలో సుమెన్ ఇల్మావోయిమియన్ లెంటోకోనెట్, [3] ఏవియాఫ్రాన్స్: కాడ్రాన్ C.60, [4] నుండి ఫిన్నిష్-మనుషులు కలిగిన C.60S (CA"&amp;"-84) డేటాలో ఒకటి ఉంది. లక్షణాలు పనితీరు సంబంధిత జాబితాలు")</f>
        <v>కాడ్రాన్ C.60 1920 మరియు 1930 లలో ఫ్రెంచ్ రెండు-సీట్ల బైప్‌లేన్, ఒకే ఇంజిన్ మరియు కాన్వాస్ కప్పబడిన ఫ్యూజ్‌లేజ్‌తో. ఫ్రెంచ్ విమాన తయారీదారు కాడ్రాన్ ఈ విమానాన్ని కాడ్రాన్ C.59 నుండి అభివృద్ధి చేశారు. ఇది ప్రధానంగా శిక్షకుల విమానంగా ఉపయోగించబడింది. కాడ్రాన్ C.60 ను ఫ్రాన్స్, ఫిన్లాండ్, లాట్వియా మరియు వెనిజులాలో ఉపయోగించారు. 1921 మిచెలిన్ కప్ (3,000 కి.మీ. nowrap} .mw-parser-output .frac .num, .mw-Parser-output .frac .den {font- పరిమాణం: 80%; లైన్-హైట్: 0; నిలువు-అమరిక: సూపర్} .mw-Parser-output. frac .den {vertical-align: sub} .mw-Parser- అవుట్పుట్ .sr- ఓన్లీ {సరిహద్దు: 0; క్లిప్: రెక్ట్ (0,0,0,0); ఎత్తు: 1px; మార్జిన్: -1px; ఓవర్‌ఫ్లో: దాచబడింది ; పాడింగ్: 0; స్థానం: సంపూర్ణ; వెడల్పు: 1px} 1⁄4 గంటలు. [1] ఫిన్నిష్ వైమానిక దళం 1923-1924లో ఫ్రాన్స్ నుండి 30 కాడ్రాన్ c.60 లను కొనుగోలు చేసింది. మరో 34 విమానాలు ఫిన్లాండ్ 1927-1928 లో లైసెన్స్ నిర్మించబడ్డాయి. ఫిన్నిష్ వైమానిక దళం మొత్తం 64 కాడ్రాన్ C.60 లను కలిగి ఉంది. ఫ్రెంచ్-తయారుచేసిన విమానం 1E20–1E30 మరియు 1F31–1F49, తరువాత CA-20-CA-49 సంకేతాలను తీసుకువెళ్ళింది. ఫిన్నిష్-తయారు చేసినవి CA-61-CA-94 సంకేతాలను తీసుకువెళ్లాయి. [2] ఈ విమానం 1923-1936 వాడుకలో ఉంది. వాన్టాలోని ఫిన్నిష్ ఏవియేషన్ మ్యూజియంలో సుమెన్ ఇల్మావోయిమియన్ లెంటోకోనెట్, [3] ఏవియాఫ్రాన్స్: కాడ్రాన్ C.60, [4] నుండి ఫిన్నిష్-మనుషులు కలిగిన C.60S (CA-84) డేటాలో ఒకటి ఉంది. లక్షణాలు పనితీరు సంబంధిత జాబితాలు</v>
      </c>
      <c r="E196" s="1" t="s">
        <v>3313</v>
      </c>
      <c r="F196" s="1" t="s">
        <v>3314</v>
      </c>
      <c r="G196" s="1" t="str">
        <f>IFERROR(__xludf.DUMMYFUNCTION("GOOGLETRANSLATE(F:F, ""en"", ""te"")"),"శిక్షణా విమానం")</f>
        <v>శిక్షణా విమానం</v>
      </c>
      <c r="I196" s="1" t="s">
        <v>1200</v>
      </c>
      <c r="J196" s="1" t="str">
        <f>IFERROR(__xludf.DUMMYFUNCTION("GOOGLETRANSLATE(I:I, ""en"", ""te"")"),"కాడ్రాన్")</f>
        <v>కాడ్రాన్</v>
      </c>
      <c r="K196" s="4" t="s">
        <v>1201</v>
      </c>
      <c r="M196" s="2"/>
      <c r="P196" s="1" t="s">
        <v>3315</v>
      </c>
      <c r="Q196" s="1" t="s">
        <v>3316</v>
      </c>
      <c r="R196" s="1">
        <v>2.0</v>
      </c>
      <c r="T196" s="1" t="s">
        <v>1610</v>
      </c>
      <c r="V196" s="1" t="s">
        <v>804</v>
      </c>
      <c r="W196" s="1" t="s">
        <v>3317</v>
      </c>
      <c r="Y196" s="1" t="s">
        <v>3318</v>
      </c>
      <c r="Z196" s="1" t="s">
        <v>3319</v>
      </c>
      <c r="AE196" s="1" t="s">
        <v>3320</v>
      </c>
      <c r="AI196" s="1" t="s">
        <v>3321</v>
      </c>
      <c r="AL196" s="1" t="s">
        <v>387</v>
      </c>
      <c r="AN196" s="1" t="s">
        <v>1327</v>
      </c>
      <c r="AR196" s="1" t="s">
        <v>1719</v>
      </c>
      <c r="AU196" s="1" t="s">
        <v>3322</v>
      </c>
      <c r="AV196" s="1" t="s">
        <v>3323</v>
      </c>
      <c r="BA196" s="1" t="s">
        <v>1307</v>
      </c>
      <c r="BB196" s="1" t="s">
        <v>3324</v>
      </c>
      <c r="BC196" s="1" t="s">
        <v>3325</v>
      </c>
      <c r="BO196" s="1" t="s">
        <v>3326</v>
      </c>
      <c r="BP196" s="1" t="s">
        <v>3327</v>
      </c>
    </row>
    <row r="197">
      <c r="A197" s="1" t="s">
        <v>3328</v>
      </c>
      <c r="B197" s="1" t="str">
        <f>IFERROR(__xludf.DUMMYFUNCTION("GOOGLETRANSLATE(A:A, ""en"", ""te"")"),"బిల్‌సామ్ స్కై వాకర్ II")</f>
        <v>బిల్‌సామ్ స్కై వాకర్ II</v>
      </c>
      <c r="C197" s="1" t="s">
        <v>3329</v>
      </c>
      <c r="D197" s="2" t="str">
        <f>IFERROR(__xludf.DUMMYFUNCTION("GOOGLETRANSLATE(C:C, ""en"", ""te"")"),"బిల్‌సామ్ స్కై వాకర్ II అనేది పోజినాస్ యొక్క బిల్సమ్ ఏవియేషన్ రూపొందించిన మరియు ఉత్పత్తి చేసిన పోలిష్ శక్తితో పనిచేసే పారాచూట్. విమానం పూర్తి రెడీ-టు-ఫ్లై-ఎయిర్‌క్రాఫ్ట్‌గా సరఫరా చేయబడుతుంది. [1] తయారీదారు యొక్క వెబ్‌సైట్ ఫంక్షనల్ కానిది మరియు 2008 నుండి "&amp;"ఉంది, కాబట్టి కంపెనీ ఇంకా వ్యాపారంలో ఉందా అనేది స్పష్టంగా లేదు. [2] స్కై వాకర్ II సంస్థ యొక్క స్కై వాకర్ I నుండి చాలా భిన్నంగా ఉంటుంది మరియు ఇది వర్గం యొక్క గరిష్ట స్థూల బరువు 450 కిలోల (992 పౌండ్లు) తో సహా, ఫెడెరేషన్ ఏరోనటిక్ ఇంటర్నేషనల్ మైక్రోలైట్ విభాగ"&amp;"ానికి అనుగుణంగా రూపొందించబడింది. ఈ విమానం గరిష్టంగా స్థూల బరువు 400 కిలోల (882 పౌండ్లు). ఇది 50 మీ 2 (540 చదరపు అడుగులు) పారాచూట్-స్టైల్ వింగ్, రెండు-సీట్ల-సైడ్-సైడ్ కాన్ఫిగరేషన్, ట్రైసైకిల్ ల్యాండింగ్ గేర్ మరియు ఒకే 60 హెచ్‌పి (45 కిలోవాట్ల) బిల్‌సామ్ టి"&amp;"ఎన్‌ఎ 625 నాలుగు స్ట్రోక్ ఇంజిన్‌ను పషర్ కాన్ఫిగరేషన్‌లో కలిగి ఉంది. [[పట్టు కుములి విమానం క్యారేజ్ మిశ్రమ పదార్థం మరియు ఉక్కు గొట్టాల కలయిక నుండి నిర్మించబడింది. ఫ్లైట్ స్టీరింగ్‌లో పందిరి బ్రేక్‌లను అమలు చేసే ఫుట్ పెడల్స్ ద్వారా సాధించబడుతుంది, రోల్ మరి"&amp;"యు యావ్ సృష్టిస్తుంది. అసాధారణంగా ఈ తరగతి విమానం కోసం, స్కై వాకర్ II ఒక పరివేష్టిత కాక్‌పిట్ కలిగి ఉంది. వివిధ రకాల రెక్కలను అమర్చవచ్చు. [1] ఈ విమానం ఖాళీ బరువు 155 కిలోల (342 పౌండ్లు) మరియు స్థూల బరువు 400 కిలోల (882 పౌండ్లు), ఇది 245 కిలోల (540 ఎల్బి) ఉ"&amp;"పయోగకరమైన లోడ్ ఇస్తుంది. 40 లీటర్ల పూర్తి ఇంధనంతో (8.8 ఇంప్ గల్; 11 యుఎస్ గాల్) సిబ్బంది మరియు సామాను కోసం పేలోడ్ 216 కిలోలు (476 ఎల్బి). [1] బెర్ట్రాండ్ నుండి డేటా [1] సాధారణ లక్షణాల పనితీరు")</f>
        <v>బిల్‌సామ్ స్కై వాకర్ II అనేది పోజినాస్ యొక్క బిల్సమ్ ఏవియేషన్ రూపొందించిన మరియు ఉత్పత్తి చేసిన పోలిష్ శక్తితో పనిచేసే పారాచూట్. విమానం పూర్తి రెడీ-టు-ఫ్లై-ఎయిర్‌క్రాఫ్ట్‌గా సరఫరా చేయబడుతుంది. [1] తయారీదారు యొక్క వెబ్‌సైట్ ఫంక్షనల్ కానిది మరియు 2008 నుండి ఉంది, కాబట్టి కంపెనీ ఇంకా వ్యాపారంలో ఉందా అనేది స్పష్టంగా లేదు. [2] స్కై వాకర్ II సంస్థ యొక్క స్కై వాకర్ I నుండి చాలా భిన్నంగా ఉంటుంది మరియు ఇది వర్గం యొక్క గరిష్ట స్థూల బరువు 450 కిలోల (992 పౌండ్లు) తో సహా, ఫెడెరేషన్ ఏరోనటిక్ ఇంటర్నేషనల్ మైక్రోలైట్ విభాగానికి అనుగుణంగా రూపొందించబడింది. ఈ విమానం గరిష్టంగా స్థూల బరువు 400 కిలోల (882 పౌండ్లు). ఇది 50 మీ 2 (540 చదరపు అడుగులు) పారాచూట్-స్టైల్ వింగ్, రెండు-సీట్ల-సైడ్-సైడ్ కాన్ఫిగరేషన్, ట్రైసైకిల్ ల్యాండింగ్ గేర్ మరియు ఒకే 60 హెచ్‌పి (45 కిలోవాట్ల) బిల్‌సామ్ టిఎన్‌ఎ 625 నాలుగు స్ట్రోక్ ఇంజిన్‌ను పషర్ కాన్ఫిగరేషన్‌లో కలిగి ఉంది. [[పట్టు కుములి విమానం క్యారేజ్ మిశ్రమ పదార్థం మరియు ఉక్కు గొట్టాల కలయిక నుండి నిర్మించబడింది. ఫ్లైట్ స్టీరింగ్‌లో పందిరి బ్రేక్‌లను అమలు చేసే ఫుట్ పెడల్స్ ద్వారా సాధించబడుతుంది, రోల్ మరియు యావ్ సృష్టిస్తుంది. అసాధారణంగా ఈ తరగతి విమానం కోసం, స్కై వాకర్ II ఒక పరివేష్టిత కాక్‌పిట్ కలిగి ఉంది. వివిధ రకాల రెక్కలను అమర్చవచ్చు. [1] ఈ విమానం ఖాళీ బరువు 155 కిలోల (342 పౌండ్లు) మరియు స్థూల బరువు 400 కిలోల (882 పౌండ్లు), ఇది 245 కిలోల (540 ఎల్బి) ఉపయోగకరమైన లోడ్ ఇస్తుంది. 40 లీటర్ల పూర్తి ఇంధనంతో (8.8 ఇంప్ గల్; 11 యుఎస్ గాల్) సిబ్బంది మరియు సామాను కోసం పేలోడ్ 216 కిలోలు (476 ఎల్బి). [1] బెర్ట్రాండ్ నుండి డేటా [1] సాధారణ లక్షణాల పనితీరు</v>
      </c>
      <c r="F197" s="1" t="s">
        <v>3067</v>
      </c>
      <c r="G197" s="1" t="str">
        <f>IFERROR(__xludf.DUMMYFUNCTION("GOOGLETRANSLATE(F:F, ""en"", ""te"")"),"శక్తితో కూడిన పారాచూట్")</f>
        <v>శక్తితో కూడిన పారాచూట్</v>
      </c>
      <c r="H197" s="1" t="s">
        <v>3068</v>
      </c>
      <c r="I197" s="1" t="s">
        <v>3330</v>
      </c>
      <c r="J197" s="1" t="str">
        <f>IFERROR(__xludf.DUMMYFUNCTION("GOOGLETRANSLATE(I:I, ""en"", ""te"")"),"బిల్‌సామ్ ఏవియేషన్")</f>
        <v>బిల్‌సామ్ ఏవియేషన్</v>
      </c>
      <c r="K197" s="1" t="s">
        <v>3331</v>
      </c>
      <c r="M197" s="2"/>
      <c r="R197" s="1" t="s">
        <v>222</v>
      </c>
      <c r="S197" s="1" t="s">
        <v>250</v>
      </c>
      <c r="U197" s="1" t="s">
        <v>1573</v>
      </c>
      <c r="V197" s="1" t="s">
        <v>3332</v>
      </c>
      <c r="W197" s="1" t="s">
        <v>3333</v>
      </c>
      <c r="X197" s="1" t="s">
        <v>1653</v>
      </c>
      <c r="Z197" s="1" t="s">
        <v>3334</v>
      </c>
      <c r="AA197" s="1" t="s">
        <v>3335</v>
      </c>
      <c r="AB197" s="1" t="s">
        <v>3336</v>
      </c>
      <c r="AF197" s="1" t="s">
        <v>1145</v>
      </c>
      <c r="AG197" s="4" t="s">
        <v>1146</v>
      </c>
      <c r="AK197" s="1" t="s">
        <v>3337</v>
      </c>
      <c r="AL197" s="1" t="s">
        <v>311</v>
      </c>
      <c r="AU197" s="1" t="s">
        <v>3338</v>
      </c>
      <c r="BE197" s="1">
        <v>4.5</v>
      </c>
    </row>
    <row r="198">
      <c r="A198" s="1" t="s">
        <v>3339</v>
      </c>
      <c r="B198" s="1" t="str">
        <f>IFERROR(__xludf.DUMMYFUNCTION("GOOGLETRANSLATE(A:A, ""en"", ""te"")"),"ప్రిమోకో యుఎవి")</f>
        <v>ప్రిమోకో యుఎవి</v>
      </c>
      <c r="C198" s="1" t="s">
        <v>3340</v>
      </c>
      <c r="D198" s="2" t="str">
        <f>IFERROR(__xludf.DUMMYFUNCTION("GOOGLETRANSLATE(C:C, ""en"", ""te"")"),"ప్రిమోకో యుఎవి అనేది పౌర ఉపయోగం కోసం మానవరహిత వైమానిక వాహనం (యుఎవి), ఇది చెక్ రిపబ్లిక్లో రూపొందించబడింది మరియు తయారు చేయబడింది. దీని మొదటి ఫ్లైట్ జూలై 2015 లో జరిగింది మరియు యుఎవి మోడల్ వన్ 100 జనవరి 2016 లో పూర్తి ఉత్పత్తిని ప్రారంభించింది. దీని ప్రాధమి"&amp;"క ఉపయోగం పౌర వాయు కార్యకలాపాలలో ఉంది, సరిహద్దు రక్షణ మరియు భద్రత నుండి పైప్‌లైన్ పర్యవేక్షణ మరియు రిమోట్ మౌలిక సదుపాయాల నిర్వహణ వరకు అనువర్తనాలకు మద్దతు ఇస్తుంది. ఈ విమానం స్థిర రెక్క నిర్మాణాన్ని కలిగి ఉంది, ప్రతికూల వాతావరణ పరిస్థితులలో విస్తరించిన పరిధ"&amp;"ి మరియు విశ్వసనీయతను అందిస్తుంది. యుఎవిస్ పైలట్ మరియు ఫ్లైట్ ఆపరేటర్‌తో గ్రౌండ్ కంట్రోల్ స్టేషన్ నుండి పనిచేసింది. దీనిని మానవీయంగా నియంత్రించవచ్చు లేదా పూర్తిగా ఆటోమేటిక్ మోడ్‌లో అమలు చేయవచ్చు, ఇక్కడ ప్రీ-ప్రోగ్రామ్డ్ వే పాయింట్ పాయింట్లు ఆటోమేటిక్ టేకాఫ"&amp;"్, ఫ్లైట్ మరియు ల్యాండింగ్‌ను అనుమతిస్తాయి. ఈ విమానం అదనపు భద్రతా రీతులను కలిగి ఉంది, ఇది సమాచార మార్పిడి పోగొట్టుకుంటే లేదా లోపాలు సంభవించినట్లయితే అది సురక్షితమైన ప్రాంతంలో బేస్ లేదా ల్యాండ్ అవ్వడానికి అనుమతిస్తుంది. యుఎవికి ఎస్ మోడ్ ట్రాన్స్‌పాండర్ ఉంద"&amp;"ి, ఇది దాని విమాన మార్గాన్ని ప్రత్యేక అధికారం లేకుండా సాధారణ పౌర గగనతలంలో విలీనం చేయడానికి అనుమతిస్తుంది. పరికరాలు మరియు విమానాలను లైట్ వ్యాన్‌లో రవాణా చేయవచ్చు .. రేడియో లేదా ఉపగ్రహ ఇన్మార్సాట్ కనెక్షన్‌ల ద్వారా సురక్షిత సమాచార మార్పిడి వీడియో మరియు సెన్"&amp;"సార్ రీడింగులను గ్రౌండ్ స్టేషన్‌కు నిరంతరం ప్రసారం చేయడానికి నిర్మించబడింది. ఆన్‌బోర్డ్ సెన్సార్లలో ఇన్ఫ్రా-రెడ్ కెమెరాలు, ఆప్టికల్ కెమెరాలు, రాడార్/లిడార్ మరియు ఇతరులు ఆపరేటర్ యొక్క అవసరాలకు ఉన్నాయి. [1]")</f>
        <v>ప్రిమోకో యుఎవి అనేది పౌర ఉపయోగం కోసం మానవరహిత వైమానిక వాహనం (యుఎవి), ఇది చెక్ రిపబ్లిక్లో రూపొందించబడింది మరియు తయారు చేయబడింది. దీని మొదటి ఫ్లైట్ జూలై 2015 లో జరిగింది మరియు యుఎవి మోడల్ వన్ 100 జనవరి 2016 లో పూర్తి ఉత్పత్తిని ప్రారంభించింది. దీని ప్రాధమిక ఉపయోగం పౌర వాయు కార్యకలాపాలలో ఉంది, సరిహద్దు రక్షణ మరియు భద్రత నుండి పైప్‌లైన్ పర్యవేక్షణ మరియు రిమోట్ మౌలిక సదుపాయాల నిర్వహణ వరకు అనువర్తనాలకు మద్దతు ఇస్తుంది. ఈ విమానం స్థిర రెక్క నిర్మాణాన్ని కలిగి ఉంది, ప్రతికూల వాతావరణ పరిస్థితులలో విస్తరించిన పరిధి మరియు విశ్వసనీయతను అందిస్తుంది. యుఎవిస్ పైలట్ మరియు ఫ్లైట్ ఆపరేటర్‌తో గ్రౌండ్ కంట్రోల్ స్టేషన్ నుండి పనిచేసింది. దీనిని మానవీయంగా నియంత్రించవచ్చు లేదా పూర్తిగా ఆటోమేటిక్ మోడ్‌లో అమలు చేయవచ్చు, ఇక్కడ ప్రీ-ప్రోగ్రామ్డ్ వే పాయింట్ పాయింట్లు ఆటోమేటిక్ టేకాఫ్, ఫ్లైట్ మరియు ల్యాండింగ్‌ను అనుమతిస్తాయి. ఈ విమానం అదనపు భద్రతా రీతులను కలిగి ఉంది, ఇది సమాచార మార్పిడి పోగొట్టుకుంటే లేదా లోపాలు సంభవించినట్లయితే అది సురక్షితమైన ప్రాంతంలో బేస్ లేదా ల్యాండ్ అవ్వడానికి అనుమతిస్తుంది. యుఎవికి ఎస్ మోడ్ ట్రాన్స్‌పాండర్ ఉంది, ఇది దాని విమాన మార్గాన్ని ప్రత్యేక అధికారం లేకుండా సాధారణ పౌర గగనతలంలో విలీనం చేయడానికి అనుమతిస్తుంది. పరికరాలు మరియు విమానాలను లైట్ వ్యాన్‌లో రవాణా చేయవచ్చు .. రేడియో లేదా ఉపగ్రహ ఇన్మార్సాట్ కనెక్షన్‌ల ద్వారా సురక్షిత సమాచార మార్పిడి వీడియో మరియు సెన్సార్ రీడింగులను గ్రౌండ్ స్టేషన్‌కు నిరంతరం ప్రసారం చేయడానికి నిర్మించబడింది. ఆన్‌బోర్డ్ సెన్సార్లలో ఇన్ఫ్రా-రెడ్ కెమెరాలు, ఆప్టికల్ కెమెరాలు, రాడార్/లిడార్ మరియు ఇతరులు ఆపరేటర్ యొక్క అవసరాలకు ఉన్నాయి. [1]</v>
      </c>
      <c r="E198" s="1" t="s">
        <v>3341</v>
      </c>
      <c r="F198" s="1" t="s">
        <v>3342</v>
      </c>
      <c r="G198" s="1" t="str">
        <f>IFERROR(__xludf.DUMMYFUNCTION("GOOGLETRANSLATE(F:F, ""en"", ""te"")"),"పౌర ఉపయోగం కోసం మానవరహిత వైమానిక వాహనం")</f>
        <v>పౌర ఉపయోగం కోసం మానవరహిత వైమానిక వాహనం</v>
      </c>
      <c r="I198" s="1" t="s">
        <v>3343</v>
      </c>
      <c r="J198" s="1" t="str">
        <f>IFERROR(__xludf.DUMMYFUNCTION("GOOGLETRANSLATE(I:I, ""en"", ""te"")"),"ప్రిమోకో యుఎవి ఎస్ఇ, చెక్ రిపబ్లిక్")</f>
        <v>ప్రిమోకో యుఎవి ఎస్ఇ, చెక్ రిపబ్లిక్</v>
      </c>
      <c r="M198" s="2"/>
      <c r="O198" s="1" t="s">
        <v>3344</v>
      </c>
      <c r="AO198" s="5">
        <v>42216.0</v>
      </c>
      <c r="AS198" s="1" t="s">
        <v>70</v>
      </c>
    </row>
    <row r="199">
      <c r="A199" s="1" t="s">
        <v>3345</v>
      </c>
      <c r="B199" s="1" t="str">
        <f>IFERROR(__xludf.DUMMYFUNCTION("GOOGLETRANSLATE(A:A, ""en"", ""te"")"),"హెన్నియన్ టూ-సీటర్")</f>
        <v>హెన్నియన్ టూ-సీటర్</v>
      </c>
      <c r="C199" s="1" t="s">
        <v>3346</v>
      </c>
      <c r="D199" s="2" t="str">
        <f>IFERROR(__xludf.DUMMYFUNCTION("GOOGLETRANSLATE(C:C, ""en"", ""te"")"),"హెన్నియన్ రెండు సీట్ల ఫ్రెంచ్ శిక్షణ మరియు పర్యటన విమానాలు, రెండవ ప్రపంచ యుద్ధం ప్రారంభమయ్యే ముందు పూర్తయింది. ఇది మళ్ళీ యుద్ధానంతర తరువాత మరియు తరువాత కొత్త ఇంజిన్‌తో అమర్చబడింది; ఇది 1960 ల ప్రారంభంలో బయటపడింది. ఎమిలే హెన్నియన్ 1930 లలో కాసాబ్లాంకా ఏరో "&amp;"క్లబ్‌లో చీఫ్ పైలట్. రెండవ ప్రపంచ యుద్ధం వ్యాప్తి చెందడానికి ముందు, అతను రెండు సీట్ల విమానాలను రూపొందించాడు, నిర్మించి, నిర్మించాడు, రైలు 4A 01 విలోమ విలోమ నాలుగు సిలిండర్ ఎయిర్-కూల్డ్ ఇంజిన్‌ను 30 కిలోవాట్ (40 హెచ్‌పి) మాత్రమే ఉత్పత్తి చేసింది. [1 నటించు"&amp;" అతని లక్ష్యాలు ఒక అనుభవశూన్యుడు, ఆర్థిక వ్యవస్థ, సౌకర్యం మరియు నిజమైన పర్యటన సామర్థ్యం చేతిలో భద్రత. [1] మొదటి రెండు లక్షణాలు ఫ్రాన్స్ యుద్ధానికి వెళ్ళిన తరువాత అబ్ ఇనిషియో ట్రైనర్‌గా కొంత ఆసక్తిని కలిగించాయి. [3] ఈ యుద్ధానికి పూర్వ రూపంలో దీనిని హెన్నియ"&amp;"న్ 01 అని పిలుస్తారు. ఇది తక్కువ రెక్క, కాంటిలివర్ మోనోప్లేన్, దాని రెక్కలు నేరుగా మొద్దుబారిన చిట్కాలతో మరియు చాలా ఎక్కువ కారక నిష్పత్తి (10). ఐలెరాన్లు ప్లైవుడ్ చర్మం గలవి అయినప్పటికీ రెక్కలు ఒకే స్పార్ మరియు ఫాబ్రిక్ కప్పబడి ఉన్నాయి. [1] ఫ్యూజ్‌లేజ్ ఫ్"&amp;"లాట్ సైడెడ్ మరియు ప్లై స్కిన్డ్, కాక్‌పిట్ వెనుక తప్ప గుండ్రంగా, పెరిగిన డెక్కింగ్ ఫాబ్రిక్ కప్పబడి ఉంటుంది. హెన్నియన్ యొక్క కాక్‌పిట్ రెండు ముక్కల పందిరి కింద స్లైడింగ్ వెనుక భాగంతో పూర్తిగా జతచేయబడింది. దాని రెండు సీట్లలో ద్వంద్వ నియంత్రణలు ఉన్నాయి. వాట"&amp;"ి వెనుక సామాను మరియు తేలికపాటి సామాను/చార్ట్ ఖాళీలు ఉన్నాయి, వరుసగా 900 mm × 300 mm × 530 mm (× 21 in × 21 లో 35) మరియు 900 mm × 200 mm × 400 mm (× 8 లో 35 × 16 లో) . ముక్కులోని విలోమ రైలు ఇంజిన్ రెండు బ్లేడ్ ప్రొపెల్లర్‌ను నడిపించింది మరియు దాని ఇంధన ట్య"&amp;"ాంక్ 85 ఎల్ (18.7 ఇంప్ గల్; 22.5 యుఎస్ గాల్) ను కలిగి ఉంది. [1] వెనుక భాగంలో నిలువు తోక పొడవైనది, అసమతుల్య చుక్కాడితో ఇది కీల్ వరకు మరియు దాని ముందు ఫ్యూజ్‌లేజ్ మౌంటెడ్ టెయిల్‌ప్లేన్. [3] హెన్నియన్‌లో 2.20 మీ (86.6 అంగుళాలు) ట్రాక్‌తో తోక చక్రం అండర్ క్యా"&amp;"రేజ్ ఉంది, దాని ఉమ్మడి ప్రధాన చక్రాలు నిలువు, క్రమబద్ధీకరించిన కాళ్ళపై. [1] హెన్నియన్ 01 మొదటిసారి 28 సెప్టెంబర్ 1939 న కాసాబ్లాంకాలో ప్రయాణించారు. తక్కువ శక్తి ఉన్నప్పటికీ, ఇది గరిష్టంగా 150 కిమీ/గం (93 mph) వేగాన్ని కలిగి ఉంది మరియు 125-130 కిమీ/గం (78–"&amp;"81 mph) వద్ద క్రూజ్ చేయబడింది. క్రూజింగ్, ఇది గంటకు 10 ఎల్ (2.2 ఇంప్ గల్; 2.6 యుఎస్ గాల్) ను ఉపయోగించింది, దీనికి 1,000 కిమీ (620 మైళ్ళు) పరిధిని ఇస్తుంది. ల్యాండింగ్ వేగం గంటకు 45 కిమీ (28 ఎమ్‌పిహెచ్). హెన్నియన్ 01 యుద్ధం నుండి బయటపడింది మరియు 1949 లో మళ"&amp;"్లీ ఎగిరింది, ఇప్పుడు ఫ్రెంచ్ సివిల్ రిజిస్టర్‌లో F-WFOY గా ఉంది. [2] [4] వాడకం తరువాత, దీనిని 1956 లో 48 కిలోవాట్ల (65 హెచ్‌పి) కాంటినెంటల్ ఎ 65 ఎయిర్-కూల్డ్ ఫ్లాట్-ఫోర్ సవరించిన ముక్కులో తిరిగి ఇంజిన్ చేశారు మరియు హెన్నియన్ II ను పున es రూపకల్పన చేసింది"&amp;". [2] సుమారు 17%ఖాళీ బరువు పెరిగినప్పటికీ అదనపు శక్తి వేగంతో ఉపయోగకరమైన పెరుగుదలను ఇచ్చింది. [1] [2] 4 ఫిబ్రవరి 1962 న ఇది మెక్నెస్ వద్ద నాశనం చేయబడింది. [4] గైలార్డ్ (1990) నుండి డేటా [2] సాధారణ లక్షణాల పనితీరు")</f>
        <v>హెన్నియన్ రెండు సీట్ల ఫ్రెంచ్ శిక్షణ మరియు పర్యటన విమానాలు, రెండవ ప్రపంచ యుద్ధం ప్రారంభమయ్యే ముందు పూర్తయింది. ఇది మళ్ళీ యుద్ధానంతర తరువాత మరియు తరువాత కొత్త ఇంజిన్‌తో అమర్చబడింది; ఇది 1960 ల ప్రారంభంలో బయటపడింది. ఎమిలే హెన్నియన్ 1930 లలో కాసాబ్లాంకా ఏరో క్లబ్‌లో చీఫ్ పైలట్. రెండవ ప్రపంచ యుద్ధం వ్యాప్తి చెందడానికి ముందు, అతను రెండు సీట్ల విమానాలను రూపొందించాడు, నిర్మించి, నిర్మించాడు, రైలు 4A 01 విలోమ విలోమ నాలుగు సిలిండర్ ఎయిర్-కూల్డ్ ఇంజిన్‌ను 30 కిలోవాట్ (40 హెచ్‌పి) మాత్రమే ఉత్పత్తి చేసింది. [1 నటించు అతని లక్ష్యాలు ఒక అనుభవశూన్యుడు, ఆర్థిక వ్యవస్థ, సౌకర్యం మరియు నిజమైన పర్యటన సామర్థ్యం చేతిలో భద్రత. [1] మొదటి రెండు లక్షణాలు ఫ్రాన్స్ యుద్ధానికి వెళ్ళిన తరువాత అబ్ ఇనిషియో ట్రైనర్‌గా కొంత ఆసక్తిని కలిగించాయి. [3] ఈ యుద్ధానికి పూర్వ రూపంలో దీనిని హెన్నియన్ 01 అని పిలుస్తారు. ఇది తక్కువ రెక్క, కాంటిలివర్ మోనోప్లేన్, దాని రెక్కలు నేరుగా మొద్దుబారిన చిట్కాలతో మరియు చాలా ఎక్కువ కారక నిష్పత్తి (10). ఐలెరాన్లు ప్లైవుడ్ చర్మం గలవి అయినప్పటికీ రెక్కలు ఒకే స్పార్ మరియు ఫాబ్రిక్ కప్పబడి ఉన్నాయి. [1] ఫ్యూజ్‌లేజ్ ఫ్లాట్ సైడెడ్ మరియు ప్లై స్కిన్డ్, కాక్‌పిట్ వెనుక తప్ప గుండ్రంగా, పెరిగిన డెక్కింగ్ ఫాబ్రిక్ కప్పబడి ఉంటుంది. హెన్నియన్ యొక్క కాక్‌పిట్ రెండు ముక్కల పందిరి కింద స్లైడింగ్ వెనుక భాగంతో పూర్తిగా జతచేయబడింది. దాని రెండు సీట్లలో ద్వంద్వ నియంత్రణలు ఉన్నాయి. వాటి వెనుక సామాను మరియు తేలికపాటి సామాను/చార్ట్ ఖాళీలు ఉన్నాయి, వరుసగా 900 mm × 300 mm × 530 mm (× 21 in × 21 లో 35) మరియు 900 mm × 200 mm × 400 mm (× 8 లో 35 × 16 లో) . ముక్కులోని విలోమ రైలు ఇంజిన్ రెండు బ్లేడ్ ప్రొపెల్లర్‌ను నడిపించింది మరియు దాని ఇంధన ట్యాంక్ 85 ఎల్ (18.7 ఇంప్ గల్; 22.5 యుఎస్ గాల్) ను కలిగి ఉంది. [1] వెనుక భాగంలో నిలువు తోక పొడవైనది, అసమతుల్య చుక్కాడితో ఇది కీల్ వరకు మరియు దాని ముందు ఫ్యూజ్‌లేజ్ మౌంటెడ్ టెయిల్‌ప్లేన్. [3] హెన్నియన్‌లో 2.20 మీ (86.6 అంగుళాలు) ట్రాక్‌తో తోక చక్రం అండర్ క్యారేజ్ ఉంది, దాని ఉమ్మడి ప్రధాన చక్రాలు నిలువు, క్రమబద్ధీకరించిన కాళ్ళపై. [1] హెన్నియన్ 01 మొదటిసారి 28 సెప్టెంబర్ 1939 న కాసాబ్లాంకాలో ప్రయాణించారు. తక్కువ శక్తి ఉన్నప్పటికీ, ఇది గరిష్టంగా 150 కిమీ/గం (93 mph) వేగాన్ని కలిగి ఉంది మరియు 125-130 కిమీ/గం (78–81 mph) వద్ద క్రూజ్ చేయబడింది. క్రూజింగ్, ఇది గంటకు 10 ఎల్ (2.2 ఇంప్ గల్; 2.6 యుఎస్ గాల్) ను ఉపయోగించింది, దీనికి 1,000 కిమీ (620 మైళ్ళు) పరిధిని ఇస్తుంది. ల్యాండింగ్ వేగం గంటకు 45 కిమీ (28 ఎమ్‌పిహెచ్). హెన్నియన్ 01 యుద్ధం నుండి బయటపడింది మరియు 1949 లో మళ్లీ ఎగిరింది, ఇప్పుడు ఫ్రెంచ్ సివిల్ రిజిస్టర్‌లో F-WFOY గా ఉంది. [2] [4] వాడకం తరువాత, దీనిని 1956 లో 48 కిలోవాట్ల (65 హెచ్‌పి) కాంటినెంటల్ ఎ 65 ఎయిర్-కూల్డ్ ఫ్లాట్-ఫోర్ సవరించిన ముక్కులో తిరిగి ఇంజిన్ చేశారు మరియు హెన్నియన్ II ను పున es రూపకల్పన చేసింది. [2] సుమారు 17%ఖాళీ బరువు పెరిగినప్పటికీ అదనపు శక్తి వేగంతో ఉపయోగకరమైన పెరుగుదలను ఇచ్చింది. [1] [2] 4 ఫిబ్రవరి 1962 న ఇది మెక్నెస్ వద్ద నాశనం చేయబడింది. [4] గైలార్డ్ (1990) నుండి డేటా [2] సాధారణ లక్షణాల పనితీరు</v>
      </c>
      <c r="F199" s="1" t="s">
        <v>3347</v>
      </c>
      <c r="G199" s="1" t="str">
        <f>IFERROR(__xludf.DUMMYFUNCTION("GOOGLETRANSLATE(F:F, ""en"", ""te"")"),"రెండు సీట్ల స్పోర్ట్స్ విమానం")</f>
        <v>రెండు సీట్ల స్పోర్ట్స్ విమానం</v>
      </c>
      <c r="L199" s="1" t="s">
        <v>3348</v>
      </c>
      <c r="M199" s="2" t="str">
        <f>IFERROR(__xludf.DUMMYFUNCTION("GOOGLETRANSLATE(L:L, ""en"", ""te"")"),"ఎమిలే హెన్నియన్")</f>
        <v>ఎమిలే హెన్నియన్</v>
      </c>
      <c r="O199" s="1">
        <v>1.0</v>
      </c>
      <c r="R199" s="1" t="s">
        <v>1138</v>
      </c>
      <c r="T199" s="1" t="s">
        <v>1238</v>
      </c>
      <c r="U199" s="1" t="s">
        <v>3349</v>
      </c>
      <c r="V199" s="1" t="s">
        <v>3350</v>
      </c>
      <c r="W199" s="1" t="s">
        <v>3351</v>
      </c>
      <c r="X199" s="1" t="s">
        <v>3352</v>
      </c>
      <c r="Z199" s="1" t="s">
        <v>3353</v>
      </c>
      <c r="AA199" s="1" t="s">
        <v>316</v>
      </c>
      <c r="AF199" s="1" t="s">
        <v>465</v>
      </c>
      <c r="AG199" s="4" t="s">
        <v>466</v>
      </c>
      <c r="AH199" s="1" t="s">
        <v>261</v>
      </c>
      <c r="AJ199" s="1" t="s">
        <v>3354</v>
      </c>
      <c r="AL199" s="1" t="s">
        <v>154</v>
      </c>
      <c r="AO199" s="5">
        <v>14485.0</v>
      </c>
      <c r="AR199" s="1" t="s">
        <v>372</v>
      </c>
      <c r="AS199" s="1" t="s">
        <v>211</v>
      </c>
      <c r="BE199" s="1" t="s">
        <v>3355</v>
      </c>
      <c r="BN199" s="1">
        <v>1962.0</v>
      </c>
    </row>
    <row r="200">
      <c r="A200" s="1" t="s">
        <v>3356</v>
      </c>
      <c r="B200" s="1" t="str">
        <f>IFERROR(__xludf.DUMMYFUNCTION("GOOGLETRANSLATE(A:A, ""en"", ""te"")"),"మాచి M.C.73")</f>
        <v>మాచి M.C.73</v>
      </c>
      <c r="C200" s="1" t="s">
        <v>3357</v>
      </c>
      <c r="D200" s="2" t="str">
        <f>IFERROR(__xludf.DUMMYFUNCTION("GOOGLETRANSLATE(C:C, ""en"", ""te"")"),"మాచీ M.C.73 1930 ల ప్రారంభంలో మాచీ నిర్మించిన రెండు-సీట్ల టూరింగ్ ల్యాండ్‌ప్లేన్ / ఫ్లోట్‌ప్లేన్. మాచీ M.70 ను భర్తీ చేయడానికి ఉద్దేశించబడింది, దాని నుండి వచ్చింది, 1931 లో M.C.73 గిరో డి ఇటాలియా రేసుల్లో పాల్గొంది. M.C.73 తో పాటు, 32 విమానాలు రేసులో పాల్"&amp;"గొన్నాయి, ఇది M.C.73 గెలిచింది. [1] 1912 నుండి 1963 వరకు మాచి విమానం నుండి డేటా [1] సాధారణ లక్షణాల పనితీరు")</f>
        <v>మాచీ M.C.73 1930 ల ప్రారంభంలో మాచీ నిర్మించిన రెండు-సీట్ల టూరింగ్ ల్యాండ్‌ప్లేన్ / ఫ్లోట్‌ప్లేన్. మాచీ M.70 ను భర్తీ చేయడానికి ఉద్దేశించబడింది, దాని నుండి వచ్చింది, 1931 లో M.C.73 గిరో డి ఇటాలియా రేసుల్లో పాల్గొంది. M.C.73 తో పాటు, 32 విమానాలు రేసులో పాల్గొన్నాయి, ఇది M.C.73 గెలిచింది. [1] 1912 నుండి 1963 వరకు మాచి విమానం నుండి డేటా [1] సాధారణ లక్షణాల పనితీరు</v>
      </c>
      <c r="E200" s="1" t="s">
        <v>3358</v>
      </c>
      <c r="F200" s="1" t="s">
        <v>3359</v>
      </c>
      <c r="G200" s="1" t="str">
        <f>IFERROR(__xludf.DUMMYFUNCTION("GOOGLETRANSLATE(F:F, ""en"", ""te"")"),"పర్యటన ల్యాండ్‌ప్లేన్ / ఫ్లోట్‌ప్లేన్")</f>
        <v>పర్యటన ల్యాండ్‌ప్లేన్ / ఫ్లోట్‌ప్లేన్</v>
      </c>
      <c r="I200" s="1" t="s">
        <v>3360</v>
      </c>
      <c r="J200" s="1" t="str">
        <f>IFERROR(__xludf.DUMMYFUNCTION("GOOGLETRANSLATE(I:I, ""en"", ""te"")"),"మాస్చి")</f>
        <v>మాస్చి</v>
      </c>
      <c r="K200" s="4" t="s">
        <v>3361</v>
      </c>
      <c r="L200" s="1" t="s">
        <v>3362</v>
      </c>
      <c r="M200" s="2" t="str">
        <f>IFERROR(__xludf.DUMMYFUNCTION("GOOGLETRANSLATE(L:L, ""en"", ""te"")"),"మారియో కాస్టోల్డి")</f>
        <v>మారియో కాస్టోల్డి</v>
      </c>
      <c r="N200" s="1" t="s">
        <v>3363</v>
      </c>
      <c r="O200" s="1">
        <v>2.0</v>
      </c>
      <c r="R200" s="1">
        <v>2.0</v>
      </c>
      <c r="T200" s="1" t="s">
        <v>3364</v>
      </c>
      <c r="U200" s="1" t="s">
        <v>3365</v>
      </c>
      <c r="V200" s="1" t="s">
        <v>3366</v>
      </c>
      <c r="W200" s="1" t="s">
        <v>2016</v>
      </c>
      <c r="X200" s="1" t="s">
        <v>3367</v>
      </c>
      <c r="Z200" s="1" t="s">
        <v>3368</v>
      </c>
      <c r="AB200" s="1" t="s">
        <v>3369</v>
      </c>
      <c r="AH200" s="1" t="s">
        <v>261</v>
      </c>
      <c r="AI200" s="1" t="s">
        <v>2127</v>
      </c>
      <c r="AL200" s="1" t="s">
        <v>2657</v>
      </c>
      <c r="AN200" s="1" t="s">
        <v>3370</v>
      </c>
      <c r="AO200" s="1">
        <v>1930.0</v>
      </c>
      <c r="AR200" s="1" t="s">
        <v>193</v>
      </c>
      <c r="AS200" s="1" t="s">
        <v>3371</v>
      </c>
    </row>
    <row r="201">
      <c r="A201" s="1" t="s">
        <v>3372</v>
      </c>
      <c r="B201" s="1" t="str">
        <f>IFERROR(__xludf.DUMMYFUNCTION("GOOGLETRANSLATE(A:A, ""en"", ""te"")"),"Rrg స్టోర్చ్ వి")</f>
        <v>Rrg స్టోర్చ్ వి</v>
      </c>
      <c r="C201" s="1" t="s">
        <v>3373</v>
      </c>
      <c r="D201" s="2" t="str">
        <f>IFERROR(__xludf.DUMMYFUNCTION("GOOGLETRANSLATE(C:C, ""en"", ""te"")"),"ఆర్‌ఆర్‌జి స్టోర్చ్ వి అలెగ్జాండర్ లిప్పీష్ యొక్క స్టార్చ్ సిరీస్ టైలెస్ విమానాల యొక్క ఏకైక సభ్యుడు. ఇది 1929 సంవత్సరంలో విజయవంతంగా ప్రయాణించింది. స్టోర్చ్ V కి ముందు, లిప్పిష్ గ్లైడర్‌లను మాత్రమే రూపొందించాడు, వారిలో చాలామంది టైలెస్. వీటిలో మొదటిది, ఎస్ప"&amp;"ెన్లాబ్ E.2 ను 1922 లో ఎస్పెన్లాబ్ నిర్మించారు, కాని 1925 నుండి RRG వద్ద ఉన్న లిప్పిష్, 1927 వరకు టైలెస్ లేఅవుట్‌కు తిరిగి రాలేదు. అభివృద్ధి స్టార్చ్ మోడళ్ల శ్రేణితో అభివృద్ధి చెందింది; స్టోర్చ్ IV తో అతను పూర్తిగా నియంత్రించదగిన విమానాన్ని సాధించాడు, అది"&amp;" బాగా ఎగిరింది. స్టోర్చ్ V తప్పనిసరిగా పైలట్ వెనుక జోడించిన చిన్న పషర్ కాన్ఫిగరేషన్ ఇంజిన్‌తో స్టోర్చ్ IV. [1] స్టోర్చ్ V లో ప్రముఖ అంచున 17 ° స్వీప్ మరియు స్వల్ప టేపర్ మరియు డైహెడ్రాల్‌తో నిటారుగా అంచుగల రెక్క ఉంది. ఇది ప్లైవుడ్ స్కిన్డ్ డి-బాక్స్ లీడింగ"&amp;"్ ఎడ్జ్ స్పార్ మరియు మిడ్ టార్డ్ దగ్గర రెండవ స్పార్ చుట్టూ నిర్మించబడింది మరియు ఇది ఫాబ్రిక్ కప్పబడి ఉంది. విస్తృత, లోబేట్ ఐలెరాన్‌లు విమాన రేఖకు లంబ కోణాల వద్ద అతుక్కొని, వెనుకంజలో ఉన్న అంచులకు మించి పొడుచుకు వచ్చాయి మరియు స్టోర్చ్ IV కి అమర్చని చిన్న ట్"&amp;"రిమ్ ట్యాబ్‌లను మోసుకెళ్ళాయి. [1] విస్తృత, తక్కువ ఎండ్‌ప్లేట్ రెక్కలు మరియు సమాన వైశాల్యం యొక్క రడ్డర్లు, వాటి లోపలి ఉపరితలాలపై కేకలు వేయడం దిశాత్మక స్థిరత్వం మరియు నియంత్రణను అందించింది. వారి ప్రొఫైల్స్ స్టోర్చ్ IV లో ఉన్న వాటి కంటే తక్కువ మరియు సరళమైనవి"&amp;". రడ్డర్లు స్టీరింగ్ కోసం మరియు బ్రేకింగ్ కోసం ప్రతిపక్షంగా కలిసి పనిచేయగలవు. [1] [2] ప్రతి రెక్కను దిగువ ఫ్యూజ్‌లేజ్ పాడ్ లాంగన్ పై ఒకే పాయింట్ నుండి ముక్కు వరకు మరియు వెనుక స్పార్స్‌ను 40% వ్యవధిలో ఫెయిర్‌డ్ వి-స్ట్రట్ ద్వారా కలుపుతారు. ఎగువ పాడ్ మరియు "&amp;"వింగ్ సెంటర్ మధ్య ఒక జత ధృ dy నిర్మాణంగల, ఫెయిర్‌డ్, నిలువు స్ట్రట్‌లు ఉన్నాయి. పాడ్ ఫ్లాట్ సైడెడ్, కోణాల ఎగువ మరియు దిగువ ఉపరితలాలు మరియు స్టోర్చ్ IV లో కొంత యావ్ స్టెబిలిటీని అందించడానికి ఐలెరాన్ వెనుకంజలో ఉన్న అంచుల మధ్య దాదాపు ఒక రేఖకు తిరిగి అంచనా వే"&amp;"సింది. [1] స్టోర్చ్ V లో, ఇది ఒక చిన్న DKW 5–7 kW (7–9 HP) ఎయిర్-కూల్డ్ టూ-స్ట్రోక్ ఇంజిన్‌ను పషర్ కాన్ఫిగరేషన్‌లో వింగ్ కంటే తక్కువ అవుట్‌పుట్ షాఫ్ట్‌తో మౌంట్ చేయడానికి ఒక స్థలాన్ని అందించింది. హంప్డ్, మెటల్ కౌలింగ్‌లో కప్పబడి, చల్లబరచడం కష్టమని నిరూపించ"&amp;"బడింది, కాబట్టి ఇది సాధారణంగా పూర్తి శక్తి కంటే తక్కువగా నడుస్తుంది. పాడ్ కింద ల్యాండింగ్ స్కిడ్ ఉంది, ఇది ప్రొపెల్లర్‌ను రక్షించడానికి పాడ్ చివర వెనుకకు విస్తరించింది. [2] స్టోర్చ్ V యొక్క మొదటి ఫ్లైట్ యొక్క తేదీ తెలియదు కాని ఇది 1929 లో చురుకుగా ఉంది మర"&amp;"ియు తక్కువ ఇంజిన్ శక్తి ఉన్నప్పటికీ బాగా ఎగిరింది. గజిబిజి పరిస్థితులలో డార్మ్‌స్టాడ్ట్ వద్ద ప్రదర్శించేటప్పుడు ఇది చివరకు క్రాష్ అయ్యింది. [1] ఎల్'రోఫైల్ నుండి డేటా ఫిబ్రవరి 1930, పే .39 [2] సాధారణ లక్షణాల పనితీరు")</f>
        <v>ఆర్‌ఆర్‌జి స్టోర్చ్ వి అలెగ్జాండర్ లిప్పీష్ యొక్క స్టార్చ్ సిరీస్ టైలెస్ విమానాల యొక్క ఏకైక సభ్యుడు. ఇది 1929 సంవత్సరంలో విజయవంతంగా ప్రయాణించింది. స్టోర్చ్ V కి ముందు, లిప్పిష్ గ్లైడర్‌లను మాత్రమే రూపొందించాడు, వారిలో చాలామంది టైలెస్. వీటిలో మొదటిది, ఎస్పెన్లాబ్ E.2 ను 1922 లో ఎస్పెన్లాబ్ నిర్మించారు, కాని 1925 నుండి RRG వద్ద ఉన్న లిప్పిష్, 1927 వరకు టైలెస్ లేఅవుట్‌కు తిరిగి రాలేదు. అభివృద్ధి స్టార్చ్ మోడళ్ల శ్రేణితో అభివృద్ధి చెందింది; స్టోర్చ్ IV తో అతను పూర్తిగా నియంత్రించదగిన విమానాన్ని సాధించాడు, అది బాగా ఎగిరింది. స్టోర్చ్ V తప్పనిసరిగా పైలట్ వెనుక జోడించిన చిన్న పషర్ కాన్ఫిగరేషన్ ఇంజిన్‌తో స్టోర్చ్ IV. [1] స్టోర్చ్ V లో ప్రముఖ అంచున 17 ° స్వీప్ మరియు స్వల్ప టేపర్ మరియు డైహెడ్రాల్‌తో నిటారుగా అంచుగల రెక్క ఉంది. ఇది ప్లైవుడ్ స్కిన్డ్ డి-బాక్స్ లీడింగ్ ఎడ్జ్ స్పార్ మరియు మిడ్ టార్డ్ దగ్గర రెండవ స్పార్ చుట్టూ నిర్మించబడింది మరియు ఇది ఫాబ్రిక్ కప్పబడి ఉంది. విస్తృత, లోబేట్ ఐలెరాన్‌లు విమాన రేఖకు లంబ కోణాల వద్ద అతుక్కొని, వెనుకంజలో ఉన్న అంచులకు మించి పొడుచుకు వచ్చాయి మరియు స్టోర్చ్ IV కి అమర్చని చిన్న ట్రిమ్ ట్యాబ్‌లను మోసుకెళ్ళాయి. [1] విస్తృత, తక్కువ ఎండ్‌ప్లేట్ రెక్కలు మరియు సమాన వైశాల్యం యొక్క రడ్డర్లు, వాటి లోపలి ఉపరితలాలపై కేకలు వేయడం దిశాత్మక స్థిరత్వం మరియు నియంత్రణను అందించింది. వారి ప్రొఫైల్స్ స్టోర్చ్ IV లో ఉన్న వాటి కంటే తక్కువ మరియు సరళమైనవి. రడ్డర్లు స్టీరింగ్ కోసం మరియు బ్రేకింగ్ కోసం ప్రతిపక్షంగా కలిసి పనిచేయగలవు. [1] [2] ప్రతి రెక్కను దిగువ ఫ్యూజ్‌లేజ్ పాడ్ లాంగన్ పై ఒకే పాయింట్ నుండి ముక్కు వరకు మరియు వెనుక స్పార్స్‌ను 40% వ్యవధిలో ఫెయిర్‌డ్ వి-స్ట్రట్ ద్వారా కలుపుతారు. ఎగువ పాడ్ మరియు వింగ్ సెంటర్ మధ్య ఒక జత ధృ dy నిర్మాణంగల, ఫెయిర్‌డ్, నిలువు స్ట్రట్‌లు ఉన్నాయి. పాడ్ ఫ్లాట్ సైడెడ్, కోణాల ఎగువ మరియు దిగువ ఉపరితలాలు మరియు స్టోర్చ్ IV లో కొంత యావ్ స్టెబిలిటీని అందించడానికి ఐలెరాన్ వెనుకంజలో ఉన్న అంచుల మధ్య దాదాపు ఒక రేఖకు తిరిగి అంచనా వేసింది. [1] స్టోర్చ్ V లో, ఇది ఒక చిన్న DKW 5–7 kW (7–9 HP) ఎయిర్-కూల్డ్ టూ-స్ట్రోక్ ఇంజిన్‌ను పషర్ కాన్ఫిగరేషన్‌లో వింగ్ కంటే తక్కువ అవుట్‌పుట్ షాఫ్ట్‌తో మౌంట్ చేయడానికి ఒక స్థలాన్ని అందించింది. హంప్డ్, మెటల్ కౌలింగ్‌లో కప్పబడి, చల్లబరచడం కష్టమని నిరూపించబడింది, కాబట్టి ఇది సాధారణంగా పూర్తి శక్తి కంటే తక్కువగా నడుస్తుంది. పాడ్ కింద ల్యాండింగ్ స్కిడ్ ఉంది, ఇది ప్రొపెల్లర్‌ను రక్షించడానికి పాడ్ చివర వెనుకకు విస్తరించింది. [2] స్టోర్చ్ V యొక్క మొదటి ఫ్లైట్ యొక్క తేదీ తెలియదు కాని ఇది 1929 లో చురుకుగా ఉంది మరియు తక్కువ ఇంజిన్ శక్తి ఉన్నప్పటికీ బాగా ఎగిరింది. గజిబిజి పరిస్థితులలో డార్మ్‌స్టాడ్ట్ వద్ద ప్రదర్శించేటప్పుడు ఇది చివరకు క్రాష్ అయ్యింది. [1] ఎల్'రోఫైల్ నుండి డేటా ఫిబ్రవరి 1930, పే .39 [2] సాధారణ లక్షణాల పనితీరు</v>
      </c>
      <c r="E201" s="1" t="s">
        <v>3374</v>
      </c>
      <c r="F201" s="1" t="s">
        <v>3375</v>
      </c>
      <c r="G201" s="1" t="str">
        <f>IFERROR(__xludf.DUMMYFUNCTION("GOOGLETRANSLATE(F:F, ""en"", ""te"")"),"శక్తితో కూడిన గ్లైడర్")</f>
        <v>శక్తితో కూడిన గ్లైడర్</v>
      </c>
      <c r="I201" s="1" t="s">
        <v>3376</v>
      </c>
      <c r="J201" s="1" t="str">
        <f>IFERROR(__xludf.DUMMYFUNCTION("GOOGLETRANSLATE(I:I, ""en"", ""te"")"),"Rhwon- రాసిట్టెన్ గెసెల్స్‌చాఫ్ట్ (RRG)")</f>
        <v>Rhwon- రాసిట్టెన్ గెసెల్స్‌చాఫ్ట్ (RRG)</v>
      </c>
      <c r="K201" s="1" t="s">
        <v>3377</v>
      </c>
      <c r="L201" s="1" t="s">
        <v>3378</v>
      </c>
      <c r="M201" s="2" t="str">
        <f>IFERROR(__xludf.DUMMYFUNCTION("GOOGLETRANSLATE(L:L, ""en"", ""te"")"),"అలెగ్జాండర్ లిప్పిష్")</f>
        <v>అలెగ్జాండర్ లిప్పిష్</v>
      </c>
      <c r="N201" s="1" t="s">
        <v>3379</v>
      </c>
      <c r="O201" s="1">
        <v>1.0</v>
      </c>
      <c r="R201" s="1" t="s">
        <v>550</v>
      </c>
      <c r="T201" s="1" t="s">
        <v>2656</v>
      </c>
      <c r="U201" s="1" t="s">
        <v>3380</v>
      </c>
      <c r="V201" s="1" t="s">
        <v>3381</v>
      </c>
      <c r="W201" s="1" t="s">
        <v>3382</v>
      </c>
      <c r="Z201" s="1" t="s">
        <v>3383</v>
      </c>
      <c r="AI201" s="1" t="s">
        <v>1385</v>
      </c>
      <c r="AL201" s="1" t="s">
        <v>3384</v>
      </c>
      <c r="AO201" s="1">
        <v>1929.0</v>
      </c>
      <c r="AR201" s="1" t="s">
        <v>3385</v>
      </c>
      <c r="BE201" s="1">
        <v>8.0</v>
      </c>
    </row>
  </sheetData>
  <hyperlinks>
    <hyperlink r:id="rId1" ref="AG6"/>
    <hyperlink r:id="rId2" ref="K7"/>
    <hyperlink r:id="rId3" ref="AG7"/>
    <hyperlink r:id="rId4" ref="AG8"/>
    <hyperlink r:id="rId5" ref="K9"/>
    <hyperlink r:id="rId6" ref="AG11"/>
    <hyperlink r:id="rId7" ref="K12"/>
    <hyperlink r:id="rId8" ref="K13"/>
    <hyperlink r:id="rId9" ref="K15"/>
    <hyperlink r:id="rId10" ref="H16"/>
    <hyperlink r:id="rId11" ref="AG16"/>
    <hyperlink r:id="rId12" ref="BI17"/>
    <hyperlink r:id="rId13" ref="K18"/>
    <hyperlink r:id="rId14" ref="AG18"/>
    <hyperlink r:id="rId15" ref="AG19"/>
    <hyperlink r:id="rId16" ref="AG22"/>
    <hyperlink r:id="rId17" ref="H23"/>
    <hyperlink r:id="rId18" ref="AG23"/>
    <hyperlink r:id="rId19" ref="K24"/>
    <hyperlink r:id="rId20" ref="AG28"/>
    <hyperlink r:id="rId21" ref="K29"/>
    <hyperlink r:id="rId22" ref="K30"/>
    <hyperlink r:id="rId23" ref="BT31"/>
    <hyperlink r:id="rId24" ref="AG32"/>
    <hyperlink r:id="rId25" ref="AG33"/>
    <hyperlink r:id="rId26" ref="AG39"/>
    <hyperlink r:id="rId27" ref="AG40"/>
    <hyperlink r:id="rId28" ref="H42"/>
    <hyperlink r:id="rId29" ref="AG42"/>
    <hyperlink r:id="rId30" ref="K44"/>
    <hyperlink r:id="rId31" ref="AG44"/>
    <hyperlink r:id="rId32" ref="AG45"/>
    <hyperlink r:id="rId33" ref="K48"/>
    <hyperlink r:id="rId34" ref="AG50"/>
    <hyperlink r:id="rId35" ref="K51"/>
    <hyperlink r:id="rId36" ref="AG51"/>
    <hyperlink r:id="rId37" ref="K52"/>
    <hyperlink r:id="rId38" ref="AG52"/>
    <hyperlink r:id="rId39" ref="K54"/>
    <hyperlink r:id="rId40" ref="AQ54"/>
    <hyperlink r:id="rId41" ref="K55"/>
    <hyperlink r:id="rId42" ref="AG55"/>
    <hyperlink r:id="rId43" ref="AG56"/>
    <hyperlink r:id="rId44" ref="AG57"/>
    <hyperlink r:id="rId45" ref="K58"/>
    <hyperlink r:id="rId46" ref="AG58"/>
    <hyperlink r:id="rId47" ref="K60"/>
    <hyperlink r:id="rId48" ref="AG60"/>
    <hyperlink r:id="rId49" ref="K61"/>
    <hyperlink r:id="rId50" ref="AG61"/>
    <hyperlink r:id="rId51" ref="K62"/>
    <hyperlink r:id="rId52" ref="AG62"/>
    <hyperlink r:id="rId53" ref="K63"/>
    <hyperlink r:id="rId54" ref="N63"/>
    <hyperlink r:id="rId55" ref="AG63"/>
    <hyperlink r:id="rId56" ref="K64"/>
    <hyperlink r:id="rId57" ref="AG64"/>
    <hyperlink r:id="rId58" ref="K65"/>
    <hyperlink r:id="rId59" ref="AG65"/>
    <hyperlink r:id="rId60" ref="K66"/>
    <hyperlink r:id="rId61" ref="N66"/>
    <hyperlink r:id="rId62" ref="AG66"/>
    <hyperlink r:id="rId63" ref="K67"/>
    <hyperlink r:id="rId64" ref="AG67"/>
    <hyperlink r:id="rId65" ref="K68"/>
    <hyperlink r:id="rId66" ref="AG68"/>
    <hyperlink r:id="rId67" ref="K69"/>
    <hyperlink r:id="rId68" ref="AG69"/>
    <hyperlink r:id="rId69" ref="K70"/>
    <hyperlink r:id="rId70" ref="AG70"/>
    <hyperlink r:id="rId71" ref="K71"/>
    <hyperlink r:id="rId72" ref="AG71"/>
    <hyperlink r:id="rId73" ref="K72"/>
    <hyperlink r:id="rId74" ref="AG72"/>
    <hyperlink r:id="rId75" ref="K73"/>
    <hyperlink r:id="rId76" ref="AG73"/>
    <hyperlink r:id="rId77" ref="K74"/>
    <hyperlink r:id="rId78" ref="AG74"/>
    <hyperlink r:id="rId79" ref="H75"/>
    <hyperlink r:id="rId80" ref="K75"/>
    <hyperlink r:id="rId81" ref="AG75"/>
    <hyperlink r:id="rId82" ref="K76"/>
    <hyperlink r:id="rId83" ref="AG76"/>
    <hyperlink r:id="rId84" ref="K77"/>
    <hyperlink r:id="rId85" ref="AG77"/>
    <hyperlink r:id="rId86" ref="K78"/>
    <hyperlink r:id="rId87" ref="AG78"/>
    <hyperlink r:id="rId88" ref="K79"/>
    <hyperlink r:id="rId89" ref="AG79"/>
    <hyperlink r:id="rId90" ref="H80"/>
    <hyperlink r:id="rId91" ref="K80"/>
    <hyperlink r:id="rId92" ref="AG80"/>
    <hyperlink r:id="rId93" ref="K81"/>
    <hyperlink r:id="rId94" ref="AG81"/>
    <hyperlink r:id="rId95" ref="K82"/>
    <hyperlink r:id="rId96" ref="AG82"/>
    <hyperlink r:id="rId97" ref="K83"/>
    <hyperlink r:id="rId98" ref="AG83"/>
    <hyperlink r:id="rId99" ref="K84"/>
    <hyperlink r:id="rId100" ref="AG84"/>
    <hyperlink r:id="rId101" ref="K85"/>
    <hyperlink r:id="rId102" ref="AG85"/>
    <hyperlink r:id="rId103" ref="K86"/>
    <hyperlink r:id="rId104" ref="AG86"/>
    <hyperlink r:id="rId105" ref="K87"/>
    <hyperlink r:id="rId106" ref="AG87"/>
    <hyperlink r:id="rId107" ref="AG88"/>
    <hyperlink r:id="rId108" ref="AG89"/>
    <hyperlink r:id="rId109" ref="K90"/>
    <hyperlink r:id="rId110" ref="AG90"/>
    <hyperlink r:id="rId111" ref="K91"/>
    <hyperlink r:id="rId112" ref="AG91"/>
    <hyperlink r:id="rId113" ref="K93"/>
    <hyperlink r:id="rId114" ref="K97"/>
    <hyperlink r:id="rId115" ref="H100"/>
    <hyperlink r:id="rId116" ref="AG100"/>
    <hyperlink r:id="rId117" ref="K102"/>
    <hyperlink r:id="rId118" ref="K103"/>
    <hyperlink r:id="rId119" ref="K105"/>
    <hyperlink r:id="rId120" ref="AG105"/>
    <hyperlink r:id="rId121" ref="BI108"/>
    <hyperlink r:id="rId122" ref="AG111"/>
    <hyperlink r:id="rId123" ref="K112"/>
    <hyperlink r:id="rId124" ref="K114"/>
    <hyperlink r:id="rId125" ref="K115"/>
    <hyperlink r:id="rId126" ref="K116"/>
    <hyperlink r:id="rId127" ref="K117"/>
    <hyperlink r:id="rId128" ref="AG120"/>
    <hyperlink r:id="rId129" ref="AG122"/>
    <hyperlink r:id="rId130" ref="H123"/>
    <hyperlink r:id="rId131" ref="AG123"/>
    <hyperlink r:id="rId132" ref="AG126"/>
    <hyperlink r:id="rId133" ref="AG127"/>
    <hyperlink r:id="rId134" ref="AG130"/>
    <hyperlink r:id="rId135" ref="AG132"/>
    <hyperlink r:id="rId136" ref="H137"/>
    <hyperlink r:id="rId137" ref="AG137"/>
    <hyperlink r:id="rId138" ref="K138"/>
    <hyperlink r:id="rId139" ref="N138"/>
    <hyperlink r:id="rId140" ref="K139"/>
    <hyperlink r:id="rId141" ref="K140"/>
    <hyperlink r:id="rId142" ref="AG141"/>
    <hyperlink r:id="rId143" ref="AG144"/>
    <hyperlink r:id="rId144" ref="AG148"/>
    <hyperlink r:id="rId145" ref="AG151"/>
    <hyperlink r:id="rId146" ref="K152"/>
    <hyperlink r:id="rId147" ref="AG152"/>
    <hyperlink r:id="rId148" ref="AQ153"/>
    <hyperlink r:id="rId149" ref="AG154"/>
    <hyperlink r:id="rId150" ref="AG155"/>
    <hyperlink r:id="rId151" ref="AG156"/>
    <hyperlink r:id="rId152" ref="AG157"/>
    <hyperlink r:id="rId153" ref="K159"/>
    <hyperlink r:id="rId154" ref="AG159"/>
    <hyperlink r:id="rId155" ref="K160"/>
    <hyperlink r:id="rId156" ref="AG161"/>
    <hyperlink r:id="rId157" ref="K163"/>
    <hyperlink r:id="rId158" ref="AG165"/>
    <hyperlink r:id="rId159" ref="K167"/>
    <hyperlink r:id="rId160" ref="AG167"/>
    <hyperlink r:id="rId161" ref="AG168"/>
    <hyperlink r:id="rId162" ref="K170"/>
    <hyperlink r:id="rId163" ref="AG170"/>
    <hyperlink r:id="rId164" ref="K171"/>
    <hyperlink r:id="rId165" ref="AG171"/>
    <hyperlink r:id="rId166" ref="AG173"/>
    <hyperlink r:id="rId167" ref="K174"/>
    <hyperlink r:id="rId168" ref="AG175"/>
    <hyperlink r:id="rId169" ref="K176"/>
    <hyperlink r:id="rId170" ref="AG176"/>
    <hyperlink r:id="rId171" ref="H177"/>
    <hyperlink r:id="rId172" ref="AG177"/>
    <hyperlink r:id="rId173" ref="AG178"/>
    <hyperlink r:id="rId174" ref="AG179"/>
    <hyperlink r:id="rId175" ref="AG180"/>
    <hyperlink r:id="rId176" ref="AG181"/>
    <hyperlink r:id="rId177" ref="K182"/>
    <hyperlink r:id="rId178" ref="AG182"/>
    <hyperlink r:id="rId179" ref="K185"/>
    <hyperlink r:id="rId180" ref="K190"/>
    <hyperlink r:id="rId181" ref="H191"/>
    <hyperlink r:id="rId182" ref="AG194"/>
    <hyperlink r:id="rId183" ref="K196"/>
    <hyperlink r:id="rId184" ref="AG197"/>
    <hyperlink r:id="rId185" ref="AG199"/>
    <hyperlink r:id="rId186" ref="K200"/>
  </hyperlinks>
  <drawing r:id="rId187"/>
</worksheet>
</file>