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put1400" sheetId="1" r:id="rId4"/>
  </sheets>
  <definedNames/>
  <calcPr/>
</workbook>
</file>

<file path=xl/sharedStrings.xml><?xml version="1.0" encoding="utf-8"?>
<sst xmlns="http://schemas.openxmlformats.org/spreadsheetml/2006/main" count="4600" uniqueCount="3129">
  <si>
    <t>name</t>
  </si>
  <si>
    <t>Description</t>
  </si>
  <si>
    <t>Role</t>
  </si>
  <si>
    <t>National origin</t>
  </si>
  <si>
    <t>Manufacturer</t>
  </si>
  <si>
    <t>Manufacturerlink</t>
  </si>
  <si>
    <t>Designer</t>
  </si>
  <si>
    <t>Designerlink</t>
  </si>
  <si>
    <t>First flight</t>
  </si>
  <si>
    <t>Crew</t>
  </si>
  <si>
    <t>Length</t>
  </si>
  <si>
    <t>Wingspan</t>
  </si>
  <si>
    <t>Height</t>
  </si>
  <si>
    <t>Wing area</t>
  </si>
  <si>
    <t>Empty weight</t>
  </si>
  <si>
    <t>Gross weight</t>
  </si>
  <si>
    <t>Powerplant</t>
  </si>
  <si>
    <t>Maximum speed</t>
  </si>
  <si>
    <t>Range</t>
  </si>
  <si>
    <t>Service ceiling</t>
  </si>
  <si>
    <t>Rate of climb</t>
  </si>
  <si>
    <t>img</t>
  </si>
  <si>
    <t>Rolelink</t>
  </si>
  <si>
    <t>National originlink</t>
  </si>
  <si>
    <t>Status</t>
  </si>
  <si>
    <t>Fuel capacity</t>
  </si>
  <si>
    <t>Propellers</t>
  </si>
  <si>
    <t>Cruise speed</t>
  </si>
  <si>
    <t>Stall speed</t>
  </si>
  <si>
    <t>Wing loading</t>
  </si>
  <si>
    <t>Number built</t>
  </si>
  <si>
    <t>Capacity</t>
  </si>
  <si>
    <t>Type</t>
  </si>
  <si>
    <t>Last flight</t>
  </si>
  <si>
    <t>Flights</t>
  </si>
  <si>
    <t>Fate</t>
  </si>
  <si>
    <t>Endurance</t>
  </si>
  <si>
    <t>Primary user</t>
  </si>
  <si>
    <t>Variants</t>
  </si>
  <si>
    <t>Aspect ratio</t>
  </si>
  <si>
    <t>Airfoil</t>
  </si>
  <si>
    <t>Takeoff distance to 15 m (50 ft)</t>
  </si>
  <si>
    <t>Landing distance to 15 m (50 ft)</t>
  </si>
  <si>
    <t>Statuslink</t>
  </si>
  <si>
    <t>Produced</t>
  </si>
  <si>
    <t>Never exceed speed</t>
  </si>
  <si>
    <t>Max rough air speed</t>
  </si>
  <si>
    <t>g limits</t>
  </si>
  <si>
    <t>Maximum glide ratio</t>
  </si>
  <si>
    <t>Best glide speed</t>
  </si>
  <si>
    <t>Rate of sink</t>
  </si>
  <si>
    <t>Power/mass</t>
  </si>
  <si>
    <t>Developed from</t>
  </si>
  <si>
    <t>Developed fromlink</t>
  </si>
  <si>
    <t>Max takeoff weight</t>
  </si>
  <si>
    <t>First flightlink</t>
  </si>
  <si>
    <t>Variantslink</t>
  </si>
  <si>
    <t>Typelink</t>
  </si>
  <si>
    <t>Construction number</t>
  </si>
  <si>
    <t>Registration</t>
  </si>
  <si>
    <t>Introduction</t>
  </si>
  <si>
    <t>Landing speed</t>
  </si>
  <si>
    <t>Primary userlink</t>
  </si>
  <si>
    <t>Width</t>
  </si>
  <si>
    <t>Main rotor diameter</t>
  </si>
  <si>
    <t>Main rotor area</t>
  </si>
  <si>
    <t>Disk loading</t>
  </si>
  <si>
    <t>Serial</t>
  </si>
  <si>
    <t>Owners and operators</t>
  </si>
  <si>
    <t>Owners and operatorslink</t>
  </si>
  <si>
    <t>In service</t>
  </si>
  <si>
    <t>Fatelink</t>
  </si>
  <si>
    <t>Upper wingspan</t>
  </si>
  <si>
    <t>Time to altitude</t>
  </si>
  <si>
    <t>Useful load</t>
  </si>
  <si>
    <t>Guns</t>
  </si>
  <si>
    <t>Minimum control speed</t>
  </si>
  <si>
    <t>Developed into</t>
  </si>
  <si>
    <t>Developed intolink</t>
  </si>
  <si>
    <t>Combat range</t>
  </si>
  <si>
    <t>Bombs</t>
  </si>
  <si>
    <t>Lower wingspan</t>
  </si>
  <si>
    <t>Major applications</t>
  </si>
  <si>
    <t>Major applicationslink</t>
  </si>
  <si>
    <t>Take-off run</t>
  </si>
  <si>
    <t>Landing run</t>
  </si>
  <si>
    <t>Hardpoints</t>
  </si>
  <si>
    <t>take-off distance and time at maximum load</t>
  </si>
  <si>
    <t>Issued by</t>
  </si>
  <si>
    <t>Issued bylink</t>
  </si>
  <si>
    <t>Proposals</t>
  </si>
  <si>
    <t>Proposalslink</t>
  </si>
  <si>
    <t>Outcome</t>
  </si>
  <si>
    <t>Ferry range</t>
  </si>
  <si>
    <t>Retired</t>
  </si>
  <si>
    <t>Max rough air</t>
  </si>
  <si>
    <t>Oil capacity</t>
  </si>
  <si>
    <t>Fuel consumption</t>
  </si>
  <si>
    <t>Takeoff distance to 50 ft (15 m)</t>
  </si>
  <si>
    <t>Landing distance from 50 ft (15 m)</t>
  </si>
  <si>
    <t>Roll rate</t>
  </si>
  <si>
    <t>Built by</t>
  </si>
  <si>
    <t>Built bylink</t>
  </si>
  <si>
    <t>Primary users</t>
  </si>
  <si>
    <t>Primary userslink</t>
  </si>
  <si>
    <t>Upper wing chord</t>
  </si>
  <si>
    <t>Lower wing chord</t>
  </si>
  <si>
    <t>Rockets</t>
  </si>
  <si>
    <t>Producedlink</t>
  </si>
  <si>
    <t>Number builtlink</t>
  </si>
  <si>
    <t>Piel Pinocchio II</t>
  </si>
  <si>
    <t>The Piel CP.90 Pinocchio II was a single-seat, single-engine aerobatic sport aircraft developed in France and marketed for homebuilding.[1] The design was based on that of Piel's Emeraude[2] and was unrelated to Piel's first design named Pinocchio, the CP.10 and indirectly to the second, the CP.20. It was a cantilever, low-wing monoplane of conventional design with an enclosed cockpit and fixed, tailwheel undercarriage.[2] Construction was of wood throughout.[2][3] Although Piel commenced work on the design in 1965,[4] the first example did not fly until 1986.[3] Data from Jane's All the World's Aircraft 1977–78, p.496–97General characteristics Performance</t>
  </si>
  <si>
    <t>Aerobatic sport aircraft</t>
  </si>
  <si>
    <t>France</t>
  </si>
  <si>
    <t>Homebuilt</t>
  </si>
  <si>
    <t>https://en.wikipedia.org/Homebuilt</t>
  </si>
  <si>
    <t>Claude Piel</t>
  </si>
  <si>
    <t>https://en.wikipedia.org/Claude Piel</t>
  </si>
  <si>
    <t>One pilot</t>
  </si>
  <si>
    <t>6.00 m (19 ft 8 in)</t>
  </si>
  <si>
    <t>7.20 m (23 ft 8 in)</t>
  </si>
  <si>
    <t>1.80 m (5 ft 11 in)</t>
  </si>
  <si>
    <t>9.7 m2 (104 sq ft)</t>
  </si>
  <si>
    <t>335 kg (738 lb)</t>
  </si>
  <si>
    <t>460 kg (1,010 lb)</t>
  </si>
  <si>
    <t>1 × Continental O-200 , 75 kW (100 hp)</t>
  </si>
  <si>
    <t>260 km/h (160 mph, 140 kn)</t>
  </si>
  <si>
    <t>550 km (340 mi, 300 nmi)</t>
  </si>
  <si>
    <t>6,000 m (19,700 ft)</t>
  </si>
  <si>
    <t>8.0 m/s (1,600 ft/min)</t>
  </si>
  <si>
    <t>Platzer Motte</t>
  </si>
  <si>
    <t>The Platzer Motte (English: Moth) is a German amateur-built aircraft designed by Michael Platzer and made available in the form of plans for amateur construction.[1][2] The Motte features a strut-braced parasol wing configuration, single-seat open cockpit with a small windshield, fixed conventional landing gear and a single engine in tractor configuration.[1][2] The aircraft uses the same wing design as the Platzer Kiebitz biplane. The Motte's fuselage is made from metal tubing, with its flying surfaces covered in doped aircraft fabric. Its 8.2 m (26.9 ft) span wing has an area of 13 m2 (140 sq ft) supported by V-struts and jury struts. Engines used include the 65 hp (48 kW) Nissan 12P automotive engine from a Nissan Micra, as well as the 51 hp (38 kW) Rotax 462 powerplant.[1][2] Pilot access can be difficult due to the proximity of the wing mounted close above the cockpit. Builders have solved this with a trailing edge wing cut-out.[1][2] The Motte was Platzer's first design, but his later two-seat Kiebitz biplane has proven much more popular than the Motte with builders.[1][2] Data from Bayerl and Tacke[1][2]General characteristics Performance</t>
  </si>
  <si>
    <t>Amateur-built aircraft</t>
  </si>
  <si>
    <t>Germany</t>
  </si>
  <si>
    <t>Michael Platzer</t>
  </si>
  <si>
    <t>one</t>
  </si>
  <si>
    <t>8.2 m (26 ft 11 in)</t>
  </si>
  <si>
    <t>13 m2 (140 sq ft)</t>
  </si>
  <si>
    <t>180 kg (397 lb)</t>
  </si>
  <si>
    <t>285 kg (628 lb)</t>
  </si>
  <si>
    <t>1 × Rotax 462 twin cylinder, air-cooled, two stroke engine, 38 kW (51 hp)</t>
  </si>
  <si>
    <t>160 km/h (99 mph, 86 kn)</t>
  </si>
  <si>
    <t>4 m/s (790 ft/min)</t>
  </si>
  <si>
    <t>//upload.wikimedia.org/wikipedia/commons/thumb/9/9a/Platzer_Motte_B2-3_D-MFBB.jpg/300px-Platzer_Motte_B2-3_D-MFBB.jpg</t>
  </si>
  <si>
    <t>https://en.wikipedia.org/Amateur-built aircraft</t>
  </si>
  <si>
    <t>https://en.wikipedia.org/Germany</t>
  </si>
  <si>
    <t>Plans available (2011)</t>
  </si>
  <si>
    <t>35 to 60 litres (7.7 to 13.2 imp gal; 9.2 to 15.9 US gal)</t>
  </si>
  <si>
    <t>two-bladed wooden</t>
  </si>
  <si>
    <t>120 km/h (75 mph, 65 kn)</t>
  </si>
  <si>
    <t>50 km/h (31 mph, 27 kn)</t>
  </si>
  <si>
    <t>21.9 kg/m2 (4.5 lb/sq ft)</t>
  </si>
  <si>
    <t>Poberezny P-5 Pober Sport</t>
  </si>
  <si>
    <t>The P-5 Pober Sport is an early low-wing homebuilt aircraft designed by Experimental Aircraft Association founder Paul Poberezny. The one example built was flown across the country to every EAA chapter at the time. The first drawings of the Pober Sport were published in the November 1956 issue of the experimenter.[1] The Pober Sport is a strut-braced, low-wing, taildragger aircraft. The fuselage is a modification of the Ace Baby Ace. The landing gear is from a J-3 Cub. The fabric covered aluminium wings are from a high-wing Luscombe Aircraft design. The elevators are controlled with push-pull tubes.[2] The Pober Sport was introduced at the 1959 EAA convention. During the sourcing of the parts, Poberezny used a C-47 to pick up the Luscome wings, and started work on the ailerons while in-flight.[3] Anders “Andy” Ljungberg later toured the America on a 72 stop tour with the aircraft to visit every EAA chapter in the country. The tour was broadcast and monitored by amateur radio operators along the route.[4]  The aircraft was donated to the EAA AirVenture Museum in Oshkosh, Wisconsin in 1975.[5] Data from ExperimenterGeneral characteristics Performance   Aircraft of comparable role, configuration, and era</t>
  </si>
  <si>
    <t>Homebuilt aircraft</t>
  </si>
  <si>
    <t>America</t>
  </si>
  <si>
    <t>Paul Poberezny, Norm Poberezney, Ron Duhamel</t>
  </si>
  <si>
    <t>https://en.wikipedia.org/Paul Poberezny, Norm Poberezney, Ron Duhamel</t>
  </si>
  <si>
    <t>18 ft 1 in (5.51 m)</t>
  </si>
  <si>
    <t>23 ft 1 in (7.04 m)</t>
  </si>
  <si>
    <t>6 ft (1.8 m)</t>
  </si>
  <si>
    <t>88 sq ft (8.2 m2)</t>
  </si>
  <si>
    <t>570 lb (259 kg)</t>
  </si>
  <si>
    <t>900 lb (408 kg)</t>
  </si>
  <si>
    <t>1 × Continental C-85 , 85 hp (63 kW)</t>
  </si>
  <si>
    <t>//upload.wikimedia.org/wikipedia/commons/thumb/7/7f/Pober_Sport.jpg/300px-Pober_Sport.jpg</t>
  </si>
  <si>
    <t>https://en.wikipedia.org/Homebuilt aircraft</t>
  </si>
  <si>
    <t>https://en.wikipedia.org/America</t>
  </si>
  <si>
    <t>18 US gallons (68 litres)</t>
  </si>
  <si>
    <t>110 kn (130 mph, 210 km/h)</t>
  </si>
  <si>
    <t>10.2 lb/sq ft (50 kg/m2)</t>
  </si>
  <si>
    <t>QinetiQ 1</t>
  </si>
  <si>
    <t>QinetiQ 1 was a balloon designed to set a new world altitude record for manned balloon flight of around 40 km (25 miles, 132,000 feet). The balloon was named after the main sponsors, QinetiQ (formerly part of DERA, the British Defence Evaluation and Research Agency). The immense 381 m high zero-pressure balloon was constructed from 5,000 kg of polyethylene. The lift gas used for the balloon was helium. At the anticipated flight ceiling, the balloon's volume would have been 1.25 million m³ (40 million ft³). The two pilots, Andy Elson and Colin Prescot, were to occupy an open deck, relying on Zvezda-manufactured Sokol space suits to keep them alive during the anticipated twelve-hour flight. The attempt was originally planned for 2002, but adverse high altitude conditions halted attempts in that year. The launch site for the twelve-hour flight was decided to be from off the coast of Cornwall. In 2003 the launch was initially set to take place on 2 September from the deck of RV Triton off the coast of St Ives. Early that morning, it was decided to postpone the launch for 24 hours due to cloud cover at high altitude. The following morning an attempt was made to inflate the balloon. At around 6.55 AM with the balloon inflated to a height of 15 metres, helium began to escape from the envelope. An irreparable tear was discovered along one of the seams of the balloon, and all efforts for a flight in 2003 were abandoned. The current balloon flight record was set by Malcolm Ross (USNR) and Victor Prather (USN), who took the Strato-Lab V balloon to 34,668 m (113,740 ft) on 4 May 1961 above the Gulf of Mexico. The balloonists landed successfully, but Victor Prather slipped from the helicopter lift harness while being transferred to a waiting aircraft carrier, and he drowned before US Navy divers could rescue him. Nicholas Piantanida, while attempting to set a new skydiving jump record, is claimed to have reached 123,800 feet (37.73 km) on 2 February 1966. Piantanida was unable to disconnect his breathing apparatus from the gondola, so the ground crew jettisoned the balloon at the flight ceiling. Piantanida's attempt did not set a flight record because he descended without the balloon.[1]</t>
  </si>
  <si>
    <t>High altitude manned research balloon</t>
  </si>
  <si>
    <t>2 September 2003 (failed launch)</t>
  </si>
  <si>
    <t>scrapped</t>
  </si>
  <si>
    <t>RMT Bateleur</t>
  </si>
  <si>
    <t>The RMT Bateleur (named for the bird species) is a German ultralight and light-sport aircraft, designed by Andre von Schoenebeck and produced by RMT Aviation of Bad Bocklet. The aircraft is supplied as a kit for amateur construction or as a complete ready-to-fly-aircraft.[1][2] The aircraft was designed by von Schoenebeck as his first full-sized aircraft after a career of designing competition model gliders. The Bateleur was intended to comply with the Fédération Aéronautique Internationale microlight rules and US light-sport aircraft rules. The company also plans to type certify it to FAR 23 standards.[1][3] The Bateleur features a delta wing layout with a canard. The wing is a cantilever low-wing design. The aircraft also features two-seats-in-tandem under separate bubble canopies, fixed or optionally retractable tricycle landing gear and a single engine in pusher configuration. The light-sport version will have fixed landing gear as that category's rules require and a gross weight of 600 kg (1,323 lb).[1][4] The aircraft is made from composites. Its 6.25 m (20.5 ft) span wing has an area of 14 m2 (150 sq ft) and flaps mounted on the main and canard wings. Standard engines available are the 100 hp (75 kW) Rotax 912ULS and the turbocharged, 115 hp (86 kW) Rotax 914 four-stroke powerplants. Landing gear is fixed for the US light-sport aircraft market or retractable for the homebuilt version.[1][2] Production was initially established in South Africa, moved to Germany, and finally to the America in 2012.[1][2] As of March 2017, the design does not appear on the Federal Aviation Administration's list of approved special light-sport aircraft.[5] Data from Bayerl[1]General characteristics Performance</t>
  </si>
  <si>
    <t>Ultralight aircraft and Light-sport aircraft</t>
  </si>
  <si>
    <t>RMT Aviation</t>
  </si>
  <si>
    <t>https://en.wikipedia.org/RMT Aviation</t>
  </si>
  <si>
    <t>Andre von Schoenebeck</t>
  </si>
  <si>
    <t>6.25 m (20 ft 6 in)</t>
  </si>
  <si>
    <t>14 m2 (150 sq ft)</t>
  </si>
  <si>
    <t>250 kg (551 lb)</t>
  </si>
  <si>
    <t>450 kg (992 lb)</t>
  </si>
  <si>
    <t>1 × Rotax 912ULS four cylinder, liquid and air-cooled, four stroke aircraft engine, 75 kW (101 hp)</t>
  </si>
  <si>
    <t>320 km/h (200 mph, 170 kn)</t>
  </si>
  <si>
    <t>7 m/s (1,400 ft/min)</t>
  </si>
  <si>
    <t>https://en.wikipedia.org/Ultralight aircraft and Light-sport aircraft</t>
  </si>
  <si>
    <t>In production (2012)</t>
  </si>
  <si>
    <t>76 litres (17 imp gal; 20 US gal)</t>
  </si>
  <si>
    <t>300 km/h (190 mph, 160 kn)</t>
  </si>
  <si>
    <t>65 km/h (40 mph, 35 kn)</t>
  </si>
  <si>
    <t>42.9 kg/m2 (8.8 lb/sq ft)</t>
  </si>
  <si>
    <t>one passenger</t>
  </si>
  <si>
    <t>7 hours at 275 km/h (171 mph)</t>
  </si>
  <si>
    <t>Procaer Picchio</t>
  </si>
  <si>
    <t>The Procaer F.15 Picchio (Italian: "Woodpecker") is an Italian-designed light utility aircraft built by Procaer (PROgetti Costruzioni AERonautiche). The Picchio was developed in Italy in the late 1950s as a further development of Stelio Frati's Falco and Nibbio designs. Like its predecessors, the Picchio was a conventional low-wing cantilever monoplane of exceptionally clean lines, with retractable tricycle undercarriage. Early versions of the Picchio shared the same wooden construction as the earlier designs, but had a thin aluminium skin over the top of their plywood skins. The F.15E and F.15F, however, were all-metal. Production of the early, wooden Picchios was carried out by Procaer in Milan, but in the mid 1960s, Frati established General Avia as his own factory to build his designs, commencing with the F.15E. Only a few examples were built, however, and the design lay dormant until revived by an Austrian company, HOAC in the mid 1990s. HOAC arranged to have the two-seat F.15F model built at the JSC Sokol plant in Niznij Novgorod, but ran out of money, leaving Sokol with unsold airframes in various states of completion. The Picchio was primarily intended for operation by private pilot owners and the design was exported to several European countries as well as being purchased by Italian individuals. Several are still airworthy (2012). Data from Jane's All The World's Aircraft 1961–62[2]General characteristics Performance</t>
  </si>
  <si>
    <t>Utility aircraft</t>
  </si>
  <si>
    <t>Italy</t>
  </si>
  <si>
    <t>Procaer, General Avia, HOAC</t>
  </si>
  <si>
    <t>https://en.wikipedia.org/Procaer, General Avia, HOAC</t>
  </si>
  <si>
    <t>Stelio Frati</t>
  </si>
  <si>
    <t>https://en.wikipedia.org/Stelio Frati</t>
  </si>
  <si>
    <t>7.50 m (24 ft 7 in)</t>
  </si>
  <si>
    <t>9.90 m (32 ft 6 in)</t>
  </si>
  <si>
    <t>2.80 m (9 ft 2 in)</t>
  </si>
  <si>
    <t>13.30 m2 (143.2 sq ft)</t>
  </si>
  <si>
    <t>695 kg (1,532 lb)</t>
  </si>
  <si>
    <t>1,150 kg (2,535 lb)</t>
  </si>
  <si>
    <t>1 × Lycoming O-360-A1A horizontally opposed, four-cylinder, air-cooled piston engine, 130 kW (180 hp)</t>
  </si>
  <si>
    <t>310 km/h (190 mph, 170 kn)</t>
  </si>
  <si>
    <t>1,600 km (990 mi, 860 nmi)</t>
  </si>
  <si>
    <t>5,200 m (17,100 ft)</t>
  </si>
  <si>
    <t>5.1 m/s (1,000 ft/min)</t>
  </si>
  <si>
    <t>//upload.wikimedia.org/wikipedia/commons/thumb/6/69/Procaer_Picchio_Fisa_F15A_F-BULT.JPG/300px-Procaer_Picchio_Fisa_F15A_F-BULT.JPG</t>
  </si>
  <si>
    <t>125 L (33 US gal; 27 imp gal)</t>
  </si>
  <si>
    <t>250 km/h (160 mph, 130 kn) at sea level (econ. cruise, 55% power)</t>
  </si>
  <si>
    <t>92 km/h (57 mph, 50 kn) (flaps down, power off)</t>
  </si>
  <si>
    <t>c.50</t>
  </si>
  <si>
    <t>3 passengers</t>
  </si>
  <si>
    <t>Private Pilot owners</t>
  </si>
  <si>
    <t>{'F.15': ' prototype with ', 'F.15A': ' initial production version with ', 'F.15B': ' similar to F.15A but with larger-span wings and fuel tanks relocated from fuselage to wings (20 built by Procaer)', 'F.15C': ' version with ', 'F.15D': ' proposed version similar to F.15B with ', 'F.15E Picchio': ' Four-seat, all metal aircraft with fuel in wing and wing-tip tanks and powered by 300\xa0hp (220\xa0kW) ', 'F.15F': ' All metal, four-seat derivative of F15.E with bubble canopy and powered by 200\xa0hp (150\xa0kW) IO-360 engine. One built by ', 'F.15F Excalibur': ' F.15F built by '}</t>
  </si>
  <si>
    <t>NACA 64.215/64.210</t>
  </si>
  <si>
    <t>505 m (1,657 ft)</t>
  </si>
  <si>
    <t>400 m (1,312 ft)</t>
  </si>
  <si>
    <t>Radab Windex</t>
  </si>
  <si>
    <t>The Radab Windex is a family of Swedish high-wing, single-seat aerobatic gliders and motor gliders that was designed by Sven Olof Ridder and produced initially by Radab and later by WindexAir AB as a kit for amateur construction.[1][2][3] The initial design was the unpowered model 1100. This was followed by the present production 1200C motorglider. The project started off in 1980 as a hobby design between Sven-Olof Ridder and Harald Undén, who later founded Radab to produce the design. By 1983 they had developed the custom airfoil section and tested it in a wind tunnel.[2] The first unpowered 1100 model flew in 1985, but the following year, as they geared up for kit production the factory burnt down, including all the fibreglass molds that they had built. Only two 1200 C aircraft kits had been produced before the molds were destroyed. One of these was completed in time to be flown at the 1987 Paris Airshow.[1][2] By 1990 the molds had been replaced and the first new 1200 C was completed. The first amateur-built Windex was completed from a kit in 1996. By 1999 WindexAir AB had assumed production from Radab.[2] The 1200 C is built from a combination of carbon-fiber-reinforced polymer and fibreglass. The aircraft is fully aerobatic and stressed to +9/-6g. The 12.1 m (40 ft) span wing has carbon fibre spars and is of a semi-tapered planform. The wing employs a custom Radab KTH-FFA 17% thickness airfoil and features both Schempp-Hirth-style upper surface air brakes and 22.5% chord flaps for glidepath control. The König SC-430 15 kW (20 hp) two-stroke three-cylinder engine is mounted in tractor configuration and has a variable-pitch, fully feathering propeller.[1][2][4][5] When it was in production the Windex 1200 C was supplied in three kits, fuselage, wings and engine and propeller.[6] In 1991 the prototype was flown at the FAI World Glider Aerobatic Championships held at Zielona Góra, Poland, winning two bronze medals.[2] In August 2011 there were four Windex motor gliders and one glider registered in the America with the Federal Aviation Administration. All are in the Experimental - Amateur-built category.[7] Data from Sailplane Directory and company website,[1][9] Jane's All the World's Aircraft 1988-89[8]General characteristics Performance</t>
  </si>
  <si>
    <t>Glider and Motor glider</t>
  </si>
  <si>
    <t>Sweden</t>
  </si>
  <si>
    <t>RadabWindexAir AB</t>
  </si>
  <si>
    <t>https://en.wikipedia.org/RadabWindexAir AB</t>
  </si>
  <si>
    <t>Sven Olof Ridder</t>
  </si>
  <si>
    <t>https://en.wikipedia.org/Sven Olof Ridder</t>
  </si>
  <si>
    <t>1985 (model 1100)</t>
  </si>
  <si>
    <t>4.92 m (16 ft 2 in)</t>
  </si>
  <si>
    <t>12.1 m (39 ft 8 in)</t>
  </si>
  <si>
    <t>7.41 m2 (79.8 sq ft)</t>
  </si>
  <si>
    <t>175 kg (386 lb)</t>
  </si>
  <si>
    <t>310 kg (683 lb)</t>
  </si>
  <si>
    <t>1 × König SC-430 3-cyl. air-cooled two-stroke piston engine, 15 kW (20 hp)</t>
  </si>
  <si>
    <t>270 km/h (170 mph, 150 kn) level flight</t>
  </si>
  <si>
    <t>2.5 m/s (490 ft/min)</t>
  </si>
  <si>
    <t>//upload.wikimedia.org/wikipedia/commons/thumb/a/a7/Saab_MERA_01_%28Windex_1200C%29_%288353163972%29.jpg/300px-Saab_MERA_01_%28Windex_1200C%29_%288353163972%29.jpg</t>
  </si>
  <si>
    <t>https://en.wikipedia.org/Glider and Motor glider</t>
  </si>
  <si>
    <t>https://en.wikipedia.org/Sweden</t>
  </si>
  <si>
    <t>Out of production[citation needed]</t>
  </si>
  <si>
    <t>20 l (5.3 US gal; 4.4 imp gal)</t>
  </si>
  <si>
    <t>2-bladed Radab variable-pitch feathering Epoxy/Kevlar propeller, 1.05 m (3 ft 5 in) diameter</t>
  </si>
  <si>
    <t>210 km/h (130 mph, 110 kn) 50% power</t>
  </si>
  <si>
    <t>70 km/h (43 mph, 38 kn) powered</t>
  </si>
  <si>
    <t>41.83 kg/m2 (8.57 lb/sq ft)</t>
  </si>
  <si>
    <t>{}</t>
  </si>
  <si>
    <t>Radab KTH-FFA 17%</t>
  </si>
  <si>
    <t>https://en.wikipedia.org/Out of production[citation needed]</t>
  </si>
  <si>
    <t>1985-1986, 1990- c.2003</t>
  </si>
  <si>
    <t>350 km/h (220 mph, 190 kn) in smooth air</t>
  </si>
  <si>
    <t>252 km/h (136 kn; 157 mph)max fuel no reserves</t>
  </si>
  <si>
    <t>+9 -6</t>
  </si>
  <si>
    <t>100 km/h (54 kn; 62 mph)</t>
  </si>
  <si>
    <t>0.61 m/s (120 ft/min) *Minimum sink speed</t>
  </si>
  <si>
    <t>16.1 kg/kW (26.45 lb/hp)</t>
  </si>
  <si>
    <t>Piel Diamant</t>
  </si>
  <si>
    <t>The Piel CP.60 Diamant is a single-engine light aircraft designed in France in the 1960s and marketed for home building.[1] The Diamant is a conventional, low-wing cantilever monoplane and essentially an enlarged version of Piel's successful Emeraude designed to accommodate more passengers.[1][2] This extra capacity is provided by a redesigned fuselage which is higher in the rear section and longer overall.[3] While the Emeraude has only two seats, side-by-side, the Diamant has an extra bench seat at the rear of the cabin to seat one or two more people.[2] The wingspan is also greater than that of the Emeraude, allowing for a greater maximum take-off weight.[3] The 110 page set of plans included modifications for retractable gear, tricycle gear, and wing mounted fuel tanks.[4] As with the Emeraude, Piel obtained type certification for the Diamant, allowing it to be manufactured on a commercial basis.[2] However, unlike the Emeraude, this did not actually transpire, and the Diamant was only ever built as a homebuilt.[5] By the late 1970s, the original versions of the Diamant were no longer offered and had been supplanted by the Super Diamant, designed for more powerful engines and featuring revised tail surfaces.[2] Data from Jane's All the World's Aircraft 1977–78, p.496General characteristics Performance</t>
  </si>
  <si>
    <t>civil utility aircraft</t>
  </si>
  <si>
    <t>7.00 m (23 ft 0 in)</t>
  </si>
  <si>
    <t>9.20 m (30 ft 2 in)</t>
  </si>
  <si>
    <t>2.00 m (6 ft 7 in)</t>
  </si>
  <si>
    <t>13.3 m2 (143 sq ft)</t>
  </si>
  <si>
    <t>520 kg (1,146 lb)</t>
  </si>
  <si>
    <t>850 kg (1,873 lb)</t>
  </si>
  <si>
    <t>1 × Lycoming O-320_E2A , 112 kW (150 hp)</t>
  </si>
  <si>
    <t>1,150 km (710 mi, 620 nmi)</t>
  </si>
  <si>
    <t>5,000 m (16,400 ft)</t>
  </si>
  <si>
    <t>5.5 m/s (1,080 ft/min)</t>
  </si>
  <si>
    <t>//upload.wikimedia.org/wikipedia/commons/thumb/3/3e/Piel_C.P._605_DIAMANT_C-GUMM_01.JPG/300px-Piel_C.P._605_DIAMANT_C-GUMM_01.JPG</t>
  </si>
  <si>
    <t>2-3 passengers</t>
  </si>
  <si>
    <t>{'CP.60 Diamant': ' prototype with 90\xa0hp (67\xa0kW) Continental engine.', 'CP.601 Diamant': ' version with 100\xa0hp (75\xa0kW) Continental engine.', 'CP.602 Diamant': ' version with 115\xa0hp (86\xa0kW) Potez engine.', 'CP.603 Diamant': ' version with 115\xa0hp Lycoming engine', 'CP.604 Super Diamant': ' version with 145 horsepower (108\xa0kW) Continental engine.', 'CP.605 Super Diamant': ' 4 seat version with 150\xa0kW (201\xa0hp) ', 'CP.605B Super Diamant': ' CP.605 with retractable ', 'CP.606 Super Diamant': ' version with 140\xa0hp Lycoming engine', 'CP.607 Super Diamant': ' version with 130\xa0hp Continental engine', 'CP.608 Super Diamant': ' version with 180\xa0hp Lycoming engine', 'CP.615 Super Diamant': ' version with 160\xa0hp engine'}</t>
  </si>
  <si>
    <t>Piper PA-14 Family Cruiser</t>
  </si>
  <si>
    <t>The  Piper PA-14 Family Cruiser is an American-built small touring aircraft of the late 1940s. Piper Aircraft had built the PA-12 Super Cruiser three-seat touring aircraft between early 1946 and March 1948. In 1947, the PA-12 design was adapted to a four-seat layout by widening the cabin by five inches at the instrument panel and adding slotted flaps. The original high-wing and fixed tailwheel undercarriage layout features were retained. The PA-14 prototype made its first flight from the company's Lock Haven Pennsylvania factory on 21 March 1947.[1] A second PA-14 was completed on 6 February 1948 and the first customer deliveries were made later that year.[1] 238 examples were completed,[2]  most being sold to private owner pilots in the America, but overseas sales included several to France. The aircraft was launched at a time of serious financial difficulty for the company, and indeed, soon after the release of the Family Cruiser, Piper was placed in receivership, from which it later successfully emerged. 126 examples remained registered in the America in April 2011, of which 81 were based in Alaska and 13 aircraft were registered in Canada. Data from Piper Aircraft and their forerunners[3]General characteristics Performance Related development Aircraft of comparable role, configuration, and era</t>
  </si>
  <si>
    <t>Single-engined cabin monoplane</t>
  </si>
  <si>
    <t>Piper Aircraft</t>
  </si>
  <si>
    <t>https://en.wikipedia.org/Piper Aircraft</t>
  </si>
  <si>
    <t>23 ft 2 in (7.06 m)</t>
  </si>
  <si>
    <t>35 ft 6 in (10.82 m)</t>
  </si>
  <si>
    <t>6 ft 5 in (1.96 m)</t>
  </si>
  <si>
    <t>179.3 sq ft (16.66 m2) [citation needed]</t>
  </si>
  <si>
    <t>1,020 lb (463 kg)</t>
  </si>
  <si>
    <t>1 × Lycoming O-235-C1 4-cylinder air-cooled horizontally-opposed piston engine, 115 hp (86 kW)</t>
  </si>
  <si>
    <t>123 mph (198 km/h, 107 kn)</t>
  </si>
  <si>
    <t>499 mi (803 km, 434 nmi)</t>
  </si>
  <si>
    <t>575 ft/min (2.92 m/s)</t>
  </si>
  <si>
    <t>//upload.wikimedia.org/wikipedia/commons/thumb/f/f8/Piper_PA-14_F-BEGO_SinE_20.05.50_edited-2.jpg/300px-Piper_PA-14_F-BEGO_SinE_20.05.50_edited-2.jpg</t>
  </si>
  <si>
    <t>2-bladed fixed-pitch propeller</t>
  </si>
  <si>
    <t>110 mph (180 km/h, 96 kn) [5]</t>
  </si>
  <si>
    <t>44 mph (71 km/h, 38 kn) flaps down</t>
  </si>
  <si>
    <t>10.32 lb/sq ft (50.4 kg/m2)</t>
  </si>
  <si>
    <t>USA 35B[4]</t>
  </si>
  <si>
    <t>1947–1949</t>
  </si>
  <si>
    <t>0.062 hp/lb (0.102 kW/kg)</t>
  </si>
  <si>
    <t>Piper PA-12 Super Cruiser</t>
  </si>
  <si>
    <t>https://en.wikipedia.org/Piper PA-12 Super Cruiser</t>
  </si>
  <si>
    <t>1,850 lb (839 kg) [5]</t>
  </si>
  <si>
    <t>Pober Pixie</t>
  </si>
  <si>
    <t>The Pober Pixie is a single-seat light aircraft that was designed in the America in 1974 and marketed as plans for homebuilding.[1][2] It is a conventional parasol-wing monoplane with fixed tailwheel undercarriage and a single open cockpit. The design was inspired by the Heath Parasol.[1][2] In response to the 1973 oil crisis, the EAA launched "Project Econoplane" to develop an aircraft with high fuel economy that would therefore be affordable for its members to operate.[1]  The Pober Pixie was the result, with a Volkswagen air-cooled engine of 1835 cc[2] and a fuel consumption of 3 to 3.5 US Gal (11 to 13 L) per hour. Plans were completed in January 1974 and the prototype flew in late July, in time for the EAA Annual Convention that year. After the convention, the prototype was returned to the workshop for modifications, including installation of a 60 hp (45 kW) Limbach SL 1700 EA engine and Rehm 5330 two-blade fixed-pitch propeller, details of which were incorporated into the plans. The Pixie fuselage is fabicated from welded 4130 steel tube, while the wings are made from Sitka spruce covered with Stits Poly-fiber fabric. Recommended engines include Volkswagen or the Continental A65.[3] The design includes full-span ailerons that give it a high roll rate with minimal adverse yaw.[1][2] Aircraft Spruce and Specialty says of the design: Similar in many respects to the Heath Parasol, the Pixie is a modernization of the helmet-and-goggle days of the 1930s. The large wing and full-span ailerons make for easy flying. With minimal taildragger experience, the Pixie is a breeze to handle on the ground. Landings are gentle affairs, visibility in cruise is outstanding and using it with skis adds another dimension of fun.[3]By March 2017, 27 examples had been registered in the America with the Federal Aviation Administration and six with Transport Canada.[4][5] General characteristics Performance</t>
  </si>
  <si>
    <t>Recreational aircraft</t>
  </si>
  <si>
    <t>Acro Sport (plans)</t>
  </si>
  <si>
    <t>https://en.wikipedia.org/Acro Sport (plans)</t>
  </si>
  <si>
    <t>Paul Poberezny</t>
  </si>
  <si>
    <t>https://en.wikipedia.org/Paul Poberezny</t>
  </si>
  <si>
    <t>one pilot</t>
  </si>
  <si>
    <t>17 ft 3 in (5.26 m)</t>
  </si>
  <si>
    <t>29 ft 10 in (9.09 m)</t>
  </si>
  <si>
    <t>6 ft 2 in (1.88 m)</t>
  </si>
  <si>
    <t>134 sq ft (12.45 m2)</t>
  </si>
  <si>
    <t>543 lb (246 kg)</t>
  </si>
  <si>
    <t>1 × converted Volkswagen air-cooled engine or Limbach SL 1700 EA , 60 hp (45 kW)</t>
  </si>
  <si>
    <t>130 mph (209 km/h, 110 kn)</t>
  </si>
  <si>
    <t>290 mi (467 km, 250 nmi)</t>
  </si>
  <si>
    <t>12,500 ft (3,810 m)</t>
  </si>
  <si>
    <t>500 ft/min (2.54 m/s)</t>
  </si>
  <si>
    <t>//upload.wikimedia.org/wikipedia/commons/thumb/f/ff/POBER_PIXIE_P9_C-FTLQ_05.JPG/300px-POBER_PIXIE_P9_C-FTLQ_05.JPG</t>
  </si>
  <si>
    <t>83 mph (134 km/h, 72 kn)</t>
  </si>
  <si>
    <t>https://en.wikipedia.org/July 1974</t>
  </si>
  <si>
    <t>Pober Super Ace</t>
  </si>
  <si>
    <t>The Pober Super Ace was a single-seat sports aircraft designed as a homebuilt aircraft by Orland Corben in 1935. A set of plans and construction articles appeared in Popular Aviation between April and October that year and were later marketed by Orland Corben. It was a single-seat parasol wing monoplane of conventional tailwheel configuration. As published, the plans called for an engine from a Ford Model A to be modified to power the aircraft. Rights to the aircraft were sold to Paul Poberezny with the rest of the Corben company's assets. Plans are currently[update] offered for sale by Acro Sport. Data from [1]General characteristics Performance     Related lists</t>
  </si>
  <si>
    <t>sports aircraft</t>
  </si>
  <si>
    <t>Acro Sport</t>
  </si>
  <si>
    <t>https://en.wikipedia.org/Acro Sport</t>
  </si>
  <si>
    <t>Orland Corben</t>
  </si>
  <si>
    <t>https://en.wikipedia.org/Orland Corben</t>
  </si>
  <si>
    <t>18 ft 6 in (5.64 m)</t>
  </si>
  <si>
    <t>27 ft 3.5 in (8.32 m)</t>
  </si>
  <si>
    <t>6 ft 6 in (1.98 m)</t>
  </si>
  <si>
    <t>118 sq ft (10.96 m2)</t>
  </si>
  <si>
    <t>685 lb (311 kg)</t>
  </si>
  <si>
    <t>1,030 lb (467 kg)</t>
  </si>
  <si>
    <t>1 × Continental , 85 hp (63 kW)</t>
  </si>
  <si>
    <t>110 mph (177 km/h, 96 kn)</t>
  </si>
  <si>
    <t>250 mi (403 km, 220 nmi)</t>
  </si>
  <si>
    <t>15,000 ft (4,572 m)</t>
  </si>
  <si>
    <t>800 ft/min (4.0 m/s)</t>
  </si>
  <si>
    <t>90 mph (145 km/h, 78 kn)</t>
  </si>
  <si>
    <t>Pomilio FVL-8</t>
  </si>
  <si>
    <t>The Pomilio FVL-8 was a biplane fighter aircraft built by Fabbrica Aeroplani Ing. O. Pomilio for Engineering Division of the Aviation Section, U.S. Signal Corps. The FVL-8 was constructed of a wood framework, and covered in plywood. The wings were separated from the fuselage by struts. It was powered by a Liberty 8 engine, and armed by two machine guns. Six prototypes were constructed, the first had its first flight in February 1919. No order for production aircraft was received.[1]  Data from Angelucci, 1987. p. 197.[1]General characteristics Performance</t>
  </si>
  <si>
    <t>Fighter</t>
  </si>
  <si>
    <t>Engineering Division/Fabbrica Aeroplani Ing. O. Pomilio</t>
  </si>
  <si>
    <t>https://en.wikipedia.org/Engineering Division/Fabbrica Aeroplani Ing. O. Pomilio</t>
  </si>
  <si>
    <t>Otterino Pomilio</t>
  </si>
  <si>
    <t>https://en.wikipedia.org/Otterino Pomilio</t>
  </si>
  <si>
    <t>February 1919[1]</t>
  </si>
  <si>
    <t>21 ft 8 in (6.60 m)</t>
  </si>
  <si>
    <t>26 ft 8 in (8.12 m)</t>
  </si>
  <si>
    <t>8 ft 2 in (2.48 m)</t>
  </si>
  <si>
    <t>284 sq ft (26.38 m2)</t>
  </si>
  <si>
    <t>1,726 lb (783 kg)</t>
  </si>
  <si>
    <t>2,285 lb (1,036 kg)</t>
  </si>
  <si>
    <t>1 × Liberty 8 , 290 hp (220 kW)</t>
  </si>
  <si>
    <t>133 mph (214 km/h, 116 kn)</t>
  </si>
  <si>
    <t>//upload.wikimedia.org/wikipedia/commons/thumb/2/2c/Pomilio_Fighter-Victory-Liberty-8.jpg/300px-Pomilio_Fighter-Victory-Liberty-8.jpg</t>
  </si>
  <si>
    <t>Pro-Composites Personal Cruiser</t>
  </si>
  <si>
    <t>The Pro-Composites Personal Cruiser, also called the Corvair Cruiser, is a single seat, composite homebuilt aircraft.[1][2][3][4] The Personal Cruiser is a single place, low-wing, tricycle gear aircraft with a V-tail.[2][5] The composite aircraft is built using the FOLDaPLANE method. The method uses flexible flat composite panels that are radius-bent to form stiff fuselage sections inside a jig. Building time is estimated at 800 hours.[2][6] The aircraft is designed for powerplants up to 250 lb (113 kg) in weight and has an acceptable power range of 65 to 115 hp (48 to 86 kW). The 100 hp (75 kW) Corvair air-cooled four stroke automotive conversion is commonly employed.[3][4][7] Data from Contact![citation needed] and Bayerl[7]General characteristics Performance</t>
  </si>
  <si>
    <t>Pro-Composites</t>
  </si>
  <si>
    <t>Steve Rahm</t>
  </si>
  <si>
    <t>17 ft 4 in (5.28 m)</t>
  </si>
  <si>
    <t>25.5 ft (7.8 m)</t>
  </si>
  <si>
    <t>76.5 sq ft (7.11 m2)</t>
  </si>
  <si>
    <t>750 lb (340 kg)</t>
  </si>
  <si>
    <t>1,250 lb (567 kg)</t>
  </si>
  <si>
    <t>1 × Chevrolet Turbo-Air 6 engine automotive conversion, 100 hp (75 kW)</t>
  </si>
  <si>
    <t>120 kn (140 mph, 230 km/h)</t>
  </si>
  <si>
    <t>1,800 ft/min (9.1 m/s)</t>
  </si>
  <si>
    <t>//upload.wikimedia.org/wikipedia/commons/thumb/2/23/HunterMorganPersonalCruiser.jpg/300px-HunterMorganPersonalCruiser.jpg</t>
  </si>
  <si>
    <t>In production (2015)</t>
  </si>
  <si>
    <t>18 U.S. gallons (68 L; 15 imp gal)</t>
  </si>
  <si>
    <t>2-bladed Ground adjustable</t>
  </si>
  <si>
    <t>128 kn (147 mph, 237 km/h)</t>
  </si>
  <si>
    <t>46 kn (53 mph, 85 km/h)</t>
  </si>
  <si>
    <t>Eppler</t>
  </si>
  <si>
    <t>184 kn (212 mph, 341 km/h)</t>
  </si>
  <si>
    <t>Pro.Mecc Sparviero</t>
  </si>
  <si>
    <t>The Pro.Mecc Sparviero (English: Sparrowhawk) is an Italian ultralight aircraft, designed and produced by Pro.Mecc of Corigliano d'Otranto. The Sparviero is supplied as a kit for amateur construction or a complete ready-to-fly-aircraft.[1][2] The Sparviero was designed to conform to the Fédération Aéronautique Internationale microlight rules. It features a cantilever low-wing, a two-seats-in-side-by-side configuration enclosed cockpit under a bubble canopy, fixed tricycle landing gear and a single engine in tractor configuration.[1][2] The Sparviero is made predominantly from carbon fibre, with the wing skins fabricated from fibreglass. Its 9.23 m (30.3 ft) span wing has an area of 12 m2 (130 sq ft) and flaps. The standard engine fitted is the 100 hp (75 kW) Rotax 912ULS four-stroke powerplant, with the 80 hp (60 kW) Rotax 912UL optional. In 2011 a fast-build kit was introduced that provides a completed and painted fuselage and wings, requiring the builder only to carry out the engine and electrical installations.[1][2] The Sparviero was later developed into the Pro.Mecc Freccia Anemo, with additional streamlining and a new elliptical planform wing.[1][2] Reviewer Marino Boric described the design in a 2015 review as, "not only stylish, but aggressively low-priced for mainly built of carbonfiber...."[2] Data from Bayerl[1]General characteristics Performance</t>
  </si>
  <si>
    <t>Ultralight aircraft</t>
  </si>
  <si>
    <t>Pro.Mecc</t>
  </si>
  <si>
    <t>https://en.wikipedia.org/Pro.Mecc</t>
  </si>
  <si>
    <t>9.23 m (30 ft 3 in)</t>
  </si>
  <si>
    <t>12 m2 (130 sq ft)</t>
  </si>
  <si>
    <t>472.5 kg (1,042 lb)</t>
  </si>
  <si>
    <t>240 km/h (150 mph, 130 kn)</t>
  </si>
  <si>
    <t>6 m/s (1,200 ft/min)</t>
  </si>
  <si>
    <t>//upload.wikimedia.org/wikipedia/commons/thumb/d/d9/Aerosport_airshow_2013_-_Pro_Mecc_Sparviero_100_%28I-9858%29.JPG/300px-Aerosport_airshow_2013_-_Pro_Mecc_Sparviero_100_%28I-9858%29.JPG</t>
  </si>
  <si>
    <t>https://en.wikipedia.org/Ultralight aircraft</t>
  </si>
  <si>
    <t>https://en.wikipedia.org/Italy</t>
  </si>
  <si>
    <t>90 litres (20 imp gal; 24 US gal)</t>
  </si>
  <si>
    <t>225 km/h (140 mph, 121 kn)</t>
  </si>
  <si>
    <t>54 km/h (34 mph, 29 kn)</t>
  </si>
  <si>
    <t>39.4 kg/m2 (8.1 lb/sq ft)</t>
  </si>
  <si>
    <t>https://en.wikipedia.org/Pro.Mecc Freccia Anemo</t>
  </si>
  <si>
    <t>Red Baron (aircraft)</t>
  </si>
  <si>
    <t>The Red Baron was a North American P-51D Mustang NX7715C, original serial number 44-84961. It raced from 1966 to 1973 under the names Miss R.J. and Roto-Finish Special, winning Unlimited Gold in 1972. In February 1974, it was purchased by Ed Browning of Red Baron Flying Service in Idaho Falls, Idaho and renamed the Red Baron.[1] Browning hired two Lockheed engineers, Pete Law and Bruce Boland, and a team of other specialists to make major modifications to the plane, including installation of a Rolls-Royce Griffon 57 engine and contra-rotating propellers from an Avro Shackleton.[2][3] The larger engine required significant changes to the airframe, particularly the engine compartment. The contra-rotating propellers also created instability that required an increase in fin area, all of which cost Browning more than $300,000.[4] With these changes, the aircraft became the dominant racer on the Unlimited circuit.[5] It was initially flown by Mac McClain and Daryl Greenamyer; in 1976, Greenamyer recommended Steve Hinton pilot the plane. Hinton won four consecutive Unlimited races in one year, and remains the only pilot ever to do so.[6] On August 14, 1979, Hinton set the piston-driven aircraft 3-kilometer world speed record at 499.018 mph[7][8] at Tonopah, Nevada, making Hinton, age 27, the youngest person ever to capture the speed record. The team was hoping for 100+ degree temperatures in the Nevada desert, conditions under which they believed they could achieve 530 mph.[9] The weather did not cooperate, however, and the cool 68-degree air held their speed just under 500 mph. Even so, the record held for a decade. On September 16, 1979, Hinton was racing the RB-51 in the Reno Air Races when a capacitor in the magneto failed, causing the engine to run on half its spark plugs. Not knowing what was wrong, Hinton pushed the plane to full throttle. This resulted in the supercharger carrying the extra pressure. Eventually, a bearing in the supercharger failed. Hinton finished the race in second place and moved to make an emergency landing. The supercharger failure resulted in a shaft failure, however; that shaft drove the oil pump, which in turn controlled the propeller pitch. The propellers went flat, acting as a huge air brake. The RB-51 crashed short of the runway. The wings were sheared off as the plane came down between two piles of rock and the fuel erupted in a fireball. The cockpit was thrown end-over-end away from the fire, yet Hinton survived with a broken back, leg, and ankle.[10][11] His survival is attributed by one of the lead engineers, Pete Law, to additional braces and a roll bar installed on the cockpit.[12] The Red Baron was destroyed in the crash. Steve Hinton's company, Fighter Rebuilders, moved the dataplate, tailnumber 413334, and registration number NX7715C to P-51D serial number 44-73053, Wee Willy II.[13] General characteristics Performance   Aircraft of comparable role, configuration, and era</t>
  </si>
  <si>
    <t>North American Aviation</t>
  </si>
  <si>
    <t>https://en.wikipedia.org/North American Aviation</t>
  </si>
  <si>
    <t>1 × Rolls-Royce Griffon V-12 liquid-cooled piston engine, 3,000 hp (2,200 kW)</t>
  </si>
  <si>
    <t>430 kn (500 mph, 800 km/h) +</t>
  </si>
  <si>
    <t>//upload.wikimedia.org/wikipedia/commons/thumb/d/df/RB-51_in_the_Reno_Pits.jpg/300px-RB-51_in_the_Reno_Pits.jpg</t>
  </si>
  <si>
    <t>6-bladed Rotol contra-rotating propeller</t>
  </si>
  <si>
    <t>P-51D-25-NT Mustang</t>
  </si>
  <si>
    <t>Destroyed during flight accident</t>
  </si>
  <si>
    <t>https://en.wikipedia.org/P-51D-25-NT Mustang</t>
  </si>
  <si>
    <t>s/n 44-84961</t>
  </si>
  <si>
    <t>NX7715C</t>
  </si>
  <si>
    <t>Phantom X1</t>
  </si>
  <si>
    <t>The Phantom X1 is a single-engined, tractor configuration, single seat, cable-braced high wing tricycle gear-equipped ultralight aircraft that is produced by Phantom Aeronautics of Three Rivers, Michigan and available in kit form.[1][2][3][4] The X1 design was intended to have an empty weight under 254 lb (115 kg) to fit into the FAR Part 103 ultralight category. There is also an X2 two seater which was designed as an ultralight trainer. Modernized models of the single and two-seaters use struts in place of the original cable-bracing.[1][2][3] The Phantom X1 was introduced at Sun 'n Fun in 1982, where it attracted a great deal of attention and won a major design award. The design was produced by a number of different manufacturers, including Phantom Aircraft of Kalamazoo, Michigan and has been widely copied. Derivative designs include the Bell Sidewinder, Hy-Tek Hurricane 103, Worldwide Ultralite Spitfire and the Golden Gate Mosquito.[1] The Phantom X1 is constructed from bolted-together aluminum tubing. The wings and tail surfaces are covered in Dacron sailcloth in the form of pre-sewn envelopes. The wings are wire-braced from an inverted "V" shaped kingpost and feature full-span ailerons. There was also a factory option offered to allow the wings to fold for transport and storage.  The engine is mounted on the front of the main tube, the tail being mounted on the far end of the same tube. The cockpit pod is made from fiberglass. The landing gear includes a steerable nosewheel.[1] The X1 was originally designed as an aerobatic aircraft and was tested to +9/-6.6 g before failure and carries operational limits of +6.6/-4.4 g. The full-span ailerons also give the X1 a fast roll-rate. For liability reasons the X1 was never marketed as an aerobatic design.[1] Factory options included brakes and a complete airframe parachute along with a variety of Rotax engines from 40 to 64 hp (30 to 48 kW). Original assembly time was rated by the manufacturer as 40 hours.[1][3] Data from Kitplanes[2]General characteristics Performance   Aircraft of comparable role, configuration, and era</t>
  </si>
  <si>
    <t>Phantom Aeronautics</t>
  </si>
  <si>
    <t>https://en.wikipedia.org/Phantom Aeronautics</t>
  </si>
  <si>
    <t>16 ft 8 in (5.08 m)</t>
  </si>
  <si>
    <t>28 ft 6 in (8.69 m)</t>
  </si>
  <si>
    <t>8 ft 2 in (2.49 m)</t>
  </si>
  <si>
    <t>142 sq ft (13.2 m2)</t>
  </si>
  <si>
    <t>250 lb (113 kg)</t>
  </si>
  <si>
    <t>510 lb (231 kg)</t>
  </si>
  <si>
    <t>1 × Rotax 447 twin-cylinder, single-ignition, two-stroke aircraft engine, 40 hp (30 kW)</t>
  </si>
  <si>
    <t>61 mph (98 km/h, 53 kn)</t>
  </si>
  <si>
    <t>800 ft/min (4.1 m/s)</t>
  </si>
  <si>
    <t>//upload.wikimedia.org/wikipedia/commons/thumb/3/3a/PhantomX1.JPG/300px-PhantomX1.JPG</t>
  </si>
  <si>
    <t>In production</t>
  </si>
  <si>
    <t>5 US Gallons (19 litres)</t>
  </si>
  <si>
    <t>55 mph (89 km/h, 48 kn)</t>
  </si>
  <si>
    <t>26 mph (42 km/h, 23 kn)</t>
  </si>
  <si>
    <t>3.59 lb/sq ft (17.5 kg/m2)</t>
  </si>
  <si>
    <t>1700 (as of 2000)</t>
  </si>
  <si>
    <t>+9/-6.6 (ultimate), +6.6/-4.4 g (operational)</t>
  </si>
  <si>
    <t>https://en.wikipedia.org/Bell SidewinderHy-Tek Hurricane 103Golden Gate MosquitoWorldwide Ultralite Spitfire</t>
  </si>
  <si>
    <t>Piper PT-1</t>
  </si>
  <si>
    <t>The Piper PT-1 was a 1940s American two-seat primary training monoplane designed and built by Piper Aircraft at Lock Haven. A low-wing tandem two-seat monoplane, the PT-1 was the first Piper aircraft to have a low-wing. It had a fabric covering over an all-metal fuselage frame and wooden spar wings and tail unit. The PT-1 had a retractable tailwheel landing gear and was powered by a 130 hp (97 kW) Franklin 6AC-2980D engine. No further aircraft were built. A four-seat development was designed as the Piper PWA-6 which did not go into production either. Data from Jane's all the World's Aircraft 1947[1]General characteristics Performance  Aircraft of comparable role, configuration, and era</t>
  </si>
  <si>
    <t>Monoplane trainer</t>
  </si>
  <si>
    <t>22 ft 8 in (6.9 m)</t>
  </si>
  <si>
    <t>35 ft 2 in (10.72 m)</t>
  </si>
  <si>
    <t>1,325 lb (601 kg)</t>
  </si>
  <si>
    <t>2,000 lb (907 kg)</t>
  </si>
  <si>
    <t>1 × Franklin 6AC-298 6-cyl. air-cooled horizontally-opposed piston engine, 130 hp (97 kW)</t>
  </si>
  <si>
    <t>150 mph (240 km/h, 130 kn) plus</t>
  </si>
  <si>
    <t>700 mi (1,100 km, 610 nmi)</t>
  </si>
  <si>
    <t>12,400 ft (3,800 m)</t>
  </si>
  <si>
    <t>750 ft/min (3.8 m/s) to 1,000 ft/min (300 m/min)</t>
  </si>
  <si>
    <t>//upload.wikimedia.org/wikipedia/commons/thumb/0/07/Piper_PT-1.jpg/300px-Piper_PT-1.jpg</t>
  </si>
  <si>
    <t>2-bladed fixed pitch wooden airscrew</t>
  </si>
  <si>
    <t>135 mph (217 km/h, 117 kn) plus</t>
  </si>
  <si>
    <t>https://en.wikipedia.org/1942</t>
  </si>
  <si>
    <t>less than 50 mph (43 kn; 80 km/h)</t>
  </si>
  <si>
    <t>Pomilio BVL-12</t>
  </si>
  <si>
    <t>The Pomilio BVL-12 was an American experimental single-engine biplane bomber built by the America Army Engineering Division to the design of Ottorino Pomilio for the America Army Air Corps after World War I. Powered by a 400 hp (298 kW) Liberty V12, it would seat two. It featured an equal-span wing, the lower of the pair attached to the fuselage by struts, unique in the America, rather than directly, which was more usual.  Performance proved disappointing, and only six trial models were built. General characteristics Performance     Related lists</t>
  </si>
  <si>
    <t>Experimental biplane bomber</t>
  </si>
  <si>
    <t>Engineering Division/Pomilio Brothers</t>
  </si>
  <si>
    <t>https://en.wikipedia.org/Engineering Division/Pomilio Brothers</t>
  </si>
  <si>
    <t>Ottorino Pomilio</t>
  </si>
  <si>
    <t>https://en.wikipedia.org/Ottorino Pomilio</t>
  </si>
  <si>
    <t>America Army Air Corps</t>
  </si>
  <si>
    <t>https://en.wikipedia.org/America Army Air Corps</t>
  </si>
  <si>
    <t>Powell P-70 Acey Deucy</t>
  </si>
  <si>
    <t>The Powell P-70 Acey Deucy is an American two-seat parasol wing monoplane designed and built by John C. Powell for amateur construction.[2] The design of the P-70 Acey Deucy was started by former America Navy Commander John C. Powell in 1966 with construction commencing in 1967. It was certified by the Federal Aviation Administration in the experimental homebuilt category and the prototype first flew on 20 June 1970. Following testing the design was sold as plans for homebuilding.[2] The Acey Deucy is a two-seat parasol-wing monoplane with vee-bracing struts on each side supporting the composite structure fabric-covered wing. The fabric-covered fuselage and tail unit are a welded steel-tube structure with wire-bracing on the tail unit. The Acey Deucy can be powered by a sole piston engine rated between 65 and 90 hp, the prototype had a 65 hp (48 kW) Continental A65 air-cooled engine driving a metal two-bladed fixed-pitch propeller. The conventional landing gear has a tailskid and the fuselage has two open cockpits in tandem, the front cockpit has a small door on the starboard side.[2] Data from Jane's All the World's Aircraft 1973-74[2]General characteristics Performance   Aircraft of comparable role, configuration, and era</t>
  </si>
  <si>
    <t>Two-seat homebuilt monoplane</t>
  </si>
  <si>
    <t>John C. Powell</t>
  </si>
  <si>
    <t>20 June 1970[1]</t>
  </si>
  <si>
    <t>20 ft 9 in (6.32 m)</t>
  </si>
  <si>
    <t>32 ft 6 in (9.91 m)</t>
  </si>
  <si>
    <t>6 ft 9 in (2.06 m)</t>
  </si>
  <si>
    <t>155 sq ft (14.4 m2)</t>
  </si>
  <si>
    <t>1,275 lb (578 kg)</t>
  </si>
  <si>
    <t>1 × Continental A65 four-cylinder, horizontally opposed air-cooled piston engine , 65 hp (48 kW)</t>
  </si>
  <si>
    <t>98 mph (158 km/h, 85 kn)</t>
  </si>
  <si>
    <t>250 mi (402 km, 220 nmi)</t>
  </si>
  <si>
    <t>350 ft/min (1.8 m/s)</t>
  </si>
  <si>
    <t>https://en.wikipedia.org/Two-seat homebuilt monoplane</t>
  </si>
  <si>
    <t>25 mph (40.5 km/h, 22 kn)</t>
  </si>
  <si>
    <t>1 passenger</t>
  </si>
  <si>
    <t>Pro-Composites Freedom</t>
  </si>
  <si>
    <t>The Pro-Composites Freedom is an American amateur-built aircraft, under development by Pro-Composites of Buffalo Grove, Illinois. The aircraft is intended to be supplied in the form of plans for amateur construction, with some pre-formed parts made available to speed construction.[1][2] The aircraft features a cantilever low-wing, a four-seat enclosed cabin accessed by doors, fixed tricycle landing gear with wheel pants and a single engine in tractor configuration.[1] The aircraft is made from pre-formed flat fiberglass and foam composite panels which are then radius bent to shape. Its 30 ft (9.1 m) span wing employs a NACA 63A-214 airfoil at the wing root, transitioning to a NACA 63A-212 airfoil at the wing tip. The wing has an area of 134 sq ft (12.4 m2) and the cabin will be 46 in (117 cm) in width. The landing gear features a fully castering nosewheel and differential braking for steering. The aircraft has been designed for engines of 180 to 320 hp (134 to 239 kW).[1][3] The manufacturer markets the design as "the only composite, plans built, 4 seat  aircraft that uses a conventional - non canard - platform. It can be constructed entirely from the manuals using raw materials or from pre-formed parts."[2] Data from Bayerl and Pro-Composites[1][3]General characteristics Performance</t>
  </si>
  <si>
    <t>https://en.wikipedia.org/Pro-Composites</t>
  </si>
  <si>
    <t>30 ft (9.1 m)</t>
  </si>
  <si>
    <t>134 sq ft (12.4 m2)</t>
  </si>
  <si>
    <t>1,450 lb (658 kg)</t>
  </si>
  <si>
    <t>2,800 lb (1,270 kg)</t>
  </si>
  <si>
    <t>1 × four stroke aircraft engine of 180 to 320 hp (134 to 239 kW) ,</t>
  </si>
  <si>
    <t>Prototype under construction (2012)</t>
  </si>
  <si>
    <t>65 U.S. gallons (250 L; 54 imp gal)</t>
  </si>
  <si>
    <t>210 mph (340 km/h, 180 kn) with upper power range engine</t>
  </si>
  <si>
    <t>20.9 lb/sq ft (102 kg/m2)</t>
  </si>
  <si>
    <t>none</t>
  </si>
  <si>
    <t>three passengers</t>
  </si>
  <si>
    <t>Root</t>
  </si>
  <si>
    <t>234 mph (377 km/h, 203 kn)</t>
  </si>
  <si>
    <t>+4.5/-3 at 2,700 lb (1,225 kg)</t>
  </si>
  <si>
    <t>Pro.Mecc Freccia Anemo</t>
  </si>
  <si>
    <t>The Pro.Mecc Freccia Anemo (English: Fast Arrow) is an Italian ultralight aircraft, designed and produced by Pro.Mecc of Corigliano d'Otranto. The aircraft was introduced at the AERO Friedrichshafen show in 2011. The Freccia is supplied as a complete ready-to-fly-aircraft.[1][2] The Freccia was derived from the earlier Pro.Mecc Sparviero, with additional streamlining and a new elliptical wing planform. It was designed to conform to the Fédération Aéronautique Internationale microlight rules. It features a cantilever low-wing, a two-seats-in-side-by-side configuration enclosed cockpit under a bubble canopy, fixed or, optionally, retractable tricycle landing gear and a single engine in tractor configuration.[1][2] The aircraft is made from carbon fibre. Its 8.78 m (28.8 ft) span wing has an area of 10.18 m2 (109.6 sq ft) and double slotted flaps to allow a low stall speed. Engines available are the 100 hp (75 kW) Rotax 912ULS, the turbocharged 115 hp (86 kW) Rotax 914 and the 130 hp (97 kW) ULPower UL350iS four-stroke powerplant.[1][2] Data from Bayerl[1]General characteristics Performance</t>
  </si>
  <si>
    <t>8.78 m (28 ft 10 in)</t>
  </si>
  <si>
    <t>10.18 m2 (109.6 sq ft)</t>
  </si>
  <si>
    <t>280 km/h (170 mph, 150 kn)</t>
  </si>
  <si>
    <t>8 m/s (1,600 ft/min)</t>
  </si>
  <si>
    <t>//upload.wikimedia.org/wikipedia/commons/thumb/1/1d/Z-Pro.Mecc_Freccia_%2847695538181%29.jpg/300px-Z-Pro.Mecc_Freccia_%2847695538181%29.jpg</t>
  </si>
  <si>
    <t>110 litres (24 imp gal; 29 US gal)</t>
  </si>
  <si>
    <t>46.4 kg/m2 (9.5 lb/sq ft)</t>
  </si>
  <si>
    <t>https://en.wikipedia.org/Pro.Mecc Sparviero</t>
  </si>
  <si>
    <t>Quad City Challenger</t>
  </si>
  <si>
    <t>The Quad City Challenger is a family of one and two seats-in-tandem, pusher configuration, tricycle landing gear ultralight aircraft that is designed and produced by Quad City Aircraft Corporation of Moline, Illinois. The Challenger was first introduced in 1983.[1][2][3] The Challenger ultralight is a high wing, tricycle gear kit aircraft with a frame structure built from 6061-T6 aluminum alloy tubing fastened with aircraft grade AN bolts and rivets and covered with either presewn Dacron envelopes or standard aircraft fabric. The engine is mounted in pusher configuration and turns the propeller through a reduction drive that uses a cogged tooth rubber belt.[4] The kit can be purchased in 4 major sub-kits: the Tail Assembly, Fuselage, Wings, and Engine. The factory kit is supplied with the most difficult mechanical work already completed. This includes the primary fuselage  framework along with the controls and the basic wing structures assembled at the factory. The kit builder is required to finish the smaller structural components, cover the aluminum frames with fabric, seal and paint the fabric and do the final assembly.[4] The aircraft has the ability to soar with its motor switched off.[5] The Challenger design has been criticized by reviewers for its landing gear, which is a rigid cable-braced type and is subject to being bent during hard landings. A number of after-market suppliers have designed steel gear legs as replacements for the stock landing gear in an attempt to rectify this problem. The improved factory-designed Light Sport Special (LSS) model incorporates revised landing gear to address this deficiency.[6][7][8] In November 2018 the design was subject to a Transportation Safety Board of Canada Aviation Safety Advisory due to an accident on 30 July 2018 where a Challenger crashed and the pilot was killed. The investigation determined that the right front lift strut lower bracket had failed due to fatigue after only 402.2 hours in service. The bracket has a 500 hour component life and is subject to 50 hour periodic inspections. Examination of 22 other Challengers found eight that also had cracked brackets.[9] Data from Challenger.ca[12][13]General characteristics Performance  Related development Aircraft of comparable role, configuration, and era</t>
  </si>
  <si>
    <t>Quad City Aircraft Corporation</t>
  </si>
  <si>
    <t>20 ft (6.1 m)</t>
  </si>
  <si>
    <t>31 ft 6 in (9.60 m)</t>
  </si>
  <si>
    <t>6 ft 0 in (1.83 m)</t>
  </si>
  <si>
    <t>177 sq ft (16.4 m2)</t>
  </si>
  <si>
    <t>460 lb (209 kg)</t>
  </si>
  <si>
    <t>1 × Rotax 503 twin cylinder, inline, two stroke, piston aircraft engine, 50 hp (37 kW)</t>
  </si>
  <si>
    <t>96 mph (154 km/h, 83 kn)</t>
  </si>
  <si>
    <t>200 mi (320 km, 170 nmi)</t>
  </si>
  <si>
    <t>750 ft/min (3.8 m/s)</t>
  </si>
  <si>
    <t>//upload.wikimedia.org/wikipedia/commons/thumb/d/dd/QuadCityChallengerIIC-IBUY08.jpg/300px-QuadCityChallengerIIC-IBUY08.jpg</t>
  </si>
  <si>
    <t>In production (2018)</t>
  </si>
  <si>
    <t>85 mph (137 km/h, 74 kn)</t>
  </si>
  <si>
    <t>28 mph (45 km/h, 24 kn)</t>
  </si>
  <si>
    <t>5.42 lb/sq ft (26.5 kg/m2)</t>
  </si>
  <si>
    <t>3571 (2011)[1]</t>
  </si>
  <si>
    <t>one passenger and 500 lb (227 kg) useful load</t>
  </si>
  <si>
    <t>1983-present</t>
  </si>
  <si>
    <t>100 mph (160 km/h, 87 kn)</t>
  </si>
  <si>
    <t>19.2 lb/hp (0.087 kW/kg)</t>
  </si>
  <si>
    <t>960 lb (435 kg)</t>
  </si>
  <si>
    <t>https://en.wikipedia.org/Excalibur Aircraft Excalibur</t>
  </si>
  <si>
    <t>Phenix Aviation Phenix</t>
  </si>
  <si>
    <t>The Phenix Aviation Phenix (English: Phoenix) is a Spanish autogyro, under development by Phenix Aviation of Alicante. The aircraft is intended to be supplied as a complete ready-to-fly-aircraft.[1] The project was first announced at the Aero 09 show held in Friedrichshafen, Germany in 2009. The first prototype flew in 2010, with the second prototype flying in 2011.[2] The Phenix is constructed mostly from carbon fibre and of pod and boom layout. It features a single, two-bladed Wagtail or 8.40 m (27.6 ft) diameter Averso main rotor with a chord of 21.4 cm (8.4 in) mounted at the top of a tall column. It has a two-seats-in side-by-side configuration enclosed cockpit with forward hinged doors on both sides, tricycle landing gear and a four-cylinder, air and liquid-cooled, four-stroke, dual-ignition turbocharged 115 hp (86 kW) Rotax 914 engine in tractor configuration. The tractor layout provides better propeller efficiency and less noise, but at the cost of reduced forward cockpit visibility. Behind the seats is a separate baggage space, accessed externally from either side through its own doors.[1][3] The short rear fuselage carries a broad tailplane with octagonal endplate fins that have rudders mounted on them.  The first prototype had another central, ventral underfin with its own rudder. A ballistic parachute is installed in the tail cone.[3] The first Phenix flew on 11 December 2009, after being displayed at Aero '09 in Friedrichshafen in April that year. This first prototype was flown from the left hand seat but the second, first flown on 30 September 2011 adopted the standard helicopter right hand layout. The Phenix is designed to meet the  British BCAR-T standards.[4]  Two versions are under development: the Ultralight, to meet European  regulations and the Experimental for South Africa.[3] The aircraft has an empty weight of 285 kg (628 lb) and a gross weight of 450 kg (992 lb), giving a useful load of 165 kg (364 lb).[1] Data from Bayerl[1] and Jane's All the World's Aircraft 2013-14, p.619.[3] Performance figures are estimates.General characteristics Performance Avionics</t>
  </si>
  <si>
    <t>Autogyro</t>
  </si>
  <si>
    <t>Spain</t>
  </si>
  <si>
    <t>Phenix Aviation</t>
  </si>
  <si>
    <t>https://en.wikipedia.org/Phenix Aviation</t>
  </si>
  <si>
    <t>5.20 m (17 ft 1 in)</t>
  </si>
  <si>
    <t>3.20 m (10 ft 6 in)</t>
  </si>
  <si>
    <t>1 × Rotax 914 four cylinder, liquid and air-cooled, turbocharged four stroke aircraft engine, 86 kW (115 hp)</t>
  </si>
  <si>
    <t>180 km/h (110 mph, 97 kn)</t>
  </si>
  <si>
    <t>https://en.wikipedia.org/Autogyro</t>
  </si>
  <si>
    <t>https://en.wikipedia.org/Spain</t>
  </si>
  <si>
    <t>Under development (2013)</t>
  </si>
  <si>
    <t>80 litres (18 imp gal; 21 US gal)</t>
  </si>
  <si>
    <t>3-bladed composite</t>
  </si>
  <si>
    <t>Two prototypes</t>
  </si>
  <si>
    <t>4 hours</t>
  </si>
  <si>
    <t>2.28 m (7 ft 6 in)</t>
  </si>
  <si>
    <t>8.40 m (27 ft 7 in)</t>
  </si>
  <si>
    <t>57.21 m2 (615.8 sq ft)</t>
  </si>
  <si>
    <t>8.26 kg/m2 (1.69 lb/sq ft)</t>
  </si>
  <si>
    <t>Piper PA-8</t>
  </si>
  <si>
    <t>The Piper PA-8 Skycycle was a 1940s American single-seat light aircraft designed and built by Piper Aircraft at their Lock Haven, Pennsylvania plant. Towards the end of 1944 Piper announced a number of aircraft it intended to build after the war. One of these was the PWA-8 (Post War Airplane 8). An aerodynamic test aircraft was built with the name Cub Cycle and it first flew on 27 August 1944 with a small two cylinder Franklin engine. The Franklin engine was replaced by a 37 hp (28 kW) Continental A-40-3 and the aircraft first flew with the Continental engine on 12 September 1944. The Skycycle was a fabric-covered mid-wing single-engined single-seat monoplane with a tailwheel landing gear. The fuselage was produced using a belly fuel tank as used on the F4U Corsair. The Cub Cycle was scrapped and a similar but new aircraft was built with the name Skycycle. The Skycycle first flew on 29 January 1945 using the same Continental engine as the Cub Cycle. The aircraft was further modified in 1945 with a 55 hp (41 kW) Lycoming O-145-A2 engine and designated the PA-8 Skycycle. No further examples were built. A replica of the PA-8 Skycycle, the Carlson Skycycle, was built in 1995 by Ernst W. Carlson and produced by Carlson Aircraft of East Palestine, Ohio. Carlson intended to sell the aircraft in kit form, but no orders were forthcoming and the prototype was donated to the Piper Aviation Museum, since the original PA-8 was no longer in existence.[1][2][3][4] Data from [5]General characteristics Performance Aircraft with the same name:  Aircraft of comparable role, configuration, and era</t>
  </si>
  <si>
    <t>Light aircraft</t>
  </si>
  <si>
    <t>A. Hanford Eckman[1]</t>
  </si>
  <si>
    <t>15 ft 8 in (4.78 m)</t>
  </si>
  <si>
    <t>20 ft 0 in (6.10 m)</t>
  </si>
  <si>
    <t>5 ft 0 in (1.52 m)</t>
  </si>
  <si>
    <t>630 lb (286 kg)</t>
  </si>
  <si>
    <t>1 × Lycoming O-145-A2 , 55 hp (41 kW)</t>
  </si>
  <si>
    <t>120 mph (190 km/h, 100 kn)</t>
  </si>
  <si>
    <t>400 mi (640 km, 350 nmi) with reserves</t>
  </si>
  <si>
    <t>https://en.wikipedia.org/Light aircraft</t>
  </si>
  <si>
    <t>95 mph (153 km/h, 83 kn)</t>
  </si>
  <si>
    <t>Carlson Skycycle</t>
  </si>
  <si>
    <t>https://en.wikipedia.org/1945</t>
  </si>
  <si>
    <t>https://en.wikipedia.org/Carlson Skycycle</t>
  </si>
  <si>
    <t>ProFe D-10 Tukan</t>
  </si>
  <si>
    <t>The ProFe D-10 Tukan (English: Toucan) is a Czech high-wing, strut-braced, T-tailed, two-seat motor glider that was designed and produced by ProFe and made available in kit form for amateur construction.[1][2] The D-10 was designed as a self-launching sailplane. The engine is a Rotax 447 of 40 hp (30 kW), mounted in tractor configuration on a retractable arm behind the cockpit. The engine can be retracted in 15 seconds.[1] The D-10 is predominantly constructed from fibreglass and wood. The cabin is enclosed under a bubble canopy. The conventional landing gear uses two side-by-side, non-retractable mainwheels under the cockpit floor set closely together. The 14.7 m (48.23 ft) span wing is supported by a single lift strut and jury struts on each side and employs a Wortmann FX 63-137 airfoil.[1][2] Data from Purdy and Bertrand[1][2]General characteristics Performance</t>
  </si>
  <si>
    <t>Motor glider</t>
  </si>
  <si>
    <t>Czech Republic</t>
  </si>
  <si>
    <t>ProFe</t>
  </si>
  <si>
    <t>https://en.wikipedia.org/ProFe</t>
  </si>
  <si>
    <t>7.30 m (23.95 ft)</t>
  </si>
  <si>
    <t>14.7 m (48 ft 3 in)</t>
  </si>
  <si>
    <t>15 m2 (160 sq ft)</t>
  </si>
  <si>
    <t>205 kg (452 lb)</t>
  </si>
  <si>
    <t>410 kg (903 lb)</t>
  </si>
  <si>
    <t>1 × Rotax 447 twin-cylinder, two stroke aircraft engine, 30 kW (40 hp)</t>
  </si>
  <si>
    <t>132 km/h (82 mph, 71 kn)</t>
  </si>
  <si>
    <t>2.0 m/s (400 ft/min)</t>
  </si>
  <si>
    <t>https://en.wikipedia.org/Motor glider</t>
  </si>
  <si>
    <t>https://en.wikipedia.org/Czech Republic</t>
  </si>
  <si>
    <t>Production completed</t>
  </si>
  <si>
    <t>34 litres (7.5 imp gal; 9.0 US gal)</t>
  </si>
  <si>
    <t>2-bladed wooden</t>
  </si>
  <si>
    <t>60 km/h (37 mph, 32 kn)</t>
  </si>
  <si>
    <t>27.5 kg/m2 (5.64 lb/sq ft)</t>
  </si>
  <si>
    <t>4 (1998)</t>
  </si>
  <si>
    <t>Wortmann FX 63-137</t>
  </si>
  <si>
    <t>ProFe D-8 Moby Dick</t>
  </si>
  <si>
    <t>The ProFe D-8 Moby Dick is a family of Czech pusher configuration, parasol wing, strut-braced, V-tailed, motor gliders that was designed and produced by ProFe. The aircraft is named for the great white whale of Herman Melville's novel of the same name and was supplied as a kit for amateur construction.[1] The first glider in the series was the single seat Mini Straton D-7, which was designed in 1988 and first shown in the America at AirVenture in 1992. This was followed by the improved single seat Straton D-8 and the D-8 Moby Dick two seater. All aircraft in the series share the same unusual configuration.[1] The aircraft are built around a predominantly aluminium frame, with use of fibreglass and aircraft fabric covering. The Moby Dick model also incorporates wood in the structure. The fuselage is of conventional sailplane type in appearance, but the semi-tapered wing is suspended above the fuselage on cabane struts, supported by lift struts, with the pusher engine mounted at the rear of the wing. The Straton D-8 has a monowheel landing gear, while the Moby Dick has two closely spaced, fuselage-mounted wheels. All models have optional outrigger wing tip wheels.[1] Data from Purdy[1]General characteristics Performance</t>
  </si>
  <si>
    <t>6.1 m (20 ft)</t>
  </si>
  <si>
    <t>12 m (39 ft 4 in)</t>
  </si>
  <si>
    <t>10.3 m2 (111 sq ft)</t>
  </si>
  <si>
    <t>113 kg (250 lb)</t>
  </si>
  <si>
    <t>213 kg (470 lb)</t>
  </si>
  <si>
    <t>1 × Trabant , 18 kW (24 hp)</t>
  </si>
  <si>
    <t>130 km/h (80 mph, 70 kn)</t>
  </si>
  <si>
    <t>390 km (240 mi, 210 nmi)</t>
  </si>
  <si>
    <t>4,400 m (14,400 ft)</t>
  </si>
  <si>
    <t>2.8 m/s (550 ft/min)</t>
  </si>
  <si>
    <t>//upload.wikimedia.org/wikipedia/commons/thumb/e/ef/Straton_D8_Moby_Dick_AN1802004.jpg/300px-Straton_D8_Moby_Dick_AN1802004.jpg</t>
  </si>
  <si>
    <t>production completed</t>
  </si>
  <si>
    <t>19 litres (4.2 imp gal; 5.0 US gal)</t>
  </si>
  <si>
    <t>97 km/h (60 mph, 52 kn)</t>
  </si>
  <si>
    <t>29 km/h (18 mph, 16 kn)</t>
  </si>
  <si>
    <t>20.7 kg/m2 (4.23 lb/sq ft)</t>
  </si>
  <si>
    <t>118 (Straton D8 model, 1998)37 (Moby Dick model, 1998)</t>
  </si>
  <si>
    <t>1988 (D-7)</t>
  </si>
  <si>
    <t>Question Mark (aircraft)</t>
  </si>
  <si>
    <t>Question Mark ("?") was a modified Atlantic-Fokker C-2A transport airplane of the America Army Air Corps. In 1929, commanded by Major Carl A. Spaatz, it was flown for a flight endurance record as part of an experiment with aerial refueling. Question Mark established new world records in aviation for sustained flight (heavier-than-air), refueled flight, sustained flight (lighter-than-air), and distance between January 1 and January 7, 1929, in a non-stop flight of 151 hours near Los Angeles, California. Following the record-setting demonstration, the C-2A was returned to transport duties. In 1931 more powerful engines replaced those used in the endurance flight and it was re-designated as a C-7 transport. The aircraft was damaged beyond economical repair in 1932 when it crash-landed in Texas after running out of fuel and was scrapped. The flight demonstrated the military application of the concept, but while it inspired numerous efforts to set even greater endurance records, development of a practical in-flight refueling system was largely ignored by the world's air forces before World War II. Civilian development of aerial refueling in Great Britain was more successful, but in the end it, too, was disregarded. However, Spaatz, two decades after the flight of the Question Mark, became head of the America Air Force and using the British system as a starting point, implemented in-flight refueling on a worldwide operational basis. The first complete inflight refueling between two aircraft took place on June 27, 1923,[n 1] when two Boeing-built de Havilland DH-4Bs of the America Army Air Service accomplished the feat over San Diego's Rockwell Field. Subsequently, the same group of airmen established an endurance record of remaining aloft for more than 37 hours in August 1923, using nine aerial refuelings. In June 1928, a new endurance record of more than 61 hours was established in Belgium by Adjutant Louis Crooy and Sgt. Victor Groenen, also using aerial refueling.[1] 2nd Lt. Elwood R. Quesada, an engineer of the U.S. Army Air Corps stationed at Bolling Field in Washington, D.C., nearly crashed from lack of fuel in April 1928 while participating in a long-range rescue mission to Labrador.[2]  Working with a U.S. Marine Corps aviator from Anacostia Naval Air Station, he devised a plan to break the Belgians' record using aerial refueling.[n 2] Quesada submitted the plan to Capt. Ira C. Eaker, an aide to Assistant Secretary of War for Air F. Trubee Davison who had also been on the April mission. Their mutual interest in air-to-air refueling led Eaker to forward it to Maj. Gen. James E. Fechet, Chief of the Air Corps. Both Fechet and Davison approved the project on the condition that it demonstrate a military application and not just as a publicity stunt.[1] Overall command of the project was given to Major Carl A. Spaatz[n 3] the Assistant G-3 for Training and Operations in Fechet's office, who was on orders to take command of the 7th Bombardment Group at Rockwell Field.[3] A new Atlantic-Fokker C-2A transport, serial number 28-120, was selected for the project. Assigned to the 14th Bombardment Squadron at Bolling Field, it was flown to Middletown Air Depot, Pennsylvania, for modifications.[4] The C-2A was an American-built military version of the Fokker F.VIIa-3m Trimotor, a high-wing monoplane with a gross weight of 10,395 pounds (4,715 kg), re-engined with three Wright R-790 motors producing 220 horsepower (160 kW) each. A C-2 variant nicknamed the Bird of Paradise had made the first transpacific flight to Hawaii the year before and proven the capability of the design. The C-2A had an internal fuel capacity of 192-US-gallon (730 L) in a pair of wing tanks, and for the project two 150-US-gallon (570 L) tanks were installed in the cargo cabin. A hatch was cut in the roof of the C-2 behind the wing for transfer of the fuel hose and passage of supplies from the tanker to the receiver. 72-octane aviation gasoline would be received in 100-US-gallon (380 L) increments of approximately 90 seconds duration.[5] A 45-US-gallon (170 L) tank was used to provide engine oil to the three motors, replenished by inflight deliveries of 5-US-gallon (19 L) cans of Pennzoil triple-extra-heavy lowered on slings.[6] A copper tubing system was installed in an attempt to adequately lubricate the rocker arms of the engines inflight. Doorways were cut on each side of the cockpit and catwalks built on the wings to enable mechanic Roy Hooe to access the engines for emergency maintenance. To reduce propeller noise, the two wing engines were mounted with Westinghouse twin-blade Micarta propellers, while the nose engine used a Standard three-blade steel propeller.[6] As word of the project spread, its members were continually being asked how long they expected to remain aloft. Their responses were generally to the effect: "That is the question." A large question mark was painted on each side of the fuselage to provoke interest in the endurance flight, prompting the nickname of the plane.[7] To deliver the fuel, two Douglas C-1 single-engine transports were also modified, s/n 25-428 designated "Refueling Airplane No. 1" and s/n 25-432 as "Refueling Airplane No. 2." The biplane C-1s were evolved from the Douglas World Cruiser design, with the pilots side-by-side in an open cockpit forward of the wing. Two 150-US-gallon (570 L) tanks were installed in their cargo compartments, attached to a lead-weighted 50-foot (15 m) length of 2.5-inch (64 mm) fire hose. The nozzle of the hose had a quick-closing valve on the tanker's end and was tightly wrapped with copper wire, one end of which could be attached to a corresponding copper plate mounted in Question Mark to ground the hose.[8] The C-1's would each carry a third crewman in the cargo compartment to reel out the hose, lower a supply rope, and to work the shutoff valve. The operation was scheduled to begin Tuesday, January 1, 1929, at Los Angeles, California, to take advantage of weather conditions and to generate publicity while refueling by overflying the 1929 Rose Bowl football game played that day in Pasadena. The refueling planes were based at each end of a 110-mile (180 km) long racetrack oval flight path, one at Rockwell Field and the other at the Metropolitan Airport, now Van Nuys Airport. The flight would originate and terminate there in order for any endurance record to be officially recognized by the Fédération Aéronautique Internationale.[8] Van Nuys was chosen over an existing dirt strip airfield, Mines Field, located at El Segundo, because the weather in Van Nuys was considered more reliable and predictable, particularly in regard to temperature inversions and smog. Metropolitan was also an operational facility while Mines Field had just been procured by the City of Los Angeles for use as a commercial airport. The project arrived there in December 1928 to begin preparations for the flight, with Capt. Hugh M. Elmendorf in charge of logistics and maintenance.[9][10] Because of weight considerations and the unreliability of radios, none was installed in the Question Mark. All communications between the aircraft or between Question Mark and the ground had to be accomplished using flags, flares, flashlights, weighted message bags, notes tied to the supply lines, or messages written in chalk on the fuselages of PW-9D fighters, painted black and nicknamed "blackboard planes".[11] (One such message written on the side of a 95th Pursuit Squadron is externally linked below.) [n 4] The crew of Question Mark consisted of Spaatz, Eaker, Quesada, 1st Lt. Harry A. Halverson, and Sgt. Roy W. Hooe. Refueling Airplane No. 1 (at Rockwell) was crewed by pilots Capt. Ross G. Hoyt and 1st Lt. Auby C. Strickland, with 2nd Lt. Irwin A. Woodring reeling the hose. Refueling Airplane No. 2 (at Van Nuys) was crewed by pilots 1st Lt. Odas Moon and 2nd Lt. Joseph G. Hopkins, and hose handler 2nd Lt. Andrew F. Solter.[12] Four pilots of the 95th Pursuit Squadron, based at Rockwell Field, flew the PW-9 "blackboard planes": 1st Lt. Archie F. Roth, and 2nd Lts. Homer W. Kiefer, Norman H. Ives, and Roger V. Williams.[11] Question Mark took off from Van Nuys at 7:26 a.m. on New Year's Day 1929 with Eaker at the controls, carrying only 100 US gallons (380 L) of fuel to save takeoff weight.[8] Aboard the Question Mark, either Halverson or Quesada did most of the piloting during cruising flight while Eaker monitored the throttles for smoothest engine performance. A log was kept by the flight officer (co-pilot) and dropped to the ground daily, and Eaker was responsible for winding the barograph, an instrument that continuously recorded altitude and time as documentary evidence for the records.[10] Less than an hour later Moon completed the first refueling over Van Nuys. During refuelings, Eaker and Halverson manned the controls, Spaatz and Quesada supervised the fuel exchange, and Hooe operated a "wobble" pump. The C-1 approached the Question Mark from above and behind, maintaining 20 to 30 feet (9.1 m) of vertical separation, until in a position slightly ahead of the C-2. Both aircraft stabilized in level flight at 80 mph (130 km/h) and the hose was reeled out. Spaatz climbed on a platform below the open hatch, and wearing rain gear and goggles for protection against fuel spills, grounded the hose and then placed it in a receptacle mounted in the upper fuselage.[13] Made from a bucket with a sloped floor, the receptacle had connections to the two extra fuel tanks, and at Spaatz's signal Solter opened the valve. Fuel flowed by gravity into the bucket at 75 US gallons (280 L) per minute and then into the tanks, where it was then pumped by hand into the wing tanks by Hooe.[8] Food, mail, tools, spare parts, and other supplies were also passed by rope in the same fashion.[8] The five men aboard Question Mark underwent medical examinations before the flight, and their flight surgeon planned a special diet. However, an electric stove to heat food was eliminated to save weight, and hot meals were sent aloft by the refuelers, including a turkey dinner on New Years Day prepared by a church in Van Nuys.[6] The crew warded off boredom by reading, playing cards, sleeping in bunks mounted over the fuel tanks, and writing letters. After the existing endurance record was surpassed on Thursday evening, January 3, the support crew sent up cheese, figs, olives and five jars of caviar for an in-flight celebration.[14][n 5]  During a refueling,[n 6] Spaatz was drenched with fuel when turbulence caused the hose to pull out of the receptacle. Recalling the event in 1975, Eaker said:We went over the Rose Bowl. It was very bumpy, as you can appreciate, as we should have appreciated, up against those mountains in January, and the refueling plane and the Question Mark were torn apart. I was piloting the Question Mark and I realized that General Spaatz had probably been drenched in high octane gasoline.[15]Quesada was at the controls and flew the aircraft over the ocean for calmer air.[3] Fearing that chemical burns from the gasoline might force him to parachute from the airplane to seek medical treatment, Spaatz ordered Eaker to continue the flight regardless.[14] However, Spaatz shed all his clothing and was wiped off with oil-soaked rags. Although he directed at least one refueling without his clothing, replacements were soon delivered.[14][16] Quesada was briefly overcome by the same accident but quickly revived.[13] Spaatz experienced two other fuel spills without injury, using oil to wipe his skin and zinc oxide to protect his eyes.[13] Fog, turbulence, and darkness altered the refueling schedule, shortening some contacts and delaying others. On six occasions the Question Mark was forced away from its flight track to refuel, once over Oceanside and five times over El Centro.[13] Maintaining contact formation became more difficult as the weight of the planes changed during transfer, especially since the refueling pilot could not observe the Question Mark. On January 4, after the aircraft rendezvoused over the Imperial Valley, both nearly impacted the ground when they encountered an unexpected air pocket while refueling.[14] Hoyt developed a system whereby Woodring tugged on a string tied to the pilot's arm if the C-1's speed was excessive.[11] Early in the flight a window blew out of the C-2's cabin, but a replacement was eventually hauled up and installed by Hooe. A leak in a fuel line was repaired using a mixture of red lead, soap, and shellac hauled up by tanker.[17] Although the crew flew the plane at slow cruising speeds to nurse the engines, they were eventually overstressed from extended use. The left engine began losing power as early as the third day.[15] Hooe taped down his trouser cuffs, donned a parachute, and rigged a lifeline to service the engines from the makeshift catwalks, but the inflight lubricating systems only delayed and could not prevent engine wear. Once the cylinders began missing, the Question Mark shortened its loops to remain within gliding distance of Van Nuys. Eaker was able to clear fouled spark plugs by completely opening the throttles. On the afternoon of Monday, January 7, the left wing engine quit. Hooe went out on the catwalk to attempt repairs, immobilizing the windmilling propeller with a rubber hook. Eaker increased throttle on the remaining two engines to maintain flight while repairs were attempted, but they too began to strain. The plane lost altitude from 5,000 to 2,550 feet (780 m) before Hooe was called back inside and the decision made to land.[15] The Question Mark landed under power at Metropolitan Airport at 2:06 p.m., 150 hours, 40 minutes, and 14 seconds after takeoff. The left engine had seized because of a pushrod failure, and the others both suffered severe rocker arm wear.[6] Refueled 37 times and resupplied six others, with 12 of the 43 replenishments taking place at night, the Question Mark took on 5,660 US gallons (21,400 L) of fuel, 245 US gallons (930 L) of oil, and supplies of food and water for its five-man crew. Hoyt and Refueling Airplane No. 1, flying from Rockwell and a backup airport at Imperial, California, resupplied Question Mark a total of 27 times (ten at night), while Moon's crew at Van Nuys flew 16 sorties, two at night.[16] In all, the flight broke existing world records for sustained flight (heavier-than-air), refueled flight, sustained flight (lighter-than-air), and distance.[18] All five crew members were decorated with the Distinguished Flying Cross at a ceremony held at Bolling Field on January 29.[n 7] The crews of the tankers, on the other hand, went unrecognized. Eventually all six received letters of commendation for their participation, but it was 47 years before their vital role in the operation was recognized with decorations. By then only Hoyt and Hopkins remained living, but both personally received Distinguished Flying Crosses on May 26, 1976.[15][16] Eaker was involved in a second attempt at aerial refueling in September 1929. Piloting a Boeing Model 95 mail plane nicknamed the Boeing Hornet Shuttle on a transcontinental endurance flight eastbound from Oakland, California, he was refueled in flight by C-1s and Boeing Model 40 aircraft. Over Cleveland, Ohio, a Boeing refueling crew accidentally dropped a five-gallon can of oil through his wing, ending the first attempt. On a second attempt westbound, his engine quit over Utah when dirt clogged the fuel line, forcing him to crashland in the mountains near Salt Lake City.[15][19] The flight of the Question Mark inspired a rash of projects to break the endurance record. In 1929 alone 40 flights were attempted, all by civilians, and nine succeeded in surpassing Question Mark's record. At the end of 1929 the record stood at over 420 hours, established by Dale "Red" Jackson and Forest E. "Obie" O'Brine in the Curtiss Robin Greater St. Louis.[20] The Air Corps followed up the flight of the Question Mark with a mission to demonstrate its applicability in combat. On May 21, 1929, during annual maneuvers, a Keystone LB-7 piloted by Moon took off from Fairfield Air Depot in Dayton, Ohio, on a simulated mission to New York City via Washington, D.C. Plans were for the bomber to be refueled in flight several times, drop a flash bomb over New York harbor, then return to Dayton non-stop, again by way of Washington. Moon had 1st Lt. John Paul Richter, a hose handler on the first aerial refueling mission in 1923, as a member of his five-man crew. The C-1 tanker employed to refuel the LB-7 was flown by Hoyt and two enlisted men. While attempting an air refueling en route from Dayton to Washington, icing forced the tanker to land in Uniontown, Pennsylvania, where it got stuck in mud. After flying to New York, the LB-7 was forced to land at Bolling Field.[21] The next day the tanker joined the bomber and both flew to New York, where they made a public demonstration of air refueling and four dry runs.[22] Of the 16 Army aviators involved in the project, six later became general officers. Spaatz, Eaker, and Quesada played important roles in the America Army Air Forces during World War II. Spaatz rose to commanding general of the Army Air Forces and became the first Chief of Staff of the America Air Force. Eaker commanded the Eighth and Mediterranean Allied Air Forces. Quesada commanded the IX Tactical Air Command in France. Strickland, Hoyt, and Hopkins all became brigadier generals in the America Air Force and the Brigadier General Ross G. Hoyt Award is issued annually for the best air refueling crew in the Air Force. Halverson, though he rose only to colonel, led the HAL-PRO ("Halverson Project") detachment, 12 Consolidated B-24 Liberators that bombed the Ploiești oil refineries in 1942, and became the first commander of the Tenth Air Force. Moon, a bomber pilot, became an influential member of the "Bomber Mafia" at the Air Corps Tactical School from 1933 to 1936,[23] but died on November 19, 1937, awaiting retirement from the service at the age of 45.[24]  Solter, a pursuit pilot, was killed in an accident flight-testing an all-metal trainer at Randolph Field, Texas, in September 1936.[25] Elmendorf, while not having a flying role in the project, was an accomplished test pilot and was killed on January 13, 1933, testing the Y1P-25 at Wright Field, Ohio. Elmendorf Air Force Base was named in his memory.[26] The Question Mark was refitted with 300 horsepower (220 kW) Wright R-975 engines in 1931, and in the practice of the day was redesignated a "C-7". It served out its service life as a transport airplane, first for the 22nd Observation Squadron at Pope Field, North Carolina, and then with the 47th School Squadron at Randolph Field, Texas.  Ironically, its operational life came to an end when it ran out of fuel in flight on November 3, 1932. The aircraft was severely damaged trying to land at Davenport Auxiliary Field, 4 miles (6.4 km) north of the base,[27][28][n 8] and was surveyed (scrapped) in 1934. A major component of the refueling device is in the collections of the Historical Society of Berks County in Reading, Pennsylvania. Of its military potential, historian Richard Davis wrote in a biography of Spaatz: "Perceptive observers noted that if Spaatz and his crew could man a craft that long, so could bomber crews."[3] In his report to Fechet, Spaatz concluded that aerial refueling was both safe and practical, and that for bombardment operations it made the potential radius of action of a bomber almost unlimited while allowing it to carry heavier bomb loads because the weight of fuel at takeoff could be reduced.[29] However, neither the War Department nor the Air Corps showed any further interest in the concept. As a result, the only immediate effect of the flight was to start a craze among aviators that one official USAF history characterized as "aeronautical flagpole sitting."[21][n 9] The flight of the Question Mark did spark an interest in aerial refueling by the Royal Air Force, seeking to minimize takeoff weights of its bombers and reduce wear-and-tear on its grass airfields, but after a series of experiments between 1930 and 1937 they abandoned testing.[30] The development of better engines,[31] variable-pitch propellers and all-metal low-wing monoplanes capable of greater range deferred further military interest in aerial refueling,[32] but when the next war turned out to be global in scale, also resulted in lack of capability for many ferrying, antisubmarine, and bombardment operations requiring extended range.[33][34] In 1934, Sir Alan Cobham founded Flight Refuelling Ltd (FRL) and by 1938 used a "looped-hose" system similar in design principle to that of the Question Mark to refuel large aircraft. In 1939 trials to perform aerial refueling of Short Empire flying boats began but were suspended after 16 flights following the outbreak of World War II.[35][36] Near the end of the war, Avro Lincolns of RAF Tiger Force were to have been in-flight refueled by Avro Lancasters fitted with looped-hose systems for long range bombing operations against Japan but the capture of Okinawa obviated fielding of the tanker force.[37] British Overseas Airways Corporation attempted to revive Cobham's concept following the end of the war but became disenchanted with the process.[38][n 10] In January 1948, 19 years after he commanded the Question Mark project, USAF Chief of Staff Spaatz made aerial refueling the Air Force's top strategic priority. In March the service purchased two sets of FRL looped-hose equipment and manufacturing rights to the system. Flight testing of the equipment in two Boeing B-29 Superfortresses began in May with such success that in June the decision was made to retrofit all of its first-line B-50 bombers with aerial refueling equipment. The world's first two dedicated air refueling units, the 43rd and 509th Air Refueling Squadrons, were constituted on June 30 and became operational in January 1949.[39] With the development in 1948 of a "flying boom" delivery system, followed in 1949 by the "probe-and-drogue" system, in-flight refueling of fighter aircraft using single-point receiving equipment also became practical and USAF committed itself to the concept for the bulk of its future combat aircraft.[40]</t>
  </si>
  <si>
    <t>Atlantic Aircraft Corporation</t>
  </si>
  <si>
    <t>https://en.wikipedia.org/Atlantic Aircraft Corporation</t>
  </si>
  <si>
    <t>//upload.wikimedia.org/wikipedia/commons/thumb/9/91/Atlantic_C-2A_refuelled_by_Douglas_C-1_USAF.JPG/300px-Atlantic_C-2A_refuelled_by_Douglas_C-1_USAF.JPG</t>
  </si>
  <si>
    <t>Atlantic C-2A</t>
  </si>
  <si>
    <t>Converted to Atlantic C-7 in 1931 and scrapped at Randolph Field in 1934</t>
  </si>
  <si>
    <t>https://en.wikipedia.org/Atlantic C-2A</t>
  </si>
  <si>
    <t>28-120</t>
  </si>
  <si>
    <t>1928–1932</t>
  </si>
  <si>
    <t>https://en.wikipedia.org/Converted to Atlantic C-7 in 1931 and scrapped at Randolph Field in 1934</t>
  </si>
  <si>
    <t>Quicksilver GT500</t>
  </si>
  <si>
    <t>The Quicksilver GT500 is a family of American strut-braced, high-wing, pusher configuration, tricycle gear aircraft built by Quicksilver Aeronautics of Temecula, California. The aircraft is available as a kit for amateur construction or as a completed ready-to-fly aircraft.[1][2] The GT500 was developed specifically for the Sportplane class of the primary aircraft category (Part 21.24 of the Federal Aviation Regulations) and, on 26 July 1994, became the first aircraft certified in that category. Reviewer Noel Bertrand wrote, "[It] may sound like a very dry achievement, but actually speaks volumes for its design integrity. Not surprisingly its flight behaviour is excellent."[3][4][5][6] The aircraft's nomenclature is unclear as the manufacturer refers to it variously as the GT500, GT 500 and the GT-500. The FAA certification officially calls it the GT500.[3][4][7] The GT500 is constructed from aluminium tubing, which is bolted together. The aircraft is covered in pre-sewn Dacron envelopes, with the forward fuselage made from fiberglass. The wing features half-span ailerons and half-span flaps. The GT500 has two seats in tandem, with dual controls featuring control columns with yokes.[3][8][1] A 1991 upgrade included optional doors that are zippered into place adding 10 kn (19 km/h) of cruise speed, steel landing gear legs with dual brakes and an electric starter.[9] Data from Manufacturer[7] and Type Certificate[6]General characteristics Performance   Aircraft of comparable role, configuration, and era</t>
  </si>
  <si>
    <t>Kit aircraft</t>
  </si>
  <si>
    <t>Quicksilver Manufacturing</t>
  </si>
  <si>
    <t>https://en.wikipedia.org/Quicksilver Manufacturing</t>
  </si>
  <si>
    <t>David Cronk</t>
  </si>
  <si>
    <t>20 ft 5 in (6.22 m)</t>
  </si>
  <si>
    <t>30 ft 0 in (9.14 m)</t>
  </si>
  <si>
    <t>575 lb (261 kg)</t>
  </si>
  <si>
    <t>1,000 lb (454 kg)</t>
  </si>
  <si>
    <t>1 × Rotax 582 twin cylinder, two-stroke aircraft engine, 64 hp (48 kW)</t>
  </si>
  <si>
    <t>88 mph (142 km/h, 76 kn) with doors installed</t>
  </si>
  <si>
    <t>215 mi (346 km, 187 nmi) with doors installed</t>
  </si>
  <si>
    <t>12,500 ft (3,800 m)</t>
  </si>
  <si>
    <t>650 ft/min (3.3 m/s)</t>
  </si>
  <si>
    <t>//upload.wikimedia.org/wikipedia/commons/thumb/0/01/Quicksilver_GT-500_E017UF.JPG/300px-Quicksilver_GT-500_E017UF.JPG</t>
  </si>
  <si>
    <t>https://en.wikipedia.org/Kit aircraft</t>
  </si>
  <si>
    <t>16 U.S. gallons (61 L; 13 imp gal)</t>
  </si>
  <si>
    <t>3-bladed carbon fiber ground adjustable, 6 ft (1.8 m) diameter pitch range 17 to 19°</t>
  </si>
  <si>
    <t>79 mph (127 km/h, 69 kn) with doors installed</t>
  </si>
  <si>
    <t>39 mph (63 km/h, 34 kn) flaps down, power off</t>
  </si>
  <si>
    <t>6.45 lb/sq ft (31.5 kg/m2)</t>
  </si>
  <si>
    <t>450 (GT500 2011)</t>
  </si>
  <si>
    <t>1990-present</t>
  </si>
  <si>
    <t>103 mph (166 km/h, 90 kn)</t>
  </si>
  <si>
    <t>+6.0/-3.0 ultimate</t>
  </si>
  <si>
    <t>Pipistrel Apis-Bee</t>
  </si>
  <si>
    <t>The Pipistrel Apis-Bee, also called the Apis/Bee, (Apis means bee in Latin) is a Slovenian mid-wing, single-seat glider and motor glider, that was designed and produced by Pipistrel.[1] By October 2018 it was listed as a "legacy" product and production had ended.[2] The Apis-Bee is a second generation derivation of the original Pipistrel Apis design. The company explains the name of this version, "In some countries, the name 'Apis' is trademarked, so we are unable to use it. These countries are, as far as we know, the following: Germany, Austria, Switzerland and some Scandinavian countries. There, the aircraft is marketed as 'Bee'. We chose this because 'Apis' in Latin means a bee."[1][3] The aircraft is made from composites, predominately carbon fibre and fibreglass with some portions in sandwich configuration and some as shells. The tailplane is a T-tail configuration. The wing is the same as the wing used on the Pipistrel Sinus and Taurus. Its 14.97 m (49.1 ft) span wing employs a 17.01% IMD 029 airfoil, has an area of 12.24 m2 (131.8 sq ft), an aspect ratio of 18.33 and mounts flaperons as well as Schempp-Hirth style airbrakes. The powered version has a pylon-mounted, retractable Hirth F33 BS two-stroke single cylinder engine.[1][4] The Apis-Bee differs from the early Apis by the incorporation of 133 improvements, including: retractable landing gear, steerable tailwheel, ballistic parachute, enlarged  cockpit, new lighter Hirth F33BS engine that can be removed quickly and has faster engine extension and retraction, a redesigned propeller, lower vibration levels and better cooling, standard wing-mounted 20 litres (4.4 imp gal; 5.3 US gal) fuel tank replacing the former 8 litres (1.8 imp gal; 2.1 US gal) tank, new instrument panel, cockpit control ergonomics, the engine management system from the Taurus, re-balanced and lighter flight control feel, optional 5.00 × 5 main wheel, leather interior, solar panels to run the on-board electrical system, improved cockpit ventilation and canopy defog and a new firewall between the cockpit and the engine compartment.[3] The Apis-Bee holds many Fédération Aéronautique Internationale world records in the under 300 kg (661 lb) class:[1][3] Data from World Directory of Leisure Aviation 2011-12 and manufacturer[1][4]General characteristics Performance</t>
  </si>
  <si>
    <t>Slovenia</t>
  </si>
  <si>
    <t>Pipistrel</t>
  </si>
  <si>
    <t>https://en.wikipedia.org/Pipistrel</t>
  </si>
  <si>
    <t>6.26 m (20 ft 6 in)</t>
  </si>
  <si>
    <t>14.97 m (49 ft 1 in)</t>
  </si>
  <si>
    <t>1.3 m (4 ft 3 in)</t>
  </si>
  <si>
    <t>12.24 m2 (131.8 sq ft)</t>
  </si>
  <si>
    <t>222 kg (489 lb)</t>
  </si>
  <si>
    <t>322.5 kg (711 lb)</t>
  </si>
  <si>
    <t>1 × Hirth F33 BS single cylinder, two-stroke aircraft engine, 21 kW (28 hp)</t>
  </si>
  <si>
    <t>3.3 m/s (650 ft/min)</t>
  </si>
  <si>
    <t>https://en.wikipedia.org/Slovenia</t>
  </si>
  <si>
    <t>Production completed (2018)</t>
  </si>
  <si>
    <t>20 litres (4.4 imp gal; 5.3 US gal)</t>
  </si>
  <si>
    <t>2-bladed wood with fibreglass reinforcement</t>
  </si>
  <si>
    <t>58 km/h (36 mph, 31 kn)</t>
  </si>
  <si>
    <t>26.3 kg/m2 (5.4 lb/sq ft)</t>
  </si>
  <si>
    <t>17.01% IMD 029</t>
  </si>
  <si>
    <t>220 km/h (140 mph, 120 kn)</t>
  </si>
  <si>
    <t>+5.3/-2.65</t>
  </si>
  <si>
    <t>0.59 m/s (116 ft/min)</t>
  </si>
  <si>
    <t>Pipistrel Apis</t>
  </si>
  <si>
    <t>https://en.wikipedia.org/Pipistrel Apis</t>
  </si>
  <si>
    <t>Plane Driven PD-1</t>
  </si>
  <si>
    <t>The Plane Driven PD-1 is a modification to the Glasair Sportsman 2+2 to convert it into a practical roadable aircraft. The approach is novel in that it uses a mostly stock aircraft with a modified landing gear "pod" that carries a separate engine for road propulsion. The PD-1's wings fold along its sides, and the main landing gear and road engine pod slide aft along special rails, creating a driving configuration. The driving configuration compensates for the rearward center of gravity created by the folded wings, and provides additional stability for road travel.[1] Trey Johnson, an award-winning homebuilt aircraft builder took on the challenge of making a roadable aircraft. The PD-1 is intended to be an aircraft first, and a car second. The vehicle can cruise at a speed of up to 140 mph in normal flight even with the road engine sitting as dead weight. The engine pod carries a separate engine for road travel with its own fuel tank. The wheels are driven through an automatic transmission with a reverse gear. The lightweight fuselage coupled with a low power engine allows 25 miles per US gallon (9.4 L/100 km; 30 mpg‑imp) fuel economy with 5 US gallons (19 L) of usable fuel.[2] The aircraft is registered in Washington state as a motorcycle due to its 3-wheel configuration. The wings are hinged to allow them to rotate and fold back against the rear fuselage of the plane. The horizontal stabilizer is also hinged to reduce the width of the vehicle in road travel mode. The prototype was constructed using Glasair's two weeks to taxi program. It was started on March 29, 2010, and the modified prototype was test flown by July 21, 2010. The prototype was displayed at the Experimental Aircraft Association Airventure airshow in 2010. The company's second generation refinement was code named the PD-X, with intention of building a marketable aircraft based on the PD-X test results.[3]  Data from Sport AviationGeneral characteristics Performance</t>
  </si>
  <si>
    <t>Roadable aircraft</t>
  </si>
  <si>
    <t>Plane Driven, Stoddard-Hamilton Aircraft</t>
  </si>
  <si>
    <t>https://en.wikipedia.org/Plane Driven, Stoddard-Hamilton Aircraft</t>
  </si>
  <si>
    <t>Trey Johnson</t>
  </si>
  <si>
    <t>23 ft (7.0 m) 24 feet 8 inches with wings folded</t>
  </si>
  <si>
    <t>35 ft 0 in (1,067 m)</t>
  </si>
  <si>
    <t>131 sq ft (12.2 m2)</t>
  </si>
  <si>
    <t>2 × 500cc Yamaha Phazer 4 Cycle, 80 hp (60 kW)  each</t>
  </si>
  <si>
    <t>//upload.wikimedia.org/wikipedia/commons/thumb/7/77/PD-1_Roadable_Glastar.jpg/300px-PD-1_Roadable_Glastar.jpg</t>
  </si>
  <si>
    <t>https://en.wikipedia.org/Roadable aircraft</t>
  </si>
  <si>
    <t>In development</t>
  </si>
  <si>
    <t>50 US gallons</t>
  </si>
  <si>
    <t>122 kn (140 mph, 226 km/h)</t>
  </si>
  <si>
    <t>2 persons</t>
  </si>
  <si>
    <t>Glasair Sportsman 2+2</t>
  </si>
  <si>
    <t>https://en.wikipedia.org/Glasair Sportsman 2+2</t>
  </si>
  <si>
    <t>Podesva Trener</t>
  </si>
  <si>
    <t>The Podesva Trener (English: Trainer), also called the Trener Baby, is a Czech ultralight aircraft that was designed by Tomas Podesva and produced by Podesva Air of Uničov. The aircraft a faithful 80% scale reproduction of the Zlin 126 and is supplied as plans, as a kit for amateur construction or as a complete ready-to-fly-aircraft.[1][2] By April 2018 the company website had been taken down and the aircraft seems to be out of production.[3] Podesva designs and builds reproductions of famous aircraft on a custom basis for customers. The Trener was designed to comply with the Fédération Aéronautique Internationale microlight rules. It features a cantilever low-wing, a two-seats-in-tandem enclosed cockpit under a framed canopy, fixed conventional landing gear and a single engine in tractor configuration.[1][2] The aircraft fuselage is made from welded steel tubing, with the wings made from aluminum sheet. Its 8.68 m (28.5 ft) span wing has an area of 10.8 m2 (116 sq ft) and flaps. The standard engine available is the 75 hp (56 kW) Walter Mikron IIIb four cylinder, four-stroke powerplant.[1][2] Reviewer Marino Boric described the design in a 2015 review as "a faithful reproduction of the classic aerobatic Zlin 126 aircraft, down to the last detail...The handling of this two-seater is impressive."[2] Data from Bayerl[1]General characteristics Performance</t>
  </si>
  <si>
    <t>Podesva Air</t>
  </si>
  <si>
    <t>https://en.wikipedia.org/Podesva Air</t>
  </si>
  <si>
    <t>Tomas Podesva</t>
  </si>
  <si>
    <t>8.68 m (28 ft 6 in)</t>
  </si>
  <si>
    <t>10.8 m2 (116 sq ft)</t>
  </si>
  <si>
    <t>296 kg (653 lb)</t>
  </si>
  <si>
    <t>1 × Walter Mikron IIIb four cylinder, air-cooled, four stroke aircraft engine, 56 kW (75 hp)</t>
  </si>
  <si>
    <t>80 litres (18 imp gal; 21 US gal) in two 40 litres (8.8 imp gal; 11 US gal) tanks</t>
  </si>
  <si>
    <t>175 km/h (109 mph, 94 kn)</t>
  </si>
  <si>
    <t>43.8 kg/m2 (9.0 lb/sq ft)</t>
  </si>
  <si>
    <t>Zlin 126</t>
  </si>
  <si>
    <t>https://en.wikipedia.org/Zlin 126</t>
  </si>
  <si>
    <t>Protoplane Ultra</t>
  </si>
  <si>
    <t>The Protoplane Ultra is a French ultralight aircraft, designed and produced by Protoplane of Bagnères-de-Bigorre. The aircraft is supplied as a complete ready-to-fly aircraft.[1][2] The Ultra was designed as a highly efficient aircraft, to comply with the Fédération Aéronautique Internationale microlight rules. It features a cantilever low-wing, a two-seats-in-side-by-side configuration enclosed cockpit under a bubble canopy, fixed tricycle landing gear with wheel pants and a single engine in tractor configuration.[1][2] The aircraft is made from composites. Its 11 m (36.1 ft) span wing employs a Wortmann FX 66-17All-182/26 airfoil, has an area of 12.10 m2 (130.2 sq ft) and flaps that have deflections of 0°, 15° and 35° available. The standard engine provided is the 85 hp (63 kW) Jabiru 2200 four-stroke powerplant.[1][2][3] The Ultra achieves a fuel economy of 12l/h (43 mpg) at 220 km/h (137 mph) through aerodynamic refinements and use of composites.[1][2][4] Data from Bayerl and Protoplane[1][3]General characteristics Performance</t>
  </si>
  <si>
    <t>Protoplane</t>
  </si>
  <si>
    <t>https://en.wikipedia.org/Protoplane</t>
  </si>
  <si>
    <t>7.24 m (23 ft 9 in)</t>
  </si>
  <si>
    <t>11.00 m (36 ft 1 in)</t>
  </si>
  <si>
    <t>1.43 m (4 ft 8 in)</t>
  </si>
  <si>
    <t>12.10 m2 (130.2 sq ft)</t>
  </si>
  <si>
    <t>1 × Jabiru 2200A four cylinder, air-cooled, four stroke aircraft engine, 63 kW (85 hp)</t>
  </si>
  <si>
    <t>255 km/h (158 mph, 138 kn)</t>
  </si>
  <si>
    <t>//upload.wikimedia.org/wikipedia/commons/thumb/5/5e/Protoplane_Ultra_01.jpg/300px-Protoplane_Ultra_01.jpg</t>
  </si>
  <si>
    <t>https://en.wikipedia.org/France</t>
  </si>
  <si>
    <t>2-bladed Arplast Helice TD 152 composite propeller</t>
  </si>
  <si>
    <t>59 km/h (37 mph, 32 kn)</t>
  </si>
  <si>
    <t>37.2 kg/m2 (7.6 lb/sq ft)</t>
  </si>
  <si>
    <t>Wortmann FX 66-17All-182/26</t>
  </si>
  <si>
    <t>272 km/h (169 mph, 147 kn)</t>
  </si>
  <si>
    <t>+5.30/-2.65</t>
  </si>
  <si>
    <t>1.11 m/s (219 ft/min)</t>
  </si>
  <si>
    <t>Aurora Flight Sciences Orion</t>
  </si>
  <si>
    <t>The Orion is a Medium-altitude long-endurance unmanned aerial vehicle (UAV) developed by Aurora Flight Sciences. Work on the Orion began in 2006, when the U.S. Army funded it as a hydrogen-fuelled “high-altitude, long-loiter” (HALL) UAV.  Originally, it was conceived as a single-engine, hydrogen-fueled, high-altitude unmanned aircraft intended to carry a 400 lb (180 kg) payload to 65,000 ft (20,000 m) having a 7,000 lb (3,200 kg) gross weight; similar aircraft included the AeroVironment Global Observer and Boeing Phantom Eye.  Aurora was selected by the Air Force Research Laboratory (AFRL) in 2007 for the Ultra Long Endurance study contract to look at fixed-wing alternatives to the Blue Devil 2 and Long Endurance Multi-Intelligence Vehicle (LEMV) surveillance airships then being explored (both ultimately cancelled) and push beyond the endurance limits of the MQ-1 Predator and RQ-4 Global Hawk; they submitted an unsolicited proposal to the AFRL for the Orion, powered by conventional engines, in 2008.  The company won a joint-capability technology demonstration contract to build the Orion in 2009, which led to a contract for the Medium-Altitude Global Intelligence, surveillance, reconnaissance and Communications relay (Magic) joint concept technology demonstration (JCTD) in 2010.  By then, the Orion had been redesigned to be a twin-engine, turbo-diesel-powered, medium-altitude UAV capable of flying for 120 hours at 20,000 ft (6,100 m) with a 1,000 lb (450 kg) payload and an increased gross weight of 11,000 lb (5,000 kg).  The first demonstrator was rolled out on 22 November 2010, 88 days after the contract award.  In 2011, the program was transferred to the Air Force's Big Safari office.[1][2][3][4] The revolutionary aspect of the aircraft is meant to be its time on station cost, planned to be only 20 percent the cost per hour compared to current aerial surveillance aircraft like the Predator, MQ-9 Reaper, and MC-12W Liberty through efficient aerodynamics and propulsion, lightweight airframe, reliable systems, autonomous operation, and requiring fewer takeoffs and landings.  Its ferry range is projected to be 13,000 nmi (15,000 mi; 24,000 km), longer than even the Global Hawk, which enables a time-on-station capability ranging from 113 hours at 550 nmi (630 mi; 1,020 km) to 47 hours at 3,000 nmi (3,500 mi; 5,600 km).  With a mission range possible to over 9,500 nmi (10,900 mi; 17,600 km), the Orion can be positioned much further from the patrol area, reducing costs that would otherwise be needed to transport an aircraft to a closer main operating base; unit price is expected to be less than the Reaper.  The aircraft has an empty weight of 5,170 lb (2,350 kg) and carries 5,000 lb (2,300 kg) of fuel.  It has the capacity to carry 2,500 lb (1,100 kg) of sensors and weapons spread through the airframe, able to support 950 lb (430 kg) in the nose, 850 lb (390 kg) in the aft fuselage, and 1,200 lb (540 kg) under the wings.  The base sensor is the Raytheon MTS-B electro-optical/infrared turret, but options can include a ground moving target indication (GMTI) radar under the nose, a multi-camera wide-area surveillance sensor in the aft bay, and external fuel tanks and Hellfire missiles under the wings.  Its wingspan is only slightly longer than the Global Hawk's, made of a long-span, one-piece, low-drag, light weight composite wing from tip-to-tip, which reduces weight and cost but prevents it from being disassembled and airlifted to another location.  Top speed is slow at 90 knots (100 mph; 170 km/h) by design to balance fuel efficiency and power consumption with weather tolerance.  Propulsion comes from a pair of Austro Engine AE300 diesel engines rather than more expensive and less fuel efficient gas turbines.[1][2] Although it is designed to fly for five days carrying standard payload weight, it could fly for a week with a lighter payload.[3] The first flight was expected by August 2011, but progress was limited by funding.  Orion's first flight occurred on 24 August 2013, flying for 3.5 hours at 8,000 ft (2,400 m) at an airspeed of 60 knots (69 mph; 110 km/h).[2] From 5–8 December 2014, the Orion performed an 80-hour flight at Naval Air Weapons Station China Lake witnessed by the National Aeronautic Association, breaking the 30.4-hour endurance record set by the Global Hawk in 2001; the aircraft flew between 4,500–10,000 ft (1,400–3,000 m) with 1,000 lb (450 kg) of ballast to simulate payload.  Upon landing, it had 1,700 lb (770 kg) of fuel remaining, enough to fly for an additional 37 hours, but endurance was limited by the window of availability of the range for testing; four pilots rotated over the course of the flight.  The December flight was the 18th for the Orion, logging 158 total flight hours.    Aurora hoped the flight would convince the Air Force to procure the Orion for persistent surveillance, and the company looked at several other roles including a communications relay and to compete against the MQ-4C Triton naval recon UAV.[3][5][6][7] After five years of development and completing its flight demonstration program, by September 2015 the aircraft was relegated to a company hangar with the Air Force deciding not to buy it.  Several reasons were given to explain this, including budget problems, a 40 m (132 ft) wingspan that cannot fit in many existing Air Force hangars, less speed, payload, and weapons capacity compared to the MQ-9 Reaper, and primarily the lack of an operational requirement for a multi-day, long-endurance unmanned aircraft.  Aurora is looking internationally to try to bring the Orion into service for missions like long-range surveillance and maritime patrol.[4] The company is trying to raise money from private equity sources to build a system of three Orions to be leased to customers.  Even though interest might not be in buying them, flight time could be made available for rent to users and combatant commanders on a fee-for-service basis with services provided; this has been done by the U.S. Special Operations Command (SOCOM), buying ISR services from Insitu for much smaller ScanEagle drones flown by contractors.[8] By September 2016, the Orion was being taken out of storage to fly again.[9] A plan was approved by the company to build one three-vehicle system and offer the capability to the military as a contractor-owned or operated ISR service. The new Block 1 design features a few exterior changes, such as a slightly smaller tailplane surface, as well as changes to other structures and systems to offer by late 2019. A series of demonstrations are planned with the U.S. Coast Guard to experiment with surveillance missions over maritime borders.[10]</t>
  </si>
  <si>
    <t>ISR UCAV</t>
  </si>
  <si>
    <t>Aurora Flight Sciences</t>
  </si>
  <si>
    <t>https://en.wikipedia.org/Aurora Flight Sciences</t>
  </si>
  <si>
    <t>https://en.wikipedia.org/ISR UCAV</t>
  </si>
  <si>
    <t>In storage</t>
  </si>
  <si>
    <t>JSSG UAV</t>
  </si>
  <si>
    <t>JSSG UAVs are Chinese UAVs developed by Jiangsu ShenGu Unmanned Aerial Vehicle Technology Co., Ltd. (JSSG, 江苏神谷无人飞行器技术有限公司), and these UAVs are primarily intended for law enforcement applications, and they are the successors of HT PS UAV developed earlier. Local demand for law enforcement UAVs soared after the successful development and deployment of HT PS UAV, but the business model of several police officers working at the side at their spare time to produce UAVs obviously was neither suitable nor could meet the market demand in a modern economy. As a result, an enterprise JSSG was formed to handle the development, production and after sale service of UAVs for law enforcement applications, and as of 2015, all UAVs developed are multirotors. List of unmanned aerial vehicles of China  This article on an unmanned aerial vehicle is a stub. You can help Wikipedia by expanding it.</t>
  </si>
  <si>
    <t>UAV</t>
  </si>
  <si>
    <t>China</t>
  </si>
  <si>
    <t>JSSG</t>
  </si>
  <si>
    <t>https://en.wikipedia.org/JSSG</t>
  </si>
  <si>
    <t>https://en.wikipedia.org/China</t>
  </si>
  <si>
    <t>Villiers V</t>
  </si>
  <si>
    <t>The Villiers V, Villiers 5 or Villiers 5CN2 was a French night fighter built in the mid-1920s. It did not go into production.  The Villiers V made its first public appearance at the 1926 Paris Aero show, possibly before its first flight.  As the military designation CN2 indicated, it was a two-seat chasseure de nuit  or night fighter, designed and built to an Aviation Militaire specification.  It was a sesquiplane with an upper to lower wing span ratio of about 1.4 and an area ratio of about 2.2 as the chord of the lower wing was also smaller. Apart from a centre section cut-out in the upper wing to enhance visibility from the cockpits and small root extensions on the lower wing, the two wings were strictly rectangular in plan and were wood framed and fabric covered.[1]  The Villiers V was a single bay biplane braced on each side by a single, faired duralumin interplane strut which leant outward to support the upper overhang and forward because of significant stagger.[1][2] Four cabane struts supported the upper centre section close to the fuselage. Ailerons were fitted only on the upper wing.[1] The Villiers V's fuselage was a flat sided, plywood covered monocoque. Its engine was a 340 kW (450 hp) water cooled W-12 Lorraine-Dietrich 12Eb in a cowling which followed the outline of the three separate cylinder blocks. The pilot's open cockpit was ahead of the trailing edge, under the upper wing cut-out, with the gunner close behind.  The pilot controlled a pair of fixed  synchronised 7.7 mm (0.303 in) Vickers machine guns firing through the  propeller disc and the gunner was provided with a pair of 7.7 mm (0.303 in) Lewis guns on a flexible mount.[1] The tail unit was conventional, with a broad chord, clipped triangular tailplane mounted on top of the fuselage and fitted with separate, round edged, balanced elevators.  The triangular fin and its full, rounded unbalanced rudder were also broad, the rudder extending down to the keel and operated in a gap between the elevators. The night fighter had fixed conventional tailskid landing gear with mainwheels on a single axle sprung to a pair of V-struts from the lower fuselage, assisted by a long tailskid.[1] The night fighter was tested by the military under the designation Vil 5CN2 but was found not to provide enough improvement over existing equipment to justify production.[1] Data from Green and Swanborough (1994) p.582[1]General characteristics Performance Armament</t>
  </si>
  <si>
    <t>Night fighter</t>
  </si>
  <si>
    <t>Ateliers d'Aviation François Villiers</t>
  </si>
  <si>
    <t>https://en.wikipedia.org/Ateliers d'Aviation François Villiers</t>
  </si>
  <si>
    <t>two</t>
  </si>
  <si>
    <t>8.75 m (28 ft 8 in)</t>
  </si>
  <si>
    <t>3.30 m (10 ft 10 in)</t>
  </si>
  <si>
    <t>40.0 m2 (431 sq ft)</t>
  </si>
  <si>
    <t>1,274 kg (2,809 lb)</t>
  </si>
  <si>
    <t>2,105 kg (4,641 lb)</t>
  </si>
  <si>
    <t>1 × Lorraine-Dietrich 12Eb water cooled W-12, 340 kW (450 hp)</t>
  </si>
  <si>
    <t>224 km/h (139 mph, 121 kn) at sea level, 210 km/h (130 mph) at 4,000 m (13,000 ft)</t>
  </si>
  <si>
    <t>7,000 m (23,000 ft) service</t>
  </si>
  <si>
    <t>//upload.wikimedia.org/wikipedia/commons/thumb/5/53/Villiers_V_2-view_L%27A%C3%A9ronautique_December%2C1926.png/300px-Villiers_V_2-view_L%27A%C3%A9ronautique_December%2C1926.png</t>
  </si>
  <si>
    <t>https://en.wikipedia.org/Night fighter</t>
  </si>
  <si>
    <t>480 l (110 imp gal; 130 US gal) in a tank that could be jettisoned in flight.</t>
  </si>
  <si>
    <t>12.00 m (39 ft 4 in)</t>
  </si>
  <si>
    <t>43 min to 6,500 m (21,300 ft)</t>
  </si>
  <si>
    <t>Airtime Discovery</t>
  </si>
  <si>
    <t>The Airtime Discovery is an Australian paramotor that was designed and produced by Airtime Products of Airlie Beach, Queensland for powered paragliding. Now out of production, when it was available the aircraft was supplied complete and ready-to-fly.[1] The Discovery was designed to comply with the US FAR 103 Ultralight Vehicles rules as well as Australian and European regulations. It features a paraglider-style wing, single-place accommodation and a single engine in pusher configuration. The fuel tank capacity is 9 litres (2.0 imp gal; 2.4 US gal). The aircraft is built from a combination of aluminium including an aluminium chassis that can be broken down into four parts for transport.[1] The Discovery originally used the Radne Raket 120 engine, but this was replaced by larger engines, due to insufficient power output.[1] As is the case with all paramotors, take-off and landing is accomplished by foot. Inflight steering is accomplished via handles that actuate the canopy brakes, creating roll and yaw.[1] Data from Bertrand[1]General characteristics</t>
  </si>
  <si>
    <t>Paramotor</t>
  </si>
  <si>
    <t>Australia</t>
  </si>
  <si>
    <t>Airtime Products</t>
  </si>
  <si>
    <t>https://en.wikipedia.org/Airtime Products</t>
  </si>
  <si>
    <t>30 kg (66 lb) (harness and motor only)</t>
  </si>
  <si>
    <t>1 × Cors'Air M21Y single cylinder, two-stroke, air-cooled aircraft engine, with a 2.6</t>
  </si>
  <si>
    <t>https://en.wikipedia.org/Paramotor</t>
  </si>
  <si>
    <t>https://en.wikipedia.org/Australia</t>
  </si>
  <si>
    <t>9 litres (2.0 imp gal; 2.4 US gal)</t>
  </si>
  <si>
    <t>2-bladed composite, fixed pitch, 1.00 m (3 ft 3 in) diameter</t>
  </si>
  <si>
    <t>De Marçay 2</t>
  </si>
  <si>
    <t>The de Marçay 2 C1 was a single seat biplane fighter designed in France and first flown in 1919.  It did not go into production. The de Marçay 2 was designed at the end of World War I and flew early in 1919. It was a single bay sesquiplane with low aspect ratio, rectangular plan wings mounted with stagger. On each side a parallel pair of forward-leaning interplane struts defined the bays, with another, outward-leaning pair rooted at their base to brace the overhang of the upper wing.  The centre of the latter was attached to the upper fuselage by short cabane struts. Only the upper wings carried ailerons; these narrowed in chord outward before rapidly widening at their tips to form horn balances.[1] The fighter's fuselage was flat sided, though with rounded upper and lower decking. The original intention was fit a Liberty L-8 V-8 engine but problems with this model led to the installation of a 220 kW (300 hp) Hispano-Suiza 8Fb, also a V-8.  A pair of fixed, synchronized 0.303 in (7.7 mm) Vickers machine guns fired through the propeller disc. The pilot's open cockpit placed him at the trailing edge of the upper wing, which had a deep cut-out to improve his upward field of view; the lower wings had smaller cut-outs for downward vision.[1] The empennage of the de Marçay was conventional, with a triangular tailplane and semi-elliptical elevator mounted on top of the fuselage.  The broad chord fin was also triangular, with a rounded rudder which went down to the keel, operating between the elevators. It had a fixed, tailskid undercarriage with its mainwheels on a single axle which was rubber sprung to a transverse cross brace between two pairs of V-struts from the lower fuselage.[1] Piloted by Lebeau, the de Marçay 2 took part in the C1 or single seat fighter category of the 1919 Service Aéronautique competition held at Villacoublay. Though it was the fastest aircraft there, the Nieuport 29 was awarded a production contract and no more de Marçay 2s were built.[1] The lone prototype was advertised for sale by SAECA Edmund de Marçay through most of 1920,[2] though its ultimate fate is not recorded. Data from The Complete Book of Fighters,[1] French aircraft of the First World War,[3] Jane's all the World's Aircraft 1919[4]General characteristics Performance Armament</t>
  </si>
  <si>
    <t>Single seat fighter aircraft</t>
  </si>
  <si>
    <t>SAECA Edmund de Marçay</t>
  </si>
  <si>
    <t>early 1919</t>
  </si>
  <si>
    <t>6.62 m (21 ft 9 in)</t>
  </si>
  <si>
    <t>9.25 m (30 ft 4 in)</t>
  </si>
  <si>
    <t>25 m2 (270 sq ft)</t>
  </si>
  <si>
    <t>1,704 kg (3,757 lb)</t>
  </si>
  <si>
    <t>1 × Hispano-Suiza 8Fb water-cooled V-8, 220 kW (300 hp)</t>
  </si>
  <si>
    <t>252 km/h (157 mph, 136 kn) at sea level</t>
  </si>
  <si>
    <t>//upload.wikimedia.org/wikipedia/en/thumb/f/fe/De_Marcay_2.png/300px-De_Marcay_2.png</t>
  </si>
  <si>
    <t>https://en.wikipedia.org/Single seat fighter aircraft</t>
  </si>
  <si>
    <t>2-bladed fixed-pitch wooden propeller</t>
  </si>
  <si>
    <t>1,000 m (3,300 ft) in 2 minutes</t>
  </si>
  <si>
    <t>338 kg (745 lb)[5]</t>
  </si>
  <si>
    <t>Les Mureaux 3</t>
  </si>
  <si>
    <t>The Les Mureaux 3 C.2 and Les Mureaux 4 C.2 were French two seat, parasol winged fighters, flown in 1927-8, which differed only in their engines. They were developed into near identical army co-operation types, the ANF Les Mureaux 130 A.2 and ANF Les Mureaux 131 A.2, in 1929-31. The Les Mureaux 3 C.2 (with C.2 the standard French military designation for a two-seat chasseur or fighter) was designed by André Brunet and his name is often combined with the manufacturer's in the aircraft name.  It had an almost entirely duralumin structure and the forward fuselage was also dural covered.  The wings and rear fuselage were fabric covered.[1] Its wing was built around two box spars with Warren girder ribs. The Mureaux was intended to operate at high altitudes, so the wing had a high aspect ratio for its time and used a thin wing section of Brunet's own design.  In plan it was unswept, with constant chord, semi-circular tips and a rounded cut-out in the trailing edge over the forward cockpit. Ailerons occupied the whole of the trailing edge; they could be used differentially for roll control or together as camber changing flaps for landing.[1] The wing mounting was unusual, with airfoil section, N-form struts on each side connecting the wing spars not to the lower fuselage but instead to the frames that carried the independently rubber sprung undercarriage mainwheels.  These frames, enclosed in streamlined fairings 2.50 m (8 ft 2 in) apart, were also braced the upper fuselage longerons with shorter N-struts and with inverted V-struts to the central fuselage underside. Short, inverted V-struts attached the wing centre section to the upper fuselage. There were no wing bracing wires.[1] The fuselage of the Mureaux was built around four duralumin tube longerons, with easily repaired connections to tubular diagonals and with removable panels covering the forward part.  Two removable engine mountings allowed either a 440 kW (590 hp) Hispano-Suiza 12Hb V-12, a type often identified at the time as the V-12 500 hp (its officially approved power) Hispano-Suiza,[2]  or a water-cooled 370 kW (500 hp) Salmson 18 Cm radial engine[citation needed] to be fitted. Both engine types used an adjustable honeycomb radiator projecting from the fuselage underside and were fed fuel from a jettisonable tank behind the engine and ahead of the engine firewall. The Hispano version was designated the Les Mureaux 3 and the Salmson powered aircraft Les Mureaux 4,[1] the latter 78 kg (172 lb) heavier.[3] The pilot's open cockpit was under the wing cut-out, with the gunner/observer, equipped with cameras, small bombs  and guns, separately behind him.  The tail unit was conventional, with a flight-adjustable tailplane mounted on top of the fuselage and braced from below with a single strut on each side. Both it and the fin had straight leading edges which led to rounded tips.  Both rudder and elevators were unbalanced; the rudder was rounded and extended to the keel, operating in a notch between the elevators. On the fuselage underside below the tail was a rubber sprung, steel and dural tailskid with a steerable shoe.[1] The exact date of the Les Mureaux 3 C.2's first flight is not known; it appeared at the Paris Aero Show in December 1926[4] but did not fly before the following March, though by then it was almost ready.[1] It had certainly been flown before the end of June 1927, when it was being tested at Villacoublay.[5] The Salmson-engined Les Mureaux 4 C2 was on display at the 1928 Paris Show.[6] Between the 11th and 12th Paris Aero Shows (July 1928 and December 1930) Ateliers Les Mureaux became known as ANF Les Mureaux when they amalgamated with Ateliers de Construction du Nord de la France.[7]  They also changed their type designations into three digit numbers.  By mid-1931 they had introduced two observation aircraft, almost identical to each other apart from their engines and very similar to the types 3 and 4, designated ANF Les Mureaux 130 A2 and ANF Les Mureaux 131 A2. The types 3 and 130 had the same engine but the type 131 was fitted with a 500 hp (370 kW) Renault 12 Jc water-cooled V-12 engine, which made it slightly longer, heavier and slower than the type 130. Both were heavier than the types 3 and 4 when fully equipped.  The Type 130 had a top speed at sea level of 232 km/h (144 mph) and could reach 5,000 m (16,000 ft) in 21 minutes.  Externally the types 130 and 131 differed most in the covering of their wings; the 130's was entirely fabric covered, whereas that of the 131 was duralumin covered on the upper surface with fabric on the lower.  This mixture made the 131 better suited to outside storage whilst allowing easy assessment of internal wing damage.[8] The type 130 was first reported in November 1929[9] but the type 131 did not fly until the first half of 1931.[10] Data from Jane's all the World's Aircraft 1928,[11] NACA aircraft circulars no.42 (1927)[1]General characteristics Performance Armament</t>
  </si>
  <si>
    <t>two seat fighter aircraft</t>
  </si>
  <si>
    <t>Ateliers Les Mureaux</t>
  </si>
  <si>
    <t>https://en.wikipedia.org/Ateliers Les Mureaux</t>
  </si>
  <si>
    <t>André Brunet</t>
  </si>
  <si>
    <t>Spring 1927</t>
  </si>
  <si>
    <t>8.45 m (27 ft 9 in)</t>
  </si>
  <si>
    <t>15.00 m (49 ft 3 in)</t>
  </si>
  <si>
    <t>3.10 m (10 ft 2 in)</t>
  </si>
  <si>
    <t>32.5 m2 (350 sq ft)</t>
  </si>
  <si>
    <t>1,160 kg (2,557 lb)</t>
  </si>
  <si>
    <t>1,980 kg (4,365 lb)</t>
  </si>
  <si>
    <t>1 × Hispano-Suiza 12Hb water-cooled V-12, 440 kW (590 hp)</t>
  </si>
  <si>
    <t>268 km/h (167 mph, 145 kn) at sea level, 231 km/h (144 mph) at 5,000 m (16,400 ft)</t>
  </si>
  <si>
    <t>8,600 m (28,200 ft)</t>
  </si>
  <si>
    <t>//upload.wikimedia.org/wikipedia/en/thumb/9/9f/Les_Mureaux_3A.png/300px-Les_Mureaux_3A.png</t>
  </si>
  <si>
    <t>https://en.wikipedia.org/two seat fighter aircraft</t>
  </si>
  <si>
    <t>300 kg (660 lb)</t>
  </si>
  <si>
    <t>2-bladed fixed pitch propeller</t>
  </si>
  <si>
    <t>102 km/h (63 mph, 55 kn)</t>
  </si>
  <si>
    <t>61.2 kg/m2 (12.5 lb/sq ft)</t>
  </si>
  <si>
    <t>0.1868 kW/kg (0.1136 hp/lb)</t>
  </si>
  <si>
    <t>25 min 16 s to 6,000 m (20,000 ft)</t>
  </si>
  <si>
    <t>2x fixed forward firing 7.7 mm (0.303 in) Vickers machine-guns; 2x flexibly mounted 7.7 mm (0.303 in) Lewis machine-guns in the rear cockpit</t>
  </si>
  <si>
    <t>Ford-Van Auken 1909 Monoplane</t>
  </si>
  <si>
    <t>The Ford-Van Auken 1909 Monoplane was the first of a series of aircraft built with and for the Ford Motor Company.[1] The Monoplane's design was started in 1908 by Charles Van Auken using plans of a Blériot XI as a guide. A Ford Model T engine with holes bored throughout to lighten the weight was used as a powerplant. The aircraft was a conventional landing gear-equipped, wire braced, mid-wing monoplane with a fabric covered cruciform empennage and warping wings for roll control.[2] The aircraft bore a striking resemblance to the Blériot XI.[3] The aircraft was test flown by Van Auken in Dearborn Michigan, flying in ground effect before crashing into a fence. The engine was modified for more power and the aircraft was flown a second time in 1910 at the Fort Wayne parade grounds, where it was crashed into a tree after becoming airborne.[4] Data from The Youth's Companion and Sherman[3][5]General characteristics Performance</t>
  </si>
  <si>
    <t>Monoplane</t>
  </si>
  <si>
    <t>Ford Motor Company</t>
  </si>
  <si>
    <t>https://en.wikipedia.org/Ford Motor Company</t>
  </si>
  <si>
    <t>Charles Van Auken</t>
  </si>
  <si>
    <t>1 × Ford Model T engine Four cylnder inline piston engine, 28 hp (21 kW)</t>
  </si>
  <si>
    <t>8 ft (2.4 m)</t>
  </si>
  <si>
    <t>2-bladed Wood</t>
  </si>
  <si>
    <t>Huntwing</t>
  </si>
  <si>
    <t>The Huntwing is a British ultralight trike that was designed by John Hunt of Clydach, Monmouthshire. The aircraft is supplied in the form of plans for amateur construction.[1] The Huntwing was designed to comply with the British BCAR Section S microlight category. It was first flown in 1982 and introduced commercially in 1992. It features a cable-braced hang glider-style high-wing, weight-shift controls, a two-seats-in-tandem open cockpit with a cockpit fairing, tricycle landing gear with wheel pants and a single engine in pusher configuration.[1][2] The aircraft is made from bolted-together aluminium tubing, with its 75% double surface wing covered in Dacron sailcloth. The 33.4 ft (10.2 m) span wing is supported by a single tube-type kingpost, uses an "A" frame weight-shift control bar, has a nose angle of 121°, 24 top and six bottom battens and has a wing area of 161 sq ft (15.0 m2). The acceptable power range is 50 to 64 hp (37 to 48 kW) and the standard powerplants used include the twin cylinder, liquid-cooled, two-stroke 52 hp (39 kW) Rotax 462 snowmobile engine, the twin cylinder, air-cooled, two-stroke 50 hp (37 kW) Rotax 503 aircraft engine and the twin cylinder, liquid-cooled, two-stroke, dual-ignition 64 hp (48 kW) Rotax 582 powerplant. The BMW R100RS four-stroke motorcycle engine can also be fitted.[1][3][4][5] The plans wing is built by the amateur-builder and fitted with a Top Flight Sails sail. Alternatively a Mainair Blade wing can be used.[1][2][5] The manufacturer estimates the construction time from the supplied plans as 500 hours.[4] The designers says that 10 sets of plans have been shipped and about 20 aircraft completed and flown.[5] In May 2015 eleven examples were registered in the United Kingdom with the Civil Aviation Authority.[6] Data from Designer[3]General characteristics Performance</t>
  </si>
  <si>
    <t>Homebuilt ultralight trike</t>
  </si>
  <si>
    <t>United Kingdom</t>
  </si>
  <si>
    <t>John Hunt</t>
  </si>
  <si>
    <t>33.4 ft (10.2 m)</t>
  </si>
  <si>
    <t>161 sq ft (15.0 m2)</t>
  </si>
  <si>
    <t>820 lb (372 kg)</t>
  </si>
  <si>
    <t>1 × Rotax 462 twin cylinder, liquid-cooled, two stroke aircraft engine, with a 2.58</t>
  </si>
  <si>
    <t>70 mph (110 km/h, 61 kn)</t>
  </si>
  <si>
    <t>700 ft/min (3.6 m/s)</t>
  </si>
  <si>
    <t>https://en.wikipedia.org/Homebuilt ultralight trike</t>
  </si>
  <si>
    <t>https://en.wikipedia.org/United Kingdom</t>
  </si>
  <si>
    <t>Plans available (2015)</t>
  </si>
  <si>
    <t>50 litres (11 imp gal; 13 US gal)</t>
  </si>
  <si>
    <t>3-bladed Ivoprop, 5 ft 4 in (1.63 m) diameter</t>
  </si>
  <si>
    <t>60 mph (97 km/h, 52 kn)</t>
  </si>
  <si>
    <t>5.1 lb/sq ft (24.8 kg/m2)</t>
  </si>
  <si>
    <t>74 mph (119 km/h, 64 kn)</t>
  </si>
  <si>
    <t>+4/-2</t>
  </si>
  <si>
    <t>Moyes Litesport</t>
  </si>
  <si>
    <t>The Moyes Litesport is an Australian high-wing, single-place, hang glider that was designed by Gerolf Heinrichs and is produced by Moyes Delta Gliders of Kurnell, New South Wales. The aircraft is supplied complete and ready-to-fly.[1][2] Designed as a sport and competition glider with a kingpost, the Litesport is based upon the highly successful kingpostless Moyes Litespeed line. It is made from 7075 aluminum tubing, with the double-surface wing covered in Dacron sailcloth and incorporates a variable geometry system.[1][2] Data from Bertrand and manufacturer[1][3]General characteristics Performance</t>
  </si>
  <si>
    <t>Hang glider</t>
  </si>
  <si>
    <t>Moyes Delta Gliders</t>
  </si>
  <si>
    <t>https://en.wikipedia.org/Moyes Delta Gliders</t>
  </si>
  <si>
    <t>Gerolf Heinrichs</t>
  </si>
  <si>
    <t>9.6 m (31 ft 6 in)</t>
  </si>
  <si>
    <t>13.8 m2 (149 sq ft)</t>
  </si>
  <si>
    <t>31.8 kg (70 lb)</t>
  </si>
  <si>
    <t>https://en.wikipedia.org/Hang glider</t>
  </si>
  <si>
    <t>In production (2016)</t>
  </si>
  <si>
    <t>34 km/h (21 mph, 18 kn)</t>
  </si>
  <si>
    <t>26 km/h (16 mph, 14 kn)</t>
  </si>
  <si>
    <t>10.2 kg/m2 (2.1 lb/sq ft)</t>
  </si>
  <si>
    <t>85 km/h (53 mph, 46 kn)</t>
  </si>
  <si>
    <t>1.0 m/s (200 ft/min) at 38 km/h (24 mph)</t>
  </si>
  <si>
    <t>Sundog One-Seater</t>
  </si>
  <si>
    <t>The Sundog One-Seater (also called the Pup) is a Canadian powered parachute that was designed and produced by Sundog Powerchutes of Sparwood, British Columbia and later Pierceland, Saskatchewan. Now out of production, when it was available the aircraft was supplied as a complete ready-to-fly-aircraft.[1][2][3][4] The aircraft was introduced in 2002 and production ended when the company went out of business in 2014.[5] The One-Seater was designed to comply with the Canadian Basic Ultra-Light Aeroplane rules, but also fit the Fédération Aéronautique Internationale microlight category, including the category's maximum gross weight of 450 kg (992 lb). The aircraft has a maximum gross weight of 308 kg (679 lb). It features a 500 sq ft (46 m2) Apco 500 parachute-style wing, single seat accommodation, tricycle landing gear and a single 50 hp (37 kW) Rotax 503 two-stroke engine in pusher configuration. The prototype was equipped with a Hirth engine.[1][4][2] The aircraft carriage is built from bolted 6061-T6 aluminium, stainless steel fittings and aircraft bolts. In flight steering is accomplished via foot pedals that actuate the canopy brakes, creating roll and yaw. On the ground the aircraft has lever-controlled nosewheel steering. The main landing gear incorporates spring rod suspension. The pilot is protected by a series of circular aluminium tubes in the event of a roll-over. Fuel capacity is 5 U.S. gallons (19 L; 4.2 imp gal) or optionally 10 U.S. gallons (38 L; 8.3 imp gal).[1][2] The aircraft has an empty weight of 302 lb (137 kg) and a gross weight of 679 lb (308 kg), giving a useful load of 377 lb (171 kg). With full fuel of 10 U.S. gallons (38 L; 8.3 imp gal) the payload for crew and baggage is 317 lb (144 kg).[1][2] The company also supplied custom trailers for towing the aircraft behind an automobile.[2] In  September 2015 there was one example, the prototype, on the Transport Canada registry, although its registration had been cancelled in May 2004. There were none registered in the America with the Federal Aviation Administration.[4][6] Data from Bertrand and manufacturer[1][2]General characteristics Performance</t>
  </si>
  <si>
    <t>Powered parachute</t>
  </si>
  <si>
    <t>Canada</t>
  </si>
  <si>
    <t>Sundog Powerchutes Inc</t>
  </si>
  <si>
    <t>https://en.wikipedia.org/Sundog Powerchutes Inc</t>
  </si>
  <si>
    <t>8.41 ft (2.56 m)</t>
  </si>
  <si>
    <t>7.0 ft (2.1 m) carriage only</t>
  </si>
  <si>
    <t>500 sq ft (46 m2)</t>
  </si>
  <si>
    <t>302 lb (137 kg)</t>
  </si>
  <si>
    <t>679 lb (308 kg)</t>
  </si>
  <si>
    <t>1 × Rotax 503 twin cylinder, two-stroke, air-cooled aircraft engine, 50 hp (37 kW)</t>
  </si>
  <si>
    <t>33 mph (53 km/h, 29 kn)</t>
  </si>
  <si>
    <t>https://en.wikipedia.org/Powered parachute</t>
  </si>
  <si>
    <t>https://en.wikipedia.org/Canada</t>
  </si>
  <si>
    <t>Production completed (2014)</t>
  </si>
  <si>
    <t>5 U.S. gallons (19 L; 4.2 imp gal) or optionally 10 U.S. gallons (38 L; 8.3 imp gal)</t>
  </si>
  <si>
    <t>3-bladed ground adjustable composite Powerfin or GSC Systems</t>
  </si>
  <si>
    <t>1.4 lb/sq ft (6.8 kg/m2)</t>
  </si>
  <si>
    <t>At least one</t>
  </si>
  <si>
    <t>Sundog Two-Seater</t>
  </si>
  <si>
    <t>2002-2014</t>
  </si>
  <si>
    <t>https://en.wikipedia.org/Sundog Two-Seater</t>
  </si>
  <si>
    <t>6.33 ft (1.93 m) carriage only</t>
  </si>
  <si>
    <t>RoboSeed Nano</t>
  </si>
  <si>
    <t>The RoboSeed Nano is the first monocopter UAV that has demonstrated controllable flight. The Nano was developed from research on flight characteristics of the Samara seed, coupled with modern small scale remote control electronics and research on controllability of monocopter vehicles. The aircraft is powered by a 2 cell 920mAh LiPoly Battery.[1] Data from RoboSeedGeneral characteristics Performance Avionics Internal GPS, Altimeter, and Video</t>
  </si>
  <si>
    <t>Monocopter UAV</t>
  </si>
  <si>
    <t>RoboSeed</t>
  </si>
  <si>
    <t>Evan R. Ulrich</t>
  </si>
  <si>
    <t>1 ft (0.30 m)</t>
  </si>
  <si>
    <t>.22 lb (0 kg)</t>
  </si>
  <si>
    <t>1 × Electric Electric</t>
  </si>
  <si>
    <t>2.7 nmi (3.1 mi, 5.0 km)</t>
  </si>
  <si>
    <t>5,000 ft (1,524 m) Can be drop launched from higher altitude</t>
  </si>
  <si>
    <t>//upload.wikimedia.org/wikipedia/commons/thumb/2/27/RoboseedNano.jpg/300px-RoboseedNano.jpg</t>
  </si>
  <si>
    <t>11 kn (12 mph, 20 km/h)</t>
  </si>
  <si>
    <t>45 min</t>
  </si>
  <si>
    <t>Salmson-Béchereau SB-5</t>
  </si>
  <si>
    <t>The Salmson-Béchereau SB-5 was a two-seat fighter aircraft built for a French government programme in 1925.  Despite a powerful engine it did not perform well and only one was built. The Salmson-Béchereau SB-5, sometimes known as the Béchereau C.2 (C.2 denoting a two-seat chasseure or fighter) was Salmon's response to the French 1925 two seat fighter programme. Its strut-braced, parasol wing design owed much to Béchereau's  1921 Letord-Béchereau 2 and 1924 Buscaylet-Béchereau 2 single seat fighters and, like them, it used a similar type of 370 kW (500 hp) Salmson 18Cm eighteen cylinder water-cooled radial engine.[1][2][3] The wing of the SB-5 was in two parts, joined low over the fuselage by a pair of cabane struts.  Beyond the section, where a pronounced reduction (c.50%) in chord, particularly on the trailing edge, provided a better field of view for the pilot, the wings were straight edged and of constant chord out to almost square tips.  The wings were mounted with about 2° of sweep[4] and 3° of anhedral.[1]  Each half-wing was built around two spruce longerons with pine ribs and plywood covered at the leading edge with fabric elsewhere.[4] It was noted at the time that the wings were very thin and so required elaborate struttage which also involved the fixed landing gear.  The central part of the latter was a wooden airfoil section, 3 m (9 ft 10 in) span plane which contributed an extra 13% lifting area. This had metal carriers at its tips, each supported by a pair of almost parallel struts to the lower fuselage. Split axles, mounted centrally on a transverse V-strut from the fuselage, were connected to the carriers via rubber shock absorbers and mounted the wheels. The main wing struts converged slightly from the carriers to the wing longerons at about 80% span. From near the midpoint of these struts a further pair of inverted Vs braced the inner wing to the upper fuselage.[4] The forward part of the SB-5's fuselage was designed around the 390 kW (520 hp) Salmson 18Cmb water-cooled radial engine, which was set back from the propeller on a 1.00 m (3 ft 3 in) extension shaft.[1][4]  The fuselage was built around four longerons but had a near-circular cross-section shaped by formers and covered with fabric.  The pilot's open cockpit was entirely under the central trailing edge opening and the rear cockpit was very close behind, still partly forward of the outer trailing edge. The intention, probably never realised, was that the SB-5 should have two fixed, forward firing 7.7 mm (0.303 in) machine guns controlled by the pilot and another pair on a flexible mount for the gunner. The fuselage tapered to the rear with a ridge fairing which began behind the gunner's cockpit, ran along the spine and blended into a slightly rounded, low and broad fin, integral with the fuselage, which carried a pentagonal rudder.  The SB-5's tailplane, at the top of the fuselage, was generous and more rounded in plan than the fin and braced on each side by a strut from below. Its elevator trailing edges were level with the rudder hinge.[4] The exact date of the first flight of the SB-5 is not known but, described as new, it was being test flown by Duchamps in the last week of January 1926.[5] By April it was at the government testing ground at Villacoublay,[6] where tests revealed handling problems sufficiently serious to require significant modifications.  When these were completed in the summer of 1926, the aircraft was redesignated the Salmson-Béchereaux SB-6.  The most important changes were to the wings, where the ailerons now occupied all the trailing edge, and the size of its central cut-out was reduced.  In addition the propeller drive shaft was shortened, reducing the SB-6's length by 300 mm (11.8 in).[1] Further testing showed the performance of the SB-6 did not meet the requirements of the two seat programme specification. Béchereaux then left Salmson to form his own company, the Société pour la Réalisation d'Avion Prototypes (S.R.A.P.) and the SB-6 was displayed at the Paris Aero Salon in December 1926 as the S.R.A.P. 2; shortly afterwards the C.2 programme itself was abandoned and development of the S.R.A.P. 2 ended.[1] Data from Green &amp; Swanborough (1994), p.518[1]General characteristics Performance Armament</t>
  </si>
  <si>
    <t>Two seat fighter aircraft</t>
  </si>
  <si>
    <t>Salmson</t>
  </si>
  <si>
    <t>https://en.wikipedia.org/Salmson</t>
  </si>
  <si>
    <t>Louis Béchereau</t>
  </si>
  <si>
    <t>https://en.wikipedia.org/Louis Béchereau</t>
  </si>
  <si>
    <t>Late 1925 or early 1926</t>
  </si>
  <si>
    <t>Two</t>
  </si>
  <si>
    <t>9.7 m (31 ft 10 in)</t>
  </si>
  <si>
    <t>14.6 m (47 ft 11 in)</t>
  </si>
  <si>
    <t>3.0 m (9 ft 10 in)</t>
  </si>
  <si>
    <t>35 m2 (380 sq ft)</t>
  </si>
  <si>
    <t>1,558 kg (3,435 lb)</t>
  </si>
  <si>
    <t>2,360 kg (5,203 lb)</t>
  </si>
  <si>
    <t>1 × Salmson 18Cmb 18 cylinder, water-cooled radial engine, 390 kW (520 hp)</t>
  </si>
  <si>
    <t>220 km/h (140 mph, 120 kn) at 3,000 m (9,800 ft)</t>
  </si>
  <si>
    <t>7,150 m (23,460 ft) [4]</t>
  </si>
  <si>
    <t>//upload.wikimedia.org/wikipedia/commons/thumb/f/f6/Salmson-B%C3%A9chereau_C.2_in_flight_Les_Ailes_April_15%2C_1926.jpg/300px-Salmson-B%C3%A9chereau_C.2_in_flight_Les_Ailes_April_15%2C_1926.jpg</t>
  </si>
  <si>
    <t>https://en.wikipedia.org/Two seat fighter aircraft</t>
  </si>
  <si>
    <t>2-bladed</t>
  </si>
  <si>
    <t>{'S.R.A.P. 2': ''}</t>
  </si>
  <si>
    <t>3,000 m (9,800 ft) 9.0 min</t>
  </si>
  <si>
    <t>provision for 2×7.7 mm (0.303 in) fixed, forward firing machine guns, plus another pair on a flexible mount in rear cockpit.</t>
  </si>
  <si>
    <t>Villiers IV</t>
  </si>
  <si>
    <t>The Villiers IV or Villiers 4 was a French two seat naval floatplane. Two were built, the first with twin floats and the second with one. The first was short-lived but the second set several world and national records; it later became the Villiers XI.  As a shipboard aircraft the Villier IV was required to have, in addition to the normal equipment of a two-seat military machine, folding wings and tow and hoist points. It also had to be well provided with navigation, radio and visual signalling equipment.[1] It was a single bay sesquiplane. Like  most Villiers aircraft, the wingplans were strictly rectangular in plan apart from a shallow cut-out over the forward cockpit; the upper wings had three times the area of the lower. They were built around spruce box spars, fabric covered and braced together by an outward and forward leaning interplane strut on each side. The lower wings were attached to the lower fuselage longerons and braced to the upper longerons with single struts leaning inwards at about 45°.  The upper wing was held over the fuselage by a fore and aft pair of W-form struts, one to each of its two spars.  Wing folding was achieved with hinges on the rear longerons, immediately outside of the centre section to fuselage struts.  There were full span ailerons, fitted only on the upper wing. A pair of upper wing hoisting points enabled the Villier IV to be lifted back on board its ship by a crane.[1] The fuselage of the Type IV was built around six spruce longerons with stringers, formers and poplar plywood skinning but no internal cross-bracing producing a semi-monocoque structure. Its engine was a 450 hp (340 kW) Lorraine-Dietrich water-cooled W-12 with a Lamblin radiator mounted transversely under it. Aft, the pilot's cockpit was largely under the wing despite the trailing edge cut-out to improve the field of fire from the gunner's cockpit behind him. The gunner had a pair of Lewis guns on a flexible mount and the pilot controlled a fixed pair of synchronised Vickers machine guns firing through the propeller arc. At the rear both fin and tailplane were triangular; the later, placed at the top of the fuselage could be adjusted on the ground. The rudder was curved, broad and reached down to the keel.  The elevators were balanced, curved edged and had a cut-out for rudder movement.[1] The first Type IV had a pair of floats, about 7.8 m (25 ft 7 in) and 3.1 m (10 ft 2 in) apart, single stepped, round topped in cross-section and with hard chine but almost flat bottoms.  These were mounted on an axle just forward of the wing leading edge, supported at its centre by a V-strut from the lower fuselage longerons and at its extremities by struts at about 45° to the same points. Under the trailing edge a W-form strut linked the longerons and floats, allowing passage for bombs released from the central fuselage underside.  Vertical legs transmitted landing forces to the lower wing just inboard of the folding line.  The floats were made of spruce and ply covered; on the planing bottoms the ply was 8 mm (0.31 in) thick.[1] A second example, the IVbis, had a single central main float, suitable for catapult launching, and a small, stabilizing float under each wing.[2] The date of the Type IV's first flight is not known but it was flying before August 1925.[2] The second Type IV, usually known in the French journals as the 4bis, flew in 1926.[2] Before the spring of 1927 it had been modified into the very similar[1][2][3] Villiers Type XI which had a single, 7.5 m (24 ft 7 in), 1.5 m (4 ft 11 in) wide, single-stepped central float mounted on two pairs of lateral struts to the lower fuselage.  Two small stabilizing floats were attached with pairs of outward leaning struts from the lower wing below the interplane struts.[1] The Viliers IX[2] and Type X[2][4] were similar Type IV developments. In the late summer of 1925 the first Type IV and its crew were lost during the grand prix for seaplanes held at Saint-Raphaël, Var.[2] Early in 1926 the single float IVbis, flown by Louis Demougeot,[5] set world and national seaplane records.  The world record was for speed over 100 km (62 mi) with a 500 kg (1,100 lb) load, set at 203.275 km/h (126.309 mph) on 13 May,[6]  which was still standing a year later.[5] The French record was set on 27 April, when he took the Villiers to 4,881 m (16,014 ft) carrying the same load.[7] Data from L'Aérophile March 1927[1]General characteristics Performance Armament</t>
  </si>
  <si>
    <t>Shipboard single seat reconnaissance aircraft</t>
  </si>
  <si>
    <t>10.50 m (34 ft 5 in)</t>
  </si>
  <si>
    <t>3.60 m (11 ft 10 in)</t>
  </si>
  <si>
    <t>48 m2 (520 sq ft) (upper wing 36 m2 (390 sq ft), lower wing 12 m2 (130 sq ft))</t>
  </si>
  <si>
    <t>1,708 kg (3,765 lb)</t>
  </si>
  <si>
    <t>2,465 kg (5,434 lb)</t>
  </si>
  <si>
    <t>1 × Lorraine-Dietrich 12Eb water-cooled W-12, 340 kW (450 hp)   engine designation from[8]</t>
  </si>
  <si>
    <t>202 km/h (126 mph, 109 kn)</t>
  </si>
  <si>
    <t>640 km (400 mi, 350 nmi) [8]</t>
  </si>
  <si>
    <t>5,800 m (19,000 ft)</t>
  </si>
  <si>
    <t>//upload.wikimedia.org/wikipedia/commons/thumb/a/a2/Villiers_IV_L%27A%C3%A9ronautique_January%2C1926.jpg/300px-Villiers_IV_L%27A%C3%A9ronautique_January%2C1926.jpg</t>
  </si>
  <si>
    <t>https://en.wikipedia.org/Shipboard single seat reconnaissance aircraft</t>
  </si>
  <si>
    <t>282 kg (622 lb)</t>
  </si>
  <si>
    <t>4 hr</t>
  </si>
  <si>
    <t>Göttingen 436, slightly modified</t>
  </si>
  <si>
    <t>14.50 m (47 ft 7 in)</t>
  </si>
  <si>
    <t>40 min to 4,500 m (14,800 ft)</t>
  </si>
  <si>
    <t>95 km/h (59 mph, 51 kn)</t>
  </si>
  <si>
    <t>Air-Sport Pasat</t>
  </si>
  <si>
    <t>The Air-Sport Pasat is a family of Polish single-place, paragliders, designed and produced by Air-Sport of Zakopane.[1] The Pasat is named after a trade wind. It was designed as a recreational glider and was noted in 2003 as being very competitively priced.[1][2] The design has progressed through four generations of models, the Pasat, Pasat 2, 3 and 4, each improving on the last. The models are each named for their wing area in square metres.[1] Data from Bertrand[1]General characteristics Performance</t>
  </si>
  <si>
    <t>Paraglider</t>
  </si>
  <si>
    <t>Poland</t>
  </si>
  <si>
    <t>Air-Sport</t>
  </si>
  <si>
    <t>https://en.wikipedia.org/Air-Sport</t>
  </si>
  <si>
    <t>12.41 m (40 ft 9 in)</t>
  </si>
  <si>
    <t>28.8 m2 (310 sq ft)</t>
  </si>
  <si>
    <t>46 km/h (29 mph, 25 kn)</t>
  </si>
  <si>
    <t>https://en.wikipedia.org/Paraglider</t>
  </si>
  <si>
    <t>https://en.wikipedia.org/Poland</t>
  </si>
  <si>
    <t>In production (Pasat 4, 2016)</t>
  </si>
  <si>
    <t>2000s-present</t>
  </si>
  <si>
    <t>1.1 m/s (220 ft/min)</t>
  </si>
  <si>
    <t>Tupolev '73'</t>
  </si>
  <si>
    <t>The Tupolev '73', (samolyot 73), was a Soviet trijet medium bomber of the late 1940s. It lost out to the Ilyushin Il-28 'Beagle'. The Tupolev OKB continued to develop the Tu-2 line with the advent of gas turbine power-plants. The Tu-8 ('69')was redesigned with two Rolls-Royce Nene I turbojet engines, replacing the piston engines in new nacelles. The new design was given the OKB designation '72' and official designation Tu-18 2 × Nene I, but was abandoned due to the more promising '73' design soaking up resources. Following the general arrangement of the Tu-2- Tu-8, '72', the initial '73' short-range bomber (official designation; Tu-20 2 × Nene I) had a shoulder mounted wing, a large unswept fin and rudder with integral dorsal fin, tri-cycle undercarriage and engines in long under-slung nacelles at about 1/3 span, which also housed the main undercarriage legs, when retracted. Before the design was finalised it was discovered that the Nene I engines were producing less power than expected; 19.57 kN (4,400 lbf) and not the expected 22.26 kN (5,004 lbf), necessitating the addition of a Rolls-Royce Derwent V booster engine in the rear fuselage, exhausting at the base of the fin. The three-engined '73' (official designation; Tu-14 2 × Nene I + 1 × Derwent V) was accepted for development and the '73' first flew on 29 December 1947, with flight tests continuing until 31 May 1949, with promising results, resulting in a production order for ten '73S' pre-production prototypes, powered by RD-45 and RD-500 (Soviet production Nene and Derwent engines). None of the pre-production order were completed but parts manufactured at GAZ-23 were absorbed by the Tupolev Tu-14 production line at GAZ-39. Further development of the '73' line resulted in the photo-reconnaissance '73R' / '78' (official designation; Tu-16 2 × Nene I + 1 × Derwent V). The '78' was outwardly identical to the '73' with the exception of a retractable conical shutter over the intake of the rear fuselage Derwent at the forward end of the dorsal fillet. The '78' first flew on 7 May 1948 and conducted flight trials of the photographic equipment, which were unsatisfactory. Improvements to the photographic equipment notwithstanding the Council of Ministers cancelled all further development or production of the '73', '78' and '79' on 14 May 1949. Two more phot-recce projects were designed both similar to the '73' and '78'. The first '79' (official designation; Tu-30 2 × Nene I + 1 × Derwent V) was not proceeded with. The second '79' (official designation; Tu-20 2 × VK-1 + 1 x RD-500), was to have utilised an uncompleted '73S' airframe but development was cancelled as noted above. The VVS (Voyenno-Vozdushnyye Sily - Soviet air force) rejected the three-engined bombers as they were averse to fielding aircraft with two engine types. They were also more in favour of the Ilyushin Il-28 for medium bomber roles. The AV-MF (Aviatsiya Voyenno-Morskogo Flota - naval aviation), however, were in need of a torpedo bomber which was developed from the final '73' iteration, the '81 (official designation; Tu-14 2 × VK-1) as the '81T' (official designation; Tu-14T 2 × VK-1). Production aircraft were delivered to the AV-MF as the Tupolev Tu-14T.[1] Data from: OKB Tupolev: A History of the Design Bureau and its Aircraft[1] Data from OKB Tupolev: A History of the Design Bureau and its Aircraft[1]General characteristics Performance Armament</t>
  </si>
  <si>
    <t>Medium bomber</t>
  </si>
  <si>
    <t>Tupolev</t>
  </si>
  <si>
    <t>https://en.wikipedia.org/Tupolev</t>
  </si>
  <si>
    <t>Sergei Yeger</t>
  </si>
  <si>
    <t>20.32 m (66 ft 8 in)</t>
  </si>
  <si>
    <t>21.7 m (71 ft 2 in)</t>
  </si>
  <si>
    <t>5.93 m (19 ft 5 in)</t>
  </si>
  <si>
    <t>67.38 m2 (725.3 sq ft)</t>
  </si>
  <si>
    <t>21,100 kg (46,518 lb)</t>
  </si>
  <si>
    <t>1 × Rolls-Royce Derwent V centrifugal-flow turbojet, 16 kN (3,500 lbf) thrust</t>
  </si>
  <si>
    <t>872 km/h (542 mph, 471 kn) at 5,000 m (16,000 ft)</t>
  </si>
  <si>
    <t>11,500 m (37,700 ft)</t>
  </si>
  <si>
    <t>//upload.wikimedia.org/wikipedia/commons/thumb/a/a2/Tupolev_Tu-73-Tu-78_and_Tu-81-Tu-89_%28Tu-14%29_top-view_silhouettes.png/300px-Tupolev_Tu-73-Tu-78_and_Tu-81-Tu-89_%28Tu-14%29_top-view_silhouettes.png</t>
  </si>
  <si>
    <t>https://en.wikipedia.org/Medium bomber</t>
  </si>
  <si>
    <t>Cancelled</t>
  </si>
  <si>
    <t>Soviet Naval Aviation</t>
  </si>
  <si>
    <t>{"'72'": "itial project for a tactical bomber powered by two Rolls-Royce Nene I turbojet engines, derived from the Tupolev '69' (Tu-8), not built.Tu-18 2 x Nene I: official designation.", 'Tu-18 2 x Nene I': 'official designation.', "'73'": "perimental bomber project, powered by two Rolls-Royce Nene I and one Rolls-Royce Derwent V turbojet engines, one built.Tu-14 2 x Nene I + 1 x Derwent V: official designation.'73S': Ten pre-production prototypes ordered but only partially completed before cancellation.'73R': original OKB designation for the '78' photo-recce design.", 'Tu-20 2 x Nene I': 'official designation.', 'Tu-14 2 x Nene I + 1 x Derwent V': 'official designation.', "73S'": 'Ten pre-production prototypes ordered but only partially completed before cancellation.', "73R'": '', "'78'": 'connaissance version, powered by Rolls-Royce engines, one built.Tu-16 2 x Nene I + 1 x Derwent V: official designation.', 'Tu-16 2 x Nene I + 1 x Derwent V': 'official designation.', "'79'": "8' powered by Klimov VK-1 Soviet-built Rolls-Royce engines. Originally designated '73R'.Tu-20 2 x VK-1 + 1 x RD-500: official designation.", 'Tu-30 2 x Nene I + 1 x Derwent V': 'official designation.', 'Tu-20 2 x VK-1 + 1 x RD-500': 'official designation.', "'81'": "in-engined medium bomber development of '73'.Tu-14 2 x VK-1: official designation.", 'Tu-14 2 x VK-1': 'official designation.', "'81T'": "in-engined torpedo bomber development of '73' for the AV-MF.Tu-14T 2 x VK-1: official designation.", 'Tu-14T 2 x VK-1': 'official designation.'}</t>
  </si>
  <si>
    <t>Tupolev Tu-72</t>
  </si>
  <si>
    <t>https://en.wikipedia.org/Tupolev Tu-72</t>
  </si>
  <si>
    <t>https://en.wikipedia.org/Soviet Naval Aviation</t>
  </si>
  <si>
    <t>6 x 23 mm (0.91 in) Nudelman-Suranov NS-23 cannon in dorsal, ventral remotely-controlled barbettes with two in fixed forward firing mounts in the lower forward fuselage.</t>
  </si>
  <si>
    <t>Tupolev Tu-14</t>
  </si>
  <si>
    <t>https://en.wikipedia.org/Tupolev Tu-14</t>
  </si>
  <si>
    <t>2,810 km (1,750 mi, 1,520 nmi) with normal bomb load</t>
  </si>
  <si>
    <t>1,000–1,500 kg (2,200–3,300 lb) of bombs in an internal fuselage bomb bay</t>
  </si>
  <si>
    <t>Apco Fiesta</t>
  </si>
  <si>
    <t>The Apco Fiesta is a family of Israeli single-place and two-place paragliders that was designed and produced by Apco Aviation of Caesarea. It is now out of production.[1] The Fiesta was designed as a beginner glider, plus a tandem version for flight training, the Fiesta 42 Bi, indicting "bi-place" or two seater.[1] The sail is made from 46gr/m2 "Zero Porosity" ripstop nylon.[2] The design progressed through two generations of models, the Fiesta and Fiesta II. The two-place models in the line are named for their rough wing area in square metres, while the solo ones are named for their relative size.[1] Data from Bertrand[1]General characteristics Performance</t>
  </si>
  <si>
    <t>Israel</t>
  </si>
  <si>
    <t>Apco Aviation</t>
  </si>
  <si>
    <t>https://en.wikipedia.org/Apco Aviation</t>
  </si>
  <si>
    <t>12.9 m (42 ft 4 in)</t>
  </si>
  <si>
    <t>31.2 m2 (336 sq ft)</t>
  </si>
  <si>
    <t>45 km/h (28 mph, 24 kn)</t>
  </si>
  <si>
    <t>//upload.wikimedia.org/wikipedia/commons/thumb/4/40/Apco_FiestaII_-_panoramio.jpg/300px-Apco_FiestaII_-_panoramio.jpg</t>
  </si>
  <si>
    <t>https://en.wikipedia.org/Israel</t>
  </si>
  <si>
    <t>mid-2000s</t>
  </si>
  <si>
    <t>Aeroprakt A-32 Vixxen</t>
  </si>
  <si>
    <t>The Aeroprakt A-32 is a Ukrainian two-seat, high-wing, tricycle gear ultralight aircraft that was designed by Yuri Yakovlev and is manufactured by Aeroprakt. In Australia the A-32 is referred to as the Vixxen.[1][2] The A-32 is a development of the A-22 Foxbat; however unlike the earlier aircraft, which can be purchased in kit form or fully assembled, the A-32 Vixxen is supplied only as a kit in the UK, or ready-to-fly factory-built aircraft in 31 other countries  The A-32 was developed from A-22 Foxbat during three years of research and development.[2] To increase cruise speed while employing the same 100 hp (75 kW) Rotax 912ULS engine as the A-22, the A-32 has a new flush wing-to-body fairing design and all flying horizontal stabilizer, as well as moulded baffling for improved engine airflow and cooling. Other changes include a wing that is 10 cm (3.9 in) shorter, shorter lift struts and better wing tank fairing. This results in a cruise speed that is 20 kn (37 km/h) faster than the A-22.[2] The prototype A-32 was completed in January 2014 and the first production aircraft was shown in April 2015. It was then transported to Australia, first flying at Moorabbin on 20 July 2015.[3] Data from [1][4][5]General characteristics Performance Avionics</t>
  </si>
  <si>
    <t>Light-sport aircraft</t>
  </si>
  <si>
    <t>Ukraine</t>
  </si>
  <si>
    <t>Aeroprakt</t>
  </si>
  <si>
    <t>https://en.wikipedia.org/Aeroprakt</t>
  </si>
  <si>
    <t>Yuri Yakovlev</t>
  </si>
  <si>
    <t>6.27 m (20 ft 7 in)</t>
  </si>
  <si>
    <t>9.45 m (31 ft 0 in)</t>
  </si>
  <si>
    <t>2.22 m (7 ft 3 in)</t>
  </si>
  <si>
    <t>320 kg (705 lb)</t>
  </si>
  <si>
    <t>1 × Rotax 912ULS 4-cylinder horizontally opposed air-cooled piston aircraft engine, 75 kW (100 hp)</t>
  </si>
  <si>
    <t>//upload.wikimedia.org/wikipedia/commons/thumb/d/d1/Aeroprakt_A32_UR-PAPK.jpg/300px-Aeroprakt_A32_UR-PAPK.jpg</t>
  </si>
  <si>
    <t>https://en.wikipedia.org/Light-sport aircraft</t>
  </si>
  <si>
    <t>https://en.wikipedia.org/Ukraine</t>
  </si>
  <si>
    <t>95 l (25 US gal; 21 imp gal) usable in two tanks</t>
  </si>
  <si>
    <t>3-bladed KievProp 3-blade ground-adjustable prop with metal leading edges</t>
  </si>
  <si>
    <t>213 km/h (132 mph, 115 kn)</t>
  </si>
  <si>
    <t>4.5 hours</t>
  </si>
  <si>
    <t>2014 to present</t>
  </si>
  <si>
    <t>232 km/h (144 mph, 125 kn)</t>
  </si>
  <si>
    <t>600 kg (1,323 lb)</t>
  </si>
  <si>
    <t>BMP YZ</t>
  </si>
  <si>
    <t>BMP YZ series unmanned aerial vehicles (UAVs) are Chinese UAVs developed by Beijing MicroPilot Unmanned Aerial Vehicle Flight Control System Ltd. (BMP, 北京麦克普特无人飞行器控制系统有限公司), a company originally formed in 2001 specifically handle the import business of autopilots produced by Canadian firm MicroPilot for UAVs. Over the decade, the company expanded its business to importing other flight control systems to China, such as those produced by Russia. In recent years,  in addition to being a supplier of subsystems to other Chinese UAV manufacturers, BMP further expanded its business to developing its own brand of UAVs by integrating autopilots and flight control systems to existing airframes, but there are some BMP UAV are designed by BMP itself.  As an original equipment manufacturer, BMP is also contractor to produce UAVs developed by other Chinese establishments such as universities, research institutes and other Chinese UAV manufacturers. YZ-6 is the larger cousin of the smaller LHK developed by the same company, and is also in the same twin-boom layout. Propulsion is provided by a two-blade propeller driven by a pusher engine mounted at the rear end of the empennage, and the UAV has tricycle landing gear system. YZ-6 adopts modular design concept and it can be equipped with several engines by different suppliers.  Specification:[1] YZ-8 is a large fixed UAV of YZ series, and it’s in conventional layout with high wing configuration and V-tail. Propulsion is provided by a two-blade propeller driven pusher engine mounted at the empennage. Winglets are incorporated and landing gear consists of tricycle landing carriage. YZ-8 adopts modular design concept and subsystems such as engine can be changed rapidly among different types, and fuel tanks can be added or reduced based on mission requirement. Externally, YZ-8 looks very similar to another Chinese UAV, the GAIC Harrier Hawk II Air Sniper, because both share similar layout. The most distinct visual difference between ZY=8 and Harrier Hawk II Air Sniper is that the propeller of the former only has two blades while that of the latter has three. There is a bulge on the top of the nose of YZ-8 housing communication satellite dish, which the fuselage of Harrier Hawk II Air Sniper has no such bulge. Winglets are also an important visual cue to distinguish the two UAV, for that YZ-8 has winglets but Harrier Hawk II Air Sniper does not. Specification:[2] List of unmanned aerial vehicles of China</t>
  </si>
  <si>
    <t>BMP</t>
  </si>
  <si>
    <t>https://en.wikipedia.org/BMP</t>
  </si>
  <si>
    <t>ZHYR UAV</t>
  </si>
  <si>
    <t>ZHYR UAVs are Chinese UAVs developed by Zhuhai Yu-Ren Aircraft Co., Ltd. (ZHYR, 珠海羽人飞行器有限公司). The literal translation of the name of the company, ZHYR actually means Zhuhai feather person, and its UAV are primarily intended for agricultural applications. As of 2015, four ZHYR UAVs have been revealed to the public, all of which are 3WDM4 series multirotors under the registered trademark Gu-Shang-Fei (谷上飞), meaning flying above the grain. List of unmanned aerial vehicles of China  This article on an unmanned aerial vehicle is a stub. You can help Wikipedia by expanding it.</t>
  </si>
  <si>
    <t>ZHYR</t>
  </si>
  <si>
    <t>Villiers XXIV</t>
  </si>
  <si>
    <t>The Villiers XXIV or Villiers 24 CAN2 was a French army night fighter most notable as the first French military aircraft to be fitted with leading edge slats. Though the ability of retractable leading edge slots to enable wings to reach high angles of attack without stalling and hence allow low flying speeds without a high speed drag penalty was discussed at the 1921 Paris Salon by Frederick Handley Page,[1] slats were not used by French military aircraft before the 1928 Villiers XXIV.[2]  This night fighter (its military CAN2 designation stood for chasse, armée, nuit or army night fighter)[2] used a combination of slats and flaps, together with ailerons which could be lowered together as well as conventionally operated differentially.  Flight tests showed that with the slats open at maximum flap angles the minimum flight speed decreased by 30%.[2][3] The Villiers XXIV was a single bay sesquiplane with an upper wingspan 1.4 times that of the lower and about twice as broad.  Their sections were different, with R.A.F.31 airfoil on the upper wings and Göttingen 436 on the lower.[4] In plan both wings were strictly rectangular and fabric covered but they had different structures, the upper with wooden box spars and the lower with aluminium spars.[5] They were braced together by a single interplane strut on each side; these had airfoil sections and widened considerably at the foot and more so at the top.  The centre section of the upper wing was braced to the upper fuselage with four outward-leaning cabane struts.[4] Only the upper wing carried control surfaces, with a single leading edge slat over the whole span. Apart from a small centre section with a large cut-out to improve the visibility from the pilot's cockpit, the whole of the trailing edge was filled by flaps inboard and ailerons outboard. When the slats were opened by the pilot, ailerons and flaps were depressed but retained their normal functions with unchanged angular defection ranges.[3] The Villier XXIV's fuselage was built around six longerons, positioned by glued formers, and plywood covered behind the nose where its 340 kW (450 hp) Lorraine 12Eb Courlis water-cooled W-12 engine was under an aluminium cowling which followed the outlines of the three cylinder banks.[4]  The engine was cooled by a retractable, ventral Lamblin radiator between the undercarriage legs.[2][4] There was a second open cockpit for the gunner, equipped with a pair of machine guns on a flexible mounting. The pilot controlled a pair of fixed, forward firing synchronised 7.7 mm (0.303 in) guns.[2] The tail unit was conventional, with a broad chord, clipped triangular tailplane, mounted on top of the fuselage at an angle which could be adjusted in flight and fitted with separate, round edged, balanced elevators.  The triangular fin and its full, rounded unbalanced rudder were also broad. Both fin and rudder were ply skinned and their control surfaces fabric covered.  The rudder extended down to the keel and operated in a gap between the elevators. The night fighter had fixed conventional tailskid landing gear with mainwheels on a single 2 m (6 ft 7 in) track axle sprung to a pair of faired-in V-struts from the lower fuselage, assisted by a steel sprung tailskid.[3][5] The Villiers XXIV first flew in March 1928[2] and was soon undergoing tests at the military testing ground at Villacoublay, flown by Descamps.[5] The slats were particularly closely examined.  Fully loaded, the lowest flying speed was 101 km/h (63 mph) with slats shut, reduced to 70 km/h (43 mph) with them open.[2] A planned second machine was intended to have automatic, aerodynamically opened slats in place of the pilot operated ones on the first prototype.[3]  However, the CAN2 programme was dropped by the air force and development of the Villiers XXIV abandoned, so this second prototype was never built.[2] Data from NACA (November 1928)[3] unless indicated otherwiseGeneral characteristics Performance Armament and</t>
  </si>
  <si>
    <t>night fighter</t>
  </si>
  <si>
    <t>42 m2 (450 sq ft)</t>
  </si>
  <si>
    <t>1,469 kg (3,239 lb)</t>
  </si>
  <si>
    <t>2,219 kg (4,892 lb)</t>
  </si>
  <si>
    <t>1 × Lorraine 12Eb Courlis water-cooled W-12 engine, 340 kW (450 hp)</t>
  </si>
  <si>
    <t>212 km/h (132 mph, 114 kn) at sea level; 200 km/h (120 mph; 110 kn) at 5,000 m (16,000 ft)</t>
  </si>
  <si>
    <t>//upload.wikimedia.org/wikipedia/commons/thumb/9/93/Villiers_24_right_side_photo_NACA_Aircraft_Circular_No.87.jpg/300px-Villiers_24_right_side_photo_NACA_Aircraft_Circular_No.87.jpg</t>
  </si>
  <si>
    <t>https://en.wikipedia.org/night fighter</t>
  </si>
  <si>
    <t>3 hrs with normal tankage; provision for an extra tank to add 1 hr[4]</t>
  </si>
  <si>
    <t>upper wing R.A.F.31, lower wing Göttingen 436[4]</t>
  </si>
  <si>
    <t>13 m (42 ft 8 in)</t>
  </si>
  <si>
    <t>50 min to 6,000 m (20,000 ft)</t>
  </si>
  <si>
    <t>* 2x fixed forward firing 7.7 mm (0.303 in) Vickers machine guns[6]</t>
  </si>
  <si>
    <t>70 km/h (43 mph, 38 kn) with slots open, 101 km/h (63 mph; 55 kn) slots closed</t>
  </si>
  <si>
    <t>9.00 m (29 ft 6 in)</t>
  </si>
  <si>
    <t>Hirsch H.100</t>
  </si>
  <si>
    <t>The Hirsch or Hirsch-MAéRC H.100 is an experimental aircraft, built in France in the 1950s to test an aerodynamic gust suppression system. The system worked but was not further developed.[citation needed] René Hirsch had been working on aerodynamic methods that would stabilize an aircraft meeting a gust since 1936[1] and had set up a company to this end, Moyens aérodynamiques de regulation et de contrôle (MAéRC) (English: Aerodynamic means of regulation and control).[2]  Making its first flight on 15 June 1954,[2] the H.100 incorporated the results of his research[1] but was MAéRC's only aircraft.[2] Control systems apart, the H.100 was a fairly conventional twin engine, wooden aircraft, with a cantilever low wing of trapezoidal plan.  The fuselage was strikingly clean aerodynamically, with only gradual changes of cross-section from nose to tail.[1] Behind the pilot's transparency there were three starboard and two port side windows. The horizontal surfaces, mounted on top of the fuselage, had both a high aspect ratio and marked dihedral. Originally the vertical tail was rounded and quite small[1] but during development a large, straight tapered ventral fin was added.[2] The H.100 had a tall, rearward retracting  tricycle undercarriage. The main legs retracted into extensions of the engine fairings beyond the wing trailing edge.[1][2] Little detail about the stabilization system is recorded. It is known that the horizontal tail surfaces were hinged to allow the dihedral to change and that such motions were coupled to lift-changing flaps. Together, these stabilized pitch. The wing tips could rotate to control roll. The system was pneumatically powered and could be turned on and off in flight to test its efficiency.[3] On its first flight and for early tests, the H.100 was powered by two 71 kW (95 hp) Régnier 4EO four cylinder inverted air-cooled engines.[2] The aircraft was damaged in a take-off accident on 3 September 1955 and during a prolonged rebuild the Régnier's were replaced with much more powerful 127 kW (170 hp) Lycoming O-360 flat-four engines. It flew with these engines in 1962.[3] Test flights reportedly showed satisfactory results but, with investment lacking, nothing further resulted.[2] The H.100 made its last flight on 16 June 1971, having flown for a total of 130 hours. In that year it was donated to the Musée de l'Air et de l'Espace, at Le Bourget, Paris,[3] It remained on display there in 2009.[4] Data from Gaillard (1990) p.151[2]General characteristics Performance</t>
  </si>
  <si>
    <t>Anti-gust aerodynamic research</t>
  </si>
  <si>
    <t>Société MAéRC</t>
  </si>
  <si>
    <t>René Hirsch</t>
  </si>
  <si>
    <t>Three</t>
  </si>
  <si>
    <t>7.60 m (24 ft 11 in)</t>
  </si>
  <si>
    <t>8.60 m (28 ft 3 in)</t>
  </si>
  <si>
    <t>2.15 m (7 ft 1 in)</t>
  </si>
  <si>
    <t>8.5 m2 (91 sq ft)</t>
  </si>
  <si>
    <t>904 kg (1,993 lb)</t>
  </si>
  <si>
    <t>2 × Régnier 4EO 4-cylinder inverted air-cooled piston engine, 71 kW (95 hp)  each</t>
  </si>
  <si>
    <t>330 km/h (210 mph, 180 kn)</t>
  </si>
  <si>
    <t>1,750 km (1,090 mi, 940 nmi)</t>
  </si>
  <si>
    <t>6,100 m (20,000 ft)</t>
  </si>
  <si>
    <t>//upload.wikimedia.org/wikipedia/commons/thumb/4/4c/Hirsch_H-100_%28MAE%29.JPG/300px-Hirsch_H-100_%28MAE%29.JPG</t>
  </si>
  <si>
    <t>305 km/h (190 mph, 165 kn)</t>
  </si>
  <si>
    <t>1,319 kg (2,908 lb)</t>
  </si>
  <si>
    <t>General Electric X353-5</t>
  </si>
  <si>
    <t>The General Electric X353-5 was an unusual, high bypass ratio, liftfan system developed for the Ryan XV-5 Vertifan V/STOL research aircraft [1] (known earlier as the VZ-11[2]). Two General Electric J85-5 turbojets were used for propulsion in wing-borne flight. During lift, the exhaust from these turbojets was diverted through ducting to a pair of vertically mounted turbine/fan units buried in the aircraft wings (one in the starboard wing, the other in the port wing). These turbine/fan units were similar in concept to the aft fan units on the General Electric CJ805 -23,[citation needed] the main difference being that the turbine blades of the X353-5 were outboard of the fan, rather than inboard. Each engine supplied half the exhaust gas needed to drive each fan unit. A cross-over duct kept both fans turning uniformly in the event of either engine failing. The aircraft also had a smaller turbine/fan mounted in the aircraft nose, which was used to control pitch. This pitch fan was similar in design to the main fan units and utilised 10.5% of the gas generator exhaust gas flow. Beneath each fan was a series of spanwise exit louvres, ganged together, which were used to vector the fan thrust in lift mode. Effectively, the bypass ratio was 12.16:1 in lift mode.[citation needed] Related development   Related lists</t>
  </si>
  <si>
    <t>GE Aviation</t>
  </si>
  <si>
    <t>https://en.wikipedia.org/GE Aviation</t>
  </si>
  <si>
    <t>Liftfan</t>
  </si>
  <si>
    <t>Ryan XV-5 Vertifan</t>
  </si>
  <si>
    <t>https://en.wikipedia.org/Ryan XV-5 Vertifan</t>
  </si>
  <si>
    <t>Barber Snark</t>
  </si>
  <si>
    <t>The Barber Snark is a two-seater kit-plane, designed and built in New Zealand by Bill Barber.[1]  Only some five aircraft have been built. The Snark is a tricycle aircraft of composite construction.  Its glider-like cockpit accommodates a pilot and passenger in tandem, the passenger sitting behind and higher than the pilot. The centrally mounted shoulder-wing lies behind the pilot, who has unrestricted visibility. The 80 hp (60 kW) Suzuki engine is sited behind the cockpit, driving a pusher propeller.  Wing control surfaces on the third Snark were flaperons, while the fourth aircraft had conventional ailerons and flaps.[2]  Above the propeller, and aft of the cockpit is a slender boom to the empennage comprising a T-tail with a high-mounted tailplane. The Snark's tandem layout, its small frontal area, and its low wetted area mean that the aircraft has excellent performance, being able to cruise at over 110 knots despite having an engine output of only 80 bhp. The Snark received positive reviews in the UK and NZ press.  Former RNZAF Squadron Leader and aviation journalist Tim Cripps wrote in Pilot magazine, "this is the most enjoyable of the many aircraft I have flown - and that includes the Hunter".  Similarly, David Laing, a former WWII pilot who built the fourth Snark, declared it to be "one of the nicest planes I've ever flown".[1] Data from Treweek[1]General characteristics Performance</t>
  </si>
  <si>
    <t>New Zealand</t>
  </si>
  <si>
    <t>homebuilt</t>
  </si>
  <si>
    <t>https://en.wikipedia.org/homebuilt</t>
  </si>
  <si>
    <t>Bill Barber</t>
  </si>
  <si>
    <t>6.24 m (20 ft 6 in)</t>
  </si>
  <si>
    <t>9.3 m (30 ft 6 in)</t>
  </si>
  <si>
    <t>2.43 m (8 ft 0 in)</t>
  </si>
  <si>
    <t>331 kg (730 lb)</t>
  </si>
  <si>
    <t>1 × Suzuki G13 four stroke, 60 kW (80 hp)</t>
  </si>
  <si>
    <t>1,040 km (650 mi, 560 nmi)</t>
  </si>
  <si>
    <t>3,658 m (12,001 ft)</t>
  </si>
  <si>
    <t>7.12 m/s (1,402 ft/min)</t>
  </si>
  <si>
    <t>//upload.wikimedia.org/wikipedia/commons/thumb/e/e0/Condor_Scnark_HA3-B_%281%29.jpg/300px-Condor_Scnark_HA3-B_%281%29.jpg</t>
  </si>
  <si>
    <t>https://en.wikipedia.org/New Zealand</t>
  </si>
  <si>
    <t>Production discontinued</t>
  </si>
  <si>
    <t>55 litres (15 US gal) usable</t>
  </si>
  <si>
    <t>205 km/h (127 mph, 111 kn)</t>
  </si>
  <si>
    <t>61 km/h (38 mph, 33 kn) with flaps</t>
  </si>
  <si>
    <t>about 5</t>
  </si>
  <si>
    <t>Moyes Sonic</t>
  </si>
  <si>
    <t>The Moyes Sonic is an Australian high-wing, single-place, hang glider that was designed and produced by Moyes Delta Gliders of Botany, New South Wales. Now out of production, when it was available the aircraft was supplied complete and ready-to-fly.[1] The Sonic was designed as a beginner and intermediate glider with a 60% double surface wing and neutral static balance for improved maneuverability.[2] The aircraft is made from 7075-T6 aluminum tubing, with the double-surface wing covered in 4 oz Dacron sailcloth. The aircraft was produced in two models, the 165 and 190, designated by their wing area in square feet.[1][2] Data from Bertrand and manufacturer[1][3]General characteristics Performance</t>
  </si>
  <si>
    <t>10 m (32 ft 10 in)</t>
  </si>
  <si>
    <t>17.7 m2 (191 sq ft)</t>
  </si>
  <si>
    <t>29 kg (64 lb)</t>
  </si>
  <si>
    <t>138 kg (304 lb)</t>
  </si>
  <si>
    <t>72 km/h (45 mph, 39 kn)</t>
  </si>
  <si>
    <t>32 km/h (20 mph, 17 kn)</t>
  </si>
  <si>
    <t>23 km/h (14 mph, 12 kn)</t>
  </si>
  <si>
    <t>74 km/h (46 mph, 40 kn)</t>
  </si>
  <si>
    <t>Paratour SD</t>
  </si>
  <si>
    <t>The Paratour SD is a family of Canadian paramotors that was designed by Eric Dufour and produced by Paratour of Saint-Chrysostome, Quebec for powered paragliding. Now out of production, when it was available the series was supplied complete and ready-to-fly.[1] "SD" stands for "Safe &amp; Strong Design".[2] The SD series was designed to comply with the US FAR 103 Ultralight Vehicles rules as well as Canadian and European regulations. It features a paraglider-style wing, single-place accommodation and a single engine in pusher configuration with a reduction drive and a 100 to 125 cm (39 to 49 in) diameter two-bladed composite propeller, depending on the model. The fuel tank capacity is 10 litres (2.2 imp gal; 2.6 US gal).[1] As is the case with all paramotors, take-off and landing is accomplished by foot. Inflight steering is accomplished via handles that actuate the canopy brakes, creating roll and yaw.[1] Data from Bertrand[1]General characteristics</t>
  </si>
  <si>
    <t>Paratour</t>
  </si>
  <si>
    <t>https://en.wikipedia.org/Paratour</t>
  </si>
  <si>
    <t>Eric Dufour</t>
  </si>
  <si>
    <t>21.5 kg (47 lb)</t>
  </si>
  <si>
    <t>1 × Radne Raket 120 single cylinder, two-stroke, air-cooled aircraft engine, with a 3.8</t>
  </si>
  <si>
    <t>10 litres (2.2 imp gal; 2.6 US gal)</t>
  </si>
  <si>
    <t>2-bladed, 1.25 m (4 ft 1 in) diameter</t>
  </si>
  <si>
    <t>mid 2000s</t>
  </si>
  <si>
    <t>KB SAT SR-10</t>
  </si>
  <si>
    <t>The KB SAT SR-10 is a prototype Russian single-engine jet trainer aircraft, fitted with forward-swept wings. It first flew in 2015 and is being offered to the Russian Air Force and for export. The Russian design bureau KB SAT[1] (Sovremyenne Aviatsyonne Tekhnologii – Modern Aircraft Technologies) began work on a single-engine jet trainer and sport aircraft, the SR-10, in 2007, displaying a mockup at the MAKS airshow at Zhukovsky in  August 2009. The SR-10 is a mid-wing monoplane of all-composite construction, with a wing swept forward at an angle of 10 degrees. The crew of two sit in a tandem cockpit. It is powered by a single turbofan, with an Ivchenko AI-25V AI25TSR (modification of AI25TL) fitted in the prototype, but more modern Russian engines, such as the NPO Saturn AL-55 were proposed for production aircraft.[2] The SR-10 was offered to meet a 2014 requirement for a basic trainer for the Russian Air force, but was rejected in favour of the Yakovlev Yak-152, a piston-engined trainer. Despite this setback, KB SAT continued to develop the SR-10, proposing it as an intermediate trainer between the Yak-152 and the Yak-130 advanced jet trainer and for export. The first prototype SR-10 made its maiden flight on 25 December 2015.[2] In July 2017, KB SAT announced that it had developed an unmanned variant of the aircraft named the AR-10 Argument.[3][4] In September 2018, according to media reports, the Russian government failed to allocate funds to start production of SR-10 for the Russian Air Force and as a result KB SAT suspended all work on the project.[5] On September 19, 2020 SR-10 took part in the "Russian Aviation Race", held at the Oreshkovo airfield (Kaluga oblast)[6] Data from Russia's New Jet Trainer[2]General characteristics Performance   Aircraft of comparable role, configuration, and era</t>
  </si>
  <si>
    <t>Training aircraft</t>
  </si>
  <si>
    <t>Russia</t>
  </si>
  <si>
    <t>KB SAT, Aviaaggregat, Smolensk SmAZ, KTRV</t>
  </si>
  <si>
    <t>KB SAT[1]</t>
  </si>
  <si>
    <t>9.59 m (31 ft 6 in)</t>
  </si>
  <si>
    <t>3.55 m (11 ft 8 in)</t>
  </si>
  <si>
    <t>2,400 kg (5,291 lb)</t>
  </si>
  <si>
    <t>1 × Ivchenko AI-25V turbofan, 16.87 kN (3,790 lbf) thrust</t>
  </si>
  <si>
    <t>900 km/h (560 mph, 490 kn)</t>
  </si>
  <si>
    <t>1,500 km (930 mi, 810 nmi)</t>
  </si>
  <si>
    <t>6,000 m (20,000 ft)</t>
  </si>
  <si>
    <t>60 m/s (12,000 ft/min)</t>
  </si>
  <si>
    <t>//upload.wikimedia.org/wikipedia/commons/thumb/d/d8/SAT_SR-10_01_%28cropped%29.jpg/300px-SAT_SR-10_01_%28cropped%29.jpg</t>
  </si>
  <si>
    <t>520 km/h (320 mph, 280 kn)</t>
  </si>
  <si>
    <t>+10/−8</t>
  </si>
  <si>
    <t>2,700 kg (5,952 lb)</t>
  </si>
  <si>
    <t>PLA AFEU UAV</t>
  </si>
  <si>
    <t>PLA AFEU UAVs are Chinese UAVs developed by People's Liberation Army Air Force Engineering University, all of which are experimental aircraft. PLA AFEU fixed-wing micro air vehicle (MAV) is a MAV developed by a six-member competition team consists of PLA AFEU students. The team participated in the 2015 Future Flight Design competition (FFP 2015) held in Turkey,[1] and won first place.[2] The MAV is in conventional layout with high wing configuration and twin tail. Propulsion is provided by a two-blade propeller driven tractor engine mounted in the nose.[1] The primary design focus is on increasing reliability and ability to be deployed in adverse weather,[3] which resulted in the deployment sorties nearly ten times than that of the second-place winner of the competition.[3]   PLA AFEU Stroller (Man-Bu-Zhe or Manbuzhe, 漫步者) experimental UAV is a Chinese UAV developed by the PLA AFEU, and it is an UAV primarily intended for research on cyclogyro. Stroller made its first public debut on September 22, 2011 in Beijing at the first UAV design competition. According to one of the designers, Mr. Yu Hong-Ku (于宏坤), it took around four months from when the design first started to the first successful maiden flight on September 16, 2011. The aircraft was rushed into service in order to meet the deadline of the competition, and further refinement is planned based on trials to be conducted after the competition. Stroller UAV is capable of STOL due to its cyclogyro design.[4] Specification:[5] List of unmanned aerial vehicles of China  This article on an unmanned aerial vehicle is a stub. You can help Wikipedia by expanding it.</t>
  </si>
  <si>
    <t>PLA AFEU</t>
  </si>
  <si>
    <t>https://en.wikipedia.org/PLA AFEU</t>
  </si>
  <si>
    <t>Rohrbach Ro VII Robbe</t>
  </si>
  <si>
    <t>The Rohrbach Ro VII Robbe (English: Seal) was an all-metal, twin engine flying boat built in Germany in the 1920s. It could be adapted to commercial or military rôles. As the full company name (Rohrbach Metall-Flugzeugbau) makes clear, all Rohrbach aircraft were all-metal, including their duralumin skinning. The Robbe was a monoplane with a high wing described at the time as a semi-cantilever structure, meaning that there were no rigid wing struts but that it retained external bracing with flying wires to the wings from the lower fuselage. The wings were mounted with 5° of dihedral. In plan they were straight tapered, with unswept leading edges and blunt tips. Internally the wings were built around single box spars, assisted by leading edge and trailing edge boxes. The edge boxes also served as fuel tanks. At this time there were still doubts about the repairability of metal aircraft, so the Robbe's two-part wing was designed to be easy to inspect internally by the removal of the edge boxes and all parts were replaceable.  The wing skin was riveted to the ribs.[1] The hull was flat-sided and deep. Its underside had two steps; in front of the first the hull bottom was a hollow V in section and behind it a flat V. There was a little water rudder behind the rear step. Pilot and mechanic sat side by side in an open cockpit, with gunner's positions ahead of them and at the trailing edge.  Alternatively, the Robbe could be configured to carry four passengers, one in a forward cabin, two in a central one and one more in a rear cabin, or to carry goods or post. The hull was divided into seven watertight compartments to preserve buoyancy.[1] An unusual feature of each gunner's cockpit was a duralumin, telescopic mast. If, in an emergency the Robbe alighted without power, these could each be extended and a simple, triangular sail raised to reach safety.[2]  At the rear the tail was conventional, with a blunted rectangular fin and small unbalanced rudder. The high aspect ratio horizontal tail, again rectangular apart from blunted tips, was mounted well up the fin and strut-braced to the upper fuselage. Like the rudder, the elevators were unbalanced.[1] To keep them clear of the spray of take-off, each of the Robbe's two 170 kW (230 hp) BMW IV water-cooled six cylinder upright inline engines was mounted in pusher configuration high above the wings on vertical faired steel tube N-form struts, the forward inner one particularly sturdy, and with transverse V-strut bracing with its apex on the central, upper fuselage. The engines were cooled with radiators in the front of the engine cowling and behind shutters controlled from the cockpit. There was a reserve fuel tank above each engine.[1] The Robbe had upward tilted, stabilizing, chined floats at about one third span, each mounted on N-form struts and transversely braced with converging struts to the wing below the engine mountings. Each float was divided into three watertight compartments.[1] The first flight of the Robbe I, as the model described above became known, was in 1925.[3] By the following summer two had been built and were taking part in a seaplane contest on the Warnemünde, though they did not complete it.[2][4] In August 1926 the Robbe set at least four world speed records for aircraft carrying loads of 500 and 1,000 kg (1,100 and 2,200 lb) over distances of 100 and 500 km (62 and 311 mi);[5] two of these remained unbroken well into 1927.[6] A Robbe participated in a competition for a seaworthy reconnaissance flying boat in the Netherlands from 18 October until 21 October. It did not earn a contract.[citation needed] Rorhbach built a third Ro VII, the Robbe II.  Though the layout was the same as the Robbe I and some elements were common to both, the Robbe II was considerably larger and more powerful. It had a new, strongly straight tapered,  wing with sweep only on the leading edge[7] and a span of 21.5 m (70 ft 6 in). It was 15.2 m (49 ft 10 in) long and had a loaded weight of 5,050 kg (11,130 lb) in nine-seat passenger configuration.[8] Pilot and mechanic had a low glazed enclosed cockpit ahead of the wing leading edge.[7] Since the Robbe II was about 50% heavier than the earlier version it required more power. Construction began with the intention of fitting a pair of 260 kW (350 hp) BMW V water-cooled six-cylinder inline engines[8] but when completed it had a pair of BMW VI V-12s, each developing 450–520 kW (600–700 hp).[9] It flew for the first time in the last quarter of 1927 in passenger configuration, with four porthole style windows in the cabin walls.[7][8] Two military versions were proposed, a marine reconnaissance and anti-submarine aircraft and a conventional and torpedo bomber, both with three crew and machine guns or cannon; the loaded weight of the bomber was 5,550 kg (12,240 lb).[8] The Robbe II had a maximum speed of 220 km/h (140 mph) and alighted at 135 km/h (84 mph). Its range was about 17% lower and ceiling 5% lower than those of the earlier version.[9] Data from NACA Aircraft Circulars no.36, April 1927[1]General characteristics Performance</t>
  </si>
  <si>
    <t>Commercial transport or military reconnaissance aircraft</t>
  </si>
  <si>
    <t>Rohrbach Metall-Flugzeugbau</t>
  </si>
  <si>
    <t>https://en.wikipedia.org/Rohrbach Metall-Flugzeugbau</t>
  </si>
  <si>
    <t>13.2 m (43 ft 4 in)</t>
  </si>
  <si>
    <t>17.4 m (57 ft 1 in)</t>
  </si>
  <si>
    <t>5.5 m (18 ft 1 in) propellers running</t>
  </si>
  <si>
    <t>40 m2 (430 sq ft)</t>
  </si>
  <si>
    <t>2,000 kg (4,409 lb)</t>
  </si>
  <si>
    <t>3,360 kg (7,408 lb)</t>
  </si>
  <si>
    <t>2 × BMW IV water-cooled 6-cylinder inline engine, 170 kW (230 hp)  each</t>
  </si>
  <si>
    <t>210 km/h (130 mph, 110 kn) at 2,000 m (6,600 ft)</t>
  </si>
  <si>
    <t>1,200 km (750 mi, 650 nmi) at 180 km/h (110 mph)</t>
  </si>
  <si>
    <t>4,500 m (14,800 ft) service</t>
  </si>
  <si>
    <t>//upload.wikimedia.org/wikipedia/en/thumb/8/88/Rohrbach_Ro_VIII_Robbe.png/300px-Rohrbach_Ro_VIII_Robbe.png</t>
  </si>
  <si>
    <t>https://en.wikipedia.org/Commercial transport or military reconnaissance aircraft</t>
  </si>
  <si>
    <t>484 kg (1,067 lb)</t>
  </si>
  <si>
    <t>150 km/h (93 mph, 81 kn) [10]</t>
  </si>
  <si>
    <t>Four passengers</t>
  </si>
  <si>
    <t>116 km/h (72 mph)</t>
  </si>
  <si>
    <t>16 min to 3,000 m (9,800 ft)</t>
  </si>
  <si>
    <t>Sud Aviation SE-116 Voltigeur</t>
  </si>
  <si>
    <t>The twin turboprop Sud Aviation SE-116 Voltigeur of the late 1950s was a French army support aircraft capable of observation and ground attack operations. Three were built but no series production was undertaken. In 1958 France was in the middle of the Algerian War and felt a need for a counter-insurgency aircraft capable of observation, photography and ground support. This official programme led to three aircraft: the SIPA S.1100, the Sud Aviation SE-116 Voltigeur and, slightly later, the Dassault Spirale.[1][2] All three were propeller driven designs with twin engines. Orinally known as the Fonceur,[3] the Voltigeur was named after the French cavalry units specialising in skirmishes. It was a low wing cantilever monoplane. All its flying surfaces were straight tapered and square tipped; the vertical tail was tall and broad. The first prototype had 597 kW (800 hp) Wright Cyclone nine cylinder radial engines mounted ahead of the wing leading edges, with cowlings, largely above the wing, projecting beyond the trailing edge.  On the second prototype the Cyclones were replaced with 567 kW (760 hp) Turbomeca Bastan turboprops in much more slender cowlings on the top of the wings.  The Voltigeur had tricycle gear with main legs that retracted backwards into under-engine cowlings; the nose wheel retracted into the fuselage.[4] Each main leg carried a pair of wheels to assist with take-offs and landings on rough strips.[5] The Voltigeur had a conventional, multi-panel, glazed cabin and a glazed nose offering good ground views.[4] Behind the wing trailing edge the fuselage carried perforated airbrakes[5] for ground attacks; the Voltigeur was fitted with two 20 mm (0.79 in) guns and six underwing attachment points for bombs and rockets.[4] The piston-engined Voltigeur was first flown on 5 June 1958 by Roger Carpentier who also took the turboprop version on its first flight on 15 December 1958. A few weeks later, on 9 January 1959, Carpentier, Yves Crouzet and Marcel Hochet were killed when tail flutter developed in a high-speed run.[3]  After tests of the SE-117 first pre-production machine, conducted in collaboration with Marcel Dassault, the Voltigeur programme was abandoned along with a projected fast transport, the SE-118 Diplomate.[4] Data from Gaillard (1990).[4] Data from Jane's All the World's Aircraft 1959-60.[3]General characteristics Performance Armament</t>
  </si>
  <si>
    <t>Army observation and support aircraft</t>
  </si>
  <si>
    <t>Sud Aviation</t>
  </si>
  <si>
    <t>https://en.wikipedia.org/Sud Aviation</t>
  </si>
  <si>
    <t>12.28 m (40 ft 3 in)</t>
  </si>
  <si>
    <t>17.97 m (58 ft 11 in)</t>
  </si>
  <si>
    <t>5.71 m (18 ft 9 in)</t>
  </si>
  <si>
    <t>41.7 m2 (449 sq ft) [4]</t>
  </si>
  <si>
    <t>4,200 kg (9,259 lb)</t>
  </si>
  <si>
    <t>2 × Turbomeca Bastan turboprop, 570 kW (760 hp)  each</t>
  </si>
  <si>
    <t>455 km/h (283 mph, 246 kn)</t>
  </si>
  <si>
    <t>//upload.wikimedia.org/wikipedia/commons/thumb/9/90/SE-116_Voltigeur_in_flight_c1959.jpg/300px-SE-116_Voltigeur_in_flight_c1959.jpg</t>
  </si>
  <si>
    <t>3-bladed</t>
  </si>
  <si>
    <t>3 (all variants)</t>
  </si>
  <si>
    <t>{'SE-116 Voltigeur': 'rst two aircraft, the first with Wright Cyclones radials and the second with Turbomeca Bastan turboprops.', 'SE-117 Voltigeur': 'ird airframe and first production aircraft, Turbomeca Bastan powered, tested in collaboration with Marcel Dassault.', 'SE-118 Diplomate': 'ojected fast transport, abandoned.'}</t>
  </si>
  <si>
    <t>6,520 kg (14,374 lb) with external stores, 5,635 kg (12,423 lb) without stores</t>
  </si>
  <si>
    <t>2× DEFA 522 30 mm (1.18 in) cannon</t>
  </si>
  <si>
    <t>200–290 m (660–950 ft)</t>
  </si>
  <si>
    <t>200 m (660 ft)</t>
  </si>
  <si>
    <t>6 under wing for bombs, rockets and other stores</t>
  </si>
  <si>
    <t>Zerbe Air Sedan</t>
  </si>
  <si>
    <t>The Zerbe Air Sedan was an American single engine quadruplane passenger aircraft project started by Professor James Slough Zerbe in 1918. The machine made one flight in 1921, was damaged during landing, and was subsequently abandoned.[1] In 1918 Zerbe arrived in Fayetteville to begin work on passenger aircraft for local businessmen. The aircraft, completed in 1919, was a positive staggered equal span quadruplane with double cambered[2] louvered main wings. Equipped with no tailplane or ailerons, the machine was controlled using "ganged" or linkage connected wings with variable-incidence.[2] The passenger cabin was made of plywood and fully enclosed with wide stance landing gear attached.[2] A French World War I surplus powerplant was used, and has been reported to be a 90 hp (67 kW) LeRhône or 100 hp (75 kW) Gnôme[2] rotary engine, but evidence suggests it was in fact a Le Rhône 9J of 110 hp (82 kW).[citation needed] The Air Sedan was piloted by Tom Flannery on its first and only flight in 1919 at the Washington County Fairgrounds in Fayetteville, Arkansas. The aircraft took off and quickly climbed to 100 ft (30 m), flew approximately 1000 ft (300 m) then was significantly damaged during landing.[3] One report states: "After that Zerbe left town never to be heard of or seen again. (He died in New York in 1921). What happened to the abandoned damaged plane is unknown."[3] https://www.newspapers.com/clip/15572779/batesville_daily_guard/</t>
  </si>
  <si>
    <t>Passenger</t>
  </si>
  <si>
    <t>Professor James Slough Zerbe</t>
  </si>
  <si>
    <t>//upload.wikimedia.org/wikipedia/commons/thumb/0/0a/Zerbe_air_sedan_1.jpg/300px-Zerbe_air_sedan_1.jpg</t>
  </si>
  <si>
    <t>Abandoned project</t>
  </si>
  <si>
    <t>McDonnell Douglas High Speed Civil Transport</t>
  </si>
  <si>
    <t>The McDonnell Douglas High Speed Civil Transport was a proposed supersonic airliner design that was the subject of internal and NASA contract studies in 1996. It was envisioned at a time when the company was struggling to compete in the commercial aviation market and would ultimately never progress beyond a paper design.[1] Design goals envisioned a 300-passenger capacity with a 5,000 nautical mile range. Projected cruise speed was between Mach 1.6 and Mach 2.4.[1] McDonnell Douglas conducted internal and NASA contract studies to determine the market  requirements for a High Speed Civil Transport (HSCT) and resolve environmental, economic and technical issues. "McDD is participating in an international study group exploring the HSCT concept, with Aerospatiale, Boeing, British Aerospace Daimler-Benz, Japan Aircraft Industries, Alenia and Tupolev."[1] A first flight was envisioned for 2003, with certification projected in 2005–2006. A market for between 500 and 1,500 was also forecast. In the event, none were built and the aircraft remained a paper project. A conceptual design illustration showed a long narrow fuselage with four podded engines under sharply raked fixed delta wings mounted low at mid-fuselage and a swept cruciform tail, looking not unlike the cancelled Boeing 2707.[1]</t>
  </si>
  <si>
    <t>Supersonic airliner</t>
  </si>
  <si>
    <t>McDonnell Douglas</t>
  </si>
  <si>
    <t>https://en.wikipedia.org/McDonnell Douglas</t>
  </si>
  <si>
    <t>https://en.wikipedia.org/Supersonic airliner</t>
  </si>
  <si>
    <t>Proposed only</t>
  </si>
  <si>
    <t>None</t>
  </si>
  <si>
    <t>Airtime Explorer</t>
  </si>
  <si>
    <t>The Airtime Explorer is an Australian powered hang glider harness that was designed and produced by Airtime Products of Airlie Beach, Queensland. Now out of production, when it was available, it was supplied assembled.[1] When combined with a cable-braced hang glider-style wing, the single-engine pusher configuration Explorer features weight-shift controls, foot-launching and landing.[1] The powered harness is mated to a standard hang glider wing. The wing is supported by a single tube-type king post and uses an "A" frame control bar. The engine is a two-stroke, single cylinder Radne Raket 120 of 14 hp (10 kW), and fitted with a 3.5:1 ratio reduction drive. The nylon harness mounts the engine and 5 litres (1.1 imp gal; 1.3 US gal), or optionally 10 litres (2.2 imp gal; 2.6 US gal) fuel tank. Dual retractable skids are provided to protect the propeller during take-off and landing. Electric starting and a carbon fiber folding 135 cm (53 in) propeller are standard features.[1] Data from Bertrand[1]General characteristics</t>
  </si>
  <si>
    <t>Powered hang glider harness</t>
  </si>
  <si>
    <t>23 kg (51 lb) (harness, engine, propeller only)</t>
  </si>
  <si>
    <t>1 × Radne Raket 120 single cylinder, two-stroke, air-cooled aircraft engine with a 3.5</t>
  </si>
  <si>
    <t>https://en.wikipedia.org/Powered hang glider harness</t>
  </si>
  <si>
    <t>5 litres (1.1 imp gal; 1.3 US gal) or optionally 10 litres (2.2 imp gal; 2.6 US gal)</t>
  </si>
  <si>
    <t>2-bladed folding, 1.35 m (4 ft 5 in) diameter</t>
  </si>
  <si>
    <t>Moyes Max</t>
  </si>
  <si>
    <t>The Moyes Max is an Australian high-wing, single-place, hang glider that was designed and produced by Moyes Delta Gliders of Botany, New South Wales in the mid-2000s. Now out of production, when it was available the aircraft was supplied complete and ready-to-fly.[1] The Max was developed as an intermediate-level hang glider, incorporating a variable geometry system.[2] The Max is made from aluminum tubing, with the 70% double-surface wing covered in Dacron sailcloth. Available in only one size, the Max 157, its 9.82 m (32.2 ft) span wing is cable braced from a single kingpost. The nose angle is 125°, wing area is 14.5 m2 (156 sq ft) and the aspect ratio is 6.6:1. Pilot hook-in weight range is 70 to 110 kg (154 to 243 lb).[1][3] Data from Bertrand and manufacturer[1][3]General characteristics</t>
  </si>
  <si>
    <t>9.82 m (32 ft 3 in)</t>
  </si>
  <si>
    <t>14.5 m2 (156 sq ft)</t>
  </si>
  <si>
    <t>30 kg (66 lb)</t>
  </si>
  <si>
    <t>140 kg (309 lb)</t>
  </si>
  <si>
    <t>Spring WS202 Sprint</t>
  </si>
  <si>
    <t>The Spring WS202 Sprint was a Canadian homebuilt aircraft that was designed and produced by William J. Spring of Burlington, Ontario, introduced in 1996. The aircraft was supplied in the form of plans for amateur construction.[1][2] The WS202 Sprint featured a cantilever low-wing, a two-seats-in-side-by-side configuration enclosed cockpit under a bubble canopy, fixed tricycle landing gear or conventional landing gear and a single engine in tractor configuration.[1] The aircraft was made from sheet aluminum. Its 27.0 ft (8.2 m) span wing, mounted flaps and had a wing area of 130 sq ft (12 m2). The cabin width was 45 in (110 cm). The design power range was 65 to 100 hp (48 to 75 kW) and the engine used in the prototype was a 65 hp (48 kW) Subaru EA81 automotive conversion powerplant.[1] The aircraft was designed to be constructed from plans and emphasized economy. The designer claimed it could be constructed for US$5000 in 1996, including a second hand Subaru engine. It was designed to be easy to convert between tricycle and conventional landing gear.[1] The aircraft had a typical empty weight of 670 lb (300 kg) and a gross weight of 1,150 lb (520 kg), giving a useful load of 480 lb (220 kg). With full fuel of 14 U.S. gallons (53 L; 12 imp gal) the payload for the pilot, passenger and baggage was 396 lb (180 kg).[1] The standard day, sea level, no wind, take off and landing roll with a 65 hp (48 kW) engine was 500 ft (152 m).[1] The manufacturer estimated the construction time from the supplied plans as 1500 hours.[1] The prototype was displayed at AirVenture in Oshkosh, Wisconsin in 1996.[3] By 1998 the designer reported that one aircraft had been completed and was flying.[1] In April 2015 one example had been registered with Transport Canada to the designer, William J. Spring, although its registration was cancelled on 13 February 2013.[2] It is unlikely that the aircraft exists any more. Data from AeroCrafter[1]General characteristics Performance</t>
  </si>
  <si>
    <t>William J. Spring</t>
  </si>
  <si>
    <t>19 ft 0 in (5.79 m)</t>
  </si>
  <si>
    <t>27 ft 0 in (8.23 m)</t>
  </si>
  <si>
    <t>130 sq ft (12 m2)</t>
  </si>
  <si>
    <t>670 lb (304 kg)</t>
  </si>
  <si>
    <t>1,150 lb (522 kg)</t>
  </si>
  <si>
    <t>1 × Subaru EA81 four cylinder, air-cooled, four stroke automotive conversion engine, 65 hp (48 kW)</t>
  </si>
  <si>
    <t>400 mi (640 km, 350 nmi)</t>
  </si>
  <si>
    <t>10,000 ft (3,000 m)</t>
  </si>
  <si>
    <t>500 ft/min (2.5 m/s)</t>
  </si>
  <si>
    <t>Production completed (1996)</t>
  </si>
  <si>
    <t>14 U.S. gallons (53 L; 12 imp gal)</t>
  </si>
  <si>
    <t>2-bladed wooden, fixed pitch</t>
  </si>
  <si>
    <t>105 mph (169 km/h, 91 kn)</t>
  </si>
  <si>
    <t>37 mph (60 km/h, 32 kn) flaps down</t>
  </si>
  <si>
    <t>8.8 lb/sq ft (43 kg/m2)</t>
  </si>
  <si>
    <t>One</t>
  </si>
  <si>
    <t>150 mph (240 km/h, 130 kn)</t>
  </si>
  <si>
    <t>The Sundog Two-Seater is a Canadian powered parachute that was designed and produced by Sundog Powerchutes of Sparwood, British Columbia and later Pierceland, Saskatchewan. Now out of production, when it was available the aircraft was supplied as a complete ready-to-fly-aircraft.[1][2][3] The aircraft was introduced in 2002 and production ended when the company went out of business in 2014.[4] The Two-Seater was designed to comply with the Canadian Basic Ultra-Light Aeroplane rules, but also fit the Fédération Aéronautique Internationale microlight category, including the category's maximum gross weight of 450 kg (992 lb). The aircraft has a maximum gross weight of 374 kg (825 lb). It features a 500 sq ft (46 m2) Apco 500 parachute-style wing, two-seats-in-side-by-side configuration, tricycle landing gear and a single 64 hp (48 kW) Rotax 582 two-stroke engine in pusher configuration. The 60 hp (45 kW) HKS 700E four-stroke engine was a factory option.[1][2] The aircraft carriage is built from bolted 6061-T6 aluminium, stainless steel fittings and aircraft bolts. In flight steering is accomplished via foot pedals that actuate the canopy brakes, creating roll and yaw. On the ground the aircraft has lever-controlled nosewheel steering. The main landing gear incorporates spring rod suspension. The occupants are protected by a series of circular aluminium tubes in the event of a roll-over.[1][2] The aircraft has an empty weight of 336 lb (152 kg) and a gross weight of 825 lb (374 kg), giving a useful load of 489 lb (222 kg). With full fuel of 10 U.S. gallons (38 L; 8.3 imp gal) the payload for crew and baggage is 429 lb (195 kg).[1][2] The company also supplied custom trailers for towing the aircraft behind an automobile.[2] In  September 2015 three examples were registered with Transport Canada and three were registered in the America with the Federal Aviation Administration.[5][6] Reviewing the aircraft in 2003 Jean-Pierre le Camus said, "this side by side Canadian machine has a lot of character".[1] Data from Bertrand and manufacturer[1][2]General characteristics Performance</t>
  </si>
  <si>
    <t>336 lb (152 kg)</t>
  </si>
  <si>
    <t>825 lb (374 kg)</t>
  </si>
  <si>
    <t>1 × Rotax 582 twin cylinder, two-stroke, liquid-cooled aircraft engine, 64 hp (48 kW)</t>
  </si>
  <si>
    <t>10 U.S. gallons (38 L; 8.3 imp gal)</t>
  </si>
  <si>
    <t>1.7 lb/sq ft (8.3 kg/m2)</t>
  </si>
  <si>
    <t>At least six</t>
  </si>
  <si>
    <t>https://en.wikipedia.org/Sundog One-Seater</t>
  </si>
  <si>
    <t>Wombat Gyrocopters Wombat</t>
  </si>
  <si>
    <t>The Wombat Gyrocopters Wombat, sometimes called a Julian Wombat, is a British autogyro that was designed by Chris Julian and produced by Wombat Gyrocopters of St Columb, Cornwall, introduced in 1991. Now out of production, when it was available the aircraft was supplied as a kit for amateur construction.[1] Julian was known as a motorcycle speedway racer. He decided to design his own autogyro and on 4 November 1991 the CAA issued the Wombat a restricted Permit to Test. It was test flown at the St Merryn airfield in Cornwall. In May 1997, when Julian was 60 years old, he was killed in the crash of a different model gyroglider at the Kemble airfield.[2] After Julian's death the Wombat design rights passed to former helicopter pilot Mark Harrisson in July 2000. Harrisson had intended to put the aircraft back into production, but in 2013 instead donated the prototype to The Helicopter Museum in Weston-super-Mare, where it arrived on 9 July 2013.[2][3][4] The Wombat was designed to comply with the British Amateur-built aircraft rules. It features a single main rotor, a single-seat semi-enclosed cockpit with a cockpit fairing and windshield, tricycle landing gear, plus a tail caster and a twin cylinder, air-cooled, two-stroke, single-ignition 64 hp (48 kW) Rotax 532 engine in pusher configuration.[1] The aircraft fuselage is made from bolted-together aluminum tubing. Its two-bladed Dragon Wings aluminium rotor has a diameter of 22.83 ft (6.96 m), including a 2.53 ft (0.77 m) hub bar. Rotor cyclic control is via torque-tubes. The rudder is constructed with a composite skin over a foam core. The aircraft lacks a horizontal stabilizer.[1][2] The Wombat has a typical empty weight of 352 lb (160 kg). The standard day, sea level, no wind, take off with a 64 hp (48 kW) engine is 300 ft (91 m) and the landing roll is 3 ft (1 m).[1] In April 2015 no examples were registered in the United Kingdom with the CAA. Although a total of four had been registered at one time, all have had their registrations cancelled by the CAA.[5] Data from Purdy and Friends of The Helicopter Museum[1][2]General characteristics Performance</t>
  </si>
  <si>
    <t>Wombat Gyrocopters</t>
  </si>
  <si>
    <t>https://en.wikipedia.org/Wombat Gyrocopters</t>
  </si>
  <si>
    <t>Chris Julian</t>
  </si>
  <si>
    <t>https://en.wikipedia.org/Chris Julian</t>
  </si>
  <si>
    <t>12 ft 4 in (3.76 m)</t>
  </si>
  <si>
    <t>352 lb (160 kg)</t>
  </si>
  <si>
    <t>1 × Rotax 532 twin cylinder, liquid-cooled, two stroke aircraft engine, 64 hp (48 kW)</t>
  </si>
  <si>
    <t>87 mph (140 km/h, 76 kn)</t>
  </si>
  <si>
    <t>190 mi (310 km, 170 nmi)</t>
  </si>
  <si>
    <t>1,000 ft/min (5.1 m/s)</t>
  </si>
  <si>
    <t>Production completed (1997)</t>
  </si>
  <si>
    <t>3-bladed GSC Systems wooden-bladed, ground adjustable</t>
  </si>
  <si>
    <t>At least four</t>
  </si>
  <si>
    <t>22.83 ft (6.96 m)</t>
  </si>
  <si>
    <t>409 sq ft (38.0 m2)</t>
  </si>
  <si>
    <t>LAPAN LSU-02</t>
  </si>
  <si>
    <t>The LAPAN LSU-02 (LAPAN Surveillance UAV-02) is an unmanned aerial vehicle (UAV) developed by the Lembaga Penelitian dan Penerbangan Nasional (LAPAN) of Indonesia. It was developed in 2012 for both civilian and military purposes. The Indonesian military classifies it as a tactical UAV because of its ability to fly over long ranges (300 km, theoretically 450 km) for its size. It broke an Indonesian record for longest ranged UAV built locally. The LSU-02 was used in the 2013 Indonesian Army joint exercise in the Java Sea, launched from the helicopter deck of KRI Diponegoro 365. The mission was to provide target surveillance for an Exocet MM40 missile. The aircraft can loiter autonomously near its target, with average speed of 70 km/h. In this exercise, the UAV flew for 2 hours and 45 minutes, covering about 200 km.[1] In 2016, an LSU-02 was used to photograph 300 km of the coastline south of Java Island, as part of a data collection project to update mapping of the territorial coastline of Indonesia. The LSU-02 photographed Java's southern coastline, starting from Parangtritis, Yogyakarta, to Popoh Beach, Trenggalek, East Java. Photographing continued on Pacitan beach, East Java on its 100 km coastline.[2] Data from Manufacturer[3]General characteristics Performance</t>
  </si>
  <si>
    <t>Surveillance UAV</t>
  </si>
  <si>
    <t>Indonesia</t>
  </si>
  <si>
    <t>LAPAN (Lembaga Penelitian dan Penerbangan Nasional - National Institute of Aeronautics and Space)</t>
  </si>
  <si>
    <t>https://en.wikipedia.org/LAPAN (Lembaga Penelitian dan Penerbangan Nasional - National Institute of Aeronautics and Space)</t>
  </si>
  <si>
    <t>1.7 m (5 ft 7 in)</t>
  </si>
  <si>
    <t>2.4 m (7 ft 10 in)</t>
  </si>
  <si>
    <t>15 kg (33 lb)</t>
  </si>
  <si>
    <t>100 km/h (62 mph, 54 kn)</t>
  </si>
  <si>
    <t>450 km (280 mi, 240 nmi)</t>
  </si>
  <si>
    <t>3,000 m (9,800 ft)</t>
  </si>
  <si>
    <t>//upload.wikimedia.org/wikipedia/commons/thumb/b/b1/Lapan_website_LSU-02.jpg/300px-Lapan_website_LSU-02.jpg</t>
  </si>
  <si>
    <t>https://en.wikipedia.org/Indonesia</t>
  </si>
  <si>
    <t>5 l (1.3 US gal; 1.1 imp gal)</t>
  </si>
  <si>
    <t>3 kg (6.6 lb)</t>
  </si>
  <si>
    <t>5 hours</t>
  </si>
  <si>
    <t>Indonesian Armed Forces</t>
  </si>
  <si>
    <t>2012-present</t>
  </si>
  <si>
    <t>18 kg (40 lb)</t>
  </si>
  <si>
    <t>https://en.wikipedia.org/Indonesian Armed Forces</t>
  </si>
  <si>
    <t>Latham Trimotor</t>
  </si>
  <si>
    <t>The Latham Trimotor was a large French trimotor biplane built just after World War I and used in small numbers by the French Navy. The Latham Trimotor (its Latham type number is not known) was a large biplane, with unequal span, blunted rectanglar plan wings with high aspect ratio for the time. The wings were built around a pair of spars constructed from spruce and poplar plywood. They were fabric covered and in three parts, a central section attached to the upper hull and two outer sections divided into two bays with three vertical pairs of parallel interplane struts, the innermost at the junction with the central section.  The upper wing centre section was supported over the fuselage by a transverse inverted V-strut to the forward longeron and by two vertical struts to the rear longeron.  Outboard, the overhangs of the upper wing were supported by outward leaning pairs of struts from the feet of the outer interplane pairs; below these points small, flat bottomed floats which provided lateral stability on water were mounted.    Its ailerons were balanced and mounted only on the upper wing; they were short, reaching outwards from the outer interplane struts.[1][2] All three 250 kW (340 hp) Panhard-Levassor 12Cb V-12 engines were mounted midway between the wings in the central section on steel frames. The outer two were in tractor configuration and the central one, mounted above the fuselage, was a pusher. They had rectangular radiators in front of them.  Each drove a four blade propeller. In order for the central propeller to clear the fuselage the central engine was mounted higher than the others and the chord of the upper wing reduced to provide a trailing edge cut-away for propeller clearance.  Their three 530 l (120 imp gal; 140 US gal) fuel tanks were in the fuselage forward and aft of the space for bombs, passengers or cargo; fuel was pumped from these to a feeder tank in the upper wing so that the engines could be gravity fed.[1][2] The hull of the Trimotor was ash framed and covered with poplar or birch plywood. The forward planing hull had soft chine, ending at a single, shallow step under the wings. Ii was divided internally into seven inter-accessible compartments.  The first held a machine gunner's post in the extreme nose and the second a side-by-side open pilot's cockpit with dual controls midway between the nose and the leading edge of the wing. The flight engineer shared the third compartment with the two forward fuel tanks, with access through a dorsal hatch and lit by a porthole in the roof. The fourth and fifth compartments housed useful load and fuel respectively. In the more slender fuselage aft of the step the sixth compartment was empty but in the seventh housed the dorsal gunner's cockpit and the radio operator's cabin, lit by side portholes.[1] The hull became slender towards the rear and curved upwards to support a biplane, constant chord horizontal tail with balanced elevators on its upper and lower planes. The lower elevator was in two parts with a central V-shaped cut-out.  Between the planes were three fins, each carrying a rudder; the outer pair were trapezoidal in shape to allow elevator movement but the central one was rounded and deeper, moving in the elevator cut-out.[1] The date of the Trimotor's first flight is not known.  Though a contemporary report in August 1920[3] noting the satisfactory completion of tests at the Latham factory at Caudebec-en-Caux and describing it as the new "High Seas" flying boat suggests a date around the spring of 1920, a modern account gives 1919.[2] Four Trimotors were ordered by the Marine française.[1][2] When the first was tested the Navy complained that alighting contact was very hard and so Latham revised the planing surface, giving it harder chine (a steeper V) and used this on the other three Naval Trimotors, giving then gentle landing characteristics.  They could carry four "large" bombs".[1] The Latham HB.5 of 1921 was intended as a civil development, similar but not identical in detail and powered by four, rather than three, slightly less powerful engines whilst maintaining the total power of 750 kW (1,000 hp).[1] No civil sales were made but ten were bought for military use.[4] Data from L'Aéronautique, November 1920[1]General characteristics Performance Armament</t>
  </si>
  <si>
    <t>Military trimotor flying boat</t>
  </si>
  <si>
    <t>Latham et Cie</t>
  </si>
  <si>
    <t>18.20 m (59 ft 9 in)</t>
  </si>
  <si>
    <t>6 m (19 ft 8 in)</t>
  </si>
  <si>
    <t>180 m2 (1,900 sq ft)</t>
  </si>
  <si>
    <t>470 kg (1,036 lb)</t>
  </si>
  <si>
    <t>7,200 kg (15,873 lb)</t>
  </si>
  <si>
    <t>3 × Panhard-Levassor 12Cb[2] water-cooled V-12, 250 kW (340 hp)  each</t>
  </si>
  <si>
    <t>150 km/h (93 mph, 81 kn) at 500 m (1,600 ft)</t>
  </si>
  <si>
    <t>950 km (590 mi, 510 nmi) at cruising speed</t>
  </si>
  <si>
    <t>https://en.wikipedia.org/Military trimotor flying boat</t>
  </si>
  <si>
    <t>1,590 l (350 imp gal; 420 US gal)</t>
  </si>
  <si>
    <t>4-bladed</t>
  </si>
  <si>
    <t>Marine française (French Navy air service)</t>
  </si>
  <si>
    <t>9.1 upper wing, 6.9 lower wing</t>
  </si>
  <si>
    <t>https://en.wikipedia.org/Marine française (French Navy air service)</t>
  </si>
  <si>
    <t>31.70 m (104 ft 0 in)</t>
  </si>
  <si>
    <t>19 min to 2,000 m (6,600 ft)</t>
  </si>
  <si>
    <t>Machine guns in nose and dorsal positions</t>
  </si>
  <si>
    <t>Latham HB.5</t>
  </si>
  <si>
    <t>https://en.wikipedia.org/Latham HB.5</t>
  </si>
  <si>
    <t>24 m (78 ft 9 in)</t>
  </si>
  <si>
    <t>220 m (720 ft); 25 sec</t>
  </si>
  <si>
    <t>Supermarine Type 324</t>
  </si>
  <si>
    <t>The Supermarine Type 324 and Type 325 were British two-engined fighter designs proposed as the replacement for the Supermarine Spitfire and Hawker Hurricane. Neither of them nor a revised design - the Type 327 - to carry cannon was accepted for development and production. As an aircraft to succeed the Hurricane and Spitfire then entering service, Air Ministry specification F.18/37 required a 400+ mph (at 15,000 ft) fighter with twelve .303 inch machine gun armament. Hawker Aircraft submitted a single seat, single engine design with two possible engines, the Hawker Tornado powered by the Rolls-Royce Vulture and the Hawker Typhoon, with Napier Sabre engine. Gloster submitted two similar twin-boom designs with 12 Browning machine guns in the nose and a pusher Sabre engine as well as an adaptation of  their proposal to F.9/37 with nose-mounted armament. Bristol's design was one airframe offered with three alternative engines. In 1938 Supermarine submitted brochures describing the Type 324 (under the company specification No.458) along with the Type 325. Both were compact twin-engine designs - one tractor and one pusher - with either Rolls-Royce Merlin or Bristol Taurus engines. Hawker's designs - which Sydney Camm had been working on since April 1937 - were accepted and prototypes of each ordered. The Type 324 was a low-wing, twin-engined monoplane featuring the elliptical wing shape of the Spitfire, with retractable tricycle undercarriage. Twin engines were expected to give a maximum speed of 450 mph maximum. In addition, the twin layout gave the usual advantages of torque cancellation, improved pilot view, tricycle landing gear, performance, improved take-off performance and allowed the use of the proven Merlin engine. The structure of the aircraft was Alclad aluminium alloy. The wing was designed in sections, so that alternative engines (Taurus) or armament could be accommodated. Fowler flaps were fitted for take-off/landing. Spoiler flaps were fitted to improve performance. A number of armament types were considered. The main was 12 Browning in two packs of six in each wing outer section; these could be removed complete with ammunition to allow rapid rearming and servicing of the weapons. When the Air Ministry felt progress on the Westland Whirlwind cannon-armed fighter was too slow, they asked for the F.18/37 tenders to be revised with 20mm cannon armament. Supermarine dropped the pusher design and proposed a six-cannon fighter as the Type 327. The Ministry did not feel its advantages outweighed other considerations, and that the Whirlwind - or the adaption of the Bristol Beaufort - would enter service before Supermarine's design could. Rolls-Royce Merlin Max speed: 450 mph Cruise speed at 15000 ft: 195 mph Span   41 ft x 40 ft Root Chord 9mm x 9 ft Mean Chord 7.08mm x 7.08 ft Length 31.5 ft x 33.5 ft Height 10.2 ft x 9.75 ft</t>
  </si>
  <si>
    <t>Supermarine</t>
  </si>
  <si>
    <t>https://en.wikipedia.org/Supermarine</t>
  </si>
  <si>
    <t>https://en.wikipedia.org/Fighter</t>
  </si>
  <si>
    <t>proposed design not accepted</t>
  </si>
  <si>
    <t>Villiers VIII</t>
  </si>
  <si>
    <t>The Villiers VIII or 8amC1 was a French shipboard fighter capable of alighting on water. After competitive tests, it did not receive a production order. In 1924, Villiers had had some success with their Villiers II or Type 2amC2, a two-seat shipboard fighter with a boat-like fuselage underside which enabled it to put down on the sea in an emergency. The 1926 single seat Type 8amC1 had the same ability.[1] It had a rectangular plan, parasol wing braced from the lower fuselage with pairs of parallel struts on each side which met the wing at about two-thirds span. About halfway up these struts lighter jury struts ran to the edge of the wing centre section, meeting short cabane struts from the upper fuselage. The wing had a wooden structure with fabric covering and carried full span ailerons.[1] The Type VIII's fuselage also had a wooden structure but was plywood covered. It had an unstepped planing bottom and was divided into several watertight compartments to keep the aircraft afloat even with fuselage damage. In an emergency over water the land undercarriage was jettisoned and the aircraft stabilised by a planing float on each side, mounted on the wing struts at the lower end of the jury struts. The land wheels were on a single axle, sprung from the cross-member of a frame formed by longitudinal V-struts from the lower fuselage and a transverse V from the same points to the centre of the cross-member.  The  pilot's open cockpit was under a wing trailing edge cut-out and was provided with a small, streamlined head-rest.  He controlled two fixed 7.7 mm (0.303 in) synchronised machine guns firing through the propeller disc.[1] Its tail unit was conventional, with a broad chord, clipped triangular tailplane mounted on top of the fuselage and fitted with separate, round edged, balanced elevators.  The triangular fin and its full, rounded unbalanced rudder were also broad, the rudder extending down to the keel and operated in a gap between the elevators.[1] The exact date of the Type VIII's first flight is not known but it was evaluated in military trials late in 1926 at Saint-Raphaël as the Vil 8amC1. The military preferred its competitor, the Lévy-Biche LB 2amC1, and development of the Type VIII ended.[1] Data from Green and Swanborough (1994) p.582[1]General characteristics Performance Armament</t>
  </si>
  <si>
    <t>Single seat marine fighter</t>
  </si>
  <si>
    <t>8.39 m (27 ft 6 in)</t>
  </si>
  <si>
    <t>11.72 m (38 ft 5 in)</t>
  </si>
  <si>
    <t>2.78 m (9 ft 1 in)</t>
  </si>
  <si>
    <t>27.8 m2 (299 sq ft)</t>
  </si>
  <si>
    <t>1,115 kg (2,458 lb)</t>
  </si>
  <si>
    <t>1,550 kg (3,417 lb)</t>
  </si>
  <si>
    <t>1 × Hispano-Suiza 8Fb water cooled V-8, 220 kW (300 hp)</t>
  </si>
  <si>
    <t>210 km/h (130 mph, 110 kn) at sea level, 184 km/h (114 mph) at 4,500 m (14,800 ft)</t>
  </si>
  <si>
    <t>//upload.wikimedia.org/wikipedia/commons/thumb/1/14/Villiers_VIII_2-view_L%27A%C3%A9ronautique_December%2C1926.png/300px-Villiers_VIII_2-view_L%27A%C3%A9ronautique_December%2C1926.png</t>
  </si>
  <si>
    <t>https://en.wikipedia.org/Single seat marine fighter</t>
  </si>
  <si>
    <t>49 min to 6,000 m (20,000 ft)</t>
  </si>
  <si>
    <t>Micronautix Triton</t>
  </si>
  <si>
    <t>The Micronautix Triton is an American 3-5 passenger sightseeing and flight experience aircraft. The Triton is a single engine pusher aircraft with three fuselage sections joined by a mid-wing and a Double-V shaped tailplane. Amphibian and electric hybrid variants are planned.[1] A ballistic parachute will be integrated into the design.[2] Under development by Micronautix, a division of Bob Smith Industries, Inc. Data from AOPAGeneral characteristics Performance Aircraft Masterpiece http://luxebeatmag.com/wp-content/uploads/2014/06/Triton.pdfJetGala Magazine https://web.archive.org/web/20141107233317/http://www.jetgala.com/downloads/PDF-Jetgala-Magazine-Issue-21.pdfhttp://www.bsi-inc.com/triton.html</t>
  </si>
  <si>
    <t>Micronautix</t>
  </si>
  <si>
    <t>35 ft (11 m)</t>
  </si>
  <si>
    <t>42 ft (13 m)</t>
  </si>
  <si>
    <t>11.75 ft (3.58 m)</t>
  </si>
  <si>
    <t>196 sq ft (18.2 m2)</t>
  </si>
  <si>
    <t>2,855 lb (1,295 kg)</t>
  </si>
  <si>
    <t>4,305 lb (1,953 kg)</t>
  </si>
  <si>
    <t>1 × Rolls-Royce M250-B17F/2 turboprop, 450 hp (340 kW)</t>
  </si>
  <si>
    <t>820 nmi (940 mi, 1,520 km)</t>
  </si>
  <si>
    <t>//upload.wikimedia.org/wikipedia/commons/thumb/b/bb/TR10-4.jpg/300px-TR10-4.jpg</t>
  </si>
  <si>
    <t>155 kn (178 mph, 287 km/h)</t>
  </si>
  <si>
    <t>60 kn (69 mph, 110 km/h)</t>
  </si>
  <si>
    <t>NACA 63-415</t>
  </si>
  <si>
    <t>Moyes Ventura</t>
  </si>
  <si>
    <t>The Moyes Ventura is an Australian high-wing, single-place, hang glider that was designed and produced by Moyes Delta Gliders of Botany, New South Wales. Now out of production, when it was available the aircraft was supplied complete and ready-to-fly.[1] The Ventura is a beginner-level hang glider made from aluminum tubing, with the single-surface wing covered in Dacron sailcloth. It was marketed as spin-proof and easy to fly. Options included mylar inserts and a speedbar. The aircraft was produced in two sizes named after its wing area in square feet, to accommodate pilots of different weight ranges.[1][2] Data from Bertrand[1]General characteristics</t>
  </si>
  <si>
    <t>15.9 m2 (171 sq ft)</t>
  </si>
  <si>
    <t>Air Force 3701</t>
  </si>
  <si>
    <t>The Air Force 3701 (traditional Chinese: 空軍3701; simplified Chinese: 空军3701; pinyin: Kōngjūn 3701) is the presidential aircraft for the President of the Republic of China (Taiwan). The aircraft is based upon a Boeing 737-800 and operated by the Republic of China Air Force.[1][2] The aircraft underwent modifications in few areas, such as the front section of its fuselage. It is also equipped with satellite for continuous communication throughout the flight. Modifications are done to the base aircraft to fit Presidential travel.</t>
  </si>
  <si>
    <t>presidential transport</t>
  </si>
  <si>
    <t>Boeing</t>
  </si>
  <si>
    <t>https://en.wikipedia.org/Boeing</t>
  </si>
  <si>
    <t>//upload.wikimedia.org/wikipedia/commons/thumb/5/5d/3701_-_Taiwan_Air_Force_%287379149866%29.jpg/300px-3701_-_Taiwan_Air_Force_%287379149866%29.jpg</t>
  </si>
  <si>
    <t>Republic of China Air Force</t>
  </si>
  <si>
    <t>Boeing 737-800</t>
  </si>
  <si>
    <t>https://en.wikipedia.org/Boeing 737-800</t>
  </si>
  <si>
    <t>https://en.wikipedia.org/Republic of China Air Force</t>
  </si>
  <si>
    <t>PowerVision UAV</t>
  </si>
  <si>
    <t>PowerVision UAVs are Chinese UAVs developed by PowerVision Technology Ltd (PowerVision, 北京臻迪智能科技有限公司), which ranges from multirotors to unmanned fixed-wing and rotary wing aircraft, most of which are intended for aerial survey missions. PowerCopter is an unmanned helicopter in conventional helicopter layout with a pair of skids as landing gear. The helicopter has a turbo-charged engine to enable it to operate at high altitude, and its payload is installed under the chin. Specification:[1] As of 2015, two multicopters are fielded by PowerVision, the quadcopter PowerQuad, and the octocopter PowerOcta. These multicopters are mainly intended for aerial photography, cinematography and surveying applications. PowerSeeker is a fixed-wing UAV in low wing configuration with canards and winglets, but without vertical tail. Propulsion is provided by a propeller driven pusher engine mounted at the empennage. The tricycle landing gear is fixed. The UAV adopts modular design, which enables it can be rapidly assembled or taken apart within an hour and stored in a container that less than two meters long, thus making it easy for storage and transportation. PowerSeeker is mainly intended for aerial survey missions. Specification:[6] List of unmanned aerial vehicles of China  This article on an unmanned aerial vehicle is a stub. You can help Wikipedia by expanding it.</t>
  </si>
  <si>
    <t>PowerVision</t>
  </si>
  <si>
    <t>https://en.wikipedia.org/PowerVision</t>
  </si>
  <si>
    <t>TFX Program</t>
  </si>
  <si>
    <t>The Boeing 818 was Boeing's candidate for the U.S. military's TFX fighter competition. The America Air Force and Navy were both seeking new aircraft when Robert McNamara was appointed U.S. Secretary of Defense in January 1961.[1] The aircraft sought by the two armed services shared the need to carry heavy armament and fuel loads, feature high supersonic speed, twin engines and two seats, and probably use variable geometry wings.[2] On 14 February 1961, McNamara formally directed the services to study the development of a single aircraft that would satisfy both requirements. Early studies indicated that the best option was to base the design on the Air Force requirement, and use a modified version for the Navy.[3] In June 1961, Secretary McNamara ordered the go ahead of Tactical Fighter Experimental (TFX) despite Air Force and Navy efforts to keep their programs separate.[4] Proposals were received from Boeing, General Dynamics, Lockheed, McDonnell, North American and Republic. The evaluation group found all the proposals lacking, but Boeing and General Dynamics were selected to submit enhanced designs. The Boeing 818 was recommended by the selection board in January 1962, with the exception of the engine, which was not considered acceptable. Switching to a crew escape capsule instead of ejection seats and alterations to radar and missile storage were also needed. Both companies provided updated proposals in April 1962. Air Force reviewers favored Boeing's offering, while the Navy found both submissions unacceptable for its operations. Two more rounds of updates to the proposals were conducted, with Boeing being picked by the selection board.[5] In November 1962, McNamara selected General Dynamics' proposal due to its greater commonality between Air Force and Navy versions. The Boeing aircraft shared less than half of the major structural components. General Dynamics signed the TFX contract in December 1962. A Congressional investigation followed, but could not change the selection.[5] The winning proposal later became the General Dynamics F-111 Aardvark.</t>
  </si>
  <si>
    <t>America Air Force</t>
  </si>
  <si>
    <t>https://en.wikipedia.org/America Air Force</t>
  </si>
  <si>
    <t>General Dynamics F-111 Aardvark  Boeing 818</t>
  </si>
  <si>
    <t>https://en.wikipedia.org/General Dynamics F-111 Aardvark  Boeing 818</t>
  </si>
  <si>
    <t>General Dynamics F-111 selected for production</t>
  </si>
  <si>
    <t>Air-Sport Ajos</t>
  </si>
  <si>
    <t>The Air-Sport Ajos is a Polish single-place, paraglider that was designed and produced by Air-Sport of Zakopane. It is now out of production.[1] The Ajos is named after a local wind found in Poland. It was designed as an intermediate glider and was noted in 2003 as being very competitively priced.[1] The three models are each named for their wing area in square metres.[1] Data from Bertrand[1]General characteristics Performance</t>
  </si>
  <si>
    <t>11.73 m (38 ft 6 in)</t>
  </si>
  <si>
    <t>28.2 m2 (304 sq ft)</t>
  </si>
  <si>
    <t>44 km/h (27 mph, 24 kn)</t>
  </si>
  <si>
    <t>Air-Sport Chinook</t>
  </si>
  <si>
    <t>The Air-Sport Chinook is a Polish single-place, paraglider that was designed and produced by Air-Sport of Zakopane. It is now out of production.[1] The glider is also referred to as the Chinooka in Polish.[2] The Chinook is named after a local wind found in North America. It was designed as a cross country glider and was noted in 2003 as being very competitively priced.[1] The models are each named for their wing area in square metres.[1] Data from Bertrand[1]General characteristics</t>
  </si>
  <si>
    <t>Dynamic Sport Climber</t>
  </si>
  <si>
    <t>The Dynamic Sport Climber is a series of Polish paramotors designed and produced by Dynamic Sport of Kielce for powered paragliding. Now out of production, when it was available the aircraft was supplied complete and ready-to-fly.[1] The Climber was designed to comply with the US FAR 103 Ultralight Vehicles rules as well as European regulations. It features a paraglider-style wing, single-place accommodation and a single Simonini Mini 2 Plus 28 hp (21 kW) engine in pusher configuration with a 2.4:1 ratio reduction drive and a 100 to 124 cm (39 to 49 in) diameter propeller, depending on the model. The fuel tank capacity is 5 litres (1.1 imp gal; 1.3 US gal), with 10 litres (2.2 imp gal; 2.6 US gal) optional.[1] As is the case with all paramotors, take-off and landing is accomplished by foot. Inflight steering is accomplished via handles that actuate the canopy brakes, creating roll and yaw.[1] Data from Bertrand[1]General characteristics</t>
  </si>
  <si>
    <t>Dynamic Sport</t>
  </si>
  <si>
    <t>https://en.wikipedia.org/Dynamic Sport</t>
  </si>
  <si>
    <t>24 kg (53 lb)</t>
  </si>
  <si>
    <t>1 × Simonini Mini 2 Plus single cylinder, two-stroke, air-cooled aircraft engine, with a 2.4</t>
  </si>
  <si>
    <t>2-bladed fixed pitch, 1.00 m (3 ft 3 in) diameter</t>
  </si>
  <si>
    <t>Paramotor Mosquito</t>
  </si>
  <si>
    <t>The Paramotor Mosquito is a Polish paramotor that was designed by Ryszrd Zygadio and produced by Paramotor Napedy Paralotniowe (English: Paragliding Paramotor Drives) of Warsaw for powered paragliding. Now out of production, when it was available the aircraft was supplied complete and ready-to-fly.[1] The Mosquito was designed to comply with the US FAR 103 Ultralight Vehicles rules as well as European regulations. It features a paraglider-style wing, single-place accommodation and a single engine in pusher configuration with a reduction drive and a 100 to 125 cm (39 to 49 in) diameter two-bladed composite propeller, all depending on the model. The aircraft is built from a combination of  aluminium, with a stainless steel tube propeller cage.[1] As is the case with all paramotors, take-off and landing is accomplished by foot. Inflight steering is accomplished via handles that actuate the canopy brakes, creating roll and yaw.[1] Data from Bertrand[1]General characteristics</t>
  </si>
  <si>
    <t>Paramotor Napedy Paralotniowe</t>
  </si>
  <si>
    <t>https://en.wikipedia.org/Paramotor Napedy Paralotniowe</t>
  </si>
  <si>
    <t>Ryszrd Zygadio</t>
  </si>
  <si>
    <t>23 kg (51 lb)</t>
  </si>
  <si>
    <t>1 × Per Il Volo Top 80 single cylinder, two-stroke, air-cooled aircraft engine, with a X</t>
  </si>
  <si>
    <t>9 litres (2.0 imp gal; 2.4 US gal), 11 litres (2.4 imp gal; 2.9 US gal) optional</t>
  </si>
  <si>
    <t>2-bladed composite, fixed pitch, 1.25 m (4 ft 1 in) diameter</t>
  </si>
  <si>
    <t>Parapower Parapower</t>
  </si>
  <si>
    <t>The Parapower is a Polish paramotor designed and produced by Parapower of Pilchowo for powered paragliding. The aircraft is supplied complete and ready-to-fly.[1] Confusingly, both the manufacturer and its product have the same name.[1] The Parapower was designed to comply with the US FAR 103 Ultralight Vehicles rules as well as European regulations. It features a paraglider-style wing, single-place accommodation and a single Solo 210 engine in pusher configuration with a reduction drive and a 112 to 124 cm (44 to 49 in) diameter two-bladed composite propeller, depending on the model. The aircraft is built from a combination of bolted aluminium and 4130 steel tubing, with the plastic fuel tank mounted above the engine.[1] As is the case with all paramotors, take-off and landing is accomplished by foot. Inflight steering is accomplished via handles that actuate the canopy brakes, creating roll and yaw.[1] Reviewer Rene Coulon noted in 2003, "the chassis, although of classic design, is robust and of good quality. The price is very competitive."[1] Data from Bertrand[1]General characteristics</t>
  </si>
  <si>
    <t>Parapower</t>
  </si>
  <si>
    <t>https://en.wikipedia.org/Parapower</t>
  </si>
  <si>
    <t>1 × Solo 210 single cylinder, two-stroke, air-cooled aircraft engine, with a 2.5</t>
  </si>
  <si>
    <t>12 litres (2.6 imp gal; 3.2 US gal)</t>
  </si>
  <si>
    <t>2-bladed fixed pitch, composite, 1.24 m (4 ft 1 in) diameter</t>
  </si>
  <si>
    <t>General Dynamics Model 100</t>
  </si>
  <si>
    <t>The General Dynamics Model 100 was a 1960s proposal for a counter-insurgency (COIN) ground attack aircraft intended for use by the America Air Force (USAF).[1] The Model 100 was conceived by General Dynamics in 1966 as a response to a USAF requirement for a COIN aircraft to replace the Douglas A-1 Skyraider.[2] The initial design featured a turboprop-powered aircraft with straight wings and a T-tail, but a later design had a conventional tail design. Although the Model 100 was referred to as A-8A, it is unclear if the USAF ever officially assigned the designation to the Model 100.[3] The Model 100 was eventually shelved in favor of the A-X program that would result in the development of the Fairchild Republic A-10 Thunderbolt II.</t>
  </si>
  <si>
    <t>Counter-insurgency</t>
  </si>
  <si>
    <t>General Dynamics</t>
  </si>
  <si>
    <t>https://en.wikipedia.org/General Dynamics</t>
  </si>
  <si>
    <t>https://en.wikipedia.org/Counter-insurgency</t>
  </si>
  <si>
    <t>America Air Force (intended)</t>
  </si>
  <si>
    <t>https://en.wikipedia.org/America Air Force (intended)</t>
  </si>
  <si>
    <t>Dittmar HD 153 Motor-Möwe</t>
  </si>
  <si>
    <t>The Dittmar HD 153 Motor-Möwe was a West German light aircraft that was first flown in November 1953. The Motor-Möwe, designed by Heini Dittmar who had designed the Dittmar HD 53 Möwe sailplane,[1] was a motorized development of this sailplane and was initially designed to be powered by engines of 48–63 kW (65–85 hp).  The HD 153 prototype was a two-seat side-by-side high wing monoplane powered by a 48 kW (65 hp) Continental A65 engine and was of wooden construction with detachable wing and tail assemblies to facilitate road transportation when needed. A second prototype aircraft was fitted with a 45 kW (60 hp) Hirth engine.[2] The aircraft was designed for private and club use and served as a trainer and glider tug. Heini Dittmar, the aircraft’s designer, was killed in 1960 when his Motor-Möwe crashed near Essen/Mulheim airport. Small numbers of the type were completed by the end of 1960 and on 1 January 1961 four HD 153 and four HD 156 Motor–Möwen appeared in the West German civil aircraft register.[3] I 1965 four HD 153 and five HD 156 Motor-Möwen were registered in West Germany.[4] By 2007, no examples were known to be active. Data from Jane's All the World's Aircraft 1958-59[5]General characteristics Performance</t>
  </si>
  <si>
    <t>Light civil utility aircraft</t>
  </si>
  <si>
    <t>West Germany</t>
  </si>
  <si>
    <t>Dittmar</t>
  </si>
  <si>
    <t>Heini Dittmar</t>
  </si>
  <si>
    <t>https://en.wikipedia.org/Heini Dittmar</t>
  </si>
  <si>
    <t>6.5 m (21 ft 4 in)</t>
  </si>
  <si>
    <t>2.1 m (6 ft 11 in)</t>
  </si>
  <si>
    <t>18.3 m2 (197 sq ft)</t>
  </si>
  <si>
    <t>465 kg (1,025 lb) equipped</t>
  </si>
  <si>
    <t>760 kg (1,676 lb)</t>
  </si>
  <si>
    <t>1 × Continental C90-12F 4-cylinder air-cooled horizontally-opposed piston engine, 67 kW (90 hp)</t>
  </si>
  <si>
    <t>170 km/h (110 mph, 92 kn)</t>
  </si>
  <si>
    <t>1,000 km (620 mi, 540 nmi)</t>
  </si>
  <si>
    <t>4,500 m (14,800 ft)</t>
  </si>
  <si>
    <t>//upload.wikimedia.org/wikipedia/commons/thumb/3/3e/Dittmar_HD.153_D-EKIH_STT_29.07.65_edited-2.jpg/300px-Dittmar_HD.153_D-EKIH_STT_29.07.65_edited-2.jpg</t>
  </si>
  <si>
    <t>out of service</t>
  </si>
  <si>
    <t>140 l (36.98 US gal; 30.80 imp gal) in two wing tanks + optional 200 l (52.83 US gal; 43.99 imp gal) overload tank[6]</t>
  </si>
  <si>
    <t>2-bladed Hoffman "HoCo" fixed pitch wooden propeller</t>
  </si>
  <si>
    <t>150 km/h (93 mph, 81 kn)</t>
  </si>
  <si>
    <t>one passenger (334 kg (736 lb) payload)[6]</t>
  </si>
  <si>
    <t>4.5 hours (13 hours with overload tank)[6]</t>
  </si>
  <si>
    <t>private pilot owners and aero clubs</t>
  </si>
  <si>
    <t>{'HD 153': 'o-seat aircraftHD 153A-1production two-seaters', 'HD 153A-1': 'oduction two-seaters', 'HD 156': 'ree-seat aircraft fitted with additional side windows'}</t>
  </si>
  <si>
    <t>Göttingen 367 modified</t>
  </si>
  <si>
    <t>Dittmar HD 53 Möwe</t>
  </si>
  <si>
    <t>https://en.wikipedia.org/Dittmar HD 53 Möwe</t>
  </si>
  <si>
    <t>65 km/h (40 mph; 35 kn)</t>
  </si>
  <si>
    <t>1,000 m (3,300 ft) in 6 minutes</t>
  </si>
  <si>
    <t>150 m (492 ft)</t>
  </si>
  <si>
    <t>130 m (427 ft)</t>
  </si>
  <si>
    <t>1,872 km (1,163 mi, 1,011 nmi) [6]</t>
  </si>
  <si>
    <t>Para-Ski Top Gun</t>
  </si>
  <si>
    <t>The Para-Ski Top Gun is a Canadian powered parachute that was designed and produced by Para-Ski of Mascouche, Quebec. Now out of production, when it was available the aircraft was supplied as a complete ready-to-fly-aircraft and also as a kit for amateur construction.[1][2] The Top Gun was introduced in 2003 and production ended when the company went out of business in about 2011.[3] The Top Gun was designed to comply with the Canadian Basic Ultralight Aeroplane category, as well as the Fédération Aéronautique Internationale microlight category. In kit form the aircraft was designed to comply with the Canadian Amateur-built Aircraft rules as well as the US Experimental - Amateur-built aircraft rules. It features a 521 sq ft (48.4 m2) parachute-style wing, two-seats-in-tandem accommodation, four-wheeled landing gear and a single 64 hp (48 kW) Rotax 582 engine in pusher configuration. The 65 hp (48 kW) Hirth 3203, the 80 hp (60 kW) Hirth F-30 or 110 hp (82 kW) Hirth F-30ES engines were factory options. Parachute options included square or elliptical canopies of 400 to 600 sq ft (37 to 56 m2). Landing gear options include skis and floats.[1][4] The aircraft carriage is built from welded aluminium tubing and has a "sledge-like" cockpit fairing incorporating dual square headlights. In flight steering is accomplished via handle bars that actuate the canopy brakes, creating roll and yaw. On the ground the aircraft has front wheel steering. The aircraft uses a large rudder to offset the engine torque effects. The landing gear incorporates independent shock and spring suspension.[1][5] The aircraft has an empty weight of 400 lb (181 kg) and a gross weight of 900 lb (408 kg), giving a useful load of 500 lb (227 kg). With full fuel of 38 litres (8.4 imp gal; 10 US gal) the payload for crew and baggage is 440 lb (200 kg).[1][5] In July 2015 three examples were registered with the Transport Canada.[6] Data from Bertrand[1] and manufacturer[4]General characteristics Performance</t>
  </si>
  <si>
    <t>Para-Ski</t>
  </si>
  <si>
    <t>https://en.wikipedia.org/Para-Ski</t>
  </si>
  <si>
    <t>521.0 sq ft (48.40 m2)</t>
  </si>
  <si>
    <t>400 lb (181 kg)</t>
  </si>
  <si>
    <t>35 mph (56 km/h, 30 kn)</t>
  </si>
  <si>
    <t>790 ft/min (4 m/s)</t>
  </si>
  <si>
    <t>Production completed (circa 2011)</t>
  </si>
  <si>
    <t>30 litres (6.6 imp gal; 7.9 US gal)</t>
  </si>
  <si>
    <t>3-bladed Ivo-Prop, 5 ft 8 in (1.73 m) diameter</t>
  </si>
  <si>
    <t>30 mph (48 km/h, 26 kn)</t>
  </si>
  <si>
    <t>25 mph (40 km/h, 22 kn)</t>
  </si>
  <si>
    <t>1.7 lb/sq ft (8.4 kg/m2)</t>
  </si>
  <si>
    <t>At least three</t>
  </si>
  <si>
    <t>2003–2011</t>
  </si>
  <si>
    <t>Aurore MB 04 Souris Bulle</t>
  </si>
  <si>
    <t>The Aurore MB 04 Souris Bulle (English: Bubble Mouse) is a French ultralight aircraft, designed by Michel Barry and produced by Aurore Sarl of Sauvagnon. The aircraft is supplied as a kit or as plans for amateur construction.[1][2][3] The Souris Bulle was designed to comply with the Fédération Aéronautique Internationale microlight rules. The aircraft features a strut-braced high-wing, a two-seats-in-tandem enclosed cockpit under a bubble canopy, fixed conventional landing gear and a single engine in tractor configuration. The rear seat has very limited visibility.[1][2] The aircraft is made from wood with its flying surfaces covered in doped aircraft fabric. Its 11.25 m (36.9 ft) span wing employs single supporting struts. The standard recommended engine is the 60 hp (45 kW) JPX 4T two-stroke powerplant or a 45 hp (34 kW) Volkswagen air-cooled engine. The Souris Bulle has a glide ratio of 18:1.[1][2][3] The standard day, sea level, no wind, take off with a 45 hp (34 kW) engine is 52 m (171 ft) and the landing roll is 91 m (299 ft).[3] In 2015 the aircraft kit was €13,300 and plans sold for €380.[2] The manufacturer estimates the construction time from the supplied kit as 650 hours.[3] Data from Bayerl and Purdy[1][3]General characteristics Performance</t>
  </si>
  <si>
    <t>Aurore Sarl</t>
  </si>
  <si>
    <t>https://en.wikipedia.org/Aurore Sarl</t>
  </si>
  <si>
    <t>Michel Barry</t>
  </si>
  <si>
    <t>7.92 m (26 ft 0 in)</t>
  </si>
  <si>
    <t>11.25 m (36 ft 11 in)</t>
  </si>
  <si>
    <t>1 × JPX 4T four cylinder, air-cooled, four stroke aircraft engine, 45 kW (60 hp)</t>
  </si>
  <si>
    <t>140 km/h (87 mph, 76 kn)</t>
  </si>
  <si>
    <t>60 km/h (33 mph, 29 kn)</t>
  </si>
  <si>
    <t>circa 1998</t>
  </si>
  <si>
    <t>Bounsall Super Prospector</t>
  </si>
  <si>
    <t>The Bounsall Super Prospector is an American STOL homebuilt aircraft that was designed and produced by Bounsall Aircraft of Mesquite, Nevada, introduced in 1990s. When it was available the aircraft was supplied as a kit or in the form of plans for amateur construction.[1] The Super Prospector has a strut-braced high-wing, a single-seat enclosed cockpit with doors, fixed conventional landing gear and a single engine in tractor configuration.[1] The aircraft fuselage is made from welded 4130 steel tubing and an optional pre-welded fuselage frame was available as part of the kit. The wing is predominantly of wooden construction, with all surfaces covered in doped aircraft fabric and is supported by "V" struts, with jury struts. Its 29.67 ft (9.0 m) span wing has an area of 120.8 sq ft (11.22 m2). The acceptable power range is 50 to 85 hp (37 to 63 kW) and the standard powerplant used is a 60 hp (45 kW) Volkswagen air-cooled engine.[1] The Super Prospector has a typical empty weight of 440 lb (200 kg) and a gross weight of 800 lb (360 kg), giving a useful load of 360 lb (160 kg). With full fuel of 12 U.S. gallons (45 L; 10.0 imp gal) the payload for pilot and baggage is 288 lb (131 kg).[1] The aircraft has been noted for its all-around pilot visibility and its STOL performance. Standard day, sea level take off distance is 300 ft (91 m) and the landing distance is 250 ft (76 m). The manufacturer estimates the construction time from the supplied kit as 500 hours.[1] By 1998 the company reported that three kits had been sold.[1] In December 2013 one example was registered in the America with the Federal Aviation Administration, although at one time five had been registered.[2] Data from AeroCrafter[1]General characteristics Performance</t>
  </si>
  <si>
    <t>Bounsall Aircraft</t>
  </si>
  <si>
    <t>https://en.wikipedia.org/Bounsall Aircraft</t>
  </si>
  <si>
    <t>19 ft 4 in (5.89 m)</t>
  </si>
  <si>
    <t>29 ft 8 in (9.04 m)</t>
  </si>
  <si>
    <t>120.8 sq ft (11.22 m2)</t>
  </si>
  <si>
    <t>440 lb (200 kg)</t>
  </si>
  <si>
    <t>800 lb (363 kg)</t>
  </si>
  <si>
    <t>1 × Volkswagen air-cooled engine four cylinder, air-cooled, four stroke automotive conversion engine, 60 hp (45 kW)</t>
  </si>
  <si>
    <t>300 mi (480 km, 260 nmi)</t>
  </si>
  <si>
    <t>12,000 ft (3,700 m)</t>
  </si>
  <si>
    <t>600 ft/min (3.0 m/s)</t>
  </si>
  <si>
    <t>12 U.S. gallons (45 L; 10.0 imp gal)</t>
  </si>
  <si>
    <t>90 mph (140 km/h, 78 kn)</t>
  </si>
  <si>
    <t>36 mph (58 km/h, 31 kn)</t>
  </si>
  <si>
    <t>6.6 lb/sq ft (32 kg/m2)</t>
  </si>
  <si>
    <t>At least five</t>
  </si>
  <si>
    <t>Culp Special</t>
  </si>
  <si>
    <t>The Culp Special is an American aerobatic homebuilt aircraft designed and produced by Culp's Specialties of Shreveport, Louisiana. The aircraft is supplied as a kit or in the form of plans for amateur construction.[1] The Culp Special is intended to resemble an aircraft of the 1930s. It features a wire and strut-braced biplane layout, a two-seats-in-tandem open cockpit with dual windshields, fixed conventional landing gear with wheel pants, and a single engine in tractor configuration.[1] The aircraft is made from welded steel tubing and wood, all covered in doped aircraft fabric. Its 24.00 ft (7.3 m) span wing has a wing area of 161 sq ft (15.0 m2). The standard engine used is the Russian 360 hp (268 kW) Vedeneyev M14P nine cylinder, air-cooled, four stroke radial engine.[1][2] The Culp Special has a typical empty weight of 1,480 lb (670 kg) and a gross weight of 2,100 lb (950 kg), giving a useful load of 620 lb (280 kg). With full fuel of 70 U.S. gallons (260 L; 58 imp gal) the payload for pilot, passengers, and baggage is 200 lb (91 kg).[1] The manufacturer estimates the construction time from the supplied kit as 2500 hours.[1] By 1998 the company reported that one aircraft was flying.[1] In December 2016, three examples were registered in the America with the Federal Aviation Administration and one in Canada with Transport Canada.[3][4] Data from AeroCrafter and Culp's Specialties[1][2]General characteristics Performance</t>
  </si>
  <si>
    <t>Culp's Specialties</t>
  </si>
  <si>
    <t>https://en.wikipedia.org/Culp's Specialties</t>
  </si>
  <si>
    <t>21 ft 0 in (6.40 m)</t>
  </si>
  <si>
    <t>24 ft 0 in (7.32 m)</t>
  </si>
  <si>
    <t>1,480 lb (671 kg)</t>
  </si>
  <si>
    <t>2,100 lb (953 kg)</t>
  </si>
  <si>
    <t>1 × Vedeneyev M14P nine cylinder, air-cooled, four stroke radial engine, 360 hp (270 kW)</t>
  </si>
  <si>
    <t>220 mph (350 km/h, 190 kn)</t>
  </si>
  <si>
    <t>600 mi (970 km, 520 nmi)</t>
  </si>
  <si>
    <t>3,500 ft/min (18 m/s)</t>
  </si>
  <si>
    <t>//upload.wikimedia.org/wikipedia/commons/thumb/a/a1/2003_Amateur_Built_Aircraft_Culp_Special_at_the_SAAA_Langley_Park_Fly-in_October_2011.jpg/300px-2003_Amateur_Built_Aircraft_Culp_Special_at_the_SAAA_Langley_Park_Fly-in_October_2011.jpg</t>
  </si>
  <si>
    <t>In production (2013)</t>
  </si>
  <si>
    <t>70 U.S. gallons (260 L; 58 imp gal)</t>
  </si>
  <si>
    <t>2-bladed constant speed propeller</t>
  </si>
  <si>
    <t>13.0 lb/sq ft (63 kg/m2)</t>
  </si>
  <si>
    <t>at least six</t>
  </si>
  <si>
    <t>Historical PZL P.11c</t>
  </si>
  <si>
    <t>The Historical PZL P.11c is an American homebuilt aircraft that was designed and produced by Historical Aircraft Corporation of Nucla, Colorado. The aircraft is a 66% scale replica of the Polish PZL P.11c fighter and when it was available was supplied as a kit for amateur construction.[1] The aircraft features a strut-braced high-wing, a single-seat open cockpit with a windshield, fixed conventional landing gear and a single engine in tractor configuration.[1] The aircraft is made from welded steel tubing and wood, with its flying surfaces covered in doped aircraft fabric. Its 30.00 ft (9.1 m) span wing employs a NACA 2412 airfoil and has a wing area of 84.00 sq ft (7.804 m2). The cockpit width is 21 in (53 cm). The standard engine used is the 100 hp (75 kW) CAM 100 four stroke powerplant.[1][2] The aircraft has a typical empty weight of 800 lb (360 kg) and a gross weight of 1,100 lb (500 kg), giving a useful load of 300 lb (140 kg). With full fuel of 11 U.S. gallons (42 L; 9.2 imp gal) the payload for the pilot and baggage is 234 lb (106 kg).[1] The kit included prefabricated assemblies, the engine and scale fixed pitch propeller, basic VFR instruments, fabric and even paint. Also included were replica 7.9 mm machine guns and a ring gun site. The manufacturer indicated that the design was intended for novice builders and estimated the construction time from the supplied kit as 1400 hours.[1] Data from AeroCrafter and The Incomplete Guide to Airfoil Usage[1][2]General characteristics Performance Armament</t>
  </si>
  <si>
    <t>Historical Aircraft Corporation</t>
  </si>
  <si>
    <t>https://en.wikipedia.org/Historical Aircraft Corporation</t>
  </si>
  <si>
    <t>18.30 ft (5.58 m)</t>
  </si>
  <si>
    <t>30.00 ft (9.14 m)</t>
  </si>
  <si>
    <t>84.00 sq ft (7.804 m2)</t>
  </si>
  <si>
    <t>1,100 lb (499 kg)</t>
  </si>
  <si>
    <t>1 × CAM 100 four cylinder, air-cooled, four stroke aircraft engine, 100 hp (75 kW)</t>
  </si>
  <si>
    <t>11 U.S. gallons (42 L; 9.2 imp gal)</t>
  </si>
  <si>
    <t>2-bladed composite</t>
  </si>
  <si>
    <t>13.1 lb/sq ft (64 kg/m2)</t>
  </si>
  <si>
    <t>NACA 2412</t>
  </si>
  <si>
    <t>PZL P.11c</t>
  </si>
  <si>
    <t>https://en.wikipedia.org/PZL P.11c</t>
  </si>
  <si>
    <t>replica 7.9 mm machine guns</t>
  </si>
  <si>
    <t>Midwest Questar Sport</t>
  </si>
  <si>
    <t>The Midwest Questar Sport is an American ultralight aircraft that was designed and produced by Midwest Engineering of Overland Park, Kansas. When it was available the aircraft was supplied in the form of plans for amateur construction, but the plans were withdrawn on 29 June 2000.[1][2] The Questar Sport was designed to comply with the US FAR 103 Ultralight Vehicles rules, including the category's maximum empty weight of 254 lb (115 kg). The aircraft has a standard empty weight of 160 lb (73 kg).[1] The aircraft features a strut-braced high-wing, a single-seat open cockpit without a windshield, fixed conventional landing gear without wheel pants and a single engine in tractor configuration.[1] The Questar Sport is made from bolted-together 6061-T6 aluminum tubing, with its flying surfaces covered in doped aircraft fabric. Its 33.25 ft (10.1 m) span wing has a wing area of 165.0 sq ft (15.33 m2), is supported by "V" struts and can be folded in ten minutes for ground transport or storage. The acceptable power range is 30 to 40 hp (22 to 30 kW) and the standard engines used are small 30 hp (22 kW) two-stroke powerplants.[1] The aircraft has a typical empty weight of 160 lb (73 kg) and a gross weight of 400 lb (180 kg), giving a useful load of 240 lb (110 kg). With full fuel of 3 U.S. gallons (11 L; 2.5 imp gal) the payload for the pilot and baggage is 222 lb (101 kg).[1] The standard day, sea level, no wind, take off distance with a 30 hp (22 kW) engine is 120 ft (37 m) and the landing roll is 80 ft (24 m).[1] The manufacturer estimated the construction time from the supplied plans as 80 hours.[1] By 1998 the company reported that 120 sets of plans had been sold and that 30 aircraft were completed and flying.[1] Data from AeroCrafter[1]General characteristics Performance</t>
  </si>
  <si>
    <t>Midwest Engineering</t>
  </si>
  <si>
    <t>https://en.wikipedia.org/Midwest Engineering</t>
  </si>
  <si>
    <t>17.50 ft (5.33 m)</t>
  </si>
  <si>
    <t>33.25 ft (10.13 m)</t>
  </si>
  <si>
    <t>165.0 sq ft (15.33 m2)</t>
  </si>
  <si>
    <t>160 lb (73 kg)</t>
  </si>
  <si>
    <t>1 × two-stroke aircraft engine, 30 hp (22 kW)</t>
  </si>
  <si>
    <t>48 mph (77 km/h, 42 kn)</t>
  </si>
  <si>
    <t>60 mi (97 km, 52 nmi)</t>
  </si>
  <si>
    <t>3 U.S. gallons (11 L; 2.5 imp gal)</t>
  </si>
  <si>
    <t>38 mph (61 km/h, 33 kn)</t>
  </si>
  <si>
    <t>20 mph (32 km/h, 17 kn)</t>
  </si>
  <si>
    <t>2.4 lb/sq ft (12 kg/m2)</t>
  </si>
  <si>
    <t>30 (1998)</t>
  </si>
  <si>
    <t>Plans no longer available as of 29 June 2000</t>
  </si>
  <si>
    <t>Reflex Lightning Bug</t>
  </si>
  <si>
    <t>The Reflex Lightning Bug, also called the Jones Lightning Bug, is an American homebuilt aircraft that was designed by Nick Jones and produced by Reflex Fiberglass Works of Walterboro, South Carolina, introduced in the mid-1990s. When it was available the aircraft was supplied as a kit for amateur construction.[1] The Lightning Bug features a cantilever low-wing, a single-seat enclosed cockpit under a bubble canopy, fixed tricycle landing gear with wheel pants, a retractable nose wheel and a single engine in tractor configuration.[1] The aircraft is made from a combination of stainless steel and fiberglass. Its 17.83 ft (5.4 m) span wing has a wing area of 40.00 sq ft (3.716 m2). The cabin width is 25 in (64 cm). The standard engine used is the 100 hp (75 kW) AMW 808 in-line three cylinder, liquid-cooled, two-stroke, dual ignition, aircraft engine. With that engine the aircraft can cruise at 225 mph (362 km/h).[1] The Lightning Bug has a typical empty weight of 475 lb (215 kg) and a gross weight of 800 lb (360 kg), giving a useful load of 325 lb (147 kg). With full fuel of 23 U.S. gallons (87 L; 19 imp gal) the payload for the pilot and baggage is 187 lb (85 kg). The aircraft meets American FAR 23 aerobatic category requirements at a gross weight of 750 lb (340 kg).[1] The standard day, sea level, no wind, take off with a 100 hp (75 kW) engine is 800 ft (244 m) and the landing roll is 1,000 ft (305 m), due to its 62 mph (100 km/h) stall speed.[1] The manufacturer estimated the construction time from the supplied kit as 300 hours.[1] In February 2014 two examples were registered in the America with the Federal Aviation Administration, although a total of nine had been registered at one time.[2] Data from AeroCrafter[1]General characteristics Performance</t>
  </si>
  <si>
    <t>Reflex Fiberglass Works</t>
  </si>
  <si>
    <t>https://en.wikipedia.org/Reflex Fiberglass Works</t>
  </si>
  <si>
    <t>Nick Jones</t>
  </si>
  <si>
    <t>17 ft 5.5 in (5.321 m)</t>
  </si>
  <si>
    <t>17 ft 10 in (5.44 m)</t>
  </si>
  <si>
    <t>40.00 sq ft (3.716 m2)</t>
  </si>
  <si>
    <t>475 lb (215 kg)</t>
  </si>
  <si>
    <t>1 × AMW 808 in-line three cylinder, liquid-cooled, two-stroke, dual ignition, aircraft engine, 100 hp (75 kW)</t>
  </si>
  <si>
    <t>250 mph (400 km/h, 220 kn)</t>
  </si>
  <si>
    <t>880 mi (1,420 km, 760 nmi)</t>
  </si>
  <si>
    <t>20,000 ft (6,100 m)</t>
  </si>
  <si>
    <t>1,200 ft/min (6.1 m/s)</t>
  </si>
  <si>
    <t>//upload.wikimedia.org/wikipedia/commons/thumb/e/ea/1995_Reflex_Lightning_Bug_2_N44MX.jpg/300px-1995_Reflex_Lightning_Bug_2_N44MX.jpg</t>
  </si>
  <si>
    <t>23 U.S. gallons (87 L; 19 imp gal)</t>
  </si>
  <si>
    <t>225 mph (362 km/h, 196 kn)</t>
  </si>
  <si>
    <t>62 mph (100 km/h, 54 kn)</t>
  </si>
  <si>
    <t>20.0 lb/sq ft (98 kg/m2)</t>
  </si>
  <si>
    <t>At least nine</t>
  </si>
  <si>
    <t>1990s</t>
  </si>
  <si>
    <t>Rogers Sportaire</t>
  </si>
  <si>
    <t>The Rogers Sportaire is an American homebuilt aircraft that was designed David M. Rogers and produced by Rogers Aircraft of Riverside, California, introduced in 1959. The aircraft was supplied in the form of plans for amateur construction, but plans are no longer available. Only one was built.[1][2] The aircraft features a cantilever low-wing, a two-seats-in-side-by-side configuration enclosed cockpit under a bubble canopy, fixed tricycle landing gear and a single engine in tractor configuration.[1] The aircraft fuselage is made from welded steel tubing, with the 26.3 ft (8.0 m) span wing made from wood, all covered in doped aircraft fabric. The engine used in the sole example is  a 125 hp (93 kW) Lycoming O-290 powerplant.[1][2] The aircraft has an empty weight of 984 lb (446 kg) and a gross weight of 1,600 lb (730 kg), giving a useful load of 616 lb (279 kg). With full fuel of 22 U.S. gallons (83 L; 18 imp gal) the payload is 484 lb (220 kg).[1] By October 2013 only one example had been registered in the America with the Federal Aviation Administration.[2] Data from Plane and Pilot[1]General characteristics Performance</t>
  </si>
  <si>
    <t>Rogers Aircraft</t>
  </si>
  <si>
    <t>David M. Rogers</t>
  </si>
  <si>
    <t>18 ft 0 in (5.49 m)</t>
  </si>
  <si>
    <t>26 ft 4 in (8.03 m)</t>
  </si>
  <si>
    <t>984 lb (446 kg)</t>
  </si>
  <si>
    <t>1,600 lb (726 kg)</t>
  </si>
  <si>
    <t>1 × Lycoming O-290 four cylinder, air-cooled, four stroke aircraft engine, 125 hp (93 kW)</t>
  </si>
  <si>
    <t>160 mph (260 km/h, 140 kn)</t>
  </si>
  <si>
    <t>Production completed (1959)</t>
  </si>
  <si>
    <t>22 U.S. gallons (83 L; 18 imp gal)</t>
  </si>
  <si>
    <t>Rowley P-40F</t>
  </si>
  <si>
    <t>The Rowley P-40F was an American homebuilt aircraft that was designed by Richard J Rowley and marketed by his company 76th Fighter Squadron Inc, of Meadow Lake Airport, Colorado, first flown in 1986. When it was available the aircraft was supplied in the form of plans for amateur construction.[1] The Rowley P-40F was a 3/4 scale replica of the Second World War Curtiss P-40 Warhawk.[1] The company, 76th Fighter Squadron Inc, was named for the 76th Fighter Squadron, formerly a Flying Tigers unit flying P-40s. The P-40F featured a cantilever low wing, a single-seat enclosed cockpit under a sliding canopy, conventional landing gear and a single engine in tractor configuration. The aircraft was capable of aerobatics.[1][2] The aircraft fuselage was made from welded 4130 steel tubing, covered in sheet 2024-T3 aluminum. The 28.00 ft (8.5 m) span wings were made with a spruce wood box spar, with an aluminum front shear and had a wing area of 128.0 sq ft (11.89 m2). The acceptable power range was 95 to 125 hp (71 to 93 kW) and the original engine used was a 100 hp (75 kW) 2si 808, later replaced with a Rotax powerplant.[1][3] The P-40F prototype had an empty weight of 750 lb (340 kg) and a gross weight of 1,200 lb (540 kg), giving a useful load of 450 lb (200 kg). With full fuel of 22 U.S. gallons (83 L; 18 imp gal) the payload for the pilot and baggage was 318 lb (144 kg).[1] The standard day, sea level, no-wind takeoff with a 100 hp (75 kW) engine was 800 ft (244 m) and the landing roll was 700 ft (213 m).[2] On Sunday, 2 July 2000 in Peyton, Colorado the prototype and sole example, registered N42915, crashed, killing the designer/builder of the aircraft. The National Transportation Safety Board summarized the events: "The pilot was performing a low fly-by over runway 33, and as the airplane reached the departure end, the engine lost power. Witnesses said that the pilot made a left turn back towards runway 15. Subsequently the airplane hit wires, impacted terrain, cart wheeled, came to rest against a transmission pole, and burned. Post accident examination of the engine revealed that the gear reduction assembly had failed. The pilot had designed and built the airplane in 1986." The NTSB assigned cause factors: "the pilot's inadequate decision to turn back (low altitude) towards the runway for a forced landing. A contributing factor was the total loss of engine power due to a reduction gear failure."[4] The sole example's Federal Aviation Administration registration in the America expired on 30 September 2013.[3] Data from AeroCrafter[1]General characteristics Performance</t>
  </si>
  <si>
    <t>76th Fighter Squadron Inc</t>
  </si>
  <si>
    <t>https://en.wikipedia.org/76th Fighter Squadron Inc</t>
  </si>
  <si>
    <t>Richard J Rowley</t>
  </si>
  <si>
    <t>23 ft 0 in (7.01 m)</t>
  </si>
  <si>
    <t>28 ft 0 in (8.53 m)</t>
  </si>
  <si>
    <t>128.0 sq ft (11.89 m2)</t>
  </si>
  <si>
    <t>1,200 lb (544 kg)</t>
  </si>
  <si>
    <t>1 × 2si 808 in-line three cylinder, liquid-cooled, two-stroke, dual ignition, aircraft engine, 100 hp (75 kW)</t>
  </si>
  <si>
    <t>403 mi (649 km, 350 nmi)</t>
  </si>
  <si>
    <t>16,000 ft (4,900 m)</t>
  </si>
  <si>
    <t>1,600 ft/min (8.1 m/s)</t>
  </si>
  <si>
    <t>//upload.wikimedia.org/wikipedia/en/thumb/a/aa/Rowley_P-40F_N42915.JPG/300px-Rowley_P-40F_N42915.JPG</t>
  </si>
  <si>
    <t>Sole example destroyed in 2000Plans no longer available</t>
  </si>
  <si>
    <t>2-bladed wooden fixed pitch</t>
  </si>
  <si>
    <t>110 mph (180 km/h, 96 kn)</t>
  </si>
  <si>
    <t>9.4 lb/sq ft (46 kg/m2)</t>
  </si>
  <si>
    <t>Curtiss P-40 Warhawk</t>
  </si>
  <si>
    <t>https://en.wikipedia.org/Curtiss P-40 Warhawk</t>
  </si>
  <si>
    <t>Sauser P6E</t>
  </si>
  <si>
    <t>The Sauser P6E is an American homebuilt aircraft that was designed and built by Donald Sauser of Tustin, California. The aircraft is an 82% scale reproduction of the 1920s Curtiss P-6 Hawk. When it was available the aircraft was supplied in the form of plans for amateur construction by the Sauser Aircraft Company.[1][2] Like the aircraft it is patterned after, the Sauser P6E features a strut-braced biplane layout, a single-seat open cockpit with a windshield, fixed conventional landing gear with wheel pants and a single engine in tractor configuration.[1] The aircraft is made from welded steel tubing and wood, with its flying surfaces covered in doped aircraft fabric. Its 25.83 ft (7.9 m) span wing has a wing area of 170.0 sq ft (15.79 m2). The acceptable power range is 180 to 260 hp (134 to 194 kW) and the standard engine used is a 212 hp (158 kW) Chevrolet small-block V-8 automotive conversion powerplant.[1] The Sauser P6E has a typical empty weight of 1,425 lb (646 kg) and a gross weight of 2,040 lb (930 kg), giving a useful load of 615 lb (279 kg). With full fuel of 27 U.S. gallons (100 L; 22 imp gal) the payload for the pilot and baggage is 453 lb (205 kg).[1] Sauser P6Es have been registered with the US Federal Aviation Administration under a variety of type designations, making them hard to catalog. Types registered include Sauser QC, Johnson F11C-2PJ (built as a F11C-2 replica), Wooldridge Saco P6-E Hawk and Roof Curtis Hawk P6E.[3][4][5][6] Data from AeroCrafter[1]General characteristics Performance</t>
  </si>
  <si>
    <t>Donald Sauser</t>
  </si>
  <si>
    <t>18.91 ft (5.76 m)</t>
  </si>
  <si>
    <t>25.83 ft (7.87 m)</t>
  </si>
  <si>
    <t>170.0 sq ft (15.79 m2)</t>
  </si>
  <si>
    <t>1,425 lb (646 kg)</t>
  </si>
  <si>
    <t>2,040 lb (925 kg)</t>
  </si>
  <si>
    <t>1 × Chevrolet small block V-8 eight cylinder, liquid-cooled, four stroke automotive conversion engine, 212 hp (158 kW)</t>
  </si>
  <si>
    <t>185 mph (298 km/h, 161 kn)</t>
  </si>
  <si>
    <t>425 mi (684 km, 369 nmi)</t>
  </si>
  <si>
    <t>//upload.wikimedia.org/wikipedia/commons/thumb/2/23/P-6E-03-16.jpg/300px-P-6E-03-16.jpg</t>
  </si>
  <si>
    <t>Plans no longer available</t>
  </si>
  <si>
    <t>27 U.S. gallons (100 L; 22 imp gal)</t>
  </si>
  <si>
    <t>2-bladed fixed pitch wooden</t>
  </si>
  <si>
    <t>12.0 lb/sq ft (59 kg/m2)</t>
  </si>
  <si>
    <t>Curtiss P-6 Hawk</t>
  </si>
  <si>
    <t>https://en.wikipedia.org/Curtiss P-6 Hawk</t>
  </si>
  <si>
    <t>Smith Termite</t>
  </si>
  <si>
    <t>The Smith Special also known as "Smitty's Termite" or simply the Smith Termite is a single place homebuilt aircraft built primarily out of wood.[1] Wilbur L. Smith, was an experienced wooden construction aircraft homebuilder, having built a Pietenpol Sky Scout in 1930.[2]  He designed the Termite using chalk on a basement floor. Don Cookman later drew up the plans. The aircraft is a braced parasol wing monoplane with all-wood construction. The exception being the motor mount, struts and landing gear are made out of steel. It was designed to use an engine from an Aeronca aircraft. Spruce was used as the structural material with birch plywood covering. The spars are from an Aeronca K. The controls are modified from a Piper Cub. The aircraft does not have brakes or a tailwheel.[3] A Continental A-40 was installed after an engine failure resulted in a forced landing, flipping the aircraft on its back during testing.[3] The Smith Special "Termite" is displayed at the Oregon Air &amp; Space Museum in Eugene, Oregon. The fabric covering has been removed to show the all wood construction.[4] Data from Sport AviationGeneral characteristics Performance   Aircraft of comparable role, configuration, and era</t>
  </si>
  <si>
    <t>Single-seat Homebuilt aircraft</t>
  </si>
  <si>
    <t>Termite Aircraft</t>
  </si>
  <si>
    <t>https://en.wikipedia.org/Termite Aircraft</t>
  </si>
  <si>
    <t>Wilbur L. Smith</t>
  </si>
  <si>
    <t>https://en.wikipedia.org/Wilbur L. Smith</t>
  </si>
  <si>
    <t>16 ft 5 in (5.00 m)</t>
  </si>
  <si>
    <t>23 ft (7.0 m)</t>
  </si>
  <si>
    <t>394 lb (179 kg)</t>
  </si>
  <si>
    <t>628 lb (285 kg)</t>
  </si>
  <si>
    <t>1 × Aeronca E113-C , 36 hp (27 kW)</t>
  </si>
  <si>
    <t>81 kn (93 mph, 150 km/h)</t>
  </si>
  <si>
    <t>170 nmi (200 mi, 320 km)</t>
  </si>
  <si>
    <t>8,000 ft (2,400 m)</t>
  </si>
  <si>
    <t>450 ft/min (2.3 m/s)</t>
  </si>
  <si>
    <t>//upload.wikimedia.org/wikipedia/commons/thumb/8/81/Smith_Termite_-_Oregon_Air_and_Space_Museum_-_Eugene%2C_Oregon_-_DSC09872.jpg/300px-Smith_Termite_-_Oregon_Air_and_Space_Museum_-_Eugene%2C_Oregon_-_DSC09872.jpg</t>
  </si>
  <si>
    <t>https://en.wikipedia.org/Single-seat Homebuilt aircraft</t>
  </si>
  <si>
    <t>70 kn (80 mph, 130 km/h)</t>
  </si>
  <si>
    <t>28 kn (32 mph, 51 km/h)</t>
  </si>
  <si>
    <t>Clark Y</t>
  </si>
  <si>
    <t>Team Mini-Max Hi-MAX</t>
  </si>
  <si>
    <t>The Team Mini-Max Hi-MAX is a single-seat, high wing, strut-braced, single engine aircraft available in kit form for amateur construction. It first flew in 1987 and is a high wing development of the Mini-MAX, hence its model name.[1][2][3][4][5][6][7] The Hi-MAX was originally produced by TEAM Incorporated of Bradyville, Tennessee. After that company was bankrupted by a lawsuit production passed to Ison Aircraft also of Bradyville, Tennessee and next to JDT Mini-MAX of Nappanee, Indiana. The company was renamed Team Mini-Max in 2012 and moved to Niles, Michigan.[1][2][3][4][5][6][8] The Hi-MAX was developed from the mid-winged Mini-MAX family of single seat kit aircraft and it shares many similar features with the earlier design.[6] The Hi-MAX is predominantly constructed from wood truss with plywood gussets and covered with doped aircraft fabric. The windshield is Lexan and the side windows are removable for warm weather operations. The aircraft features a short-span wing of only 25 ft (7.6 m) and a fiberglass engine cowling. The wing and horizontal stabilizer are both strut-braced, the tail with struts above the horizontal tail surface to the fin.[5][6][9] The aircraft has conventional landing gear, with wheel pants as an option. The company claims that a builder can complete the aircraft in 350–400 hours from the kit.[5][9] The aircraft was originally intended to meet the requirements of the US FAR 103 Ultralight Vehicles category, including that category's maximum 254 lb (115 kg) empty weight. It was only able to achieve that low empty weight with the 28 hp (21 kW) Rotax 277, which provided marginal performance. The standard specified engine today is the 40 hp (30 kW) Rotax 447 which results in a 328 lb (149 kg) empty weight and places the aircraft in the US Experimental - Amateur-built category.[5][9]   Data from Aerocrafter, Cliche, Kitplanes &amp; JDT website[1][2][3][4][5][6][9]General characteristics Performance   Aircraft of comparable role, configuration, and era</t>
  </si>
  <si>
    <t>JDT Mini-MAXTeam Mini-Max</t>
  </si>
  <si>
    <t>https://en.wikipedia.org/JDT Mini-MAXTeam Mini-Max</t>
  </si>
  <si>
    <t>Wayne Ison</t>
  </si>
  <si>
    <t>https://en.wikipedia.org/Wayne Ison</t>
  </si>
  <si>
    <t>16 ft 0 in (4.88 m)</t>
  </si>
  <si>
    <t>25 ft 0 in (7.62 m)</t>
  </si>
  <si>
    <t>5 ft 6 in (1.68 m)</t>
  </si>
  <si>
    <t>112.5 sq ft (10.45 m2)</t>
  </si>
  <si>
    <t>328 lb (149 kg)</t>
  </si>
  <si>
    <t>560 lb (254 kg)</t>
  </si>
  <si>
    <t>1 × Rotax 447 twin cylinder, two-stroke aircraft engine, 40 hp (30 kW)</t>
  </si>
  <si>
    <t>80 mph (130 km/h, 70 kn)</t>
  </si>
  <si>
    <t>140 mi (230 km, 120 nmi)</t>
  </si>
  <si>
    <t>900 ft/min (4.6 m/s)</t>
  </si>
  <si>
    <t>//upload.wikimedia.org/wikipedia/commons/thumb/e/e9/10-4088_JDT_Hi-MAX_1700R_%289226490256%29.jpg/300px-10-4088_JDT_Hi-MAX_1700R_%289226490256%29.jpg</t>
  </si>
  <si>
    <t>Kits in production</t>
  </si>
  <si>
    <t>10 US gallons (38 litres)</t>
  </si>
  <si>
    <t>31 mph (50 km/h, 27 kn)</t>
  </si>
  <si>
    <t>more than 277 (2007)</t>
  </si>
  <si>
    <t>{'1400Z': 'ngle seat aircraft with the 45\xa0hp (34\xa0kW) Zenoah G-50 engine. Optional engine was the 28\xa0hp (21\xa0kW) Rotax 277.  First flight 1991, no longer in production.[1][2][3][4][5][6][9]', '1700R': 'ngle seat aircraft with the 40\xa0hp (30\xa0kW) Rotax 447 engine. First flight 1987, remains in production, with 250 completed and flown by 2011.[1][2][3][4][5][6][7][9]'}</t>
  </si>
  <si>
    <t>+4.4/-1.8</t>
  </si>
  <si>
    <t>Mini-MAX</t>
  </si>
  <si>
    <t>https://en.wikipedia.org/Mini-MAX</t>
  </si>
  <si>
    <t>Heldeberg Marathon</t>
  </si>
  <si>
    <t>The Heldeberg Marathon, also called the Blue Heron Marathon, is an American powered parachute, that was designed and produced by Heldeberg Designs of Altamont, New York.[1][2][3] The Marathon was designed to comply with the US FAR 103 Ultralight Vehicles two-seat trainer rules and today is marketed as a light-sport aircraft. The aircraft takes its name from its design goal of an aircraft with long range and endurance and features a range of 115 mi (185 km). It features a parachute-style high-wing, two-seats-in-tandem accommodation, tricycle landing gear and originally a single 50 hp (37 kW) Rotax 503 engine in pusher configuration. The 64 hp (48 kW) Rotax 582 was the standard engine used on later models.[1][4] The aircraft is built from a combination of bolted dural aluminium and stainless steel tubing. It features a double ring propeller guard that has been roll-over tested. The 10 U.S. gallons (38 L; 8.3 imp gal) fuel tank is made from aluminium. In flight steering is accomplished via foot pedals, or optionally a control stick, that actuate the canopy brakes, creating roll and yaw. On the ground the aircraft has lever-controlled nosewheel steering. The main landing gear incorporates gas strut suspension. The aircraft is factory supplied in the form of an assembly kit that requires 30–50 hours to complete.[1][3] Originally marketed by the factory under their own name, the aircraft was later marketed under the brand name Blue Heron, although the manufacturer remained the same.[1][3][4] Data from Manufacturer[4]General characteristics Performance</t>
  </si>
  <si>
    <t>Heldeberg Designs</t>
  </si>
  <si>
    <t>https://en.wikipedia.org/Heldeberg Designs</t>
  </si>
  <si>
    <t>9 ft 8 in (2.95 m)</t>
  </si>
  <si>
    <t>39 ft 6 in (12.04 m)</t>
  </si>
  <si>
    <t>308 lb (140 kg)</t>
  </si>
  <si>
    <t>850 lb (386 kg)</t>
  </si>
  <si>
    <t>115 mi (185 km, 100 nmi)</t>
  </si>
  <si>
    <t>32 mph (51 km/h, 28 kn)</t>
  </si>
  <si>
    <t>Jurca Gnatsum</t>
  </si>
  <si>
    <t>The Jurca Gnatsum is a French homebuilt near scale replica aircraft based on the North American P-51 Mustang.[1] The Gnatsum (Mustang spelled backwards) is one of many wooden homebuilt designs from Romanian designer Marcel Jurca. Jurca, a Henschel Hs 129 pilot in World War II, expanded his warbird replica designs to include the Allied North American P-51 Mustang fighter.[2] The Gnatsum is a low-wing, cantilever monoplane with an enclosed single-seat cockpit and manually retractable tailwheel landing gear based on that of the Jurca Sirocco.[3] Suitable for a number of engines around 200 hp (149 kW), plans for the Gnatsum are available as the 2/3 scale MJ-7 and the 3/4 scale MJ-77, as well as the MJ-70 full-size representation. All versions are constructed from wood with fabric covering, and manufacturing rights to the kit aircraft were acquired by Falconar Avia.[4] Plans for the MJ-77 are available from Avions Marcel Jurca.[5] Some of the engines suitable for the MJ-7 Gnatsum series are:- Data from [8]General characteristics Performance  Aircraft of comparable role, configuration, and era</t>
  </si>
  <si>
    <t>Homebuilt near scale replica warbird</t>
  </si>
  <si>
    <t>Marcel Jurca</t>
  </si>
  <si>
    <t>https://en.wikipedia.org/Marcel Jurca</t>
  </si>
  <si>
    <t>1 Pilot</t>
  </si>
  <si>
    <t>6.53 m (21 ft 5 in)</t>
  </si>
  <si>
    <t>8.43 m (27 ft 8 in)</t>
  </si>
  <si>
    <t>13.5 m2 (145 sq ft)</t>
  </si>
  <si>
    <t>998 kg (2,200 lb)</t>
  </si>
  <si>
    <t>1,297 kg (2,860 lb)</t>
  </si>
  <si>
    <t>1 × Geschwender , 260 kW (350 hp)</t>
  </si>
  <si>
    <t>465 km/h (289 mph, 251 kn)</t>
  </si>
  <si>
    <t>800 km (500 mi, 430 nmi)</t>
  </si>
  <si>
    <t>7.6 m/s (1,500 ft/min)</t>
  </si>
  <si>
    <t>//upload.wikimedia.org/wikipedia/commons/thumb/f/fd/Jurca_MJ.77_Gnatsum_%E2%80%98N751JR%E2%80%99_%E2%80%9CMagnificent_Obsession_II%E2%80%9D_%2830457460231%29.jpg/300px-Jurca_MJ.77_Gnatsum_%E2%80%98N751JR%E2%80%99_%E2%80%9CMagnificent_Obsession_II%E2%80%9D_%2830457460231%29.jpg</t>
  </si>
  <si>
    <t>https://en.wikipedia.org/Homebuilt near scale replica warbird</t>
  </si>
  <si>
    <t>50 U.S. gallons (190 L; 42 imp gal)</t>
  </si>
  <si>
    <t>370 km/h (230 mph, 200 kn)</t>
  </si>
  <si>
    <t>105 km/h (65 mph, 56 kn)</t>
  </si>
  <si>
    <t>25+</t>
  </si>
  <si>
    <t>1 (small) passenger</t>
  </si>
  <si>
    <t>https://en.wikipedia.org/1969</t>
  </si>
  <si>
    <t>https://en.wikipedia.org/Falconar SAL Mustang</t>
  </si>
  <si>
    <t>Lamco Eurocub</t>
  </si>
  <si>
    <t>The Lamco Eurocub is a Hungarian ultralight aircraft with fixed conventional landing gear, manufactured by Danex Engineering Kft. It is used primarily for flight training, touring and personal flying. The aircraft is currently not in production and a purchaser for the design, jigs and rights is being sought. The Lamco Eurocub is a single-engined, high-wing monoplane with two seats in side-by-side configuration. The Eurocub is manufactured with either an 80 hp (60 kW) Rotax 912 UL engine or a 100 hp (75 kW) Rotax 912 ULS engine. The engine drives the propeller, which has ground-adjustable pitch, through a gearbox with a 2.43:1 reduction ratio. The aircraft's fuselage, stabilizers, rudders and landing gear are constructed of welded steel tubes. The wing spars are made of extruded Dural 6061-T6 aluminium. The aircraft is covered in Ceconite aircraft fabric covering. The firewall is made of stainless steel. Data from Pilot's operating handbook[1]General characteristics Performance</t>
  </si>
  <si>
    <t>Fixed wing ultralight aircraft</t>
  </si>
  <si>
    <t>Danex Engineering Kft</t>
  </si>
  <si>
    <t>5.70 m (18 ft 8 in)</t>
  </si>
  <si>
    <t>9.55 m (31 ft 4 in)</t>
  </si>
  <si>
    <t>14.00 m2 (150.7 sq ft)</t>
  </si>
  <si>
    <t>1 × Rotax 912UL four cylinder, liquid and air-cooled, four stroke aircraft engine, 60 kW (80 hp)</t>
  </si>
  <si>
    <t>//upload.wikimedia.org/wikipedia/commons/thumb/5/53/Eurocub.jpg/300px-Eurocub.jpg</t>
  </si>
  <si>
    <t>Out of production</t>
  </si>
  <si>
    <t>82 litres (18 imp gal; 22 US gal)</t>
  </si>
  <si>
    <t>3-bladed Warp Drive Inc or Ivoprop carbon fiber laminate with on-the-ground-adjustable pitch., 1.73 m (5 ft 8 in) diameter</t>
  </si>
  <si>
    <t>61 km/h (38 mph, 33 kn)</t>
  </si>
  <si>
    <t>200 km/h (130 mph, 110 kn)</t>
  </si>
  <si>
    <t>Marske Monarch</t>
  </si>
  <si>
    <t>The Marske Monarch is a single-seat, high-wing, strut-braced, tailless ultralight glider and motor glider that was offered both as plans and a kit for amateur construction by Marske Aircraft.[1][2][3] The Monarch first flew in 1974 and was designed to be both a powered self-launching sailplane and also a pure glider, depending on whether an engine was fitted. The glider version is suitable for car-tow or winch-launching.[1][2] The aircraft is built from fiberglass and epoxy laminates. The wing uses a D-cell leading edge. The optional engine can be mounted to the upright behind the pilot in pusher configuration, with the fuel tanks located in the leading edge D-cell. The original powerplant produced 12 hp (9 kW), but engines up to 24 hp (18 kW) can be fitted. When the lower-powered engine is installed the wing is relocated forward to maintain center of gravity. With the larger engine the wing is moved aft. The standard control stick is mounted from above, simplifying control runs to the high wing. The aircraft was proof tested to 9 g.[1][2] The Monarch has had several modifications designed for it, including mounting a conventional floor-mounted control stick. Other modifications include larger ailerons and rudder to improve the low-speed handling characteristics.[1][2] Data from Sailplane Directory, Soaring and Jane's All the World's Aircraft 1988-89 [1][2][5]General characteristics Performance  Aircraft of comparable role, configuration, and era</t>
  </si>
  <si>
    <t>Glider &amp; Motor glider</t>
  </si>
  <si>
    <t>Marske Aircraft Corporation</t>
  </si>
  <si>
    <t>https://en.wikipedia.org/Marske Aircraft Corporation</t>
  </si>
  <si>
    <t>Jim Marske</t>
  </si>
  <si>
    <t>https://en.wikipedia.org/Jim Marske</t>
  </si>
  <si>
    <t>12 ft 2 in (3.71 m)</t>
  </si>
  <si>
    <t>42 ft 0 in (12.80 m)</t>
  </si>
  <si>
    <t>7 ft 10 in (2.39 m)</t>
  </si>
  <si>
    <t>185 sq ft (17.2 m2)</t>
  </si>
  <si>
    <t>220 lb (100 kg)</t>
  </si>
  <si>
    <t>450 lb (204 kg)</t>
  </si>
  <si>
    <t>1 × McCulloch single cylinder air-cooled piston engine, 12 hp (8.9 kW)</t>
  </si>
  <si>
    <t>//upload.wikimedia.org/wikipedia/commons/thumb/0/0d/KN_Marske_Monarch_1973.jpg/300px-KN_Marske_Monarch_1973.jpg</t>
  </si>
  <si>
    <t>https://en.wikipedia.org/Glider &amp; Motor glider</t>
  </si>
  <si>
    <t>2.42 lb/sq ft (11.8 kg/m2)</t>
  </si>
  <si>
    <t>NACA 43012A reflexed at 75% chord</t>
  </si>
  <si>
    <t>70 mph (113 km/h, 61 kn) in smooth air</t>
  </si>
  <si>
    <t>+5.3 -2.6</t>
  </si>
  <si>
    <t>40 mph; 35 kn (64 km/h)</t>
  </si>
  <si>
    <t>161 ft/min (0.82 m/s) *Minimum sink speed</t>
  </si>
  <si>
    <t>80 km/h (43 kn; 50 mph) (inc. aero-tow and winch launch)</t>
  </si>
  <si>
    <t>Sport Racer</t>
  </si>
  <si>
    <t>The Sport Racer is an American homebuilt racing aircraft that was designed and produced by Sport Racer Inc of Valley Center, Kansas. When it was available the aircraft was supplied in the form of plans for amateur construction.[1] The Sport Racer features a cantilever mid-wing, a two-seats-in-tandem enclosed cockpit under a bubble canopy, fixed conventional landing gear with wheel pants and a single engine in tractor configuration.[1] The aircraft fuselage is made from welded 4130 steel tubing. The 22.00 ft (6.7 m) span wing has a wooden structure, covered in doped aircraft fabric and has a wing area of 81.00 sq ft (7.525 m2). The standard engine used is a 230 hp (172 kW) Ford Motor Company V-6 automotive conversion powerplant.[1] The Sport Racer has a typical empty weight of 1,175 lb (533 kg) and a gross weight of 1,850 lb (840 kg), giving a useful load of 675 lb (306 kg). With full fuel of 30 U.S. gallons (110 L; 25 imp gal) the payload for the pilot, passenger and baggage is 495 lb (225 kg).[1] The standard day, sea level, no wind, take off with a 230 hp (172 kW) engine is 1,500 ft (457 m) and the landing roll is 1,600 ft (488 m).[1] The manufacturer estimated the construction time from the supplied plans as 1600 hours.[1] Data from AeroCrafter[1]General characteristics Performance</t>
  </si>
  <si>
    <t>Sport Racer Inc</t>
  </si>
  <si>
    <t>https://en.wikipedia.org/Sport Racer Inc</t>
  </si>
  <si>
    <t>21.15 ft (6.45 m)</t>
  </si>
  <si>
    <t>22.00 ft (6.71 m)</t>
  </si>
  <si>
    <t>81.00 sq ft (7.525 m2)</t>
  </si>
  <si>
    <t>1,175 lb (533 kg)</t>
  </si>
  <si>
    <t>1,850 lb (839 kg)</t>
  </si>
  <si>
    <t>1 × Ford Motor Company V-6, six cylinder, liquid-cooled, four stroke automotive conversion engine, 230 hp (170 kW)</t>
  </si>
  <si>
    <t>525 mi (845 km, 456 nmi)</t>
  </si>
  <si>
    <t>18,000 ft (5,500 m)</t>
  </si>
  <si>
    <t>30 U.S. gallons (110 L; 25 imp gal)</t>
  </si>
  <si>
    <t>2-bladed fixed pitch</t>
  </si>
  <si>
    <t>175 mph (282 km/h, 152 kn)</t>
  </si>
  <si>
    <t>22.8 lb/sq ft (111 kg/m2)</t>
  </si>
  <si>
    <t>Henderson Little Bear</t>
  </si>
  <si>
    <t>The Henderson Little Bear is an American homebuilt aircraft that was designed and produced by Henderson Aero Specialities of Felton, Delaware, introduced in 1993. The aircraft is a replica of the Piper J-3 Cub (a little bear is a "cub"). When it was available the aircraft was supplied as a kit or in the form of plans for amateur construction.[1] The Little Bear features a strut-braced high-wing, a two-seats-in-tandem enclosed cockpit accessed via doors, fixed conventional landing gear and a single engine in tractor configuration.[1] The aircraft fuselage is made from welded steel with all surfaces covered in doped aircraft fabric. Its 35.00 ft (10.7 m) span wing employs a USA 35B airfoil, has a wing area of 178.0 sq ft (16.54 m2) and is supported by "V" struts and jury struts. The cabin width is 28 in (71 cm). The acceptable power range is 65 to 100 hp (48 to 75 kW) and the standard engine used is the 65 hp (48 kW) Continental A65.[1] The Little Bear has a typical empty weight of 700 lb (320 kg) and a gross weight of 1,220 lb (550 kg), giving a useful load of 520 lb (240 kg). With full fuel of 12 U.S. gallons (45 L; 10.0 imp gal) the payload for the pilot, passenger and baggage is 448 lb (203 kg).[1] The manufacturer estimated the construction time from the supplied kit as 400 hours.[1] By 1998 the company reported that five kits had been sold and two aircraft were completed and flying.[1] In December 2013 one example was registered in the America with the Federal Aviation Administration.[2] Data from AeroCrafter[1]General characteristics Performance</t>
  </si>
  <si>
    <t>Henderson Aero Specialties</t>
  </si>
  <si>
    <t>https://en.wikipedia.org/Henderson Aero Specialties</t>
  </si>
  <si>
    <t>22 ft 6 in (6.86 m)</t>
  </si>
  <si>
    <t>35 ft 0 in (10.67 m)</t>
  </si>
  <si>
    <t>178.0 sq ft (16.54 m2)</t>
  </si>
  <si>
    <t>700 lb (318 kg)</t>
  </si>
  <si>
    <t>1,220 lb (553 kg)</t>
  </si>
  <si>
    <t>1 × Continental A65 four cylinder, air-cooled, four stroke aircraft engine, 65 hp (48 kW)</t>
  </si>
  <si>
    <t>122 mph (196 km/h, 106 kn)</t>
  </si>
  <si>
    <t>10,500 ft (3,200 m)</t>
  </si>
  <si>
    <t>6.9 lb/sq ft (34 kg/m2)</t>
  </si>
  <si>
    <t>USA 35B</t>
  </si>
  <si>
    <t>Piper J-3 Cub</t>
  </si>
  <si>
    <t>https://en.wikipedia.org/Piper J-3 Cub</t>
  </si>
  <si>
    <t>Historical P-51 Mustang</t>
  </si>
  <si>
    <t>The Historical P-51 Mustang is an American homebuilt aircraft that was designed and produced by the Historical Aircraft Corporation of Nucla, Colorado. The aircraft is a 62.5% scale replica of the original North American P-51 Mustang and when it was available was supplied as a kit for amateur construction.[1] The aircraft features a cantilever low-wing, a single-seat enclosed cockpit under a bubble canopy, retractable conventional landing gear and a single engine in tractor configuration.[1] The aircraft is made from welded steel tubing covered in a shell of polyurethane foam and fiberglass. Its 24.00 ft (7.3 m) span wing, mounts flaps and has a wing area of 100.00 sq ft (9.290 m2). The cockpit width is 21 in (53 cm). The standard engine used is the 230 hp (172 kW) Ford Motor Company V-6 automotive conversion powerplant.[1] The aircraft has a typical empty weight of 1,354 lb (614 kg) and a gross weight of 1,954 lb (886 kg), giving a useful load of 600 lb (270 kg). With full fuel of 41 U.S. gallons (160 L; 34 imp gal) the payload for pilot and baggage is 354 lb (161 kg).[1] The aircraft has fairly lengthy runway requirements with a standard day sea level take-off distance of 1,200 ft (366 m) and a landing distance of 1,500 ft (457 m).[1] The kit included prefabricated assemblies, the engine and scale fixed pitch propeller, instruments and avionics. The manufacturer estimated the construction time from the supplied kit as 2000 hours.[1] Data from AeroCrafter[1]General characteristics Performance</t>
  </si>
  <si>
    <t>20.60 ft (6.28 m)</t>
  </si>
  <si>
    <t>24.00 ft (7.32 m)</t>
  </si>
  <si>
    <t>100.00 sq ft (9.290 m2)</t>
  </si>
  <si>
    <t>1,354 lb (614 kg)</t>
  </si>
  <si>
    <t>1,954 lb (886 kg)</t>
  </si>
  <si>
    <t>1 × Ford Motor Company V-6 four stroke automotive conversion powerplant, 230 hp (170 kW)</t>
  </si>
  <si>
    <t>255 mph (410 km/h, 222 kn)</t>
  </si>
  <si>
    <t>650 mi (1,050 km, 560 nmi)</t>
  </si>
  <si>
    <t>27,750 ft (8,460 m)</t>
  </si>
  <si>
    <t>2,290 ft/min (11.6 m/s)</t>
  </si>
  <si>
    <t>41 U.S. gallons (160 L; 34 imp gal)</t>
  </si>
  <si>
    <t>4-bladed fixed pitch composite</t>
  </si>
  <si>
    <t>228 mph (367 km/h, 198 kn)</t>
  </si>
  <si>
    <t>57 mph (92 km/h, 50 kn) flaps and gear down</t>
  </si>
  <si>
    <t>19.54 lb/sq ft (95.4 kg/m2)</t>
  </si>
  <si>
    <t>North American P-51 Mustang</t>
  </si>
  <si>
    <t>https://en.wikipedia.org/North American P-51 Mustang</t>
  </si>
  <si>
    <t>Midwest Questar Arrowstar</t>
  </si>
  <si>
    <t>The Midwest Questar Arrowstar is an American ultralight aircraft that was designed and produced by Midwest Engineering of Overland Park, Kansas. When it was available the aircraft was supplied in the form of plans for amateur construction, but the plans were withdrawn on 29 June 2000.[1][2] The Questar Arrowstar was designed to comply with the US FAR 103 Ultralight Vehicles rules, including the category's maximum empty weight of 254 lb (115 kg). The aircraft has a standard empty weight of 230 lb (104 kg).[1] The aircraft features a strut-braced high-wing, a single-seat open cockpit without a windshield, fixed tricycle landing gear without wheel pants and a single engine in tractor configuration.[1] The Questar Arrowstar is made from bolted-together 6061-T6 aluminum tubing, with its flying surfaces covered in doped aircraft fabric. Its 27.25 ft (8.3 m) span wing has a wing area of 130.0 sq ft (12.08 m2), is supported by "V" struts and the wing can be detached in ten minutes for ground transport or storage. The acceptable power range is 30 to 40 hp (22 to 30 kW) and the standard engines used are small 30 hp (22 kW) two-stroke powerplants.[1] The aircraft has a typical empty weight of 230 lb (100 kg) and a gross weight of 450 lb (200 kg), giving a useful load of 220 lb (100 kg). With full fuel of 3 U.S. gallons (11 L; 2.5 imp gal) the payload for the pilot and baggage is 202 lb (92 kg).[1] The standard day, sea level, no wind, take off distance with a 30 hp (22 kW) engine is 100 ft (30 m) and the landing roll is 80 ft (24 m).[1] The manufacturer estimated the construction time from the supplied plans as 80 hours.[1] By 1998 the company reported that 170 sets of plans had been sold and that 60 aircraft were completed and flying.[1] Data from AeroCrafter[1]General characteristics Performance</t>
  </si>
  <si>
    <t>15.00 ft (4.57 m)</t>
  </si>
  <si>
    <t>27.25 ft (8.31 m)</t>
  </si>
  <si>
    <t>130.0 sq ft (12.08 m2)</t>
  </si>
  <si>
    <t>230 lb (104 kg)</t>
  </si>
  <si>
    <t>58 mph (93 km/h, 50 kn)</t>
  </si>
  <si>
    <t>24 mph (39 km/h, 21 kn)</t>
  </si>
  <si>
    <t>3.5 lb/sq ft (17 kg/m2)</t>
  </si>
  <si>
    <t>60 (1998)</t>
  </si>
  <si>
    <t>Peris JN-1</t>
  </si>
  <si>
    <t>The Peris JN-1 is an American homebuilt aircraft that was designed by Jim Peris of Lancaster, Pennsylvania. When it was available the aircraft was supplied in the form of plans for amateur construction.[1][2][3] The plans for the JN-1 were originally marketed by the designer and then after his death, by his wife, Nancy Peris. Following her death the plans became no longer available.[2] The JN-1 was designed to be a very economical aircraft to build and fly. The prototype was constructed for US$2500 in the mid-1980s. It features a strut-braced high-wing, a single-seat, enclosed cockpit accessed via a door, fixed conventional landing gear with wheel pants and a single engine in tractor configuration.[1][2] The aircraft is made from a combination of wood, foam and fiberglass. The main structure is built from sheet foam and covered in fiberglass, as are the fuselage bulkheads, the wing ribs, stabilizers, and the rudder. The fuselage longerons, wing and tail spars, the landing gear mounts, and firewall are all made from Douglas fir, with the spars solid, not laminates. The formers are made from foam, fiberglassed on both sides for strength. All fittings are made from 4130 steel. The landing gear is fabricated from an automotive leaf spring wrapped with 3-inch fiberglass and mounts wheelbarrow wheels. The wheel pants are made from foam, covered in fiberglass and then hollowed out. Its 30.00 ft (9.1 m) span wing has no flaps, has a wing area of 140.0 sq ft (13.01 m2) and folds for ground storage or transportation. The acceptable power range is 38 to 50 hp (28 to 37 kW) and the standard engine used is the 38 hp (28 kW) Kawasaki 440 snowmobile powerplant.[1][2][3] The JN-1 has a typical empty weight of 320 lb (150 kg) and a gross weight of 600 lb (270 kg), giving a useful load of 280 lb (130 kg). With full fuel of 5 U.S. gallons (19 L; 4.2 imp gal) the payload for the pilot and baggage is 250 lb (110 kg).[1][3] The standard day, sea level, no wind, take off and landing roll with a 38 hp (28 kW) engine is 250 ft (76 m).[1][3] The manufacturer estimates the construction time from the supplied plans as 800 hours.[1] Builders have indicated that the plans are not very clear or complete and much is left up to the builder to figure out.[2] The designer said of the aircraft: "I didn’t go for any high-tech sort of plane; this one was fun to design and build. Really a very inexpensive hobby! I guess you could spend $2,500 in a couple of years playing golf or bowling. The test flight was a couple of hours long, and we had a lot of fun with a J-4 Cub and a Vagabond, all flying formation and taking pictures. It flies very stable, no bad habits, and cruises 55 to 60 mph. Takeoff is in 250 feet with climbout at 40 mph. Rate of climb is 600 feet/minute. Approach at 40 mph and land at about 28 mph. All speeds are indicated."[2] By 1998 the designer reported that 20 aircraft were completed and flying.[1] In January 2014 three examples were registered in the America with the Federal Aviation Administration, although a total of seven had been registered at one time.[4] Data from AeroCrafter and Pilot Friend[1][3]General characteristics Performance</t>
  </si>
  <si>
    <t>Jim Peris</t>
  </si>
  <si>
    <t>140.0 sq ft (13.01 m2)</t>
  </si>
  <si>
    <t>320 lb (145 kg)</t>
  </si>
  <si>
    <t>600 lb (272 kg)</t>
  </si>
  <si>
    <t>1 × Kawasaki 440 twin cylinder, air-cooled, two stroke snowmobile engine, 38 hp (28 kW)</t>
  </si>
  <si>
    <t>65 mph (105 km/h, 56 kn)</t>
  </si>
  <si>
    <t>110 mi (180 km, 96 nmi)</t>
  </si>
  <si>
    <t>Plans no longer available (2014)</t>
  </si>
  <si>
    <t>5 U.S. gallons (19 L; 4.2 imp gal)</t>
  </si>
  <si>
    <t>4.3 lb/sq ft (21 kg/m2)</t>
  </si>
  <si>
    <t>Southern Aeronautical Scamp</t>
  </si>
  <si>
    <t>The Southern Aeronautical Scamp is an American aircraft designed for homebuilt construction and Formula V Air Racing. The Scamp is a single place, mid-wing aircraft with conventional landing gear. The fuselage is constructed with steel tubing and covered with fabric. The wings are of all wood construction.[1] Data from Air trailsGeneral characteristics Performance   Aircraft of comparable role, configuration, and era    This article on an aircraft of the 1960s is a stub. You can help Wikipedia by expanding it.</t>
  </si>
  <si>
    <t>Southern Aeronautical Corporation</t>
  </si>
  <si>
    <t>https://en.wikipedia.org/Southern Aeronautical Corporation</t>
  </si>
  <si>
    <t>14 ft (4.3 m)</t>
  </si>
  <si>
    <t>17 ft (5.2 m)</t>
  </si>
  <si>
    <t>4 ft (1.2 m)</t>
  </si>
  <si>
    <t>75 sq ft (7.0 m2)</t>
  </si>
  <si>
    <t>1 × Volkswagen air-cooled engine , 65 hp (48 kW)</t>
  </si>
  <si>
    <t>130 kn (150 mph, 240 km/h)</t>
  </si>
  <si>
    <t>175 nmi (201 mi, 324 km)</t>
  </si>
  <si>
    <t>109 kn (125 mph, 201 km/h)</t>
  </si>
  <si>
    <t>32 kn (37 mph, 60 km/h)</t>
  </si>
  <si>
    <t>Stewart S-51D Mustang</t>
  </si>
  <si>
    <t>The Stewart S-51D Mustang is an American aerobatic homebuilt aircraft that was designed by Jim Stewart and produced by Stewart 51 of Vero Beach, Florida, introduced in 1994. When it was available the aircraft was supplied as a kit for amateur construction.[1][2] The S-51D is a 70% scale version of the World War II P-51D Mustang fighter aircraft.[1] Designer Jim Stewart took a leave of absence from his employer, Pratt &amp; Whitney, in 1989 to work on the S-51D's tooling and design. The prototype took flight on 30 March 1994 and by late June had completed its 40 hours of test flying.[1] The S-51D Mustang features a cantilever low-wing, a two-seats-in-tandem enclosed cockpit under a bubble canopy, retractable conventional landing gear, and a single engine in tractor configuration.[1] The aircraft is made from sheet aluminum. Its 26.00 ft (7.9 m) span wing mounts flaps and has a wing area of 123.0 sq ft (11.43 m2). The cabin width is 21 in (53 cm). The acceptable power range is 300 to 600 hp (224 to 447 kW). The specified propeller is a 91 in (2.31 m) diameter, constant speed four-bladed Hartzell Propeller unit, that is driven by a  spur gear with a (2.13:1) reduction ratio.[1][2] The S-51D Mustang has a typical empty weight of 2,200 lb (1,000 kg) and a gross weight of 3,000 lb (1,400 kg), giving a useful load of 800 lb (360 kg). With full fuel of 70 U.S. gallons (260 L; 58 imp gal) the payload for the pilot, passenger, and baggage is 380 lb (170 kg).[1] The standard day, sea level, no wind, take off with a 400 hp (298 kW) engine is 1,080 ft (329 m) and the landing roll is 1,800 ft (549 m).[1] The manufacturer estimated the construction time from the supplied standard kit as 2000 hours. A fast-build kit was also available.[1] By 1998 the company reported that 72 kits had been sold and two aircraft were completed and flying.[1] In March 2014, 12 examples were registered in the America with the Federal Aviation Administration, although a total of 19 had been registered at one time.[3] Data from AeroCrafter and Aircraft Spruce[1][2]General characteristics Performance</t>
  </si>
  <si>
    <t>Stewart 51</t>
  </si>
  <si>
    <t>https://en.wikipedia.org/Stewart 51</t>
  </si>
  <si>
    <t>Jim Stewart</t>
  </si>
  <si>
    <t>22 ft 0 in (6.71 m)</t>
  </si>
  <si>
    <t>26 ft 0 in (7.92 m)</t>
  </si>
  <si>
    <t>123.0 sq ft (11.43 m2)</t>
  </si>
  <si>
    <t>2,200 lb (998 kg)</t>
  </si>
  <si>
    <t>3,000 lb (1,361 kg)</t>
  </si>
  <si>
    <t>1 × liquid cooled eight cylinder, four stroke engine, 400 hp (300 kW)</t>
  </si>
  <si>
    <t>275 mph (443 km/h, 239 kn)</t>
  </si>
  <si>
    <t>24,000 ft (7,300 m)</t>
  </si>
  <si>
    <t>2,780 ft/min (14.1 m/s)</t>
  </si>
  <si>
    <t>4-bladed Hartzell Propeller constant speed propeller</t>
  </si>
  <si>
    <t>260 mph (420 km/h, 230 kn)</t>
  </si>
  <si>
    <t>70 mph (110 km/h, 61 kn) flaps and landing gear down</t>
  </si>
  <si>
    <t>24.4 lb/sq ft (119 kg/m2)</t>
  </si>
  <si>
    <t>At least 19</t>
  </si>
  <si>
    <t>+9/-4.5 (structural)</t>
  </si>
  <si>
    <t>North American P-51D Mustang</t>
  </si>
  <si>
    <t>https://en.wikipedia.org/North American P-51D Mustang</t>
  </si>
  <si>
    <t>Preceptor Stinger</t>
  </si>
  <si>
    <t>The Preceptor Stinger is an American homebuilt aircraft that was designed and produced by Preceptor Aircraft of Rutherfordton, North Carolina. When it was available the aircraft was supplied as plans or as a kit for amateur construction.[1][2] The company appears to have gone out of business in 2012 and production curtailed.[3] The Stinger is a development of the Preceptor N3 Pup. It features a strut-braced parasol wing, a single-seat, open cockpit, fixed conventional landing gear and a single engine in tractor configuration.[1] The aircraft is made from welded steel tubing covered in doped aircraft fabric. Its 30.5 ft (9.3 m) span wing is the same as used on the Pup and has a wing area of 122.0 sq ft (11.33 m2). The wing is supported by cabane struts and "V" struts, with jury struts. The cockpit width is 22.8 in (58 cm). The acceptable power range is 35 to 50 hp (26 to 37 kW) and the standard engine used is the 50 hp (37 kW) Volkswagen 1600cc, four cylinder, air-cooled, four stroke automotive conversion powerplant. The standard day, sea level, no wind, take off with a 50 hp (37 kW) engine is 100 ft (30 m) and the landing roll is 150 ft (46 m).[1][2] The aircraft has a typical empty weight of 400 lb (180 kg) and a gross weight of 660 lb (300 kg), giving a useful load of 260 lb (120 kg). With full fuel of 10 U.S. gallons (38 L; 8.3 imp gal) the payload for the pilot and baggage is 200 lb (91 kg).[2] The manufacturer estimated the construction time from the supplied kit as 450 hours and the cost to complete the aircraft at US$22,000-26,000 in 2011.[2] By 1998 the company reported that three kits had been sold and one aircraft had been completed and was flying.[1] By 2011 the company reported that two were flying.[2] Data from AeroCrafter and Kitplanes[1][2]General characteristics Performance</t>
  </si>
  <si>
    <t>Preceptor Aircraft</t>
  </si>
  <si>
    <t>https://en.wikipedia.org/Preceptor Aircraft</t>
  </si>
  <si>
    <t>17 ft 0 in (5.18 m)</t>
  </si>
  <si>
    <t>30 ft 6 in (9.30 m)</t>
  </si>
  <si>
    <t>122.0 sq ft (11.33 m2)</t>
  </si>
  <si>
    <t>660 lb (299 kg)</t>
  </si>
  <si>
    <t>1 × Volkswagen air-cooled engine 1600cc, four cylinder, air-cooled, four stroke automotive conversion engine, 50 hp (37 kW)</t>
  </si>
  <si>
    <t>Production completed (2012)</t>
  </si>
  <si>
    <t>4.5 lb/sq ft (22 kg/m2)</t>
  </si>
  <si>
    <t>Preceptor N3 Pup</t>
  </si>
  <si>
    <t>https://en.wikipedia.org/Preceptor N3 Pup</t>
  </si>
  <si>
    <t>Rans S-20 Raven</t>
  </si>
  <si>
    <t>The Rans S-20 Raven is an American homebuilt aircraft that was designed by Randy Schlitter and is produced by Rans Designs of Hays, Kansas, introduced at AirVenture in August 2013. The aircraft is supplied as a kit for amateur construction and it is anticipated that it will later be offered as a complete ready-to-fly-aircraft in the light-sport aircraft category.[1][2] The S-20 combines features from the Rans S-6 Coyote II and Rans S-7 Courier models. It differs from the S-6 in having the whole fuselage made from welded 4130 steel tubing and not just the cockpit cage and it uses the S-7's wings.[1][2][3] The aircraft features a strut-braced high-wing, a two-seats-in-side-by-side configuration enclosed cockpit accessed via bowed-out top-hinged doors to give increased shoulder room, fixed conventional landing gear or optionally tricycle landing gear made from 7075 aluminum with wheel pants and a single engine in tractor configuration.[1][2][4] The aircraft fuselage is made from welded 4130 steel tubing, while the wings are of aluminum construction, with all surfaces covered in doped aircraft fabric. Its 30.25 ft (9.2 m) span wing mounts flaps, has a wing area of 152.7 sq ft (14.19 m2) and is supported by "V" struts with jury struts. The cabin has a width of 46 in (120 cm) and features a large overhead skylight. The acceptable power range is 100 to 160 hp (75 to 119 kW) and the standard engines used are the 100 hp (75 kW) Rotax 912ULS or the 130 hp (97 kW) ULPower UL350iS powerplant.[4] The aircraft has a typical empty weight of 740 lb (340 kg) and a gross weight of 1,320 lb (600 kg), giving a useful load of 580 lb (260 kg). With full fuel of 26 U.S. gallons (98 L; 22 imp gal) the payload for the pilot, passenger and baggage is 424 lb (192 kg).[4] The manufacturer estimates the construction time from the supplied kit as 500–700 hours, with kits forecast to commence shipping in February 2014. A ready-to-fly LSA version is expected to be on the market by late 2015 at a cost of about US$120,000.[1][4][5] In January 2014 one example was registered in the America with the Federal Aviation Administration, although a total of two had been registered at one time.[6] Data from AVweb and Rans[1][4]General characteristics Performance</t>
  </si>
  <si>
    <t>Homebuilt aircraft, Light-sport aircraft</t>
  </si>
  <si>
    <t>Rans Designs</t>
  </si>
  <si>
    <t>https://en.wikipedia.org/Rans Designs</t>
  </si>
  <si>
    <t>Randy Schlitter</t>
  </si>
  <si>
    <t>30 ft 3 in (9.22 m)</t>
  </si>
  <si>
    <t>6 ft 7 in (2.01 m)</t>
  </si>
  <si>
    <t>740 lb (336 kg)</t>
  </si>
  <si>
    <t>1,320 lb (599 kg)</t>
  </si>
  <si>
    <t>1 × Rotax 912ULS four cylinder, air and liquid-cooled, four stroke aircraft engine, 100 hp (75 kW)</t>
  </si>
  <si>
    <t>582 mi (937 km, 506 nmi)</t>
  </si>
  <si>
    <t>14,500 ft (4,400 m)</t>
  </si>
  <si>
    <t>//upload.wikimedia.org/wikipedia/commons/thumb/f/fb/RANS_S-20_Raven.jpg/300px-RANS_S-20_Raven.jpg</t>
  </si>
  <si>
    <t>https://en.wikipedia.org/Homebuilt aircraft, Light-sport aircraft</t>
  </si>
  <si>
    <t>26 U.S. gallons (98 L; 22 imp gal)</t>
  </si>
  <si>
    <t>2-bladed Warp Drive Inc ground adjustable, 5 ft 10 in (1.78 m) diameter</t>
  </si>
  <si>
    <t>112 mph (180 km/h, 97 kn)</t>
  </si>
  <si>
    <t>33 mph (53 km/h, 29 kn) flaps down</t>
  </si>
  <si>
    <t>8.64 lb/sq ft (42.2 kg/m2)</t>
  </si>
  <si>
    <t>5.2 hours</t>
  </si>
  <si>
    <t>130 mph (210 km/h, 110 kn)</t>
  </si>
  <si>
    <t>Rans S-6 Coyote IIRans S-7 Courier</t>
  </si>
  <si>
    <t>https://en.wikipedia.org/Rans S-6 Coyote IIRans S-7 Courier</t>
  </si>
  <si>
    <t>SkyDancer SD-260</t>
  </si>
  <si>
    <t>The SkyDancer SD-260 was an American aerobatic homebuilt biplane that was designed and produced by SkyDancer Aviation of Louisville, Kentucky, introduced in the mid-1990s. When it was available the aircraft was supplied as a kit.[1] The SD-260 featured a strut-braced biplane layout, a two-seats-in-tandem open cockpit, with an optional bubble canopy, fixed conventional landing gear with wheel pants and a single engine in tractor configuration.[1] The aircraft fuselage was made from welded 4130 steel tubing. Its 22.00 ft (6.7 m) span had a wooden structure with four ailerons, a wing area of 135.0 sq ft (12.54 m2) and was covered in doped aircraft fabric. The wing was supported by interplane struts, cabane struts and flying wires. The acceptable power range was 200 to 400 hp (149 to 298 kW) and the standard engine used was the 260 hp (194 kW) Lycoming IO-540 powerplant.[1] The SD-260 had a typical empty weight of 1,250 lb (570 kg) and a gross weight of 1,850 lb (840 kg), giving a useful load of 600 lb (270 kg). With full fuel of 29 U.S. gallons (110 L; 24 imp gal) the payload for the pilot, passenger and baggage was 426 lb (193 kg).[1] The standard day, sea level, no wind, take off with a 260 hp (194 kW) engine was 600 ft (183 m) and the landing roll was 800 ft (244 m).[1] The manufacturer estimated the construction time from the supplied kit as 1200 hours.[1] In March 2014 no examples were registered in the America with the Federal Aviation Administration, although a total of two had been registered at one time. It is unlikely any remain in existence.[2] Data from AeroCrafter[1]General characteristics Performance</t>
  </si>
  <si>
    <t>SkyDancer Aviation</t>
  </si>
  <si>
    <t>https://en.wikipedia.org/SkyDancer Aviation</t>
  </si>
  <si>
    <t>135.0 sq ft (12.54 m2)</t>
  </si>
  <si>
    <t>1 × Lycoming IO-540 six cylinder, air-cooled, four stroke aircraft engine, 260 hp (190 kW)</t>
  </si>
  <si>
    <t>320 mi (510 km, 280 nmi)</t>
  </si>
  <si>
    <t>2,200 ft/min (11 m/s)</t>
  </si>
  <si>
    <t>//upload.wikimedia.org/wikipedia/en/thumb/3/34/SkyDancer_SD-260_Prototype.jpg/300px-SkyDancer_SD-260_Prototype.jpg</t>
  </si>
  <si>
    <t>29 U.S. gallons (110 L; 24 imp gal)</t>
  </si>
  <si>
    <t>2-bladed metal constant speed propeller</t>
  </si>
  <si>
    <t>56 mph (90 km/h, 49 kn)</t>
  </si>
  <si>
    <t>13.7 lb/sq ft (67 kg/m2)</t>
  </si>
  <si>
    <t>At least two</t>
  </si>
  <si>
    <t>Time Warp Spitfire Mk V</t>
  </si>
  <si>
    <t>The Time Warp Spitfire Mk V is an American homebuilt aircraft that was designed and produced by Time Warp Aircraft of Lakeland, Florida, introduced in 1996 at Sun 'n Fun. When it was available the aircraft was supplied as a kit for amateur construction.[1] The aircraft is a 60% scale version of the Second World War British Supermarine Spitfire.[1] The Spitfire Mk V features a cantilever low-wing, a single-seat enclosed cockpit under a bubble canopy, conventional landing gear and a single engine in tractor configuration.[1] The aircraft is made from wood and composites. Its 23.00 ft (7.0 m) span wing, mounts flaps and has a wing area of 81.66 sq ft (7.586 m2). The standard engine used is the 100 hp (75 kW) Geo Storm 1.6 liter liquid-cooled automotive conversion powerplant.[1] The Spitfire Mk V has a typical empty weight of 699 lb (317 kg) and a gross weight of 1,100 lb (500 kg), giving a useful load of 500 lb (230 kg). With full fuel of 27 U.S. gallons (100 L; 22 imp gal) the payload for the pilot and baggage is 338 lb (153 kg).[1] The manufacturer estimated the construction time from the supplied kit as 600 hours.[1] By 1998 the company reported that one aircraft had been completed and was flying.[1] In March 2014 two examples were registered in the America with the Federal Aviation Administration.[2] Data from AeroCrafter and LightPlanes.org[1][3]General characteristics Performance</t>
  </si>
  <si>
    <t>Time Warp Aircraft</t>
  </si>
  <si>
    <t>https://en.wikipedia.org/Time Warp Aircraft</t>
  </si>
  <si>
    <t>18 ft 5 in (5.61 m)</t>
  </si>
  <si>
    <t>5.75 ft (1.75 m)</t>
  </si>
  <si>
    <t>81.86 sq ft (7.605 m2)</t>
  </si>
  <si>
    <t>1 × Geo Storm four cylinder, liquid-cooled, four stroke automotive engine, 100 hp (75 kW)</t>
  </si>
  <si>
    <t>200 mph (320 km/h, 170 kn)</t>
  </si>
  <si>
    <t>850 mi (1,370 km, 740 nmi)</t>
  </si>
  <si>
    <t>1,500 ft/min (7.6 m/s)</t>
  </si>
  <si>
    <t>3-bladed fixed pitch</t>
  </si>
  <si>
    <t>170 mph (270 km/h, 150 kn)</t>
  </si>
  <si>
    <t>45 mph (72 km/h, 39 kn) flaps down</t>
  </si>
  <si>
    <t>13.4 lb/sq ft (65 kg/m2)</t>
  </si>
  <si>
    <t>Supermarine Spitfire</t>
  </si>
  <si>
    <t>https://en.wikipedia.org/Supermarine Spitfire</t>
  </si>
  <si>
    <t>Early Bird Spad 13</t>
  </si>
  <si>
    <t>The Early Bird Spad 13 (also SPAD 13) is an American homebuilt aircraft that was designed and produced by the Early Bird Aircraft Company of Erie, Colorado. When it was available the aircraft was supplied as a kit and also in the form of plans for amateur construction.[1] The Spad 13 is an 80% scale replica of the First World War SPAD S.XIII. It features a strut-braced biplane layout, a single-seat open cockpit, fixed conventional landing gear and a single engine in tractor configuration.[1] The aircraft is made from a mix of steel and aluminum tubing, with some wooden parts and its flying surfaces are covered with doped aircraft fabric. Its 20.17 ft (6.1 m) span wing has a wing area of 142.0 sq ft (13.19 m2). The cockpit width is 24 in (61 cm). The acceptable power range is 80 to 100 hp (60 to 75 kW) and the standard engine used is the 85 hp (63 kW) fuel injected Geo Tracker four-cylinder, inline, liquid-cooled, four stroke automotive conversion powerplant.[1] The Spad 13 has a typical empty weight of 550 lb (250 kg) and a gross weight of 800 lb (360 kg), giving a useful load of 250 lb (110 kg). With full fuel of 9 U.S. gallons (34 L; 7.5 imp gal) the payload for pilot and baggage is 196 lb (89 kg).[1] The supplied kit included the Tracker engine. The manufacturer estimated the construction time from the kit to be 600 hours.[1] By 1998 the company reported that 35 kits had been sold and one aircraft was flying.[1]  Data from AeroCrafter[1]General characteristics Performance</t>
  </si>
  <si>
    <t>Early Bird Aircraft Company</t>
  </si>
  <si>
    <t>https://en.wikipedia.org/Early Bird Aircraft Company</t>
  </si>
  <si>
    <t>16 ft 3 in (4.95 m)</t>
  </si>
  <si>
    <t>20 ft 2 in (6.15 m)</t>
  </si>
  <si>
    <t>142.0 sq ft (13.19 m2)</t>
  </si>
  <si>
    <t>550 lb (249 kg)</t>
  </si>
  <si>
    <t>1 × Geo Tracker four cylinder, fuel injected, inline, liquid-cooled, four stroke automotive conversion engine, 85 hp (63 kW)</t>
  </si>
  <si>
    <t>240 mi (390 km, 210 nmi)</t>
  </si>
  <si>
    <t>14,000 ft (4,300 m)</t>
  </si>
  <si>
    <t>9 U.S. gallons (34 L; 7.5 imp gal)</t>
  </si>
  <si>
    <t>45 mph (72 km/h, 39 kn)</t>
  </si>
  <si>
    <t>5.6 lb/sq ft (27 kg/m2)</t>
  </si>
  <si>
    <t>SPAD S.XIII</t>
  </si>
  <si>
    <t>https://en.wikipedia.org/SPAD S.XIII</t>
  </si>
  <si>
    <t>Frontier MD-II</t>
  </si>
  <si>
    <t>The Frontier MD-II was an American homebuilt aircraft that was designed and supplied as a kit by Frontier Aircraft Inc of Vail, Colorado, introduced in the 1990s.[1] The MD-II featured a strut-braced high-wing, a two-seats-in-side-by-side configuration enclosed cockpit accessed via doors, fixed conventional landing gear with wheel pants and a single tractor engine.[1] The aircraft was fabricated from 2024-T3 aluminum sheet. Its 29.50 ft (9.0 m) span wing employed a USA 35B airfoil, mounted flaps and had an area of 177.0 sq ft (16.44 m2). The cabin width was 41 in (100 cm). The acceptable power range was 65 to 200 hp (48 to 149 kW) and the standard powerplant used was the 140 hp (104 kW) Avia M 332 (LOM) four cylinder, inverted, air-cooled, supercharged, inline aircraft engine.[1] With the Avia engine the MD-II had a typical empty weight of 1,150 lb (520 kg) and a gross weight of 2,000 lb (910 kg), giving a useful load of 850 lb (390 kg). With full fuel of 43 U.S. gallons (160 L; 36 imp gal) the payload for pilot, passenger and baggage was 592 lb (269 kg).[1] The manufacturer estimated the construction time from the supplied kit at 1500 hours.[1] By 1998, the company reported two kits had been sold with two aircraft complete and flying.[1] In December 2013, no examples were registered with the US Federal Aviation Administration.[2] Data from AeroCrafter[1]General characteristics Performance</t>
  </si>
  <si>
    <t>Frontier Aircraft Inc</t>
  </si>
  <si>
    <t>https://en.wikipedia.org/Frontier Aircraft Inc</t>
  </si>
  <si>
    <t>27 ft 6 in (8.38 m)</t>
  </si>
  <si>
    <t>29 ft 6 in (8.99 m)</t>
  </si>
  <si>
    <t>177.0 sq ft (16.44 m2)</t>
  </si>
  <si>
    <t>1 × Avia M 332 four cylinder, inverted, air-cooled, supercharged, inline aircraft engine, 140 hp (100 kW)</t>
  </si>
  <si>
    <t>184 mph (296 km/h, 160 kn)</t>
  </si>
  <si>
    <t>690 mi (1,110 km, 600 nmi)</t>
  </si>
  <si>
    <t>//upload.wikimedia.org/wikipedia/en/thumb/9/9e/Frontier_MD-II.JPG/300px-Frontier_MD-II.JPG</t>
  </si>
  <si>
    <t>43 U.S. gallons (160 L; 36 imp gal)</t>
  </si>
  <si>
    <t>single blade metal</t>
  </si>
  <si>
    <t>140 mph (230 km/h, 120 kn)</t>
  </si>
  <si>
    <t>30 mph (48 km/h, 26 kn) flaps down</t>
  </si>
  <si>
    <t>11.3 lb/sq ft (55 kg/m2)</t>
  </si>
  <si>
    <t>Merkel Mark II</t>
  </si>
  <si>
    <t>The Merkel Mark II is an American homebuilt aerobatic biplane that was designed by Edwin Merkel and produced by the Merkel Airplane Company of Wichita, Kansas in the form of plans for amateur construction.[1] Designer Merkel died on 12 March 2012 and plans are no longer available.[2] The Mark II features a two-seats-in-tandem open cockpit with an optional bubble canopy, fixed conventional landing gear and a single engine in tractor configuration. The Mark II was intended as a two-seat trainer version as a companion to a planned single-seat competition version.[1] The aircraft is made from welded steel tubing with the airframe covered in sheet aluminum. Its 25.5 ft (7.8 m) span wings employ a NACA 23012 airfoil and each has a single torsional spar. The standard engine recommended was a 220 hp (164 kW) Franklin Engine Company powerplant.[1][3] The aircraft has an empty weight of 1,200 lb (540 kg) and a gross weight of 1,540 lb (700 kg), giving a useful load of 340 lb (150 kg). With full fuel of 18 U.S. gallons (68 L; 15 imp gal) the payload is 232 lb (105 kg).[1] Data from Plane and Pilot[1]General characteristics Performance</t>
  </si>
  <si>
    <t>Merkel Airplane Company</t>
  </si>
  <si>
    <t>https://en.wikipedia.org/Merkel Airplane Company</t>
  </si>
  <si>
    <t>Edwin Merkel</t>
  </si>
  <si>
    <t>22 ft 9 in (6.93 m)</t>
  </si>
  <si>
    <t>25 ft 6 in (7.77 m)</t>
  </si>
  <si>
    <t>1,540 lb (699 kg)</t>
  </si>
  <si>
    <t>1 × Franklin 6A-350-C1[citation needed] air-cooled, horizontally-opposed piston aircraft engine, 220 hp (160 kW)</t>
  </si>
  <si>
    <t>206 mph (332 km/h, 179 kn)</t>
  </si>
  <si>
    <t>250 mi (400 km, 220 nmi)</t>
  </si>
  <si>
    <t>2,500 ft/min (13 m/s)</t>
  </si>
  <si>
    <t>NACA 23012</t>
  </si>
  <si>
    <t>operational</t>
  </si>
  <si>
    <t>Midwest Questar Open Aire</t>
  </si>
  <si>
    <t>The Midwest Questar Open Aire is an American ultralight aircraft that was designed and produced by Midwest Engineering of Overland Park, Kansas. When it was available the aircraft was supplied in the form of plans for amateur construction, but the plans were withdrawn on 29 June 2000.[1][2] The Questar Open Aire was designed to comply with the US FAR 103 Ultralight Vehicles rules, including the category's maximum empty weight of 254 lb (115 kg). The aircraft has a standard empty weight of 220 lb (100 kg).[1] The aircraft features a strut-braced high-wing, a single-seat open cockpit without a windshield, fixed conventional landing gear without wheel pants and a single engine in pusher configuration.[1] The Questar Open Aire is made from bolted-together aluminum tubing and wood, with its flying surfaces covered in doped aircraft fabric. Its 28.66 ft (8.7 m) span wing has a wing area of 124.0 sq ft (11.52 m2) and is supported by "V" struts. The acceptable power range is 30 to 40 hp (22 to 30 kW) and the standard engines used are small 30 hp (22 kW) two-stroke powerplants.[1] The aircraft has a typical empty weight of 220 lb (100 kg) and a gross weight of 450 lb (200 kg), giving a useful load of 230 lb (100 kg). With full fuel of 3 U.S. gallons (11 L; 2.5 imp gal) the payload for the pilot and baggage is 212 lb (96 kg).[1] The standard day, sea level, no wind, take off and landing roll with a 30 hp (22 kW) engine is 100 ft (30 m).[1] By 1998 the company reported that 50 sets of plans had been sold and that ten aircraft were completed and flying.[1] Data from AeroCrafter[1]General characteristics Performance</t>
  </si>
  <si>
    <t>16.66 ft (5.08 m)</t>
  </si>
  <si>
    <t>28.66 ft (8.74 m)</t>
  </si>
  <si>
    <t>124.0 sq ft (11.52 m2)</t>
  </si>
  <si>
    <t>52 mph (84 km/h, 45 kn)</t>
  </si>
  <si>
    <t>3.6 lb/sq ft (18 kg/m2)</t>
  </si>
  <si>
    <t>10 (1998)</t>
  </si>
  <si>
    <t>Southern Aeronautical Renegade</t>
  </si>
  <si>
    <t>The Southern Aeronautical Renegade is an American Formula V Air Racing homebuilt aircraft that was designed by Charles Lasher and produced by Southern Aeronautical Corporation of Miami Lakes, Florida. The aircraft was supplied in the form of plans for amateur construction, but the plans are apparently no longer available.[1] The aircraft features a cantilever mid-wing, a single-seat enclosed cockpit under a bubble canopy, fixed conventional landing gear and a single engine in tractor configuration.[1] The aircraft fuselage is made from welded steel tubing, which Lasher chose for its superior crash survivability. Its mid-mounted wing has a wooden structure covered in doped aircraft fabric and spans 16 ft (4.9 m). As the Formula V class demands, the aircraft is powered by 35 to 65 hp (26 to 48 kW) Volkswagen air-cooled engine, which gives it a top level speed of 150 mph (241 km/h) and a cruise speed of 125 mph (201 km/h).[1] The aircraft has an empty weight of 400 lb (180 kg) and a gross weight of 700 lb (320 kg), giving a useful load of 300 lb (140 kg). With full fuel of 10 U.S. gallons (38 L; 8.3 imp gal) the payload is 240 lb (110 kg).[1] Data from Plane and Pilot[1]General characteristics Performance</t>
  </si>
  <si>
    <t>Homebuilt air racer</t>
  </si>
  <si>
    <t>Charles Lasher</t>
  </si>
  <si>
    <t>14 ft 0 in (4.27 m)</t>
  </si>
  <si>
    <t>1 × Volkswagen air-cooled engine four cylinder, air-cooled, four stroke automotive conversion engine, 65 hp (48 kW)</t>
  </si>
  <si>
    <t>375 mi (604 km, 326 nmi)</t>
  </si>
  <si>
    <t>https://en.wikipedia.org/Homebuilt air racer</t>
  </si>
  <si>
    <t>125 mph (201 km/h, 109 kn)</t>
  </si>
  <si>
    <t>39 mph (63 km/h, 34 kn)</t>
  </si>
  <si>
    <t>Express Series 90</t>
  </si>
  <si>
    <t>The Express Series 90 is an American homebuilt aircraft that was designed and produced by the Express Aircraft Company of Olympia, Washington, introduced in the late 1980s. When it was available the aircraft was supplied as a kit for amateur construction.[1] The Express Series 90 is a development of the earlier Wheeler Express designed by Ken Wheeler. It incorporates a 20% larger tail which gives it a wider center of gravity range, while also enhancing pitch and yaw stability.[1] The aircraft features a cantilever low-wing, a four-seat enclosed cabin, fixed tricycle landing gear with wheel pants and a single engine in tractor configuration.[1] The Series 90 is made from composites. Its 31.00 ft (9.4 m) span wing mounts flaps and has a wing area of 130.00 sq ft (12.077 m2). The cabin width is 46 in (120 cm). The standard engine used is the 300 hp (224 kW) Lycoming IO-540 four stroke, air-cooled, six cylinder powerplant.[1] The aircraft has a typical empty weight of 1,840 lb (830 kg) and a gross weight of 3,200 lb (1,500 kg), giving a useful load of 1,360 lb (620 kg). With full fuel of 92 U.S. gallons (350 L; 77 imp gal) the payload for pilot, passengers and baggage is 808 lb (367 kg).[1] The manufacturer estimated the construction time from the supplied kit as 2000 hours.[1] In December 2013 three examples were registered in the America with the Federal Aviation Administration.[2] Data from AeroCrafter[1]General characteristics Performance</t>
  </si>
  <si>
    <t>Express Aircraft Company</t>
  </si>
  <si>
    <t>https://en.wikipedia.org/Express Aircraft Company</t>
  </si>
  <si>
    <t>31 ft 0 in (9.45 m)</t>
  </si>
  <si>
    <t>1,840 lb (835 kg)</t>
  </si>
  <si>
    <t>3,200 lb (1,451 kg)</t>
  </si>
  <si>
    <t>1 × Lycoming IO-540 six cylinder, air-cooled, four stroke aircraft engine, 300 hp (220 kW)</t>
  </si>
  <si>
    <t>1,360 mi (2,190 km, 1,180 nmi)</t>
  </si>
  <si>
    <t>92 U.S. gallons (350 L; 77 imp gal)</t>
  </si>
  <si>
    <t>3-bladed constant speed propeller</t>
  </si>
  <si>
    <t>210 mph (340 km/h, 180 kn)</t>
  </si>
  <si>
    <t>57 mph (92 km/h, 50 kn) flaps down</t>
  </si>
  <si>
    <t>24.6 lb/sq ft (120 kg/m2)</t>
  </si>
  <si>
    <t>Wheeler Express</t>
  </si>
  <si>
    <t>https://en.wikipedia.org/Wheeler Express</t>
  </si>
  <si>
    <t>late 1980s</t>
  </si>
  <si>
    <t>Kelly-D</t>
  </si>
  <si>
    <t>The Kelly-D is an American homebuilt aircraft that was designed by Dudley R. Kelly of Versailles, Kentucky, in 1981. When it was available the aircraft was supplied in the form of plans for amateur construction. Aircraft Spruce &amp; Specialty Co still provides some spruce wing parts for the design.[2][3][4] Dudley R. Kelly died on 20 September 1998. After his death, his widow, Thelma Kelly continued selling plans for  a time and they are now sold by the Hatz Biplane Association.[1][5] The Kelly-D is a development of the Hatz CB-1, but with more wingspan and fuselage length and with more cockpit space for larger pilots. It features a strut-braced biplane layout, two seats in separate tandem open cockpits with individual windshields, fixed conventional landing gear and a single engine in tractor configuration.[2] The aircraft is made from a combination of 4130 steel tubing and wood, with all surfaces covered in doped aircraft fabric. Its 26.30 ft (8.0 m) span wing is made with a spruce structure and has a wing area of 230.00 sq ft (21.368 m2). The wings are detachable for ground transportation and storage. The standard engine used is the 115 hp (86 kW) Lycoming O-235 four stroke powerplant.[2][3] The Kelly-D has a typical empty weight of 925 lb (420 kg) and a gross weight of 1,500 lb (680 kg), giving a useful load of 575 lb (261 kg). With full fuel of 24 U.S. gallons (91 L; 20 imp gal) the payload for pilot, passenger and baggage is 431 lb (195 kg).[2] The designer estimated the construction time from the supplied kit as 4000 hours.[2] In 1983, it could be built, with a used engine, for about US$8,000.[6] By 1998 the Dudley reported that 20 kits were completed and flying.[2] In January 2014, 13 examples were registered in the America with the Federal Aviation Administration, although a total of 16 had been registered at one time. Also in 2014 there was one registered with Transport Canada.[7][8] Data from AeroCrafter[2]General characteristics Performance</t>
  </si>
  <si>
    <t>Dudley R. Kelly</t>
  </si>
  <si>
    <t>19 ft 3 in (5.87 m)</t>
  </si>
  <si>
    <t>230.0 sq ft (21.37 m2)</t>
  </si>
  <si>
    <t>925 lb (420 kg)</t>
  </si>
  <si>
    <t>1,500 lb (680 kg)</t>
  </si>
  <si>
    <t>1 × Lycoming O-235 four cylinder, air-cooled, four stroke aircraft engine, 115 hp (86 kW)</t>
  </si>
  <si>
    <t>275 mi (443 km, 239 nmi)</t>
  </si>
  <si>
    <t>825 ft/min (4.19 m/s)</t>
  </si>
  <si>
    <t>Plans available (2014)[1]</t>
  </si>
  <si>
    <t>24 U.S. gallons (91 L; 20 imp gal)</t>
  </si>
  <si>
    <t>40 mph (64 km/h, 35 kn)</t>
  </si>
  <si>
    <t>6.5 lb/sq ft (32 kg/m2)</t>
  </si>
  <si>
    <t>Hatz CB-1</t>
  </si>
  <si>
    <t>https://en.wikipedia.org/Hatz CB-1</t>
  </si>
  <si>
    <t>Midwest Questar XLS</t>
  </si>
  <si>
    <t>The Midwest Questar XLS is an American ultralight aircraft that was designed and produced by Midwest Engineering of Overland Park, Kansas. When it was available the aircraft was supplied in the form of plans for amateur construction, but the plans were withdrawn on 29 June 2000.[1][2] The Questar XLS was designed to comply with the US FAR 103 Ultralight Vehicles rules, including the category's maximum empty weight of 254 lb (115 kg). The aircraft has a standard empty weight of 240 lb (109 kg).[1] The aircraft features a strut-braced high-wing, a single-seat open cockpit without a windshield, fixed tricycle landing gear without wheel pants and a single engine in pusher configuration.[1] The Questar XLS is made from bolted-together 6061-T6 aluminum tubing, with its flying surfaces covered in doped aircraft fabric. Its 31.30 ft (9.5 m) span wing has a wing area of 146.0 sq ft (13.56 m2), is supported by "V" struts and the wing can be detached in ten minutes for ground transport or storage. The acceptable power range is 30 to 40 hp (22 to 30 kW) and the standard engines used are small 30 hp (22 kW) two-stroke powerplants.[1] The aircraft has a typical empty weight of 240 lb (110 kg) and a gross weight of 500 lb (230 kg), giving a useful load of 260 lb (120 kg). With full fuel of 5 U.S. gallons (19 L; 4.2 imp gal) the payload for the pilot and baggage is 230 lb (100 kg).[1] The standard day, sea level, no wind, take off distance with a 30 hp (22 kW) engine is 100 ft (30 m) and the landing roll is 80 ft (24 m).[1] The manufacturer estimated the construction time from the supplied plans as 200 hours.[1] By 1998 the company reported that 70 sets of plans had been sold and that 10 aircraft were completed and flying.[1] Data from AeroCrafter[1]General characteristics Performance</t>
  </si>
  <si>
    <t>17.00 ft (5.18 m)</t>
  </si>
  <si>
    <t>31.30 ft (9.54 m)</t>
  </si>
  <si>
    <t>146.0 sq ft (13.56 m2)</t>
  </si>
  <si>
    <t>240 lb (109 kg)</t>
  </si>
  <si>
    <t>500 lb (227 kg)</t>
  </si>
  <si>
    <t>54 mph (87 km/h, 47 kn)</t>
  </si>
  <si>
    <t>580 ft/min (2.9 m/s)</t>
  </si>
  <si>
    <t>3.4 lb/sq ft (17 kg/m2)</t>
  </si>
  <si>
    <t>Skipper Scrappy UAC-200</t>
  </si>
  <si>
    <t>The Skipper Scrappy UAC-200 is an American homebuilt aerobatic biplane that was designed by WA Skipper of Greeley, Colorado, introduced in 1970. The aircraft was supplied in the form of plans for amateur construction, but plans seem to no longer be available.[1] The aircraft features a biplane layout, a single-seat, fixed conventional landing gear and a single engine in tractor configuration.[1] The aircraft fuselage is made from welded steel tubing with the 20.75 ft (6.3 m) span wings built from wood and the whole aircraft covered in doped aircraft fabric. The standard engine used is the 200 hp (149 kW) Lycoming IO-360 powerplant, which gives a 3700 foot per minute (19 m/s) climb rate and a top speed of 188 mph (303 km/h).[1] The aircraft has an empty weight of 981 lb (445 kg) and a gross weight of 1,428 lb (648 kg), giving a useful load of 447 lb (203 kg). With full fuel of 28 U.S. gallons (110 L; 23 imp gal) the payload is 279 lb (127 kg).[1] By October 2013 three examples had once been registered in the America with the Federal Aviation Administration, but only one remained currently registered.[2] In September 1997 a Scrappy UAC-200 was flown to third place in the International Aerobatic Club basic category at the East Coast Aerobatics Championships, held in Warrenton, Virginia.[3] Data from Plane and Pilot[1]General characteristics Performance</t>
  </si>
  <si>
    <t>Homebuilt aerobatic  biplane</t>
  </si>
  <si>
    <t>WA Skipper</t>
  </si>
  <si>
    <t>20 ft 8 in (6.30 m)</t>
  </si>
  <si>
    <t>981 lb (445 kg)</t>
  </si>
  <si>
    <t>1,428 lb (648 kg)</t>
  </si>
  <si>
    <t>1 × Lycoming IO-360 four cylinder, air-cooled, four stroke aircraft engine, 200 hp (150 kW)</t>
  </si>
  <si>
    <t>188 mph (303 km/h, 163 kn)</t>
  </si>
  <si>
    <t>500 mi (800 km, 430 nmi)</t>
  </si>
  <si>
    <t>3,700 ft/min (19 m/s)</t>
  </si>
  <si>
    <t>https://en.wikipedia.org/Homebuilt aerobatic  biplane</t>
  </si>
  <si>
    <t>28 U.S. gallons (110 L; 23 imp gal)</t>
  </si>
  <si>
    <t>151 mph (243 km/h, 131 kn)</t>
  </si>
  <si>
    <t>Aviation Products Star Trike</t>
  </si>
  <si>
    <t>The Aviation Products Star Trike is a German ultralight trike that was designed by Klaus Wisch and is produced by Aviation Products Ltd of Bitburg.[1] The Star Trike was designed in 1980 has been in production ever since. It fits the Fédération Aéronautique Internationale microlight category. The design features a cable-braced hang glider-style high-wing, weight-shift controls, a single-seat or a two-seats-in-tandem open cockpit, tricycle landing gear with wheel pants and a single engine in pusher configuration.[1] The aircraft is made from bolted-together aluminum tubing, with its single or double surface wing covered in Dacron sailcloth. Its 10 m (32.8 ft) span wing is supported by a single tube-type kingpost and uses an "A" frame weight-shift control bar. A range of powerplants can be fitted, including the twin cylinder, liquid-cooled, two-stroke, dual-ignition 64 hp (48 kW) Rotax 582 engine and the twin cylinder, air-cooled, four-stroke, dual-ignition 60 hp (45 kW) HKS 700E engine.[1] In its single seat agricultural version the aircraft has an empty weight of 170 kg (375 lb) and a gross weight of 472.5 kg (1,042 lb), giving a useful load of 302.5 kg (667 lb). With full fuel of 44 litres (9.7 imp gal; 12 US gal) the payload is 271 kg (597 lb).[1] A number of different wings can be fitted to the basic carriage, including the Air Creation XP 15.[1] Data from Bayerl[1]General characteristics Performance</t>
  </si>
  <si>
    <t>Ultralight trike</t>
  </si>
  <si>
    <t>Aviation Products Ltd</t>
  </si>
  <si>
    <t>https://en.wikipedia.org/Aviation Products Ltd</t>
  </si>
  <si>
    <t>Klaus Wisch</t>
  </si>
  <si>
    <t>15.5 m2 (167 sq ft)</t>
  </si>
  <si>
    <t>170 kg (375 lb)</t>
  </si>
  <si>
    <t>1 × Rotax 582 twin cylinder, liquid-cooled, two stroke aircraft engine, 48 kW (64 hp)</t>
  </si>
  <si>
    <t>6.5 m/s (1,280 ft/min)</t>
  </si>
  <si>
    <t>https://en.wikipedia.org/Ultralight trike</t>
  </si>
  <si>
    <t>44 litres (9.7 imp gal; 12 US gal)</t>
  </si>
  <si>
    <t>47 km/h (29 mph, 25 kn)</t>
  </si>
  <si>
    <t>30.5 kg/m2 (6.2 lb/sq ft)</t>
  </si>
  <si>
    <t>1980-present</t>
  </si>
  <si>
    <t>Historical Ryan STA</t>
  </si>
  <si>
    <t>The Historical Ryan STA was an American homebuilt aircraft that was designed and produced by the Historical Aircraft Corporation of Nucla, Colorado. The aircraft was an 85% scale replica of the original Ryan STA and when it was available was supplied as a kit for amateur construction.[1] The aircraft featured a wire-braced and strut-braced low-wing, two seats in separate tandem open cockpits with windshields, fixed conventional landing gear and a single engine in tractor configuration.[1] The aircraft fuselage was made from welded steel tubing, while the wings had wooden spars and ribs covered in doped aircraft fabric. Several prefabricated components were supplied as part of the kit, including the fuselage frame, landing gear, engine mount and tail assembly. The manufacturer rated the STA kit as suitable for beginners and estimated the construction time from the supplied kit as 1500 hours. The kit could be completed to represent an STA, a military PT-16 or a PT-20.[1] The aircraft's 26.00 ft (7.9 m) span wing had an area of 112.6 sq ft (10.46 m2). The cockpit width was 22 in (56 cm) and the standard engine used was the 100 hp (75 kW) CAM 100 powerplant. It had a typical empty weight of 725 lb (329 kg) and a gross weight of 1,275 lb (578 kg), giving a useful load of 500 lb (230 kg). With full fuel of 23 U.S. gallons (87 L; 19 imp gal) the payload for pilot, passenger and baggage was 362 lb (164 kg).[1] In January 2014 no examples remained registered in the America with the Federal Aviation Administration. Although one aircraft had been registered in 1997, it was listed as destroyed and deregistered in 2002. It is likely that no examples exist today.[2] Data from AeroCrafter[1]General characteristics Performance</t>
  </si>
  <si>
    <t>20.10 ft (6.13 m)</t>
  </si>
  <si>
    <t>26.00 ft (7.92 m)</t>
  </si>
  <si>
    <t>112.6 sq ft (10.46 m2)</t>
  </si>
  <si>
    <t>725 lb (329 kg)</t>
  </si>
  <si>
    <t>1 × CAM 100 four cylinder four stroke aircraft engine, 100 hp (75 kW)</t>
  </si>
  <si>
    <t>490 mi (790 km, 430 nmi)</t>
  </si>
  <si>
    <t>16,300 ft (5,000 m)</t>
  </si>
  <si>
    <t>930 ft/min (4.7 m/s)</t>
  </si>
  <si>
    <t>//upload.wikimedia.org/wikipedia/en/thumb/3/3a/Historial_Ryan_STA.jpg/300px-Historial_Ryan_STA.jpg</t>
  </si>
  <si>
    <t>53 mph (85 km/h, 46 kn)</t>
  </si>
  <si>
    <t>Ryan STA</t>
  </si>
  <si>
    <t>https://en.wikipedia.org/Ryan STA</t>
  </si>
  <si>
    <t>Las Brisas Mohawk</t>
  </si>
  <si>
    <t>The Las Brisas Mohawk is an American homebuilt aircraft that was designed and produced by Las Brisas Sales of Ozark, Missouri. When it was available the aircraft was supplied in the form of plans for amateur construction.[1] Based upon the Avid Flyer, which it greatly resembles, the Mohawk features a strut-braced high wing, a two-seats-in-side-by-side configuration enclosed cockpit accessed via doors, fixed conventional landing gear and a single engine in tractor configuration.[1] The aircraft is made from metal tubing, with its flying surfaces and fuselage covered doped aircraft fabric. Its 30.00 ft (9.1 m) span wing features Junkers flaperons, has a wing area of 124.5 sq ft (11.57 m2) and is supported by "V" struts with jury struts. The plans specify standard hydraulic brakes, a steerable tailwheel and wings that fold for ground transport or storage. The standard engine used is the 50 hp (37 kW) Rotax 503 two-stroke powerplant, which gives a standard day, sea level takeoff distance of 100 ft (30 m) and a landing roll of 150 ft (46 m).[1] The Mohawk has a typical empty weight of 450 lb (200 kg) and a gross weight of 1,000 lb (450 kg), giving a useful load of 550 lb (250 kg). With full fuel of 12 U.S. gallons (45 L; 10.0 imp gal) the payload for pilot, passenger and baggage is 478 lb (217 kg).[1] The manufacturer estimates the construction time from the supplied plans as 900 hours. In 1998 the designer indicated that the aircraft could be completed for US$6,500 excluding labor.[1] Data from AeroCrafter[1]General characteristics Performance</t>
  </si>
  <si>
    <t>Las Brisas Sales</t>
  </si>
  <si>
    <t>https://en.wikipedia.org/Las Brisas Sales</t>
  </si>
  <si>
    <t>124.5 sq ft (11.57 m2)</t>
  </si>
  <si>
    <t>1 × Rotax 503 twin cylinder, air-cooled, two stroke aircraft engine, 50 hp (37 kW)</t>
  </si>
  <si>
    <t>30 mph (48 km/h, 26 kn) flaperons down</t>
  </si>
  <si>
    <t>8.0 lb/sq ft (39 kg/m2)</t>
  </si>
  <si>
    <t>Avid Flyer</t>
  </si>
  <si>
    <t>https://en.wikipedia.org/Avid Flyer</t>
  </si>
  <si>
    <t>Swallow TP</t>
  </si>
  <si>
    <t>The Swallow TP was a trainer aircraft produced by the Swallow Airplane Company in the America from 1928. The TP was a simple and rugged biplane design with room for an instructor and student in tandem open cockpits. The fuselage was made from welded steel tubing, faired to shape and then fabric covered. The wings were typical of the day with Spruce spars, spruce &amp; plywood ribs with fabric covering. Built to be easy to fly, and for ease of maintenance, the Swallow TP was quite popular with nearly 200 being built. Initially the TP was offered with the ubiquitous Curtiss OX-5. Later, it was offered with a choice of a Siemens-Halske, Kinner, or Warner engines. Most customers opted for the OX-5 which was the cheapest.[1] Data from:Aerofiles[2] Data from U.S. Civil Aircraft Vol.2[1]General characteristics Performance</t>
  </si>
  <si>
    <t>Trainer</t>
  </si>
  <si>
    <t>Swallow</t>
  </si>
  <si>
    <t>https://en.wikipedia.org/Swallow</t>
  </si>
  <si>
    <t>Amos O. Payne</t>
  </si>
  <si>
    <t>23 ft 7 in (7.19 m)</t>
  </si>
  <si>
    <t>30 ft 11 in (9.42 m)</t>
  </si>
  <si>
    <t>8 ft 10 in (2.69 m)</t>
  </si>
  <si>
    <t>296 sq ft (27.5 m2)</t>
  </si>
  <si>
    <t>1,283 lb (582 kg)</t>
  </si>
  <si>
    <t>1,825 lb (828 kg)</t>
  </si>
  <si>
    <t>1 × Curtiss OX-5 V-8 water-cooled piston engine, 90 hp (67 kW)</t>
  </si>
  <si>
    <t>300 mi (480 km, 260 nmi) +</t>
  </si>
  <si>
    <t>15,499 ft (4,724 m)</t>
  </si>
  <si>
    <t>//upload.wikimedia.org/wikipedia/commons/thumb/d/dc/Swallow_TP_at_Yanks_Chino_05.01.jpg/300px-Swallow_TP_at_Yanks_Chino_05.01.jpg</t>
  </si>
  <si>
    <t>75 mph (121 km/h, 65 kn)</t>
  </si>
  <si>
    <t>~200</t>
  </si>
  <si>
    <t>{'TP': 'in production variant with a Curtiss OX-5 engine, about 200 built.', 'TP-K': 'oduction variant with a five-cylinder Kinner K-5 engine, 20 to 25 built.', 'TP-W': 'oduction variant with a seven-cylinder Warner Scarab engine, three built', 'TP-Sh': 'oduction variant with seven-cylinder Siemens-Halske Sh 14 engine.'}</t>
  </si>
  <si>
    <t>Associated Air Liberty 181</t>
  </si>
  <si>
    <t>The Associated Air Liberty 181 is an American homebuilt aircraft that was designed and produced by Associated Air of Woodland, Washington, introduced in the late 1990s. When it was available the aircraft was supplied as a kit for amateur construction.[1] The Liberty 181 was designed as a bushplane for hauling heavy loads into unprepared airstrips. It features a strut-braced high-wing, a four-seat enclosed cabin with doors, fixed conventional landing gear and a single engine in tractor configuration.[1] The aircraft is made from mixed metal and composites and features extra large doors for loading bulky items. Its 40.00 ft (12.2 m) span wing mounts flaps, has a wing area of 200.00 sq ft (18.581 m2) and is supported by two parallel lift struts per side, with jury struts. The cabin width is 48 in (120 cm). The acceptable power range is 230 to 300 hp (172 to 224 kW) and the standard engine used is the 230 hp (172 kW) Continental O-470 powerplant, with a constant speed propeller. With that engine installed the take-off distance is 200 ft (61 m) and the landing distance is 250 ft (76 m).[1] The aircraft has an empty weight of 1,890 lb (860 kg) and a gross weight of 3,200 lb (1,500 kg), giving a useful load of 1,310 lb (590 kg). With full fuel of 100 U.S. gallons (380 L; 83 imp gal) the payload is 710 lb (320 kg).[1] Factory supplied options included floats and skis. The manufacturer estimates the construction time from the supplied kit as 2000 hours.[1] By 1998 the company reported that 7 kits had been sold, with one aircraft flying.[1] In October 2016 no examples were registered in the America with the Federal Aviation Administration, although one had been previously registered and exported to Canada. In October 2016 one was registered with Transport Canada, having been built in the US in 1996 and imported in 2008.[2][3][4] Data from AeroCrafter[1]General characteristics Performance</t>
  </si>
  <si>
    <t>Associated Air</t>
  </si>
  <si>
    <t>https://en.wikipedia.org/Associated Air</t>
  </si>
  <si>
    <t>40 ft 0 in (12.19 m)</t>
  </si>
  <si>
    <t>200.00 sq ft (18.581 m2)</t>
  </si>
  <si>
    <t>1,890 lb (857 kg)</t>
  </si>
  <si>
    <t>1 × Continental O-470 six cylinder, air-cooled, four stroke aircraft engine, 230 hp (170 kW)</t>
  </si>
  <si>
    <t>1,200 mi (1,900 km, 1,000 nmi)</t>
  </si>
  <si>
    <t>22,050 ft (6,720 m)</t>
  </si>
  <si>
    <t>2,000 ft/min (10 m/s)</t>
  </si>
  <si>
    <t>100 U.S. gallons (380 L; 83 imp gal)</t>
  </si>
  <si>
    <t>38 mph (61 km/h, 33 kn) flaps down</t>
  </si>
  <si>
    <t>16.0 lb/sq ft (78 kg/m2)</t>
  </si>
  <si>
    <t>at least one</t>
  </si>
  <si>
    <t>late 1990s</t>
  </si>
  <si>
    <t>Blériot-SPAD S.29</t>
  </si>
  <si>
    <t>The Blériot-SPAD S.29 was a sport aircraft produced in 1919 by Blériot-SPAD. The Blériot-SPAD S.29 was a two-seat single-bay biplane, with a slightly swept upper wing and a straight lower wing, with the wings connected by a single strut on each side. Ailerons were fitted to the lower wing only. The fuselage was a circular section wooden monocoque structure, with pilot and passenger seated in tandem in a single cockpit. It was powered by a 60 kilowatts (80 hp) Le Rhône 9C rotary engine driving a two-bladed propeller fitted with a large hemispherical spinner, mounted on ball-bearings so that it did not rotate with the propeller, possibly a precaution against the spinner disintegrating due to centrifugal force.[2] Data from Flight[3]General characteristics Performance</t>
  </si>
  <si>
    <t>Sports aircraft</t>
  </si>
  <si>
    <t>Blériot-SPAD</t>
  </si>
  <si>
    <t>https://en.wikipedia.org/Blériot-SPAD</t>
  </si>
  <si>
    <t>André Herbemont</t>
  </si>
  <si>
    <t>https://en.wikipedia.org/André Herbemont</t>
  </si>
  <si>
    <t>January 1920[1]</t>
  </si>
  <si>
    <t>7.32 m (24 ft 0 in)</t>
  </si>
  <si>
    <t>9.78 m (32 ft 1 in)</t>
  </si>
  <si>
    <t>2.39 m (7 ft 10 in)</t>
  </si>
  <si>
    <t>848 kg (1,870 lb)</t>
  </si>
  <si>
    <t>2,770 kg (6,107 lb)</t>
  </si>
  <si>
    <t>1 × Le Rhône 9C 9-cyl. air-cooled rotary piston engine, 60 kW (80 hp)</t>
  </si>
  <si>
    <t>166 km/h (103 mph, 90 kn)</t>
  </si>
  <si>
    <t>3 hr</t>
  </si>
  <si>
    <t>SPAD XV</t>
  </si>
  <si>
    <t>https://en.wikipedia.org/SPAD XV</t>
  </si>
  <si>
    <t>Curtiss Thrush</t>
  </si>
  <si>
    <t>The Curtiss/Curtiss-Robertson Model 56 Thrush[note 1] was a 1929 six passenger high-wing fixed undercarriage single-engine cabin monoplane  airliner and utility transport powered by either a Curtiss Challenger or a Wright Whirlwind radial engine[1] and built as an enlargement of the earlier Curtiss Robin.[2] Several were used for record breaking endurance flights by female pilots during the early 1930s including one in which the aircraft stayed aloft for almost ten days. Three 170 hp (130 kW) Curtiss Challenger-engined Curtiss Thrush prototypes (serialled G-1 to G-3) were built at Curtiss' Garden City factory, but these were underpowered[2] and production examples, redesignated Thrush J (serialled 1001 to 1010) with 225 hp (168 kW) Wright Whirlwind engines, were built at the Curtiss-Robertson St Louis factory. All three prototypes were later re-engined with Whirlwinds to make them Thrush Js.[5]  The fuselage of the Thrush formed the basis for the twin-engine Curtiss Kingbird which was developed roughly in parallel.[6] The fuselage was built up as a Pratt truss frame formed mainly from Duraluminum tubing and fittings with welded Chrome-moly tubing reinforcing highly stressed areas and covered in fabric.[5] The wing was a fabric covered semi-cantilever[note 2] braced with steel tube struts, and had solid spruce spars and stamped Alclad ribs with Alclad sheet wrapped over leading edge.[5] A fuel tank is mounted within each wing near the root.[5] Rudder and elevators were welded chrome-moly steel tubing.[5] 116" track undercarriage is fitted with oleo-pneumatic shock obsorbers and Bendix brakes, and is braced to the front struts and lower longerons.[5] 12 examples were ordered by China National Aviation Corporation (CNAC) but only ten production examples were built. All but one was then registered in the US, as many aircraft exported to the CNAC were, however only one example made it to China, which it did in 1930, and it may not have entered CNAC service.[7] One of the ten was lost on its first flight (serial 1006) and its registration was transferred to the next aircraft built.[8] One of the prototypes went to Venezuela to a private individual,[9] and a production example went to Cuba where it was the first aircraft operated by the Compañía Nacional Cubana de Aviación Curtiss (CNCAC), forerunner of Cubana de Aviación, Cuba's national airline.[10] From the 14th to the 22nd of August 1932, Louise Thaden &amp; Frances Marsalis flew prototype Thrush J NC9142 "I.J. Fox" (named for their sponsor, a fur coat company and nicknamed the "Flying Boudoir" by the press) for 196 hours 5 minutes, refuelling in flight from a Curtiss Robin to set an endurance record near Valley Stream, New York.[11][12] For this and other record-breaking flights, Thaden received the Harmon Trophy in 1936.[13] Helen Richey and Frances Marsalis flew production Thrush J NC7568 "Outdoor Girl" (named for a brand of women's cosmetics, a new sponsor) for 237 hours, 42 minutes (nearly ten days) from the 20th to the 30th of December 1933 over Miami, Florida.[11] Like the first flight, it too was refuelled from the air from a Curtiss Robin. Jean LaRene and Mary Elizabeth Owens made five attempts at the world's endurance record at the Curtiss-Reynolds Airport in August during the 1934 Chicago World's Fair in Curtiss Thrush J NR581N "Lone Star"[14] Jean LaRene made another attempt in NR581N on the record with Henrietta Sumner from 8 December to 30 November 1934 over Oklahoma City but experienced engine problems and was forced down after 198 hours and 13 minutes aloft.[15] Two examples found their way to Alaska where they were used as bush planes, one by Ralph Savory before he joined Star Air Service,[16] and a second was flown in Alaska by Gordon MacKenzie. The remainder were used in the America by various operators as air taxis and feeder airliners. Data from .mw-parser-output cite.citation{font-style:inherit;word-wrap:break-word}.mw-parser-output .citation q{quotes:"\"""\"""'""'"}.mw-parser-output .citation:target{background-color:rgba(0,127,255,0.133)}.mw-parser-output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a{background:linear-gradient(transparent,transparent),url("//upload.wikimedia.org/wikipedia/commons/a/aa/Lock-red-alt-2.svg")right 0.1em center/9px no-repeat}.mw-parser-output .cs1-ws-icon a{background:linear-gradient(transparent,transparent),url("//upload.wikimedia.org/wikipedia/commons/4/4c/Wikisource-logo.svg")right 0.1em center/12px no-repeat}.mw-parser-output .cs1-code{color:inherit;background:inherit;border:none;padding:inherit}.mw-parser-output .cs1-hidden-error{display:none;color:#d33}.mw-parser-output .cs1-visible-error{color:#d33}.mw-parser-output .cs1-maint{display:none;color:#3a3;margin-left:0.3em}.mw-parser-output .cs1-format{font-size:95%}.mw-parser-output .cs1-kern-left{padding-left:0.2em}.mw-parser-output .cs1-kern-right{padding-right:0.2em}.mw-parser-output .citation .mw-selflink{font-weight:inherit}Juptner, Joseph P. (1966). US Civil Aircraft: Vol. 3 (ATC 201 - 300). Fallbrook, CA: Aero Publishers. pp. 177–178. ASIN B000VHTNB4.General characteristics Performance Related development Aircraft of comparable role, configuration, and era</t>
  </si>
  <si>
    <t>Airliner/utility transport</t>
  </si>
  <si>
    <t>Curtiss Aeroplane and Motor Company</t>
  </si>
  <si>
    <t>https://en.wikipedia.org/Curtiss Aeroplane and Motor Company</t>
  </si>
  <si>
    <t>T.P. Wright[1][2]</t>
  </si>
  <si>
    <t>1929[1]</t>
  </si>
  <si>
    <t>one-two (dual controls)</t>
  </si>
  <si>
    <t>32 ft 7 in (9.93 m)</t>
  </si>
  <si>
    <t>48 ft 0 in (14.63 m)</t>
  </si>
  <si>
    <t>9 ft 3 in (2.82 m)</t>
  </si>
  <si>
    <t>305 sq ft (28.3 m2)</t>
  </si>
  <si>
    <t>2,260 lb (1,025 kg)</t>
  </si>
  <si>
    <t>3,800 lb (1,724 kg)</t>
  </si>
  <si>
    <t>1 × Wright J-6-7 (R-760) radial engine, 225 hp (168 kW)</t>
  </si>
  <si>
    <t>900 mi (1,400 km, 780 nmi)</t>
  </si>
  <si>
    <t>13,200 ft (4,000 m)</t>
  </si>
  <si>
    <t>650 ft/min (3.3 m/s) from sea level</t>
  </si>
  <si>
    <t>//upload.wikimedia.org/wikipedia/commons/thumb/2/25/Outdoor_Girl_Curtiss_Thrush_J_with_Helen_Richey_and_Frances_Marsalis_1933.jpg/300px-Outdoor_Girl_Curtiss_Thrush_J_with_Helen_Richey_and_Frances_Marsalis_1933.jpg</t>
  </si>
  <si>
    <t>retired</t>
  </si>
  <si>
    <t>110 US gal (92 imp gal; 420 l)</t>
  </si>
  <si>
    <t>2-bladed Curtiss-Reed metal fixed pitch propeller</t>
  </si>
  <si>
    <t>104 mph (167 km/h, 90 kn)</t>
  </si>
  <si>
    <t>12.46 lb/sq ft (60.8 kg/m2)</t>
  </si>
  <si>
    <t>13[3][4]</t>
  </si>
  <si>
    <t>six passengers</t>
  </si>
  <si>
    <t>{'Thrush': 'ATC 159 &amp; 160) - prototypes powered by 170\xa0hp ', 'Thrush J': 'ATC 261) - main production variant with 225\xa0hp ', 'Thrush Special': ' one converted from a Thrush J with 240\xa0hp '}</t>
  </si>
  <si>
    <t>Curtiss C-72 Chord</t>
  </si>
  <si>
    <t>10 minutes to 5300 feet</t>
  </si>
  <si>
    <t>Curtiss Kingbird</t>
  </si>
  <si>
    <t>https://en.wikipedia.org/Curtiss Kingbird</t>
  </si>
  <si>
    <t>9 US gal (7.5 imp gal; 34 l)</t>
  </si>
  <si>
    <t>.76 lb/mi (0.21 kg/km)</t>
  </si>
  <si>
    <t>Historical P-40C Tomahawk</t>
  </si>
  <si>
    <t>The Historical P-40C Tomahawk is an American homebuilt aircraft that was designed and produced by the Historical Aircraft Corporation of Nucla, Colorado. The aircraft is a 62.5% scale replica of the original Curtiss P-40C Tomahawk and when it was available was supplied as a kit for amateur construction.[1] The aircraft features a cantilever low-wing, a single-seat enclosed cockpit under a framed aircraft canopy, retractable conventional landing gear and a single engine in tractor configuration.[1] The aircraft is made from welded steel tubing covered in a shell of polyurethane foam and fiberglass. Its 24.50 ft (7.5 m) span wing, mounts flaps and has a wing area of 100.00 sq ft (9.290 m2). The cockpit width is 21 in (53 cm). The standard engine used is the 230 hp (172 kW) Ford Motor Company V-6 automotive conversion powerplant.[1] The aircraft has a typical empty weight of 1,347 lb (611 kg) and a gross weight of 1,938 lb (879 kg), giving a useful load of 591 lb (268 kg). With full fuel of 42 U.S. gallons (160 L; 35 imp gal) the payload for pilot and baggage is 339 lb (154 kg).[1] The aircraft has fairly lengthy runway requirements with a standard day sea level take-off distance of 1,200 ft (366 m) and a landing distance of 1,500 ft (457 m).[1] The kit included prefabricated assemblies, the engine and scale fixed pitch propeller, instruments, avionics and even paint. The manufacturer estimated the construction time from the supplied kit as 2000 hours.[1] Data from AeroCrafter[1]General characteristics Performance</t>
  </si>
  <si>
    <t>21.27 ft (6.48 m)</t>
  </si>
  <si>
    <t>24.50 ft (7.47 m)</t>
  </si>
  <si>
    <t>1,347 lb (611 kg)</t>
  </si>
  <si>
    <t>1,938 lb (879 kg)</t>
  </si>
  <si>
    <t>27,250 ft (8,310 m)</t>
  </si>
  <si>
    <t>2,365 ft/min (12.01 m/s)</t>
  </si>
  <si>
    <t>42 U.S. gallons (160 L; 35 imp gal)</t>
  </si>
  <si>
    <t>3-bladed fixed pitch composite</t>
  </si>
  <si>
    <t>224 mph (360 km/h, 195 kn)</t>
  </si>
  <si>
    <t>61 mph (98 km/h, 53 kn) flaps and gear down</t>
  </si>
  <si>
    <t>19.38 lb/sq ft (94.6 kg/m2)</t>
  </si>
  <si>
    <t>Curtiss P-40C Tomahawk</t>
  </si>
  <si>
    <t>https://en.wikipedia.org/Curtiss P-40C Tomahawk</t>
  </si>
  <si>
    <t>Lamson Air Tractor</t>
  </si>
  <si>
    <t>The Lamson Air Tractor was a prototype American single-engined biplane agricultural aircraft of the 1950s. Two examples were built, with the first flying in December 1953, but the type did not enter into production. In 1953 Central Aircraft, a crop-spraying company based at Yakima, Washington, went into collaboration with the Lamson Aircraft Company, whose President and designer, Robert L. Lamson was a former test pilot for Boeing, setting up a joint venture, the Central-Lamson Corporation, to design and build a specialized agricultural aircraft, the Air Tractor, one of the first purpose-built aircraft for this role.[1][2][3][a] The first prototype Air Tractor, registration N-31237, made its maiden flight on December 10, 1953.[3] It was a single-engined, single-seat biplane of mixed wood and metal construction, with a gulled upper wing to give improved visibility for the pilot, who sat in an open cockpit aft of the trailing edge of the wings. The fuselage was of steel-tube construction, with the structure aft of the pilot's cockpit left uncovered for ease of maintenance. The wings were of fabric-covered wood structure, with all four main wing panels interchangeable, and with fuel tanks installed in the upper wing roots. Large endplates were fitted to the wingtips to give greater lift and better distribution of chemicals. The aircraft was fitted with a fixed tailwheel undercarriage, and was powered by a single Pratt &amp; Whitney Wasp Junior radial engine.[1] The second Air Tractor, to production standards, flew on December 18, 1954.[3] It had a number of differences from the first prototype, with the rear fuselage fully enclosed and the fuel tanks moved from the wing roots to inside the fuselage, while the engine was enclosed by a cowling.[5] Four more Air Tractors were under construction work but the project was stopped late in 1955.[6] However the design was purchased by Grumman and was later developed into the successful Grumman Ag-Cat.[7] Data from Air Tractor[1]General characteristics Performance</t>
  </si>
  <si>
    <t>Agricultural aircraft</t>
  </si>
  <si>
    <t>Central-Lamson Corporation</t>
  </si>
  <si>
    <t>Robert Lamson</t>
  </si>
  <si>
    <t>26 ft 5 in (8.05 m)</t>
  </si>
  <si>
    <t>35 ft 7 in (10.85 m)</t>
  </si>
  <si>
    <t>10 ft 8 in (3.25 m)</t>
  </si>
  <si>
    <t>350 sq ft (33 m2)</t>
  </si>
  <si>
    <t>5,600 lb (2,540 kg)</t>
  </si>
  <si>
    <t>1 × Pratt &amp; Whitney R-985 Wasp Junior 9-cylinder air-cooled radial engine, 450 hp (340 kW)</t>
  </si>
  <si>
    <t>950 ft/min (4.8 m/s)</t>
  </si>
  <si>
    <t>https://en.wikipedia.org/Agricultural aircraft</t>
  </si>
  <si>
    <t>50 US gal (42 imp gal; 190 L)</t>
  </si>
  <si>
    <t>360 Gallon hopper</t>
  </si>
  <si>
    <t>NACA 6515[6]</t>
  </si>
  <si>
    <t>Light Miniature Aircraft LM-1</t>
  </si>
  <si>
    <t>The Light Miniature Aircraft LM-1, LM-2 and LM-3 are a family of American high wing, conventional landing gear, strut-braced, single engine ultralight aircraft that are scale reproductions of famous general aviation aircraft. The designs were all available as plans from Light Miniature Aircraft of Okeechobee, Florida for amateur construction.[1][2][3] The Light Miniature Aircraft company website domain name expired on 25 May 2010 and has not been renewed.[4] The company seems to have gone out of business about 2010, but Wicks Aircraft continues to provide kits for the designs.[5][6] The LM-1 family were designed in the mid-1980s during the initial ultralight boom. Many pilots did not find the typical early ultralights that resemble a "flying lawnchair", such as the Pterodactyl Ascender or Eipper Quicksilver confidence inspiring or appealing. The LM line was intended to fit the same FAR Part 103 rules, including its 254 lb (115 kg) empty weight, but provide an aircraft that looks and flies much more like a traditional light aircraft. Many of the family are heavier than the US ultralight rules permit.[2] The LM-1 family consists of a basic aircraft design, rendered in wood or optionally 4130 steel tube, with minor changes in the cowling, window and tail shapes to make them resemble well-known light aircraft. The first in the series, the LM-1 was first flown in 1985. The aircraft are sold as plans, with components or complete kits also available to speed construction time.[1][2][3] All aircraft in the series feature enclosed cabins allowing year-round flying, docile handling characteristics and a 300-hour construction time.[2] Data from Kitplanes[1]General characteristics Performance Avionics none   Aircraft of comparable role, configuration, and era</t>
  </si>
  <si>
    <t>Light Miniature Aircraft</t>
  </si>
  <si>
    <t>https://en.wikipedia.org/Light Miniature Aircraft</t>
  </si>
  <si>
    <t>17 ft 9 in (5.41 m)</t>
  </si>
  <si>
    <t>5 ft 7 in (1.70 m)</t>
  </si>
  <si>
    <t>120 sq ft (11 m2)</t>
  </si>
  <si>
    <t>300 lb (136 kg)</t>
  </si>
  <si>
    <t>170 mi (280 km, 150 nmi)</t>
  </si>
  <si>
    <t>550 ft/min (2.8 m/s)</t>
  </si>
  <si>
    <t>Plans no longer available, kits still available</t>
  </si>
  <si>
    <t>5 US gallons (19 litres)</t>
  </si>
  <si>
    <t>2-bladed wooden propeller</t>
  </si>
  <si>
    <t>5.0 lb/sq ft (24 kg/m2)</t>
  </si>
  <si>
    <t>Mooney M22 Mustang</t>
  </si>
  <si>
    <t>The Mooney M22 Mustang is the first attempt at a pressurized single engine aircraft by the Mooney Aircraft Company of the America. The Mustang was developed to be a top-of-the-line model to supplement Mooney's successful Mooney M20 high-performance light aircraft. It is a five-seat pressurized single-engined aircraft with a wider and longer fuselage than the M20E Super 21 and a taller fin and leading edge fillet.[1] It is a low-winged monoplane with a retractable nosewheel undercarriage, with a similar wing to that used on Mooney's earlier M20 Ranger. The first prototype flew on September 24, 1964, with the type being certified on September 26, 1966.[2] First deliveries commenced in 1965, continuing until 1970. 36 aircraft were completed before the line was closed.[3] It was produced and sold at a loss, which contributed to the bankruptcy of Mooney.[4] The "Mark 22" name had previously been applied to a 1957 Mooney M20 experimental aircraft built with twin engines, a nose cone, and an enlarged tail surface. That aircraft did not go into production.[5] The Model 22, although produced in fairly small numbers, has been operated by private and commercial owners in several countries including the America and Australia. Its Garrett AiResearch cabin pressurization system gives the equivalent of 11,000 feet (3,400 m) at the aircraft's operational ceiling of 24,000 feet (7,300 m).[6] As a demonstration of its high performance, the second production aircraft was flown non-stop from New York to the Paris Air Show in June 1967, the flight taking 13 hours 10 minutes. The achievement is recorded on the display board in the accompanying photograph. The aircraft had been fitted with an extra fuel tank for the flight. In 2001, 24 aircraft remained in service.[7] Data from Jane's All The World's Aircraft 1969-70 [8]General characteristics Performance</t>
  </si>
  <si>
    <t>Mooney Aircraft Company</t>
  </si>
  <si>
    <t>https://en.wikipedia.org/Mooney Aircraft Company</t>
  </si>
  <si>
    <t>9 ft 10 in (3.00 m)</t>
  </si>
  <si>
    <t>166.9 sq ft (15.51 m2)</t>
  </si>
  <si>
    <t>2,440 lb (1,107 kg)</t>
  </si>
  <si>
    <t>1 × Lycoming TIO-541-A1A air-cooled turbo-supercharged six-cylinder horizontally opposed engine, 310 hp (230 kW)</t>
  </si>
  <si>
    <t>256 mph (412 km/h, 222 kn)</t>
  </si>
  <si>
    <t>1,493 mi (2,403 km, 1,297 nmi) (45 minutes reserves)</t>
  </si>
  <si>
    <t>1,125 ft/min (5.72 m/s)</t>
  </si>
  <si>
    <t>//upload.wikimedia.org/wikipedia/commons/thumb/2/2e/Mooney_M22_Mustang_N7706M_Le_B_03.06.67_edited-2.jpg/300px-Mooney_M22_Mustang_N7706M_Le_B_03.06.67_edited-2.jpg</t>
  </si>
  <si>
    <t>92 US gal (77 imp gal; 350 L)</t>
  </si>
  <si>
    <t>2-bladed Hartzell metal constant-speed propeller, 6 ft 8 in (2.03 m) diameter</t>
  </si>
  <si>
    <t>214 mph (344 km/h, 186 kn) (normal cruise - 65% power)</t>
  </si>
  <si>
    <t>67 mph (108 km/h, 58 kn) (Indicated airspeed) - flaps and undercarriage lowered, power off</t>
  </si>
  <si>
    <t>4 passengers</t>
  </si>
  <si>
    <t>NACA 632-215 at root, 641-412 at tip</t>
  </si>
  <si>
    <t>1965-1970</t>
  </si>
  <si>
    <t>Mooney M20</t>
  </si>
  <si>
    <t>https://en.wikipedia.org/Mooney M20</t>
  </si>
  <si>
    <t>3,680 lb (1,669 kg)</t>
  </si>
  <si>
    <t>1,142 ft (348 m)</t>
  </si>
  <si>
    <t>958 ft (292 m)</t>
  </si>
  <si>
    <t>Nesmith Cougar</t>
  </si>
  <si>
    <t>The Nesmith Cougar is a light aircraft that was developed in the America in the 1950s and marketed for homebuilding.[1] The design, by Robert Nesmith, is a conventional high-wing, strut-braced monoplane with fixed tailwheel undercarriage. The pilot and a single passenger were seated side by side. The fuselage and empennage were of welded steel-tube construction, while the wings were of wood, and the whole aircraft was fabric-covered. Some later aircraft were fitted with a tricycle undercarriage. The original Cougar design was marketed by Nesmith himself. His intent was to market a low-cost aircraft for homebuilders. He also used the aircraft as a troubled youth project to encourage teens to work together toward a goal.[2] When a modified Cougar won an Experimental Aircraft Association (EAA) design competition in 1963, that organization took over selling plans. Rights to the design were eventually purchased by Acro Sport. The aircraft shape was influenced by the Beechcraft Staggerwing and Wittman Tailwind. The name came from the college of Nesmith's daughter, the University of Houston, whose athletic mascot is a cougar.[3] Data from Jane's All the World's Aircraft 1961–62[7]General characteristics Performance   Aircraft of comparable role, configuration, and era</t>
  </si>
  <si>
    <t>Bob Nesmith</t>
  </si>
  <si>
    <t>https://en.wikipedia.org/Bob Nesmith</t>
  </si>
  <si>
    <t>18 ft 11 in (5.77 m)</t>
  </si>
  <si>
    <t>20 ft 6 in (6.25 m)</t>
  </si>
  <si>
    <t>82.5 sq ft (7.66 m2)</t>
  </si>
  <si>
    <t>624 lb (283 kg)</t>
  </si>
  <si>
    <t>1 × Lycoming O-235 air-cooled flat-four engine, 115 hp (86 kW)</t>
  </si>
  <si>
    <t>195 mph (314 km/h, 169 kn)</t>
  </si>
  <si>
    <t>750 mi (1,210 km, 650 nmi)</t>
  </si>
  <si>
    <t>13,000 ft (4,000 m)</t>
  </si>
  <si>
    <t>1,300 ft/min (6.6 m/s)</t>
  </si>
  <si>
    <t>//upload.wikimedia.org/wikipedia/commons/thumb/9/96/Nesmith_Cougar.jpg/300px-Nesmith_Cougar.jpg</t>
  </si>
  <si>
    <t>25 US gal (21 imp gal; 95 L)</t>
  </si>
  <si>
    <t>155 mph (249 km/h, 135 kn) (econ. cruise)</t>
  </si>
  <si>
    <t>NACA 4309 (modified)</t>
  </si>
  <si>
    <t>https://en.wikipedia.org/1957</t>
  </si>
  <si>
    <t>https://en.wikipedia.org/Eaves Cougar 1</t>
  </si>
  <si>
    <t>1,100 ft (340 m)</t>
  </si>
  <si>
    <t>1,000 ft (300 m)</t>
  </si>
  <si>
    <t>Stolp SA-900 V-Star</t>
  </si>
  <si>
    <t>The Stolp SA-900 V-Star is an American aerobatic homebuilt biplane, currently produced by Aircraft Spruce &amp; Specialty Co in the form of plans for amateur construction. In the 1990s it was also available as a kit from Stolp Starduster Corporation of Riverside, California.[1] The V-Star was designed as a low-cost, economical and easy to fly design, with a light wing loading and short runway requirements. It features a strut-braced biplane layout, with cabane struts, interplane struts and flying wires, a single-seat open cockpit, fixed conventional landing gear with wheel pants and a single engine in tractor configuration.[1] The aircraft fuselage is made from welded 4130 steel tubing. Its 23.00 ft (7.0 m) span wings are made from spruce and plywood, with the whole aircraft covered with doped aircraft fabric. The wings employ a Clark YH airfoil and have a total area of 141.0 sq ft (13.10 m2). The engine used is the 65 hp (48 kW) Continental A65 or other similar powerplants.[1][2] The V-Star has a typical empty weight of 700 lb (320 kg) and a gross weight of 1,000 lb (450 kg), giving a useful load of 300 lb (140 kg). With full fuel of 15 U.S. gallons (57 L; 12 imp gal) the payload for the pilot and baggage is 210 lb (95 kg).[1] The standard day, sea level, no wind, take off with a 65 hp (48 kW) engine is 400 ft (122 m) and the landing roll is 600 ft (183 m).[1] The designer estimates the construction time from the kit that was available in the 1990s as 1800 hours.[1] By 1998 the company reported that 65 aircraft were completed and flying.[1] In March 2014, 13 examples were registered in the America with the Federal Aviation Administration, although a total of 24 had been registered at one time. In Canada in March 2014 there were two registered with Transport Canada and in the United Kingdom a further two were registered with the CAA.[3][4][5] Data from AeroCrafter and The Incomplete Guide to Airfoil Usage[1][2]General characteristics Performance</t>
  </si>
  <si>
    <t>Stolp Starduster CorporationAircraft Spruce &amp; Specialty Co</t>
  </si>
  <si>
    <t>https://en.wikipedia.org/Stolp Starduster CorporationAircraft Spruce &amp; Specialty Co</t>
  </si>
  <si>
    <t>141.0 sq ft (13.10 m2)</t>
  </si>
  <si>
    <t>280 mi (450 km, 240 nmi)</t>
  </si>
  <si>
    <t>//upload.wikimedia.org/wikipedia/commons/thumb/2/25/Stolp_SA-900_V-Star_at_Paine_Field.jpg/300px-Stolp_SA-900_V-Star_at_Paine_Field.jpg</t>
  </si>
  <si>
    <t>Plans available (2014)</t>
  </si>
  <si>
    <t>15 U.S. gallons (57 L; 12 imp gal)</t>
  </si>
  <si>
    <t>7.1 lb/sq ft (35 kg/m2)</t>
  </si>
  <si>
    <t>65 (1998)</t>
  </si>
  <si>
    <t>Clark YH</t>
  </si>
  <si>
    <t>+/-6g (operational), +/-9g (ultimate)</t>
  </si>
  <si>
    <t>Theiss Speedster</t>
  </si>
  <si>
    <t>The Theiss Speedster is an American Homebuilt ultralight biplane that was designed and produced by Theiss Aviation of Salem, Ohio. When it was available the aircraft was supplied as a quick-build kit for amateur construction.[1] The Speedster is intended to resemble a 1920s era sport aircraft.[1] The aircraft was designed to comply with the US FAR 103 Ultralight Vehicles rules, including the category's maximum empty weight of 254 lb (115 kg). The Speedster features a strut-braced biplane layout with interplane struts, a single-seat open cockpit, fixed conventional landing gear with wheel pants and a single engine in tractor configuration. The top wing is mounted on top of the fuselage instead of the more usual arrangement with cabane struts suspending it above the fuselage.[1] The aircraft is made from a combination of aluminium, wood, steel and foam. Its 17.50 ft (5.3 m) span wing has a total wing area of 77.50 sq ft (7.200 m2). The cabin width is 20 in (51 cm). The acceptable power range is 38 to 55 hp (28 to 41 kW) and the standard engine used is the two stroke 40 hp (30 kW) Kawasaki 440 snowmobile powerplant.[1] The Speedster has a typical empty weight of 252 lb (114 kg) and a gross weight of 460 lb (210 kg), giving a useful load of 208 lb (94 kg). With full fuel of 5 U.S. gallons (19 L; 4.2 imp gal) the payload for the pilot and baggage is 178 lb (81 kg).[1] The standard day, sea level, no wind, take off and landing roll with a 40 hp (30 kW) engine is 200 ft (61 m).[1] The manufacturer estimates the construction time from the supplied kit as 400 hours.[1] After producing the Speedster, the company turned its attention to produce unmanned aerial vehicles for the US Navy and no longer produces manned aircraft.[2] By 1998 the company reported that two aircraft were completed and flying.[1] Data from AeroCrafter[1]General characteristics Performance</t>
  </si>
  <si>
    <t>Theiss Aviation</t>
  </si>
  <si>
    <t>https://en.wikipedia.org/Theiss Aviation</t>
  </si>
  <si>
    <t>13 ft 8 in (4.17 m)</t>
  </si>
  <si>
    <t>17 ft 6 in (5.33 m)</t>
  </si>
  <si>
    <t>77.50 sq ft (7.200 m2)</t>
  </si>
  <si>
    <t>252 lb (114 kg)</t>
  </si>
  <si>
    <t>1 × Kawasaki 440 twin cylinder, air-cooled, two stroke snowmobile engine, 40 hp (30 kW)</t>
  </si>
  <si>
    <t>125 mi (201 km, 109 nmi)</t>
  </si>
  <si>
    <t>29 mph (47 km/h, 25 kn)</t>
  </si>
  <si>
    <t>5.9 lb/sq ft (29 kg/m2)</t>
  </si>
  <si>
    <t>Tri-R KIS TR-1</t>
  </si>
  <si>
    <t>The Tri-R KIS TR-1 is an American homebuilt aircraft that was designed by Rich Trickel and produced by Tri-R Technologies of Oxnard, California, introduced in the 1990s. When it was available the aircraft was supplied as a kit for amateur construction.[1] Trickel's main business was High Tech Composites, a company that produced many airframe components under sub-contract for kit aircraft such as the Lancair 235, Lancair 320 and Lancair IV. Trickel originally drew a new aircraft as a set of three-views for a customer in Australia who was looking for a new, conventional aircraft concept. The customer liked the design, but never paid for the drawings, so Trickel brought them home and completed the design work himself. Eventually the new design became the KIS TR-1.[1] The KIS TR-1 features a cantilever low-wing, a two-seats-in-side-by-side configuration enclosed cockpit accessed via gull-wing doors, fixed tricycle landing gear or optionally conventional landing gear with wheel pants and a single engine in tractor configuration.[1] The aircraft is made from composites. Its 23.00 ft (7.0 m) span rectangular wing employs a NACA 63-215 airfoil, mounts flaps and has a wing area of 88.00 sq ft (8.175 m2). The acceptable power range is 80 to 125 hp (60 to 93 kW) and the standard engines used are the 125 hp (93 kW) Continental O-240, the 108 hp (81 kW) Lycoming O-235-C1B or the 80 hp (60 kW) Limbach L2000 powerplant.[1][2] The KIS TR-1 has a typical empty weight of 750 lb (340 kg) and a gross weight of 1,300 lb (590 kg), giving a useful load of 550 lb (250 kg). With full fuel of 20 U.S. gallons (76 L; 17 imp gal) the payload for the pilot, passenger and baggage is 430 lb (200 kg).[1] The standard day, sea level, no wind, take off with a 125 hp (93 kW) engine is 600 ft (183 m) and the landing roll is 1,200 ft (366 m).[1] The manufacturer estimated the construction time from the supplied kit as 1000 hours.[1] Data from AeroCrafter and The Incomplete Guide to Airfoil Usage[1][2]General characteristics Performance</t>
  </si>
  <si>
    <t>Tri-R Technologies</t>
  </si>
  <si>
    <t>https://en.wikipedia.org/Tri-R Technologies</t>
  </si>
  <si>
    <t>Rich Trickel</t>
  </si>
  <si>
    <t>88.00 sq ft (8.175 m2)</t>
  </si>
  <si>
    <t>1,300 lb (590 kg)</t>
  </si>
  <si>
    <t>1 × Continental O-240 four cylinder, air-cooled, four stroke aircraft engine, 125 hp (93 kW)</t>
  </si>
  <si>
    <t>17,000 ft (5,200 m)</t>
  </si>
  <si>
    <t>//upload.wikimedia.org/wikipedia/commons/thumb/6/6d/LN-KIS13.JPG/300px-LN-KIS13.JPG</t>
  </si>
  <si>
    <t>20 U.S. gallons (76 L; 17 imp gal)</t>
  </si>
  <si>
    <t>14.8 lb/sq ft (72 kg/m2)</t>
  </si>
  <si>
    <t>At least 33</t>
  </si>
  <si>
    <t>{'KIS TR-1': 'iginal model with tricycle landing gear and a gross weight of 1,300\xa0lb (590\xa0kg). By 1998 the company reported that 25 aircraft were completed and flying.[1] In March 2014 ten examples were registered in the America with the Federal Aviation Administration, although a total of 13 had been registered at one time.[3] Also in March 2014 there were seven registered in the United Kingdom with the CAA.[4]', 'KIS TR-1/TD': 'nventional landing gear-equipped version ("Taildragger"), with an empty weight of 800\xa0lb (360\xa0kg) and a gross weight of 1,425\xa0lb (646\xa0kg). Fuel is 34 U.S. gallons (130\xa0L; 28\xa0imp\xa0gal). By 1998 the company reported that eight aircraft were completed and flying.[1]'}</t>
  </si>
  <si>
    <t>NACA 63-215</t>
  </si>
  <si>
    <t>RagWing RW7 Duster</t>
  </si>
  <si>
    <t>The RagWing RW7 Duster is a single seat, low wing, strut-braced, single engine ultralight aircraft designed by Roger Mann and sold as plans by RagWing Aircraft Designs for amateur construction.[1][2][3] The RW7 was designed as a homebuilt aircraft category design as it is too heavy to be a US FAR 103 Ultralight Vehicles compliant aircraft with that category's 254 lb (115 kg) empty weight limit. The RW7 was designed as a homebuilt version of a classic crop duster and in fact can be fitted with a small aerial application system. The aircraft was developed from the earlier RagWing RW4 Midwing Sport, which in turn was developed from the RagWing RW1 Ultra-Piet. All aircraft share common construction materials and methods.[1][2] The airframe is constructed entirely from wood and covered with aircraft fabric. The landing gear is of conventional configuration. The aircraft's installed power range is 28 to 52 hp (21 to 39 kW) and the standard engine is the 50 hp (37 kW) Rotax 503, although the 38 hp (28 kW) Kawasaki 440, Volkswagen air-cooled engine and the 35 hp (26 kW) Half VW have also been used.[1][2] Partial kits and construction kits were available in the late 1990s, but today the aircraft is only offered as plans. Estimated construction time is 400–600 hours, although the designer estimates 400 hours. The aircraft can be built in a single car garage, with outdoor final assembly when the wings and fuselage are completed.[1][2]  Data from Cliche and RagWing[1][2]General characteristics Performance</t>
  </si>
  <si>
    <t>Ragwing Aircraft Designs</t>
  </si>
  <si>
    <t>https://en.wikipedia.org/Ragwing Aircraft Designs</t>
  </si>
  <si>
    <t>Roger Mann</t>
  </si>
  <si>
    <t>1,400 sq ft (130 m2)</t>
  </si>
  <si>
    <t>275 lb (125 kg)</t>
  </si>
  <si>
    <t>1 × Rotax 503 twin cylinder two stroke aircraft engine, 50 hp (37 kW)</t>
  </si>
  <si>
    <t>Plans available</t>
  </si>
  <si>
    <t>22 mph (35 km/h, 19 kn)</t>
  </si>
  <si>
    <t>RagWing RW4 Midwing Sport</t>
  </si>
  <si>
    <t>https://en.wikipedia.org/RagWing RW4 Midwing Sport</t>
  </si>
  <si>
    <t>Rand Robinson KR-1</t>
  </si>
  <si>
    <t>The Rand Robinson KR-1 is a single-seat, single-engine sport aircraft designed in the America in the early 1970s and marketed for homebuilding.[1][2][3] A two-seat version is marketed as the KR-2.[1][2][3] It is a low-wing cantilever monoplane of conventional design with an enclosed cockpit and tailwheel undercarriage.[3][4] As originally designed, the main undercarriage units of the KR-1 and basic KR-2 were manually retractable, folding backwards into the wings,[1] while the KR-2T tandem-seat version had fixed tricycle undercarriage.[5] However, some builders choose fixed tailwheel or even fixed tricycle undercarriage for KR-1s and KR-2s.[1][6] Kits for the KR-1, KR-2 and KR-2S were at one time supplied by nVAero of Mission Viejo, California/Corona, California, America.[1][7][8] The KR-1's wings have a two-spar construction; the front spar of spruce, and the rear spar from spruce and plywood.[1][4] The wing ribs are formed from polyurethane foam,[1] and the space around them filled with the same material before the entire wing structure is covered with fabric impregnated with epoxy resin.[4] Similar construction is used in the KR-2, with an RAF 48 airfoil cross-section (some later models have adapted the AS 5046 airfoil, for increased speed at the expense of poorer low-speed handling[1]), and the wings are removable outboard the landing gear.[1] Similar construction is used in the empennage and control surfaces.[1] The fuselage is built around a wooden framework,[1] the lower part skinned in plywood and the upper part built up of polystyrene foam covered in epoxy-coated fabric.[4] KR-1 builders have the choice of three different upper fuselage configurations: the "fastback" with a turtledeck behind the cockpit, the "pursuit" with a fighter-style bubble canopy, and the "sportsman" with an open cockpit and a small fairing behind it for rollover protection.[9] The design has proved popular, with over 10,000 sets of plans sold,[1] including 6,000 sets of KR-1 plans and 4,500 sets of KR-2 plans sold by 1979.[2] From these, over 200 KR-1s[4] and 350 KR-2s[10] were flying by 1987. nVAero's founder Steve Glover reported in 2010 that over 2,000 KRs were flying, worldwide.[1] Plans and kits were still available in 2011.[11] General characteristics Performance</t>
  </si>
  <si>
    <t>nVAero</t>
  </si>
  <si>
    <t>https://en.wikipedia.org/nVAero</t>
  </si>
  <si>
    <t>Kenneth Rand</t>
  </si>
  <si>
    <t>14 ft 6 in (4.42 m)</t>
  </si>
  <si>
    <t>3 ft 6 in (1.07 m)</t>
  </si>
  <si>
    <t>80 sq ft (7.4 m2)</t>
  </si>
  <si>
    <t>800 lb (360 kg)</t>
  </si>
  <si>
    <t>1 × Volkswagen air-cooled engine , 60 hp (45 kW)</t>
  </si>
  <si>
    <t>180 mph (290 km/h, 160 kn)</t>
  </si>
  <si>
    <t>//upload.wikimedia.org/wikipedia/commons/thumb/9/92/Chris_Gardiner%27s_1999_Rand_KR-2S_C-GKRZ_photo_1.JPG/300px-Chris_Gardiner%27s_1999_Rand_KR-2S_C-GKRZ_photo_1.JPG</t>
  </si>
  <si>
    <t>Production completed (2021)</t>
  </si>
  <si>
    <t>138 mph (222 km/h, 120 kn)</t>
  </si>
  <si>
    <t>{'KR-1': ' original, single-seat version', 'KR-2': ' two-seat, side-by-side version, 1900 completed by 2011.', 'KR-2S': ' 16-inch-', 's': 'etched-fuselage version of the KR-2, with 2.5 feet greater wingspan,', 'KR-2T': ' '}</t>
  </si>
  <si>
    <t>Rotortec Cloud Dancer Light</t>
  </si>
  <si>
    <t>The Rotortec Cloud Dancer Light is a German autogyro, designed and produced by Rotortec of Görisried, Allgäu. The aircraft is supplied as a complete ready-to-fly-aircraft.[1] Based on the enclosed cockpit Rotortec Cloud Dancer I, the Cloud Dancer Light was designed as a lower cost model for the German 120 kg ultralight class. It features a single two-bladed rotor, a single-seat open cockpit without a windshield, tricycle landing gear with wheel pants and a twin cylinder, liquid-cooled 70 hp (52 kW) Hirth 3503 two stroke engine mounted in pusher configuration.[1] The aircraft fuselage frame is made from aluminum, while the tail is Kevlar composites. Its 7.10 m (23.3 ft) diameter rotor has a chord of 17.5 cm (6.9 in). The instrument panel is mounted in a simple pod. The aircraft has an empty weight of 120 kg (265 lb) and a gross weight of 300 kg (661 lb), giving a useful load of 180 kg (397 lb).[1] Data from Bayerl[1]General characteristics Performance</t>
  </si>
  <si>
    <t>Rotortec</t>
  </si>
  <si>
    <t>https://en.wikipedia.org/Rotortec</t>
  </si>
  <si>
    <t>120 kg (265 lb)</t>
  </si>
  <si>
    <t>300 kg (661 lb)</t>
  </si>
  <si>
    <t>1 × Hirth 3503 two stroke liquid-cooled aircraft engine, 52 kW (70 hp)</t>
  </si>
  <si>
    <t>155 km/h (96 mph, 84 kn)</t>
  </si>
  <si>
    <t>5 m/s (980 ft/min)</t>
  </si>
  <si>
    <t>25 litres (5.5 imp gal; 6.6 US gal)</t>
  </si>
  <si>
    <t>3-bladed composite Helix-Carbon propeller</t>
  </si>
  <si>
    <t>Rotortec Cloud Dancer I</t>
  </si>
  <si>
    <t>https://en.wikipedia.org/Rotortec Cloud Dancer I</t>
  </si>
  <si>
    <t>7.10 m (23 ft 4 in)</t>
  </si>
  <si>
    <t>RagWing RW1 Ultra-Piet</t>
  </si>
  <si>
    <t>The RagWing RW1 Ultra-Piet is a family of single seat, parasol wing, single engine ultralight aircraft designed by Roger Mann and sold as plans by RagWing Aircraft Designs for amateur construction.[1][2][3][4][5][6][7] The RW1 was designed as an FAR 103 Ultralight Vehicles compliant aircraft that would have an empty weight within that category's 254 lb (115 kg) empty weight limit. The RW1 was designed as a 3/4 scale ultralight version of the classic 1920s vintage Pietenpol Air Camper.[1][3][7][8] The airframe is constructed entirely from wood and covered with aircraft fabric. The landing gear is of conventional configuration and the wings are detachable. The aircraft's installed power range is 24 to 48 hp (18 to 36 kW) and the standard engine was originally the 38 hp (28 kW) Kawasaki 440. The Volkswagen air-cooled engine has been used, as well as the 35 hp (26 kW) Half VW and 35 hp (26 kW) 2si 460.[1][2][3][4][7][8] Partial kits and construction kits were available in the late 1990s, but today the series are only offered as plans. Reported construction time is 300–500 hours.[1][3] The same basic airframe design was also used to produce the RW5 which is a replica of the Heath Parasol and the RW6 Rag-A-Muffin.[1] Data from Kitplanes, Purdy and RagWing[3][4][5]General characteristics Performance   Aircraft of comparable role, configuration, and era</t>
  </si>
  <si>
    <t>1994 (RW5 &amp; RW6)</t>
  </si>
  <si>
    <t>15 ft 0 in (4.57 m)</t>
  </si>
  <si>
    <t>5 ft 10 in (1.78 m)</t>
  </si>
  <si>
    <t>1,260 sq ft (117 m2)</t>
  </si>
  <si>
    <t>254 lb (115 kg)</t>
  </si>
  <si>
    <t>1 × 2si 460 twin cylinder two stroke aircraft engine, 35 hp (26 kW)</t>
  </si>
  <si>
    <t>22 (January 1999)</t>
  </si>
  <si>
    <t>RagWing RW8 PT2S</t>
  </si>
  <si>
    <t>The RagWing RW8 PT2S is a single or two seat, high wing, strut-braced, single engine ultralight aircraft designed by Roger Mann and sold as plans by RagWing Aircraft Designs for amateur construction.[1][2][3][4] The RW8 was designed for the US experimental homebuilt aircraft category for single seat flying or as a US FAR 103 Ultralight Vehicles two-seat ultralight trainer and first flown in 1993.[1][2][3] The airframe is constructed entirely from wood and covered with aircraft fabric. The landing gear is of conventional configuration with bungee suspension with tricycle gear optional. The aircraft's installed power range is 52 to 75 hp (39 to 56 kW) and the standard engine is the 52 hp (39 kW) Rotax 503, although the 70 hp (52 kW) 2si 540 has also been used.[1][2][3] The PT2S is only offered as plans and the designer estimates it will take 500 hours to complete the aircraft.[1][3]  Data from Kitplanes, Purdy and RagWing[1][2][3]General characteristics Performance</t>
  </si>
  <si>
    <t>1,450 sq ft (135 m2)</t>
  </si>
  <si>
    <t>1 × Rotax 503 twin cylinder two stroke aircraft engine, 52 hp (39 kW)</t>
  </si>
  <si>
    <t>260 mi (420 km, 230 nmi)</t>
  </si>
  <si>
    <t>3 (1999)</t>
  </si>
  <si>
    <t>RemSchetMash Robust</t>
  </si>
  <si>
    <t>The RemSchetMash RSM-15 Robust is a single-seat, single-engine ultralight built in Ukraine.  It first flew in 2006 but no production aircraft had been produced by late 2009. The RemSchetMash Robust is the only aircraft built to date by this general manufacturing company.  It has a high wing of constant chord, without flaps.  The wings are braced by single struts to the lower fuselage.  This is a carbon fibre monocoque with a starboard side door for access to the single-seat cockpit.  A conventional tricycle undercarriage is mounted on the fuselage with spring steel cantilever legs bearing the mainwheels.  The rear underside of the fuselage tapers upwards to the tail, where a constant chord tailplane carries a single piece elevator between two endplate fins.  The fins and rudders are parallel edged but with rounded tips, the rudders noticeably less deep than the fins.[1] The Robust is powered by a German 41 kW (55 hp) Hirth 2703 twin-cylinder in-line two-stroke engine, driving a three-blade propeller via reduction gearing.[1] The prototype Robust, serial LA-0872, first flew in 2006. As with some other Ukrainian ultralights, e.g. the Lilienthal Bekas, agricultural spraying was seen as a possible role, but no further aircraft appear to have been built.[1][2]  An enlarged version, the RSM-25 Bekas, has been considered. This would have a span increased to 11.40 m (37 ft 5 in), a maximum take-off weight of 495 kg (1,091 lb) and be powered by a 60 kW (80 hp) Volkswagen 2300 engine.[1] Data from Jane's All the World's Aircraft 2010/11[1]General characteristics Performance</t>
  </si>
  <si>
    <t>Ultralight</t>
  </si>
  <si>
    <t>RemSchetMash jsc, Druzhkivka</t>
  </si>
  <si>
    <t>https://en.wikipedia.org/RemSchetMash jsc, Druzhkivka</t>
  </si>
  <si>
    <t>5.47 m (17 ft 11 in)</t>
  </si>
  <si>
    <t>8.94 m (29 ft 4 in)</t>
  </si>
  <si>
    <t>1.72 m (5 ft 8 in)</t>
  </si>
  <si>
    <t>10.60 m2 (114.1 sq ft) gross</t>
  </si>
  <si>
    <t>1 × Hirth 2703 2-cylinder in-line air-cooled two-stroke with 1</t>
  </si>
  <si>
    <t>200 km/h (120 mph, 110 kn) at sea level</t>
  </si>
  <si>
    <t>1,000 km (620 mi, 540 nmi) with 7% reserves</t>
  </si>
  <si>
    <t>7.0 m/s (1,380 ft/min) at sea level</t>
  </si>
  <si>
    <t>https://en.wikipedia.org/Ultralight</t>
  </si>
  <si>
    <t>3-bladed, 1.645 m (5 ft 5 in) diameter</t>
  </si>
  <si>
    <t>1?</t>
  </si>
  <si>
    <t>TsAGI R-III 16%</t>
  </si>
  <si>
    <t>250 km/h (160 mph, 130 kn)</t>
  </si>
  <si>
    <t>+6/-3</t>
  </si>
  <si>
    <t>340 kg (750 lb)</t>
  </si>
  <si>
    <t>RagWing RW11 Rag-A-Bond</t>
  </si>
  <si>
    <t>The RagWing RW11 Rag-A-Bond is a two-seat, high wing, strut-braced, conventional landing gear, single engine homebuilt aircraft designed by Roger Mann and sold as plans by RagWing Aircraft Designs for amateur construction.[1][2][3][4] The RW11 is a replica of the Piper PA-15 Vagabond.[1][2][3] The RW11 was designed for the US experimental homebuilt aircraft category or as a US FAR 103 Ultralight Vehicles two-seat ultralight trainer and first flown in 1996.[1][2][3] The airframe is constructed entirely from wood and covered with aircraft fabric. The landing gear is of conventional configuration with bungee suspension. The cabin is internally 42 in (107 cm) wide and drooped STOL style wingtips are optional. The aircraft's installed power range is 52 to 100 hp (39 to 75 kW) and the standard engine is the 52 hp (39 kW) Rotax 503, although the 70 hp (52 kW) 2si 690 and 73 hp (54 kW) Subaru EA-81 engines have also been used.[1][2][3] The RW11 is only offered as plans and the designer estimates it will take 500 hours to complete the aircraft.[1][2][3][4] Data from Kitplanes, Purdy and RagWing[1][2][3]General characteristics Performance   Aircraft of comparable role, configuration, and era</t>
  </si>
  <si>
    <t>123.8 sq ft (11.50 m2)</t>
  </si>
  <si>
    <t>420 lb (191 kg)</t>
  </si>
  <si>
    <t>9,500 ft (2,900 m)</t>
  </si>
  <si>
    <t>525 ft/min (2.67 m/s)</t>
  </si>
  <si>
    <t>78 mph (126 km/h, 68 kn)</t>
  </si>
  <si>
    <t>115 mph (185 km/h, 100 kn)</t>
  </si>
  <si>
    <t>Rainbow Aerotrike</t>
  </si>
  <si>
    <t>The Rainbow Aerotrike is a family of South African two-seat ultralight trikes, made by Rainbow Aircraft of Edenvale, Gauteng and available in kit form for amateur construction or fully assembled. The type has been noted for its long-distance flights.[1][2][3][4][5][6] The current Aerotrike series comprises two variants of the same basic design, the Scout and Cobra. Both share the same basic design, including the two-seat carriage frame, suspension, steering and folding inverted "V" mast assembly. The Scout is equipped minimally, while the Cobra has many options as standard equipment, including a cockpit pod fairing, windshield, instrument panel, saddle bags and wheel pants.[1][6] Both models require 30–40 hours to assemble from the supplied kit.[1] The Aerotrike series were the choice of Mike Blyth for his record long-distance flights. The first in 1995 was from Cape Town, South Africa to North Cape, Norway a distance of 10,255 mi (16,504 km) and the second was an around-the-world flight of 29,000 mi (46,671 km).[1][2][3] Data from Cliche and Rainbow Aircraft[1][7][8]General characteristics Performance   Aircraft of comparable role, configuration, and era</t>
  </si>
  <si>
    <t>South Africa</t>
  </si>
  <si>
    <t>Rainbow Aircraft</t>
  </si>
  <si>
    <t>https://en.wikipedia.org/Rainbow Aircraft</t>
  </si>
  <si>
    <t>10.2 m (33 ft 6 in)</t>
  </si>
  <si>
    <t>3.8 m (12 ft 6 in)</t>
  </si>
  <si>
    <t>14.8 m2 (159 sq ft)</t>
  </si>
  <si>
    <t>154 kg (340 lb)</t>
  </si>
  <si>
    <t>400 kg (882 lb)</t>
  </si>
  <si>
    <t>1 × Rotax 503 , 37 kW (50 hp)</t>
  </si>
  <si>
    <t>115 km/h (71 mph, 62 kn)</t>
  </si>
  <si>
    <t>325 km (202 mi, 175 nmi) at 80 km/h</t>
  </si>
  <si>
    <t>3,000 m (10,000 ft)</t>
  </si>
  <si>
    <t>https://en.wikipedia.org/South Africa</t>
  </si>
  <si>
    <t>13 U.S. gallons (49 L; 11 imp gal)</t>
  </si>
  <si>
    <t>3-bladed Powerfin</t>
  </si>
  <si>
    <t>56 km/h (35 mph, 30 kn)</t>
  </si>
  <si>
    <t>27 kg/m2 (5.5 lb/sq ft)</t>
  </si>
  <si>
    <t>70 (Aerotrike Cobra, 2005)</t>
  </si>
  <si>
    <t>Rans S-12 Airaile</t>
  </si>
  <si>
    <t>The Rans S-12 Airaile is a family of related American single-engined, pusher configuration, high-wing monoplanes designed by Randy Schlitter and manufactured by Rans Inc. The aircraft are available in kit form for amateur construction.[1][2][3][4][5][6][7][8] Production of the S-12S Airaile, S-14 Airaile, S-17 Stinger and S-18 Stinger II was ended as part of Rans' extensive reorganization of its product line on 1 June 2006. The S-12XL Airaile was originally intended to be cut from the line at the same time, but customer demand convinced the company to retain the model and it is still available in 2015 as a special order.[6][9] The S-12 Airaile was designed by Randy Schlitter and introduced in March 1990 as a two-seat side-by-side, tricycle gear ultralight aircraft for recreational and flight training use. The single-seat version of the S-12, the S-14 Airaile, was designed one year later and entered production in 1991. The S-17 Stinger retains the wings, tail, boom tube of the S-14, mated to new forward 4130 steel tube cockpit and equipped with conventional landing gear to create an open-cockpit ultralight that complies with the US FAR 103 Ultralight Vehicles regulations. The S-18 Stinger II uses the S-12's wings, tail and boom tube, again with a new forward steel tube fuselage to create a tandem seat, conventional landing gear, open cockpit ultralight trainer.[1][5] Like many Rans models, the family features a welded 4130 steel tube cockpit, with a bolted 6061-T6 aluminum tube rear fuselage. All fuselage, wing and tail surfaces are covered in Dacron or on some models dope and fabric. The wings are built from aluminium tube and ribs, feature flaps and are folding or removable.[1][2][5] The present-day S-12XL is powered by the Rotax 503 of 50 hp (37 kW), with the Rotax 582 of 64 hp (48 kW), the Rotax 912UL of 80 hp (60 kW) and the Rotax 912UL of 100 hp (75 kW) available as options.[2][5][10] The aircraft family has been very well received with over 1000 S-12s delivered. In 1998 Kitplanes magazine said that the S-14 has "squeaky clean handling feels like a little jet, but lands like an ultralight".[2][9] Data from Rans website[10]General characteristics Performance   Aircraft of comparable role, configuration, and era</t>
  </si>
  <si>
    <t>Rans Inc</t>
  </si>
  <si>
    <t>https://en.wikipedia.org/Rans Inc</t>
  </si>
  <si>
    <t>7 ft 4 in (2.24 m)</t>
  </si>
  <si>
    <t>152 sq ft (14.1 m2)</t>
  </si>
  <si>
    <t>975 lb (442 kg)</t>
  </si>
  <si>
    <t>1 × Rotax 582 , 64 hp (48 kW)</t>
  </si>
  <si>
    <t>333 mi (536 km, 289 nmi)</t>
  </si>
  <si>
    <t>//upload.wikimedia.org/wikipedia/commons/thumb/d/dd/Rans_S12_%28D-MQQQ%29_04.jpg/300px-Rans_S12_%28D-MQQQ%29_04.jpg</t>
  </si>
  <si>
    <t>S-12XL in production</t>
  </si>
  <si>
    <t>2-bladed wooden, 5 ft 8 in (1.73 m) diameter</t>
  </si>
  <si>
    <t>32 mph (51 km/h, 28 kn) flaps down</t>
  </si>
  <si>
    <t>6.4 lb/sq ft (31 kg/m2)</t>
  </si>
  <si>
    <t>1112 (S-12 models, 2011)</t>
  </si>
  <si>
    <t>3.1 hrs</t>
  </si>
  <si>
    <t>{'S-12 Airaile': 'iginal model. Production completed.', 'S-12S Super Airaile': 'milar to XL, but with dope and fabric covering. Production completed.[3]', 'S-12XL Airaile': 'rrent production model, two seats in side-by-side configuration, Dacron covering. Full cockpit fairing is optional. Estimate construction time 175 man-hours without the full enclosure or 300 with it. Standard engine is the Rotax 503 of 50\xa0hp (37\xa0kW), with the Rotax 582 of 64\xa0hp (48\xa0kW), the Rotax 912UL of 80\xa0hp (60\xa0kW) or the Rotax 912UL of 100\xa0hp (75\xa0kW) optional. Can be equipped with floats. Over 1000 S-12s of all versions delivered and flown in more than 40 countries.[11][1][2][4][5][6][8][9]', 'S-14 Airaile': 'ngle-seat version of the S-12, with Dacron covering introduced in 1991. Standard engine was the Rotax 447 of 40\xa0hp (30\xa0kW), with the Rotax 503 of 50\xa0hp (37\xa0kW) and the Rotax 582 of 64\xa0hp (48\xa0kW) optional. Reported construction time 200 man-hours including complete cockpit fairing. Empty weight of 390\xa0lb (177\xa0kg) places the S-14 above the maximum category weight of the US FAR 103 Ultralight Vehicles category. Production completed with 125 completed by December 2004.[2][3][5][7]', 'S-17 Stinger': 'en-cockpit, conventional landing gear, single-seater, equipped with a standard Rotax 447 of 40\xa0hp (30\xa0kW) with the Rotax 503 of 50\xa0hp (37\xa0kW) optional. Empty weight of 249\xa0lb (113\xa0kg) places the S-17 within weight of the US FAR 103 Ultralight Vehicles category. The aircraft uses the wings, tailboom and tail of the S-14, but is fitted with a new steel tube cockpit structure. While it retains the flap-equipped wing of the S-14, the flaps are fixed. Production completed with 38 completed by December 2004.[1][3][5][7]', 'S-18 Stinger II': 'en-cockpit, conventional landing gear, ultralight trainer with two seats in tandem, standard engine is the Rotax 503 of 50\xa0hp (37\xa0kW) with the Rotax 582 of 64\xa0hp (48\xa0kW), 80\xa0hp (60\xa0kW) or the Rotax 912UL of 100\xa0hp (75\xa0kW) optional. The aircraft uses the wings, tailboom and tail of the S-12XL, but is fitted with a new steel tube cockpit structure. Production completed, with 30 completed by December 2004.[3][7]'}</t>
  </si>
  <si>
    <t>+4/-2 at max gross weight</t>
  </si>
  <si>
    <t>70 degrees/sec</t>
  </si>
  <si>
    <t>Richard 125 Commuter</t>
  </si>
  <si>
    <t>The Richard 125 Commuter is a two-passenger homebuilt aircraft design.[1] The 125 Commuter was introduced in 1969, and a second refined prototype was built in 1972. The aircraft used an stressed skin all aluminum structure at a time when most homebuilts used wood or tube and fabric construction. The plans were marketed for homebuilt construction by its designer Charles Richard. A 150 hp variant was developed afterward.[2] The 125 Commuter is a side-by-side passenger strut-braced high wing aircraft with conventional landing gear. The aircraft uses all metal construction. A single control column between the seats acts as a control for either pilot. Fuel is stored in 50 gallon wing tanks.[3] Data from Sport AviationGeneral characteristics Performance   Aircraft of comparable role, configuration, and era</t>
  </si>
  <si>
    <t>C.H. Richard Company</t>
  </si>
  <si>
    <t>Charles H Richard</t>
  </si>
  <si>
    <t>19.75 ft (6.02 m)</t>
  </si>
  <si>
    <t>25 ft (7.6 m)</t>
  </si>
  <si>
    <t>100 sq ft (9.3 m2)</t>
  </si>
  <si>
    <t>805 lb (365 kg)</t>
  </si>
  <si>
    <t>1 × Lycoming 0-290G Horizontally opposed piston, 125 hp (93 kW)</t>
  </si>
  <si>
    <t>15,000 ft (4,600 m)</t>
  </si>
  <si>
    <t>50 gal</t>
  </si>
  <si>
    <t>43 kn (50 mph, 80 km/h)</t>
  </si>
  <si>
    <t>https://en.wikipedia.org/Richard 150 Commuter</t>
  </si>
  <si>
    <t>Radioplane BTT</t>
  </si>
  <si>
    <t>The Radioplane BTT, known as RP-71 by the company, as WS-426/2 by the America Navy, and as WS-462/2 by the US Air Force, is a family of target drones produced by the Radioplane Company (later a division of Northrop).[1] In the post-World War II period, Radioplane followed up the success of the OQ-2 target drone with another very successful series of piston-powered target drones, what would become known as the Basic Training Target (BTT) family (the BTT designation wasn't created until the 1980s, but is used here as a convenient way to resolve the tangle of designations). The BTTs remained in service for the rest of the 20th century. The BTT family began life in the late 1940s, evolving through a series of refinements with the US Army designations of OQ-19A through OQ-19D, and the US Navy name of Quail with designated KD2R. Early models had a metal fuselage and wooden wings, but production standardized on an all-metal aircraft. Radioplane developed an experimental XQ-10 variant that was mostly made of plastic, but although evaluations went well, it wasn't considered a major improvement over existing technology, and it did not go into production. Radioplane was bought out by Northrop in 1952 to become the Northrop Ventura Division, though it appears that the "Radioplane" name lingered on for a while. In 1963, when the US military adopted a standardized designation system, the surviving US Army BTT variants became MQM-33s and the KD2R-1, the only member of the family still in Navy service, became the MQM-36 Shelduck. The MQM-36 was the most evolved of the BTT family, but retained the same general configuration as the other members. It was larger and more sophisticated than the first-generation OQ-2A series, and was powered by a more powerful flat-four four-stroke McCulloch piston engine with 72 hp (54 kW). The MQM-36 carried Luneberg lens radar enhancement devices in its wingtips that generated a radar signature of a larger aircraft. The radar reflectors (Luneberg lens) wasn't used by the US Navy as the air search radar interfered with the control signals. Thus the air search radar was not used. Launch was by RATO booster or bungee catapult, and recovery by parachute. A variant of the BTT designated the RP-71,[2] also known as the SD-1 Observer and later redesignated MQM-57 Falconer,[3] was built for battlefield reconnaissance, with first flight in 1955. The Falconer was similar in appearance to the Shelduck, but had a slightly longer and stockier fuselage. It had an autopilot system with radio-control backup, and could carry cameras, as well as illumination flares for night reconnaissance. Equipment was loaded through a hump in the back between the wings. Although it only had an endurance of a little more than a half-hour, making it of limited use, about 1,500 Falconers were built and the type was used internationally with several different military forces, remaining in service into the 1970s. Over 73,000 BTT targets were built in all, and the type was used by at least 18 nations. Some may still be lingering in service. Data from Jane's All The World's Aircraft 1966–67.[21]General characteristics Performance</t>
  </si>
  <si>
    <t>Target drone</t>
  </si>
  <si>
    <t>Radioplane, Northrop</t>
  </si>
  <si>
    <t>https://en.wikipedia.org/Radioplane, Northrop</t>
  </si>
  <si>
    <t>13 ft 7 in (4.14 m)</t>
  </si>
  <si>
    <t>11 ft 6 in (3.50 m)</t>
  </si>
  <si>
    <t>2 ft 7 in (0.79 m)</t>
  </si>
  <si>
    <t>18.72 sq ft (1.74 m2)</t>
  </si>
  <si>
    <t>273 lb (124 kg)</t>
  </si>
  <si>
    <t>403 lb (183 kg)</t>
  </si>
  <si>
    <t>1 × McCulloch O-100-2 , 72 hp (53 kW)</t>
  </si>
  <si>
    <t>202 mph (324 km/h, 176 kn)</t>
  </si>
  <si>
    <t>207 mi (333 km, 180 nmi)</t>
  </si>
  <si>
    <t>23,000 ft (7,000 m)</t>
  </si>
  <si>
    <t>3,500 ft/min (17.8 m/s)</t>
  </si>
  <si>
    <t>//upload.wikimedia.org/wikipedia/commons/thumb/2/25/Radioplane_Shelduck.JPG/300px-Radioplane_Shelduck.JPG</t>
  </si>
  <si>
    <t>67 mph (108 km/h, 58 kn)</t>
  </si>
  <si>
    <t>&gt;73,000</t>
  </si>
  <si>
    <t>1 hours</t>
  </si>
  <si>
    <t>Rans S-11 Pursuit</t>
  </si>
  <si>
    <t>The Rans S-11 Pursuit is an American single-engined, tractor configuration, single-seat, low-wing aircraft, based on the lifting body principle, designed and built by Randy Schlitter. The Pursuit was listed as under development in 1998, but only prototypes were ever completed and the aircraft is not part of the present Rans aircraft line.[1][2] The S-11 was conceived as a unique single seat sport aircraft, based on the lifting body concept pioneered by NASA in the 1960s. The aircraft design derives 80% of its lift from the aircraft fuselage and associated strakes and only 20% from its straight wings.[1] The Pursuit is a straked, low wing single or dual seat aircraft with tricycle landing gear and dual rudders. It is made from a welded steel fuselage with aluminum ribs and a composite shell.[3] The prototype's engine was a Rotax 912UL of 80 hp (60 kW), with the Rotax 582 of 64 hp (48 kW) intended to be offered as an option.[1] A prototype, N2164K, was registered with the Federal Aviation Administration in July 1990 and destroyed on 19 January 1991. Another prototype, N4299Y, was registered with the FAA in June 1991 and had its registration cancelled in March 2001. Another prototype, N7012W, was granted an FAA registration on 5 May 1993.[4][5][6] A prototype S-11, N2164K, was involved in an accident on 19 January 1991. The aircraft suffered an engine failure caused by a seized piston at altitude. The landing was hard and resulted in a fire. The pilot received serious injuries. The National Transportation Safety Board assessed cause factors as engine failure followed by a high descent rate on landing. The aircraft is listed as destroyed.[4][7][8] Data from Aerocrafter,[1] Popular MechanicsGeneral characteristics Performance  Aircraft of comparable role, configuration, and era</t>
  </si>
  <si>
    <t>1,075 lb (488 kg)</t>
  </si>
  <si>
    <t>1 × Rotax 912UL , 80 hp (60 kW)</t>
  </si>
  <si>
    <t>Three prototypes built</t>
  </si>
  <si>
    <t>20 US gallons (76 litres)</t>
  </si>
  <si>
    <t>At least three built</t>
  </si>
  <si>
    <t>Rans S-16 Shekari</t>
  </si>
  <si>
    <t>The Rans S-16 Shekari is an American single-engined, two-seat, low-wing, aerobatic monoplane designed by Randy Schlitter, built by Rans Inc and sold as a kit for amateur construction.[1][2][3][4][5] Conceived as a new generation of Rans aircraft focusing on quicker built times and higher performance, the Shekari is stressed for dual aerobatics.[3] The S-16 has been flown with the Rotax 912UL of 80 hp (60 kW), but is typically equipped with engines such as the  Continental IO-240 of 130 hp (97 kW) and can accept engines up to 160 hp (119 kW). Construction time claimed is 600 to 1500 man-hours, depending on builder experience.[1][2][5][4] Production of the S-16 was ended as part of Rans' extensive reorganization of its product line on 1 June 2006, after the kit had been available for 8 years. Twenty-two had been completed and flown by the end of 2005.[1][6] Data from Kitplanes,[5] Aerocrafter[2]General characteristics Performance</t>
  </si>
  <si>
    <t>Amateur-built aerobatic monoplane</t>
  </si>
  <si>
    <t>18 ft 8 in (5.69 m)</t>
  </si>
  <si>
    <t>5 ft 5 in (1.65 m)</t>
  </si>
  <si>
    <t>86.5 sq ft (8.04 m2)</t>
  </si>
  <si>
    <t>1 × Continental IO-240-B piston engine, 130 hp (97 kW)</t>
  </si>
  <si>
    <t>980 mi (1,570 km, 850 nmi)</t>
  </si>
  <si>
    <t>https://en.wikipedia.org/Amateur-built aerobatic monoplane</t>
  </si>
  <si>
    <t>Production completed June 2006</t>
  </si>
  <si>
    <t>32 US gallons (121 litres)</t>
  </si>
  <si>
    <t>50 mph (80 km/h, 43 kn) flaps down</t>
  </si>
  <si>
    <t>22 (as of December 2004)</t>
  </si>
  <si>
    <t>One passenger</t>
  </si>
  <si>
    <t>248 mph (399 km/h, 216 kn)</t>
  </si>
  <si>
    <t>+9/-9</t>
  </si>
  <si>
    <t>Rans S-4 Coyote</t>
  </si>
  <si>
    <t>The Rans S-4 Coyote and Rans S-5 Coyote are a family of American single-engined, tractor configuration, single-seat, high-wing monoplanes designed by Randy Schlitter and manufactured by Aero-Max and later by Rans Inc. The Coyote was available in kit form for amateur construction as an ultralight aircraft or amateur-built aircraft.[1][2][3][4][5][6][7][8] Production of both designs was completed on 1 June 2006 after having been available for 23 years.[9] The Coyote single seat was designed by Randy Schlitter in 1982, as a result of his dissatisfaction with existing ultralight designs at the time. Construction of the first S-2 Coyote prototype was started in November 1982, with the first flight following in March 1983.[10] Originally the design was to be manufactured by a new company Aero-Max, which was a partnership between Schlitter and a friend of his. The partnership failed over financial issues and kit manufacturing was passed to Schlitter's company, Rans, which was at that time building sailtrikes.[3] Both models of the family feature a welded 4130 steel tube cockpit, with a bolted aluminum tube rear fuselage, wing and tail surfaces all covered in pre-sewn Dacron envelopes, which shorten construction time. The reported construction time is 211 man-hours.[1][2] The Coyote S-4 has conventional landing gear, while the S-5 has tricycle gear. Both can be equipped with floats and skis. The original basic engine was the Rotax 277 of 28 hp (21 kW), with the Rotax 447 of 40 hp (30 kW) and the Rotax 503 of 50 hp (37 kW) available later as options.[1][2][11] The Coyote II two-seater was later developed from the S-5.[2] There were 246 S-4s and S-5s built and flown by December 1998.[1] Many S-4s are flown as unregistered ultralights in the US, but in November 2010 there were four registered along with four S-5s. In November 2010 there were four S-4s and one S-5 registered in Canada. In December 2010 there were nine S-4s and three S-5s registered in the United Kingdom.[12][13][14][15][16] Data from Kitplanes and Aerocrafter[1][2]General characteristics Performance Avionics   Aircraft of comparable role, configuration, and era</t>
  </si>
  <si>
    <t>March 1983 (S-2)</t>
  </si>
  <si>
    <t>127 sq ft (11.8 m2)</t>
  </si>
  <si>
    <t>325 lb (147 kg)</t>
  </si>
  <si>
    <t>587 lb (266 kg)</t>
  </si>
  <si>
    <t>1 × Rotax 503 , 50 hp (37 kW)</t>
  </si>
  <si>
    <t>181 mi (291 km, 157 nmi)</t>
  </si>
  <si>
    <t>//upload.wikimedia.org/wikipedia/commons/thumb/7/7a/Rans_S-4_Coyote_G-CGPZ_%2833643143173%29.jpg/300px-Rans_S-4_Coyote_G-CGPZ_%2833643143173%29.jpg</t>
  </si>
  <si>
    <t>Production completed 1 June 2006</t>
  </si>
  <si>
    <t>9 US gallons (34 litres)</t>
  </si>
  <si>
    <t>27 mph (43 km/h, 23 kn)</t>
  </si>
  <si>
    <t>246 (December 1998)</t>
  </si>
  <si>
    <t>1983–2006</t>
  </si>
  <si>
    <t>https://en.wikipedia.org/Rans S-6 Coyote II</t>
  </si>
  <si>
    <t>Rans S-6 Coyote II</t>
  </si>
  <si>
    <t>The Rans S-6 Coyote II is an American single-engined, tractor configuration, two-seat, high-wing monoplane designed by Randy Schlitter and manufactured by Rans Inc. The Coyote is available in kit form for amateur construction or as a completed light-sport aircraft.[1][2][3][4][5][6][7][8] The original single seat S-4 Coyote was designed by Rans owner Randy Schlitter in 1982, as a result of his dissatisfaction with existing ultralight designs at the time. Construction of the first Coyote prototype was started in November 1982, with the first flight following in March 1983.[9] The Coyote II two-seater was developed from the S-5 Coyote, itself a development of the S-4 Coyote. The initial two seat model, the S-6, was replaced by the improved S-6ES ("extended span") model in April 1990. In 1993, the ES was joined in production by the S-6S Super Coyote.[1][4][5][6] All models of the S-6 feature a welded 4130 steel tube cockpit, with a bolted aluminum tube rear fuselage, wing and tail surfaces all covered in fabric. In the initial S-6 and S-6ES, the fabric consists of pre-sewn Dacron envelopes, which shorten construction time. The S-6S, however, uses the more traditional dope and fabric. The reported construction times for the ES are 250 man-hours versus 500 for the Super.[1][2][3][4][5][6] The Coyote II kit can be ordered with tricycle or conventional landing gear, and can also be equipped with floats and skis. The original basic engine was the Rotax 503 of 50 hp (37 kW), with the Rotax 582 of 64 hp (48 kW) being available as an option. Today, the standard engine is the 80 hp (60 kW) Rotax 912UL, with the 100 hp (75 kW) Rotax 912ULS being optional.[1][2][3][4][5][6] The aircraft can also be fitted with the Sauer S 2200 UL[10] The Coyote has proven to be popular with customers, with over 1800 examples of the type having flown as of January 2008.[4][5][7]   In November 2010 615 were on the registers of European countries west of Russia, excluding Ireland.[11][12] One example of the S-6ES was flown across the Atlantic Ocean twice.[2] Data from Taylor 1996[17]General characteristics Performance   Aircraft of comparable role, configuration, and era</t>
  </si>
  <si>
    <t>Kit and Light-sport aircraft</t>
  </si>
  <si>
    <t>34 ft 6 in (10.52 m)</t>
  </si>
  <si>
    <t>930 lb (422 kg)</t>
  </si>
  <si>
    <t>220 mi (350 km, 190 nmi)</t>
  </si>
  <si>
    <t>//upload.wikimedia.org/wikipedia/commons/thumb/9/9d/GMWUL-RansS6.jpg/300px-GMWUL-RansS6.jpg</t>
  </si>
  <si>
    <t>https://en.wikipedia.org/Kit and Light-sport aircraft</t>
  </si>
  <si>
    <t>2100 (2011)</t>
  </si>
  <si>
    <t>{'S-6': 'itial version, standard engine 50\xa0hp (37\xa0kW) Rotax 503. No longer in production.[1][4][6]', 'S-6ES': 'proved version with "extended span" wings introduced in April 1990. Standard engine is the 100\xa0hp (75\xa0kW) Rotax 912ULS. Available with standard wing, "116" wing and "light sport wing". In production in 2012.[3][4][6][13][14][15]', 'S-6LS': 'ctory built light-sport aircraft version of the Coyote II. Standard engine is the 100\xa0hp (75\xa0kW) Rotax 912ULS and the 2010 base price is US$99,000.[16]', 'S-6S Super Six': 'proved version with dope and fabric covering, introduced in 1993. Standard engine is the 100\xa0hp (75\xa0kW) Rotax 912ULS. Available with standard wing, "116" wing and "light sport wing". In production in 2010.[3][5][6][13]'}</t>
  </si>
  <si>
    <t>Rans S-5 CoyoteRans S-4 Coyote</t>
  </si>
  <si>
    <t>https://en.wikipedia.org/Rans S-5 CoyoteRans S-4 Coyote</t>
  </si>
  <si>
    <t>Rans S-7 Courier</t>
  </si>
  <si>
    <t>The Rans S-7 Courier is an American single-engined, tractor configuration, two-seats in tandem, high-wing monoplane designed by Randy Schlitter and manufactured by Rans Inc. The Courier is available in kit form for amateur construction or as a completed light-sport aircraft.[1][2][3][4][5][6][7][8][9][10] The S-7 was originally conceived of as a trainer for the single seat S-4 Coyote. First flown in November 1985 the Courier was named for an aircraft that Schlitter admired, the Helio Courier.[3][4][6][8][10] The S-7 features a welded 4130 steel tube cockpit, with a bolted aluminum tube rear fuselage, wing and tail surfaces all covered in  dope and fabric. The reported construction times for the Courier are 500-700 man-hours.[1][2][4] The Courier is available only with conventional landing gear but can be equipped with floats and skis. The original basic engine was the Rotax 503 of 50 hp (37 kW), with the Rotax 582 of 64 hp (48 kW) being available as an option. Today the standard engine is the 100 hp (75 kW) Rotax 912ULS.[1][2][3][4]  At least one S7 has been fitted with a Jabiru 2200 flat-four, four-stroke direct-drive engine.[11] 325 examples of the Courier had been completed by December 2007.[2]  In November 2010 74 were on the registers of European countries west of Russia.[12] Reviewer Marino Boric said in a 2015 review, that, "this refined little fun flyer...continues to prove itself deservedly popular."[13] In a extensive review in December 2020, AVweb writer Dave Prizio praised the design's ergonomics and economics, "a nice feature of the S-7 is its ample 30-inch-wide cabin. Even for large people, there is no need to squeeze into an S-7 the way you might into a Cub. It will pretty much do the same thing as a Super Cub at a lower operating cost."[14] Data from Kitplanes[1][2]General characteristics Performance   Aircraft of comparable role, configuration, and era</t>
  </si>
  <si>
    <t>23 ft 3 in (7.09 m)</t>
  </si>
  <si>
    <t>29 ft 3 in (8.92 m)</t>
  </si>
  <si>
    <t>6 ft 4 in (1.93 m)</t>
  </si>
  <si>
    <t>147.1 sq ft (13.67 m2)</t>
  </si>
  <si>
    <t>1,232 lb (559 kg)</t>
  </si>
  <si>
    <t>1 × Rotax 912ULS , 100 hp (75 kW)</t>
  </si>
  <si>
    <t>390 mi (630 km, 340 nmi)</t>
  </si>
  <si>
    <t>//upload.wikimedia.org/wikipedia/commons/thumb/1/1f/Rans-S7.jpg/300px-Rans-S7.jpg</t>
  </si>
  <si>
    <t>In production (2017)</t>
  </si>
  <si>
    <t>18 US Gallons (68 litres)</t>
  </si>
  <si>
    <t>2-bladed adjustable pitch</t>
  </si>
  <si>
    <t>118 mph (190 km/h, 103 kn)</t>
  </si>
  <si>
    <t>41 mph (66 km/h, 36 kn)</t>
  </si>
  <si>
    <t>8.37 lb/sq ft (40.9 kg/m2)</t>
  </si>
  <si>
    <t>600 (2011)</t>
  </si>
  <si>
    <t>{'S-7': 'itial version, standard engine 50\xa0hp (37\xa0kW) Rotax 503, 64\xa0hp (48\xa0kW) Rotax 582 engine optional.[3]', 'S-7C': 'fined version introduced in 2001, certified under the US primary category. Certification in the category took seven years of effort by the manufacturer and was not a commercial success as the primary aircraft category was not widely adopted.[3][10][13][14]', 'S-7S': 't version of the S-7C, introduced in 2003. Qualifies as a US Experimental light-sport aircraft (ELSA). Standard engine is the 100\xa0hp (75\xa0kW) Rotax 912ULS.[3][5][10][13]', 'S-7LS': 'ld as a factory-assembled ready-to-fly US Special light-sport aircraft, the S-7LS is a factory-assembled version of the S-7S. Standard engine is the 100\xa0hp (75\xa0kW) Rotax 912ULS.[3][10][15]'}</t>
  </si>
  <si>
    <t>Ravin 500</t>
  </si>
  <si>
    <t>The Ravin 500 is a South African amateur-built aircraft, designed and produced by Ravin Aircraft of Pretoria. The aircraft first flew on 15 September 2002 and is supplied as a kit for amateur construction or as a complete ready-to-fly aircraft.[1][2] The Ravin 500 is based on the design of the aluminum Piper PA-24 Comanche, but rendered in composite materials and scaled down some 6–7%.[3] The Ravin 500 features a cantilever low-wing, a four-seat enclosed cabin, accessed by doors, retractable tricycle landing gear and a single engine in tractor configuration. The cabin is 45 in (114 cm) wide.[1][2] The aircraft's 35 ft (10.7 m) span wing has an area of 157 sq ft (14.6 m2) and mounts flaps as well as winglets. The aircraft's recommended engine is the 260 to 300 hp (194 to 224 kW) Lycoming IO-540 four-stroke powerplant. Construction time from the supplied kit is estimated as 1400 hours.[1] The company reported that by December 2013 that a total of 22 aircraft or kits had been supplied and that 17 of these have been completed and flown.[4] Data from Kitplanes and Ravin Aircraft[1][2]General characteristics Performance</t>
  </si>
  <si>
    <t>Ravin Aircraft</t>
  </si>
  <si>
    <t>https://en.wikipedia.org/Ravin Aircraft</t>
  </si>
  <si>
    <t>24 ft 4 in (7.42 m)</t>
  </si>
  <si>
    <t>157 sq ft (14.6 m2)</t>
  </si>
  <si>
    <t>3,575 lb (1,622 kg)</t>
  </si>
  <si>
    <t>242 mph (389 km/h, 210 kn)</t>
  </si>
  <si>
    <t>2,200 mi (3,500 km, 1,900 nmi)</t>
  </si>
  <si>
    <t>//upload.wikimedia.org/wikipedia/commons/thumb/5/5d/Ravin_500_N654RA.jpg/300px-Ravin_500_N654RA.jpg</t>
  </si>
  <si>
    <t>160 U.S. gallons (610 L; 130 imp gal)</t>
  </si>
  <si>
    <t>62 mph (100 km/h, 54 kn) flaps down</t>
  </si>
  <si>
    <t>Piper PA-24 Comanche</t>
  </si>
  <si>
    <t>https://en.wikipedia.org/Piper PA-24 Comanche</t>
  </si>
  <si>
    <t>Richard 150 Commuter</t>
  </si>
  <si>
    <t>The Richard 150 Commuter is an American two-seat cabin monoplane designed and built by The C.H. Richard Company of Lancaster, California to be sold in kit form or as plans for amateur construction.[1] A development of the early Richard 125 Commuter flown in 1969, the 150 Commuter is a braced high-wing monoplane with all-metal construction of the wings, monocoque fuselage and tail unit. It has a non-retractable conventional landing gear with a tailwheel. The prototype was powered by a 150 hp (112 kW) Lycoming O-320-A2A air-cooled engine with a two-bladed metal tractor propeller. The enclosed cabin has two side-by-side seats with dual controls and a baggage space behind the seats.  After the prototype first flew in 1972, a new wing was designed with different wing section and an area of 100 sq ft (9.29 m2).[1] Data from Jane's All the World's Aircraft 1973-74[1]General characteristics Performance</t>
  </si>
  <si>
    <t>Two-seat cabin monoplane</t>
  </si>
  <si>
    <t>The C.H. Richard Company</t>
  </si>
  <si>
    <t>19 ft 9 in (6.02 m)</t>
  </si>
  <si>
    <t>120 sq ft (11.1 m2)</t>
  </si>
  <si>
    <t>1,010 lb (450 kg)</t>
  </si>
  <si>
    <t>1 × Lycoming O-320-A2A four-cylinder, horizontally-opposed air-cooled piston engine , 150 hp (110 kW)</t>
  </si>
  <si>
    <t>120 mph (193 km/h, 100 kn)</t>
  </si>
  <si>
    <t>1,100 ft/min (5.6 m/s)</t>
  </si>
  <si>
    <t>https://en.wikipedia.org/Richard 125 Commuter</t>
  </si>
  <si>
    <t>Roland Me 109 Replica</t>
  </si>
  <si>
    <t>The Roland Me 109 Replica is a German ultralight and light-sport aircraft, under development by Roland Aircraft of Mendig. The aircraft is an 83% replica of the Second World War Messerschmitt Bf 109 G-6 fighter aircraft and will be supplied as a kit for amateur construction or as a complete ready-to-fly-aircraft.[1][2] The aircraft was designed to comply with the Fédération Aéronautique Internationale microlight rules and US light-sport aircraft rules. Like the aircraft it replicates, it features a cantilever low-wing, a two-seats-in-tandem enclosed cockpit under a framed canopy, retractable conventional landing gear and a single engine in tractor configuration.[1] The aircraft is predominantly made from aluminum sheet. Its 8.13 m (26.7 ft) span wing has an area of 17.5 m2 (188 sq ft) and mounts flaps. The standard engine intended is the 100 hp (75 kW) Rotax 912ULS, although consideration is being given to using a 180 hp (134 kW) four-stroke powerplant as well.[1] The plan is to produce the Me 109 Replica under sub-contract in the Czech Republic.[1] Data from Bayerl and Roland Aircraft[1][2]General characteristics Performance</t>
  </si>
  <si>
    <t>Roland Aircraft</t>
  </si>
  <si>
    <t>https://en.wikipedia.org/Roland Aircraft</t>
  </si>
  <si>
    <t>7.41 m (24 ft 4 in)</t>
  </si>
  <si>
    <t>8.13 m (26 ft 8 in)</t>
  </si>
  <si>
    <t>17.5 m2 (188 sq ft)</t>
  </si>
  <si>
    <t>1 × Rotax 912ULS four cylinder liquid and air-cooled, horizontally-opposed, piston engine, 75 kW (101 hp)</t>
  </si>
  <si>
    <t>Under development (2012)</t>
  </si>
  <si>
    <t>34.3 kg/m2 (7.0 lb/sq ft)</t>
  </si>
  <si>
    <t>one prototype</t>
  </si>
  <si>
    <t>Messerschmitt Bf 109</t>
  </si>
  <si>
    <t>https://en.wikipedia.org/Messerschmitt Bf 109</t>
  </si>
  <si>
    <t>The Rotortec Cloud Dancer I is a German autogyro, designed and produced by Rotortec of Görisried, Allgäu. The aircraft is supplied as a complete ready-to-fly-aircraft.[1] The Cloud Dancer I features a single main rotor, a single-seat enclosed cockpit with a bubble canopy, tricycle landing gear with wheel pants and a twin cylinder, air-cooled 70 or 84 hp (52 or 63 kW) Hirth two stroke engine mounted in pusher configuration. The 65 hp (48 kW) twin-cylinder air-cooled in-line, two stroke, aircraft engine Hirth 3203 has also been employed.[1] The aircraft fuselage and tail are made from aluminum and Kevlar composites. Its 7.40 m (24.3 ft) diameter rotor has a chord of 17.5 cm (6.9 in) and is equipped with a pre-rotator with an electromagnetic clutch and Cardan drive. Electric trim and an electronic instrument panel are standard equipment. The aircraft has an empty weight of 170 kg (375 lb) and a gross weight of 300 kg (661 lb), giving a useful load of 130 kg (287 lb).[1] Data from Bayerl[1]General characteristics Performance</t>
  </si>
  <si>
    <t>1 × Hirth two stroke aircraft engine, 52 kW (70 hp)</t>
  </si>
  <si>
    <t>//upload.wikimedia.org/wikipedia/commons/thumb/6/66/ILA_2008_PD_906.JPG/300px-ILA_2008_PD_906.JPG</t>
  </si>
  <si>
    <t>45 litres (9.9 imp gal; 12 US gal)</t>
  </si>
  <si>
    <t>135 km/h (84 mph, 73 kn)</t>
  </si>
  <si>
    <t>7.40 m (24 ft 3 in)</t>
  </si>
  <si>
    <t>Rotortec Cloud Dancer II</t>
  </si>
  <si>
    <t>The Rotortec Cloud Dancer II is a German autogyro, designed by Jochen Steinbeck and produced by Rotortec of Görisried, Allgäu. The aircraft was first shown at AERO Friedrichshafen in 2009 and is supplied as a complete ready-to-fly-aircraft.[1] The Cloud Dancer II features a single four-bladed main rotor, a two-seats in side-by-side configuration enclosed cockpit, tricycle landing gear with wheel pants and a twin cylinder, air-cooled, four-stroke, turbocharged 135 hp (101 kW)  Rotortec MPE engine that was developed in-house and is mounted in pusher configuration. It drives a three-bladed composite propeller though a planetary reduction drive.[1] The aircraft fuselage and the three vertical surface tail are made from aluminum and Kevlar composites. Its 6.7 m (22.0 ft) diameter rotor has a chord of 17.5 cm (6.9 in) and is equipped with a micro-processor controlled hydraulic pre-rotator. The prototype aircraft mounted a three-bladed main rotor, but this was changed to a four-bladed unit during development. The four-bladed rotor provides improved vibration levels, but at the cost of requiring larger space for storage. An electronic touchscreen instrument panel is standard equipment. The aircraft has an empty weight of 248.5 kg (548 lb) and a gross weight of 450 kg (992 lb), giving a useful load of 201.5 kg (444 lb). The fuel tanks hold 115 litres (25 imp gal; 30 US gal), giving a full fuel payload of 120 kg (265 lb).[1] Data from Bayerl[1]General characteristics Performance</t>
  </si>
  <si>
    <t>Jochen Steinbeck</t>
  </si>
  <si>
    <t>248.5 kg (548 lb)</t>
  </si>
  <si>
    <t>1 × Rotortec MPE twin cylinder, four stroke, turbocharged aircraft engine, 101 kW (135 hp)</t>
  </si>
  <si>
    <t>190 km/h (120 mph, 100 kn)</t>
  </si>
  <si>
    <t>//upload.wikimedia.org/wikipedia/commons/thumb/5/56/Photokina_2012%2C_D-MHOL%2C_CGI%2C_Gyrocopter.jpg/300px-Photokina_2012%2C_D-MHOL%2C_CGI%2C_Gyrocopter.jpg</t>
  </si>
  <si>
    <t>115 litres (25 imp gal; 30 US gal)</t>
  </si>
  <si>
    <t>165 km/h (103 mph, 89 kn)</t>
  </si>
  <si>
    <t>6.7 m (22 ft 0 in)</t>
  </si>
  <si>
    <t>The RagWing RW4 Midwing Sport is a single seat, strut-braced mid wing, single engine ultralight aircraft designed by Roger Mann and sold as plans by RagWing Aircraft Designs for amateur construction.[1][2][3][4][5] The RW4 was derived from the high-wing RagWing RW1 Ultra-Piet as an FAR 103 Ultralight Vehicles compliant aircraft that would have an empty weight within that category's 254 lb (115 kg) empty weight limit. The RW4 was designed to be an ultralight replica of the classic 1931 vintage Church Midwing Sport Monoplane pylon racer.[1][2][4] The RW4 airframe is constructed entirely from wood and covered with aircraft fabric. The landing gear is of conventional configuration with bungee suspension. As on the original Church design the RW4 has a gap between the wing and fuselage to allow the pilot to see downwards. The aircraft's installed power range is 20 to 48 hp (15 to 36 kW) and the standard engine was originally the 30 hp (22 kW) Kawasaki 340. The  35 hp (26 kW) Half VW four-stroke engine, 28 hp (21 kW) Rotax 277 two-stroke and 28 hp (21 kW) 2si 430 two-stroke have also been used.[1][2][3] Partial kits and construction kits were available in the late 1990s, but today the aircraft is offered only in the form of plans. Reported construction time is 400–600 hours, although the designer claims 350 hours.[1][2][4][5] Data from Kitplanes, Purdy and RagWing[2][3][4]General characteristics Performance</t>
  </si>
  <si>
    <t>26 ft 8 in (8.13 m)</t>
  </si>
  <si>
    <t>4 ft 6 in (1.37 m)</t>
  </si>
  <si>
    <t>117 sq ft (10.9 m2)</t>
  </si>
  <si>
    <t>235 lb (107 kg)</t>
  </si>
  <si>
    <t>1 × 2si 430 twin cylinder two stroke aircraft engine, 28 hp (21 kW)</t>
  </si>
  <si>
    <t>3 (January 1999)</t>
  </si>
  <si>
    <t>https://en.wikipedia.org/RagWing RW1 Ultra-Piet</t>
  </si>
  <si>
    <t>Rans S-10 Sakota</t>
  </si>
  <si>
    <t>The Rans S-10 Sakota is an American single-engined, tractor configuration, two-seats in side-by-side configuration, mid-wing monoplane designed by Randy Schlitter for aerobatics and manufactured by Rans Inc. The Sakota is available in kit form for amateur construction.[1][2][3][4][5][6][7] Production of the S-10 was ended as part of Rans' extensive reorganization of its product line on 1 June 2006, after having been available for 18 years, but the S-10 was reintroduced in about 2009 and is again available.[3][8][9] The S-9 Chaos was designed by Randy Schlitter in 1986 as an inexpensive single-seat aerobatic aircraft for sportsman competition aerobatics and advanced aerobatics if inverted fuel and oil systems are installed. The S-10 Sakota was designed two years later, in 1988, as a two-seat version of the S-9 that can conduct aerobatics when flown solo or fly cross country with two occupants.[3] Like many Rans models, the S-10 features a welded 4130 steel tube cockpit, with a bolted aluminum tube rear fuselage. All fuselage, wing and tail surfaces are covered in dope and fabric. The reported construction time is 600 man-hours.[1][2] The Sakota has conventional landing gear. The basic engine is the Rotax 582 of 64 hp (48 kW) and the Rotax 912UL of 80 hp (60 kW) and the Rotax 912ULS of 100 hp (75 kW) available as options.[1][2][10] There were 215 S-10s built and flown by December 2011.[7] In November 2010 there were 42 S-10s registered in the America, along with six registered in Canada and 12 in the UK.[11][12][13]  Another 58 were on the registers of European countries west of Russia.[14] Data from Rans website[10]General characteristics Performance Avionics   Aircraft of comparable role, configuration, and era</t>
  </si>
  <si>
    <t>4 ft 10 in (1.47 m)</t>
  </si>
  <si>
    <t>95 sq ft (8.8 m2)</t>
  </si>
  <si>
    <t>341 mi (549 km, 296 nmi)</t>
  </si>
  <si>
    <t>//upload.wikimedia.org/wikipedia/commons/thumb/e/e3/Rans_S-10_Sakota.JPG/300px-Rans_S-10_Sakota.JPG</t>
  </si>
  <si>
    <t>2-bladed wooden, 5 ft 10 in (1.78 m) diameter</t>
  </si>
  <si>
    <t>10.1 lb/sq ft (49 kg/m2)</t>
  </si>
  <si>
    <t>215 (2011)</t>
  </si>
  <si>
    <t>1988–2006, 2009–present</t>
  </si>
  <si>
    <t>+4/-2 at max gross weight and +6/-4 at 670lbs.</t>
  </si>
  <si>
    <t>Rans S-9 Chaos</t>
  </si>
  <si>
    <t>https://en.wikipedia.org/Rans S-9 Chaos</t>
  </si>
  <si>
    <t>100 degrees/sec</t>
  </si>
  <si>
    <t>Raven 2XS</t>
  </si>
  <si>
    <t>The Raven 2XS (English: To Excess) is a Canadian aerobatic amateur-built biplane, designed and produced by Raven Aircraft of Surrey, British Columbia. The aircraft is supplied as a kit or as plans for amateur construction.[1] The 2XS features a strut-braced biplane layout, a two-seats-in-tandem enclosed cockpit under a bubble canopy, fixed conventional landing gear and a single engine in tractor configuration. The cockpit is 24 in (61 cm) wide[1] The aircraft is made from mixed construction, using welded steel tubing, aluminum and wood, with its flying surfaces covered in doped aircraft fabric. Its 19.1 ft (5.8 m) span wing has an area of 119.4 sq ft (11.09 m2). The aircraft's recommended engine power range is 260 to 400 hp (194 to 298 kW) and standard engines used include the 280 hp (209 kW) Lycoming IO-540 four-stroke powerplant. The 2XS has a roll rate of 330 degrees/second. Construction time from the supplied kit is estimated as 2000 hours.[1][2] By November 2012 one example had been registered in the America with the Federal Aviation Administration, but none in its home country with Transport Canada.[3][4] Data from Kitplanes and Raven Aircraft[1][2]General characteristics Performance</t>
  </si>
  <si>
    <t>Raven Aircraft</t>
  </si>
  <si>
    <t>https://en.wikipedia.org/Raven Aircraft</t>
  </si>
  <si>
    <t>19 ft 2 in (5.84 m)</t>
  </si>
  <si>
    <t>119.4 sq ft (11.09 m2)</t>
  </si>
  <si>
    <t>1,180 lb (535 kg)</t>
  </si>
  <si>
    <t>1,780 lb (807 kg)</t>
  </si>
  <si>
    <t>1 × Lycoming IO-540 six cylinder, air-cooled, four stroke aircraft engine, 280 hp (210 kW)</t>
  </si>
  <si>
    <t>450 mi (720 km, 390 nmi)</t>
  </si>
  <si>
    <t>3,300 ft/min (17 m/s)</t>
  </si>
  <si>
    <t>37 U.S. gallons (140 L; 31 imp gal)</t>
  </si>
  <si>
    <t>14.9 lb/sq ft (73 kg/m2)</t>
  </si>
  <si>
    <t>2 (2011)</t>
  </si>
  <si>
    <t>Pitts Special</t>
  </si>
  <si>
    <t>https://en.wikipedia.org/Pitts Special</t>
  </si>
  <si>
    <t>Renegade Falcon LS</t>
  </si>
  <si>
    <t>The Falcon LS is a two-seat, low wing, light sport aircraft originally produced by Corvus Aircraft in Hungary as the Corvus Phantom and imported into the US by T&amp;T Aviation between 2008–2010 and by Renegade Light Sport 2010–present.[2][3][4] There is disagreement between Corvus Aircraft and Renegade Light Sport as to whether the design has been licensed or reverse engineered.[1][5] On 6 October 2010 the Falcon LS became the first airplane to fly with the Lycoming IO-233-LSA engine.[6][7] Originally T&amp;T Aviation was selected by Lycoming to help develop their IO-233-LSA engine.[8] When Renegade bought out T&amp;T Aviation they continued the engine development partnership with Lycoming. The IO-233-LSA produces 115 hp (86 kW)[9] when equipped with a carburetor and a Champion electronic ignition system.[citation needed]  Renegade installed a capacitor discharge ignition, fuel injection, and a "Vetterman" cross-flow exhaust system[10] to achieve 123 hp (92 kW).[11] The Falcon LS features a 46 in (117 cm) wide cabin, a ballistic parachute, and wings that can be removed in 15 minutes for ground transport or storage.  T&amp;T Aviation demonstrated 1.5 revolution spins, loops, and barrel rolls in the Falcon LS.[12]  Renegade plans a bigger baggage compartment.[1][13] In March 2017 there were seven Falcon LS aircraft registered with the Federal Aviation Administration in the USA.[14] Data from Renegade website[18]General characteristics Performance Avionics</t>
  </si>
  <si>
    <t>Touring monoplane</t>
  </si>
  <si>
    <t>Renegade Light Sport</t>
  </si>
  <si>
    <t>https://en.wikipedia.org/Renegade Light Sport</t>
  </si>
  <si>
    <t>20.9 ft (6.4 m)</t>
  </si>
  <si>
    <t>31.5 ft (9.6 m)</t>
  </si>
  <si>
    <t>122.66 sq ft (11.395 m2)</t>
  </si>
  <si>
    <t>795 lb (361 kg)</t>
  </si>
  <si>
    <t>1 × Lycoming IO-233-LSA , 123 hp (92 kW)</t>
  </si>
  <si>
    <t>140 mph (220 km/h, 120 kn)</t>
  </si>
  <si>
    <t>530 mi (850 km, 460 nmi)</t>
  </si>
  <si>
    <t>https://en.wikipedia.org/Touring monoplane</t>
  </si>
  <si>
    <t>129 mph (207 km/h, 112 kn)</t>
  </si>
  <si>
    <t>24[1]</t>
  </si>
  <si>
    <t>167 mph (269 km/h, 145 kn)</t>
  </si>
  <si>
    <t>Corvus Phantom</t>
  </si>
  <si>
    <t>https://en.wikipedia.org/Corvus Phantom</t>
  </si>
  <si>
    <t>Roland S-STOL</t>
  </si>
  <si>
    <t>The Roland S-STOL is a German STOL ultralight and light-sport aircraft, produced by Roland Aircraft. The aircraft is supplied as a kit for amateur construction or as a complete ready-to-fly-aircraft.[1][2] The aircraft was designed to comply with the Fédération Aéronautique Internationale microlight rules and US light-sport aircraft rules. It features a strut-braced high-wing, a two-seats-in-side-by-side configuration enclosed cockpit accessed via doors, fixed tricycle landing gear and a single engine in tractor configuration.[1][2] The aircraft is made from sheet aluminum. Its 8.20 m (26.9 ft) span wing has an area of 11.4 m2 (123 sq ft) leading edge slots and flaps. The wing is supported by V-struts with jury struts. The standard engine available is the 80 hp (60 kW) Rotax 912UL four-stroke powerplant. The S-STOL can be de-rigged for storage and folding wings are a factory option. The aircraft can be fitted with wheels, skis and floats and can be used to tow gliders and hang gliders.[1][2] Reviewer Marino Boric described the design in a 2015 review saying, "high reliability, robustness and real short-field ability make it a good-natured aircraft with forgiving characteristics both in the air and on the ground, where its robust undercarriage, high ground clearance and tundra tires help it cope with the roughest strips."[2] Data from Bayerl and Roland Aircraft[1][3]General characteristics Performance</t>
  </si>
  <si>
    <t>6.10 m (20 ft 0 in)</t>
  </si>
  <si>
    <t>8.20 m (26 ft 11 in)</t>
  </si>
  <si>
    <t>11.4 m2 (123 sq ft)</t>
  </si>
  <si>
    <t>275 kg (606 lb)</t>
  </si>
  <si>
    <t>530 kg (1,168 lb)</t>
  </si>
  <si>
    <t>4,600 m (15,000 ft)</t>
  </si>
  <si>
    <t>90 litres (20 imp gal; 24 US gal) in two wing tanks</t>
  </si>
  <si>
    <t>46.5 kg/m2 (9.5 lb/sq ft)</t>
  </si>
  <si>
    <t>Roland Z-602</t>
  </si>
  <si>
    <t>The Roland Z-602 is a German ultralight and light-sport aircraft, produced by Roland Aircraft of Mendig. The aircraft is supplied as a kit for amateur construction or as a complete ready-to-fly-aircraft.[1][2] The aircraft was designed to comply with the Fédération Aéronautique Internationale microlight rules and US light-sport aircraft rules. It features a cantilever low-wing, a two-seats-in-side-by-side configuration enclosed cockpit under a bubble canopy, fixed tricycle landing gear or conventional landing gear and a single engine in tractor configuration.[1][2] The aircraft is made from sheet aluminum. Its 8.23 m (27.0 ft) span wing has an area of 12.4 m2 (133 sq ft) and flaps. The standard engine available is the 100 hp (75 kW) Rotax 912ULS four-stroke powerplant.[1][2] The Z-602 is offered with three landing gear configurations: fixed tricycle, conventional and retractable as the RG model. It is sold with two different levels of options, the Economy and the Exclusiv. The fixed gear model can be derigged and transported by trailer in 20 minutes.[1][2] As of August 2012, the design does not appear on the Federal Aviation Administration's list of approved special light-sport aircraft.[3] Reviewer Marino Boric described the design in a 2015 review as having "an elegant appearance in flight."[2] Data from Bayerl and Roland Aircraft[1][4]General characteristics Performance</t>
  </si>
  <si>
    <t>8.23 m (27 ft 0 in)</t>
  </si>
  <si>
    <t>12.4 m2 (133 sq ft)</t>
  </si>
  <si>
    <t>286 kg (631 lb)</t>
  </si>
  <si>
    <t>590 kg (1,301 lb)</t>
  </si>
  <si>
    <t>243 km/h (151 mph, 131 kn)</t>
  </si>
  <si>
    <t>3,700 m (12,000 ft)</t>
  </si>
  <si>
    <t>//upload.wikimedia.org/wikipedia/commons/thumb/5/57/Roland_Z_602_-_D-mrio_%2840766037494%29.jpg/300px-Roland_Z_602_-_D-mrio_%2840766037494%29.jpg</t>
  </si>
  <si>
    <t>130 litres (29 imp gal; 34 US gal) in two tanks</t>
  </si>
  <si>
    <t>230 km/h (140 mph, 120 kn)</t>
  </si>
  <si>
    <t>63 km/h (39 mph, 34 kn)</t>
  </si>
  <si>
    <t>47.6 kg/m2 (9.7 lb/sq ft)</t>
  </si>
  <si>
    <t>+6/-6</t>
  </si>
  <si>
    <t>Raj Hamsa X-Air</t>
  </si>
  <si>
    <t>The Raj Hamsa X-Air is an Indian, two-seat, high-wing, tricycle gear, tractor configuration, ultralight aircraft produced by Raj Hamsa Ultralights of Bangalore, Karnataka in kit form, for amateur construction.[1][2][3][4][5][6][7] The X-Air started as a development of the Chotia Weedhopper redesigned to incorporate ailerons and an enclosed cabin. After initial production in Europe manufacturing was shifted to Raj Hamsa in India. In many countries the aircraft is known as the Rand Kar X-Air. In the USA it is sometimes referred to as the Light Wing X-Air. The aircraft was later developed into the more conventional X-Air Hanuman, which relocated the engine from the upper keel tube to the nose.[2][3][4][7][8] The X-Air is built from bolted aluminium tubing, mated to a central welded steel cockpit cage. The wings and tail surfaces are covered in pre-sewn Dacron sailcloth envelopes. The aircraft is built around its keel, a large tube that runs from the high-mounted engine in the front to the tail in the back. The wings are supported by V-struts with jury struts. The landing gear incorporates oleo shock absorbers on all three wheels. The nosewheel is steerable and mainwheel brakes are standard. Dual controls are standard, but cockpit doors are optional. The cockpit has been criticized by reviewer Andre Cliche as "a bit difficult to access".[2] The X-Air can be fitted with either floats or skis. Engines from 50 to 75 hp (37 to 56 kW) can be fitted, provided they weigh under 120 lb (54 kg). The construction time is estimated at 40 hours.[2][5] Due to its low price and BCAR Section "S" certification the X-Air has proven popular in the United Kingdom.[4] An X-Air has been used as a testbed for the prototype D-Motor LF26 flathead engine.[9] Data from Raj Hamsa[10]General characteristics Performance  Related development Aircraft of comparable role, configuration, and era</t>
  </si>
  <si>
    <t>India</t>
  </si>
  <si>
    <t>Raj Hamsa Ultralights</t>
  </si>
  <si>
    <t>https://en.wikipedia.org/Raj Hamsa Ultralights</t>
  </si>
  <si>
    <t>Piero Mezzapezza &amp; Joel Koechlin</t>
  </si>
  <si>
    <t>5.65 m (18 ft 6 in)</t>
  </si>
  <si>
    <t>9.80 m (32 ft 2 in)</t>
  </si>
  <si>
    <t>2.55 m (8 ft 4 in)</t>
  </si>
  <si>
    <t>240 kg (529 lb)</t>
  </si>
  <si>
    <t>1 × Rotax 582 twin-cylinder, two-stroke, aircraft engine, 48 kW (64 hp)</t>
  </si>
  <si>
    <t>3.0 m/s (590 ft/min)</t>
  </si>
  <si>
    <t>//upload.wikimedia.org/wikipedia/commons/thumb/a/a0/Ran_Kar_X-AIR_602T_C-IGMQ_02A.jpg/300px-Ran_Kar_X-AIR_602T_C-IGMQ_02A.jpg</t>
  </si>
  <si>
    <t>https://en.wikipedia.org/India</t>
  </si>
  <si>
    <t>3-bladed ground adjustable</t>
  </si>
  <si>
    <t>804 (December 2011)[1]</t>
  </si>
  <si>
    <t>1993-present</t>
  </si>
  <si>
    <t>Chotia Weedhopper</t>
  </si>
  <si>
    <t>https://en.wikipedia.org/Chotia Weedhopper</t>
  </si>
  <si>
    <t>https://en.wikipedia.org/X-Air Hanuman</t>
  </si>
  <si>
    <t>Rhein Flugzeugbau RW 3 Multoplan</t>
  </si>
  <si>
    <t>The Rhein Flugzeugbau RW 3 Multoplan is a two-seat light pusher configuration aircraft that was produced in small numbers by Rhein Flugzeugbau GmbH between 1958 and 1961. The prototype RW 3 Multoplan was designed by Hanno Fischer who founded Rhein-West-Flug Fischer in 1955 in order to test the aerodynamic principles that he propounded. These were first tested in the Fibo 2a light aircraft. This was followed by the first RW 3A Multoplan D-EJAS which was a tandem two-seat light aircraft of mixed construction with a high aspect ratio wing, retractable tricycle undercarriage and a T-tail. The 65 h.p. Porsche 678/0 engine was buried in the centre fuselage and drove a pusher propeller mounted in a vertical slot between the fin and rudder.[1] The two occupants were provided with dual controls and were accommodated beneath a long blister canopy.[2] A second RW 3A-V2 was built and tested.[3] Fischer granted a production licence to Rhein Flugzeugbau GmbH (RFB) who built an initial batch of Multoplans at their factory at Krefeld-Uerdingen. The first production aircraft was flown on 8 February 1958 and this and all subsequent machines were designated RW 3.P75 to identify the Porsche 75 h.p. 678/4 engine which was fitted. RFB built a total of 22 Multoplans and abandoned a further three when production was discontinued in 1961.  One further example was built by an amateur constructor.[4] RFB also built two examples of a higher-powered version, the RW 3C-90 Passat and on these and all other RW 3s, they offered optional wingtip extension panels which enabled the Multoplan to be flown as a power-assisted sailplane.[5] The extensions increased the span from 34 ft 9 ins to 50 ft 6 in.[6] The Multoplan was mainly operated by private pilot owners. Two examples remained operational on the German civil aircraft register in 2009 and two aircraft were exhibited in German aviation museums including D-EIFF displayed in the Deutsches Technikmuseum in the centre of Berlin.[7] (per Simpson) Data from GreenGeneral characteristics Performance</t>
  </si>
  <si>
    <t>Two-seat light pusher aircraft</t>
  </si>
  <si>
    <t>Rhein Flugzeugbau GmbH</t>
  </si>
  <si>
    <t>https://en.wikipedia.org/Rhein Flugzeugbau GmbH</t>
  </si>
  <si>
    <t>Hanno Fischer</t>
  </si>
  <si>
    <t>34 ft 9 in (10.59 m)</t>
  </si>
  <si>
    <t>151 sq ft (14.0 m2)</t>
  </si>
  <si>
    <t>1,323 lb (600 kg)</t>
  </si>
  <si>
    <t>1,894 lb (859 kg)</t>
  </si>
  <si>
    <t>1 × Porsche 678/4 4-cylinder air-cooled piston, 75 hp (56 kW)</t>
  </si>
  <si>
    <t>14,700 ft (4,500 m)</t>
  </si>
  <si>
    <t>492 ft/min (2.50 m/s)</t>
  </si>
  <si>
    <t>//upload.wikimedia.org/wikipedia/commons/thumb/1/16/RFB_RW3-P75_Multoplan_D-EKUM_LeB_29.05.57_edited-2.jpg/300px-RFB_RW3-P75_Multoplan_D-EKUM_LeB_29.05.57_edited-2.jpg</t>
  </si>
  <si>
    <t>private pilot owners</t>
  </si>
  <si>
    <t>{'RW.3-A': 'o prototypes powered by 65\xa0hp (48\xa0kW) Porsche 678/0 engine.', 'RW.3-A2': 'tended wing motor-glider with 15.40\xa0m (50\xa0ft 6\xa0in) span wings.[8]', 'RW.3-A3': 'andard production light aircraft version with 10.4\xa0m (34\xa0ft) span wings and auxiliary fuel tanks at the wing-tips.[8]', 'RW.3-P75': ' production aircraft, and one amateur-built, powered by 75\xa0hp (56\xa0kW) Porsche 678/4 engine.', 'RW.3-B': 'ider version with wings extended to 15.40\xa0m (50\xa0ft 6\xa0in). Aspect ratio 12.[9]', 'RW 3C-90 Passat': 'o aircraft retrofitted with a 90\xa0hp (67\xa0kW) engine, then a 150\xa0hp (112\xa0kW) Lycoming O-320 with a Hartzell constant speed propeller.[10]'}</t>
  </si>
  <si>
    <t>1958–1961</t>
  </si>
  <si>
    <t>Rolls-Royce Mustang Mk.X</t>
  </si>
  <si>
    <t>The North American Mustang Mk.X (as in "Mark.10"; also known as the "Rolls-Royce Mustang") was a British variant of the US North American P-51 Mustang using a Rolls-Royce Merlin engine in an experimental program undertaken by the Rolls-Royce company in 1942. In April 1942, the Royal Air Force's Air Fighting Development Unit (AFDU) tested the Allison V-1710-engined Mustang at higher altitudes and found it wanting, but their commanding officer, Wing Commander Ian Campbell-Orde, was so impressed with its maneuverability and low-altitude speed that he invited Ronald Harker from Rolls-Royce's Flight Test establishment at Hucknall to fly it. It was quickly evident that performance, although exceptional up to 15,000 ft (4,572 m), was inadequate at higher altitudes. This deficiency was due largely to the single-stage supercharged Allison engine, which lacked power at higher altitudes. Still, the Mustang's advanced aerodynamics showed to advantage, as the Mustang Mk.I was about 30 mph (48 km/h) faster than contemporary Curtiss P-40 fighters using the same Allison powerplant. The Mustang Mk.I was 30 mph (48 km/h) faster than the Spitfire Mk VC at 5,000 ft (1,524 m) and 35 mph (56 km/h) faster at 15,000 ft (4,572 m), despite the latter having a significantly more powerful engine than the Mustang's Allison.[1] Rolls-Royce engineers rapidly concluded that the Mustang powered by a two-stage Merlin 61 would result in a significant improvement in performance and started converting five Mustangs to Merlin power as the "Mustang Mk.X" (i.e., Mk.10) With a minimum of modification to the engine bay, the Merlin engine neatly fitted into the adapted engine formers. A smooth engine cowling with an additional  "chin" radiator was tried out in various configurations as the two-stage Merlin required a greater cooling capacity than could be obtained with the standard Mustang radiator alone. The Merlin 65 series engine was utilised in all the prototypes as it was identical to the Merlin 66 powering the Spitfire Mk IX, allowing for a closer comparison. Due to the speed of the conversions, engines were often swapped from aircraft to aircraft as well as being replaced by newer units. The high-altitude performance was a major advance over the Mustang I, with the Mustang X serial AM208 reaching 433 mph (697 km/h) at 22,000 ft (6,506 m) and AL975 tested at an absolute ceiling of 40,600 ft (12,375 m). Air Ministry official, Air Chief Marshal Sir Wilfrid Freeman (Chief Executive at the Ministry of Aircraft Production - MAP) lobbied vociferously for Merlin-powered Mustangs, insisting two of the five experimental Mustang Mk Xs be handed over to Carl Spaatz for trials and evaluation by the U.S. Eighth Air Force in Britain. In this Freeman was greatly assisted by the US Assistant Air Attaché to London, Thomas Hitchcock Jr. After sustained lobbying at the highest level, American production started in early 1943 of a North American-designed Mustang patterned after a P-51 Mustang prototype originally designated the XP-78 that utilised the Packard V-1650-3 Merlin engine replacing the Allison engine. The pairing of the P-51 airframe and Merlin engine was later designated P-51B for the model NA-102 (manufactured at Inglewood, California) or P-51C for the model NA-103 (manufactured at a new plant in Dallas, Texas from summer 1943). The RAF named both these models Mustang Mk.III. In performance tests, the P-51B achieved 441 mph (710 km/h) at 25,000 ft (7,620 m), and subsequent extended range with the use of drop tanks enabled the Merlin-powered Mustang version to be introduced as a bomber escort. In June 1943, Rolls-Royce proposed to re-engine the Mustang with a Griffon 65, although the resultant "Flying Test Bed" (F.T.B.) would involve a dramatic redesign. Three surplus Mustang I airframes were allotted by the Ministry of Aircraft Production (MAP) and were dismantled in order to provide the major components for a mid-amidships installation of the more powerful Griffon engine, somewhat like the V-1710 Allison installation in both the American Bell P-39 Airacobra and Bell P-63 Kingcobra. The project culminated in a mock-up, albeit with a Merlin 61 temporarily installed, serialed as AL960, that was examined by representatives from the Ministry in 1944, but was not given priority status. Further studies involving more powerful engines or turboprops were not given approval and the development contract was cancelled in 1945 with the mock-up being destroyed.[2]  Related development Aircraft of comparable role, configuration, and era  Related lists</t>
  </si>
  <si>
    <t>Experimental aircraft</t>
  </si>
  <si>
    <t>//upload.wikimedia.org/wikipedia/commons/thumb/0/01/Mustang_X.jpg/300px-Mustang_X.jpg</t>
  </si>
  <si>
    <t>https://en.wikipedia.org/Experimental aircraft</t>
  </si>
  <si>
    <t>Experimental</t>
  </si>
  <si>
    <t>Rolls-Royce (modifications)</t>
  </si>
  <si>
    <t>https://en.wikipedia.org/Rolls-Royce (modifications)</t>
  </si>
  <si>
    <t>Royal Air ForceAmerica Army Air Forces</t>
  </si>
  <si>
    <t>https://en.wikipedia.org/Royal Air ForceAmerica Army Air Forces</t>
  </si>
  <si>
    <t>Romano R.82</t>
  </si>
  <si>
    <t>The Romano R-82 was a two-seat intermediate and aerobatic trainer designed by Etienne Romano with production aircraft built by Chantiers aéronavals Étienne Romano. The prototype Romano R-80.01 was a private venture design by Chantiers aéronavals Étienne Romano for a two-seat aerobatic biplane to use as a demonstrator. Tested in 1935 with a 179 kW (240 hp) Lorraine 7Me radial engine it was later fitted with a 209 kW (280 hp) Salmson 9Aba radial and re-designated the R-80.2. The R.80.2 was a biplane with a fixed tailwheel landing gear and with the change of scope to a tandem two-seat dual-control aerobatic trainer it was re-designated the R.82.01. Two more prototypes were built which were sold to private owners. Romano became part of the nationalised SNCASE in 1937 and the French Air Force ordered the R-82 into production with 147 aircraft being delivered. The French Navy also ordered 30 R-82s and all Air Force and Navy aircraft had been delivered by May 1940. In 1938 two aircraft were ferried to Spain and used by the Spanish Republican government in the fight against the Nationalist faction.[1] Data from [2]General characteristics Performance  Related development   Related lists</t>
  </si>
  <si>
    <t>Two-seat intermediate and aerobatic trainer</t>
  </si>
  <si>
    <t>Chantiers aéronavals Étienne Romano</t>
  </si>
  <si>
    <t>https://en.wikipedia.org/Chantiers aéronavals Étienne Romano</t>
  </si>
  <si>
    <t>Etienne Romano</t>
  </si>
  <si>
    <t>https://en.wikipedia.org/Etienne Romano</t>
  </si>
  <si>
    <t>7.82 m (25 ft 7 in)</t>
  </si>
  <si>
    <t>9.88 m (32 ft 5 in)</t>
  </si>
  <si>
    <t>3.34 m (10 ft 11.5 in)</t>
  </si>
  <si>
    <t>23.72 m2 (255.33 sq ft)</t>
  </si>
  <si>
    <t>918 kg (2,024 lb)</t>
  </si>
  <si>
    <t>1,328 kg (2,928 lb)</t>
  </si>
  <si>
    <t>1 × Salmson 9Aba radial piston engine , 209 kW (280 hp)</t>
  </si>
  <si>
    <t>240 km/h (149 mph, 129 kn)</t>
  </si>
  <si>
    <t>660 km (410 mi, 360 nmi)</t>
  </si>
  <si>
    <t>6,500 m (21,325 ft)</t>
  </si>
  <si>
    <t>//upload.wikimedia.org/wikipedia/commons/thumb/9/93/Romano_R-80_Spanish_Republican_AF.jpg/300px-Romano_R-80_Spanish_Republican_AF.jpg</t>
  </si>
  <si>
    <t>https://en.wikipedia.org/Two-seat intermediate and aerobatic trainer</t>
  </si>
  <si>
    <t>https://en.wikipedia.org/1936</t>
  </si>
  <si>
    <t>French Air ForceFrench Navy</t>
  </si>
  <si>
    <t>https://en.wikipedia.org/French Air ForceFrench Navy</t>
  </si>
  <si>
    <t>Rotor Flight Dynamics LFINO</t>
  </si>
  <si>
    <t>The Rotor Flight Dynamics LFINO (Leap Flight In Normal Operations and pronounced by the designers as "ell if I know") is an American experimental autogyro that was designed by Ernie Boyette and Dick DeGraw, with a single prototype produced by their company Rotor Flight Dynamics of Wimauma, Florida. The aircraft was intended as a proof-of-concept for evaluation for police or paramilitary use.[1][2] The LFINO  was designed to test out the use of a powered rotor autogyro to allow zero speed take-offs and landings and more efficient forward flight. The design features a single three-bladed main rotor that was built in-house, a two-seats-in side-by-side configuration enclosed bulbous cockpit, tricycle landing gear mounted on stub wings, a triple tail and a single four cylinder liquid-cooled Subaru automotive engine in pusher configuration.[1][3][4] The aircraft's frame is made from aluminium and the cabin is of non-structural fiberglass. The aircraft is equipped with a helicopter-style collective pitch control to allow "jump" takeoffs. Take-offs are accomplished by powering the rotor system to 150% cruise rpm and then increasing collective rapidly to jump the aircraft into the air where it can then fly away.[2] The sole example was built in 2005 and registered in the America with the Federal Aviation Administration in the Experimental - Amateur-built category on 21 March 2005. It first flew in about February 2006. The aircraft was first shown publicly at Wauchula, Florida during the Bensen Days show in April 2005 as a static display, since it had not then yet flown. It was first flown publicly during Bensen Days in April 2006. The prototype was exported to Spain and its US registration was cancelled on 11 April 2008.[1][2][3][5] Data from Aero News Network[2]General characteristics Performance</t>
  </si>
  <si>
    <t>Rotor Flight Dynamics</t>
  </si>
  <si>
    <t>https://en.wikipedia.org/Rotor Flight Dynamics</t>
  </si>
  <si>
    <t>Ernie Boyette and Dick DeGraw</t>
  </si>
  <si>
    <t>1,050 lb (476 kg)</t>
  </si>
  <si>
    <t>1 × Subaru four cylinder, liquid-cooled, four stroke automotive conversion engine</t>
  </si>
  <si>
    <t>120 kn (140 mph, 220 km/h) (projected)</t>
  </si>
  <si>
    <t>Prototype only (2011)</t>
  </si>
  <si>
    <t>RagWing RW22 Tiger Moth</t>
  </si>
  <si>
    <t>The RagWing RW22 Tiger Moth is a two-seats-in-tandem, biplane, conventional landing gear, single engine homebuilt aircraft designed by Roger Mann and sold as plans by RagWing Aircraft Designs for amateur construction.[1][2][3] The RW22 is an 80% scale replica of the de Havilland Tiger Moth and was developed using the original Tiger Moth design as a guide.[1][2] The RW22 was designed for the US experimental homebuilt aircraft category and was first flown in June 1999. It also qualifies as an Experimental Light-sport aircraft in the USA.[1][2] The airframe is constructed from wood and tube and covered with aircraft fabric. The landing gear is of conventional configuration. The aircraft's nominal installed power range is 50 to 100 hp (37 to 75 kW) and the standard engine is the 70 hp (52 kW) 2si 690, although the 60 hp (45 kW) HKS 700E, 50 hp (37 kW) Rotax 503 and the 80 hp (60 kW) Rotax 912UL engine have also been used.[1][2] The RW22 was originally available as a complete quick-build kit, less only the engine, but today is only offered as plans and the designer estimates it will take 600 hours to complete the aircraft.[1][2][3]  Data from Kitplanes and RagWing[1][2]General characteristics Performance   Aircraft of comparable role, configuration, and era</t>
  </si>
  <si>
    <t>7 ft 6 in (2.29 m)</t>
  </si>
  <si>
    <t>490 lb (222 kg)</t>
  </si>
  <si>
    <t>1 (December 2000)</t>
  </si>
  <si>
    <t>de Havilland Tiger Moth</t>
  </si>
  <si>
    <t>https://en.wikipedia.org/de Havilland Tiger Moth</t>
  </si>
  <si>
    <t>Rocky Mountain Wings Ridge Runner</t>
  </si>
  <si>
    <t>The Rocky Mountain Wings Ridge Runner is a family of American high wing, strut-braced, single engine, conventional landing gear aircraft that were designed by Stace Schrader and were produced by Rocky Mountain Wings of Nampa, Idaho for amateur construction from 2000 to 2018.[1][2][3][4][5][6][7][8] Following a lawsuit in 2018 the company closed, production ended and its website was taken down by June 2019.[9][10] Introduced at Airventure, Oshkosh, Wisconsin in July 2000, the first Ridge Runner was a single seater designed as an FAR 103 Ultralight Vehicles compliant aircraft that would have an empty weight within that category's 254 lb (115 kg) empty weight limit.[1][2][3][4][5][6] The designer, Stace Schrader was formerly involved with Avid Aircraft, the Denney Kitfox and Sky Raider LLC designs, all similar aircraft. The resulting aircraft was described by reviewer Andre Cliche as "a clone identical to its predecessors except for a few details like, for example the type of ailerons and balloon tires for rough terrain operations."[1] The aircraft has an optional powder coated 4130 steel tube frame fuselage covered in doped fabric. The wing is constructed with aluminium tube spars and is also fabric-covered. The kit includes many pre-fabricated parts, including the wing ribs, seat belts and shoulder harnesses, wheels and tires. The manufacturer estimates the construction time as 250–600 hours, depending on the options selected and builder experience.[1][2][3][4][5][6][11] The Ridge Runner 1 requires a very light engine to remain under 254 lb (115 kg) empty weight and the specified engine remains the out-of-production 28 hp (21 kW) Rotax 277.[1] Data from Kitplanes[2][6]General characteristics Performance  Related development Aircraft of comparable role, configuration, and era</t>
  </si>
  <si>
    <t>Rocky Mountain Wings</t>
  </si>
  <si>
    <t>https://en.wikipedia.org/Rocky Mountain Wings</t>
  </si>
  <si>
    <t>Stace Schrader</t>
  </si>
  <si>
    <t>26 ft 2 in (7.98 m)</t>
  </si>
  <si>
    <t>5 ft 3 in (1.60 m)</t>
  </si>
  <si>
    <t>99.4 sq ft (9.23 m2)</t>
  </si>
  <si>
    <t>247 lb (112 kg)</t>
  </si>
  <si>
    <t>1 × Rotax 277 , 28 hp (21 kW)</t>
  </si>
  <si>
    <t>23 mph (37 km/h, 20 kn)</t>
  </si>
  <si>
    <t>68 (Ridge Runner 1, 2011)15 (Ridge Runner 2, 2011)59 (Ridge Runner 3, 2011)4 (Ridge Runner 4, 2011)</t>
  </si>
  <si>
    <t>2000-2018</t>
  </si>
  <si>
    <t>Denney Kitfox</t>
  </si>
  <si>
    <t>https://en.wikipedia.org/Denney Kitfox</t>
  </si>
  <si>
    <t>Rotor Flight Dynamics Dominator</t>
  </si>
  <si>
    <t>The Rotor Flight Dynamics Dominator is an American autogyro designed by Ernie Boyette of Rotor Flight Dynamics of Wimauma, Florida, and made available in the form of plans and kits for amateur construction.[1] The Dominator is an open frame autogyro, constructed of bolted aluminium tubing and powered by a 52 hp (39 kW) Rotax 503 engine with a pusher propeller.[1][2] The Dominator has both a single-seat and tandem two-seat variants.[1] It was one of the first autogyros to use a high tailplane to reduce dynamic and aerodynamic torque.[1] The Dominator holds the official world altitude record in its class, at 24,463 ft (7,456 m). Data from [1]World Directory of Leisure Aviation 2004/2005General characteristics Performance     Related lists</t>
  </si>
  <si>
    <t>Ernie Boyette</t>
  </si>
  <si>
    <t>331 lb (150 kg)</t>
  </si>
  <si>
    <t>1 × Rotax 503 inline 2-cylinder two-stroke piston engine, 52 hp (39 kW)</t>
  </si>
  <si>
    <t>85 mph (136 km/h, 73 kn)</t>
  </si>
  <si>
    <t>//upload.wikimedia.org/wikipedia/commons/thumb/0/06/Rotor_Flight_Dynamics_Dominator_N559RD.jpg/300px-Rotor_Flight_Dynamics_Dominator_N559RD.jpg</t>
  </si>
  <si>
    <t>50 mph (80 km/h, 43 kn)</t>
  </si>
  <si>
    <t>397 lb (180 kg)</t>
  </si>
  <si>
    <t>12 mph (19 km/h, 10 kn)</t>
  </si>
  <si>
    <t>Rainbow Cheetah</t>
  </si>
  <si>
    <t>The Rainbow Cheetah a South African ultralight and light-sport aircraft, designed by Vladimir Chechin and produced by Rainbow Aircraft. The aircraft is supplied as a kit for amateur construction or as a complete ready-to-fly-aircraft.[1] The aircraft was derived from the Best Off Skyranger[1] and designed to comply with Canadian Advanced Ultralight criteria and the US light-sport aircraft rules. It features a strut-braced high-wing, a two-seats-in-side-by-side configuration enclosed cockpit with optional doors for access, fixed tricycle landing gear or optionally conventional landing gear and a single engine in tractor configuration.[1][2] The aircraft is made from bolted-together aluminum tubing, with its flying surfaces covered in Dacron sailcloth. Its 9.6 m (31.5 ft) span wing has an area of 13.25 m2 (142.6 sq ft) and mounts flaps. Standard engines available are the 64 hp (48 kW) Rotax 582 two-stroke, the 80 hp (60 kW) Rotax 912UL and the 100 hp (75 kW) Rotax 912ULS four-stroke powerplants.[1] The Cheetah XLS has been accepted by Transport Canada as an Advanced Ultralight as both a land plane and seaplane, powered by the Rotax 582 two-stroke, the Rotax 912UL, the Rotax 912ULS, the Verner VM133 and the 85 hp (63 kW) Jabiru 2200A engines.[3] By August 2012 there were three Cheetahs on the Federal Aviation Administration registry and two on the Transport Canada Civil Aircraft Register.[4][5] Data from Bayerl and manufacturer[1][8]General characteristics Performance</t>
  </si>
  <si>
    <t>Vladimir Chechin</t>
  </si>
  <si>
    <t>5.67 m (18 ft 7 in)</t>
  </si>
  <si>
    <t>1.9 m (6 ft 3 in) to top of wing</t>
  </si>
  <si>
    <t>13.25 m2 (142.6 sq ft)</t>
  </si>
  <si>
    <t>248 kg (547 lb)</t>
  </si>
  <si>
    <t>560 kg (1,235 lb)</t>
  </si>
  <si>
    <t>177 km/h (110 mph, 96 kn)</t>
  </si>
  <si>
    <t>1,080 km (670 mi, 580 nmi) with reserves</t>
  </si>
  <si>
    <t>5.3 m/s (1,040 ft/min)</t>
  </si>
  <si>
    <t>//upload.wikimedia.org/wikipedia/commons/thumb/b/b4/Rainbow_Cheetah_XLS_N150RC.jpg/300px-Rainbow_Cheetah_XLS_N150RC.jpg</t>
  </si>
  <si>
    <t>100 litres (22 imp gal; 26 US gal)</t>
  </si>
  <si>
    <t>56 km/h (35 mph, 30 kn) flaps down</t>
  </si>
  <si>
    <t>42.3 kg/m2 (8.7 lb/sq ft)</t>
  </si>
  <si>
    <t>7.5 hours</t>
  </si>
  <si>
    <t>201 km/h (125 mph, 109 kn)</t>
  </si>
  <si>
    <t>+6g/-4g</t>
  </si>
  <si>
    <t>Best Off Skyranger</t>
  </si>
  <si>
    <t>https://en.wikipedia.org/Best Off Skyranger</t>
  </si>
  <si>
    <t>https://en.wikipedia.org/Rainbow Cheetah XLS</t>
  </si>
  <si>
    <t>Robin X4</t>
  </si>
  <si>
    <t>The Robin X4 was an experimental French four-seat light aircraft designed and built by Avions Robin to test different wing configurations and construction materials.[1] The X4 was a low-wing monoplane with a tricycle landing gear and powered by a 116 hp (87 kW) Textron Lycoming engine.[1] Originally designed as a 4-seat ATL aircraft, and at the time called the ATL II or ATL.FAR23, it was later intended to become a long-term replacement for the DR.400 series of aircraft.[2]  After Pierre Robin sold his company, the name was changed to X4, X for experimental and 4 for 4-seater; the design was also changed from the ATL's V tail to a more conventional cruciform type.  The fuselage was fibreglass and epoxy in a Nomex sandwich, which allowed more fluid curves, and was generally triangular in cross-section, like the Me 262.[3]  The landing gear was from a DR.400, and the forward-tilting canopy from an ATL.[4][5]  The wings were wood and fabric, like those of a standard DR.400, but of constant dihedral; the wooden construction allowed modifications to be made quickly and cheaply.[4]  The rudder and ailerons were of metal construction.[4] It first flew on 25 February 1991, with Robin head of development Daniel Müller at the controls; whilst designed as a four-seater, only the front two seats were installed with the rear being taken up with test equipment.  The airframe was used to test various wing profiles, especially laminar flow; the feasibility of producing a composite-material aircraft; and to test new systems (e.g. rod rather than cable controls).[4] Testing at Saint-Cyr showed a slight advantage to the X4 when compared to the equivalent DR.400/120, despite, according to Müller, its 'tired'[6] engine.  For example, optimisation of the cowling reduced engine cooling drag by 20%, or 5% of global drag; in total there was a 25 km/h gain in cruise speed.[7]  However, the improved performance came at the cost of a non-benign stall unsuitable for a training aircraft.[6]  According to Robin and Besse, the airframe was capable of eventually being a whole series up to 4+2 seat configuration with correspondingly larger engines, and be a potential competitor to the Cirrus SR22.  The new owners of Avions Robin were not interested in the design, and it was ultimately scrapped.[6]</t>
  </si>
  <si>
    <t>Experimental four-seat light aircraft</t>
  </si>
  <si>
    <t>Avions Robin</t>
  </si>
  <si>
    <t>https://en.wikipedia.org/Avions Robin</t>
  </si>
  <si>
    <t>https://en.wikipedia.org/Experimental four-seat light aircraft</t>
  </si>
  <si>
    <t>Travel Air 2000</t>
  </si>
  <si>
    <t>The Travel Air 2000/3000/4000 (originally, the Model A, Model B and Model BH[1] were open-cockpit biplane aircraft produced in the America in the late 1920s by the Travel Air Manufacturing Company. During the period from 1924–1929, Travel Air produced more aircraft than any other American manufacturer, including over 1,000 biplanes. While an exact number is almost impossible to ascertain due to the number of conversions and rebuilds, some estimates for Travel Air as a whole range from 1,200 to nearly 2,000 aircraft. [2][3][4][5] The Travel Air Model A was engineered chiefly by Lloyd Stearman, with input from Travel Air co-founders Walter Beech, Clyde Cessna, and Bill Snook and could trace its ancestry back to the Swallow New Swallow biplane. The Travel Air, however, replaced the New Swallow's wooden fuselage structure with a welded steel tube. An interim design, the Winstead Special, was developed by the Winstead brothers from a metal fuselage frame developed at Swallow by Stearman and Walter Beech, but subsequently rejected by Swallow president Jake Moellendick, a decision which triggered the departure of both Stearman and Beech, and the creation of Travel Air.[2][3] Until the appearance of the all new 12/14/16 series, all subsequent Travel Air biplanes would be derived from the Model A.[2][3] The Travel Air biplanes were conventional single-bay biplanes with staggered wings braced by N-struts. The fuselage was fabric-covered welded chromium-molybdenum alloy steel tubes, faired with wooden battens and they had two open cockpits in tandem, with the forward cockpit carrying two passengers side by side. In common with the Fokker D.VII that they resembled, the rudder and ailerons of the first Travel Air biplanes had an overhanging "horns" to counterbalance the aerodynamic loads on the controls, helping to reduce control forces and making for a more responsive aircraft. These were the distinctive Travel Air "elephant ear" ailerons which led to the airplane's popular nicknames of Old Elephant Ears and Wichita Fokker. Some subsequent models were offered without the counterbalance, providing a cleaner, more conventional appearance with less drag. Pitch forces could be trimmed out with an inflight-adjustable horizontal stabilizer.[2][3][4] Different, interchangeable wings were offered, including a shorter and thinner wing known as the "Speedwing" which improved speed. A considerable number of engines were installed, including nearly every mass-produced engine in the 90–300 hp (67–224 kW) range available at the time, and a number of more obscure prototype engines, as can be seen in the list of designation prefixes. Travel Air entered the specially-modified Model 4000-T in the Guggenheim Safe Aircraft Competition of 1930, but it was disqualified, as were all production aircraft entered during the qualification trials. The Travel Air biplanes were noted for their good flying qualities which may have helped Travel Air outsell all rivals by 1929.[3] In 1933, George and William Besler replaced the  usual gasoline powered piston engine in a Travel Air 2000 with an oil-fired, reversible V-twin compounding steam engine, which would become the first airplane to successfully fly using a steam engine.[6] In addition to a wide range of normal aircraft applications, the Travel Air biplanes saw extensive use in early motion pictures, where they often stood in for the increasingly scarce Fokker D.VII. Aside from surplus military aircraft such as the Curtiss JN-4 Jenny, during the late 1920s and very early 1930s, Travel Air biplanes were, along with their chief competitor, WACO, were the most widely used civilian biplanes in America.[2][3] Travel Air biplanes were popular as executive transports, and many were purchased by wealthy-sportsmen adventurers who entered them in the competitions and air races that were frequently held during that era.[2][3] Like many aircraft of the period, they also operated as air taxis and provided air charter services, carrying passengers and light air cargo, and some would find their way north where they worked as bushplanes.[2][3] As the supply of war-surplus aircraft declined and they became available on the used aircraft market, many were also used for barnstorming, which included exhibition and stunt flying, and selling rides.[2][3] Commercial operators found the Travel Air biplanes to be versatile, owing to their useful payload, rugged construction and (for the times) speed and efficiency.[2] Towards the end of their career elsewhere, from the late-1930s through the early 1960s, they were increasingly used for the harsh work of bush flying and cropdusting, and Travel Air biplanes were among the most commonly used cropdusters, perhaps second only to surplus Stearman Kaydet biplanes.[2][5] Most remaining Travel Air biplanes have been restored, and are in museums, while a small number continue to be used for personal recreation or selling rides and flying at airshows.[2][4][7] A 1929 Travel Air normally based in the San Diego area is the oldest regularly flying aircraft tracked by FlightRadar24, an aviation tracking website.[8]  A 1927 Travel Air is regularly used to give sightseeing rides from Orcas Island, Washington.[9] As the 2000/3000/4000 series was nearing the end of its development cycle, a pair of new designs, the Travel Air 12 and 14 were developed to replace it - the 12 as a slightly smaller two-seat trainer, and the larger 14 as a direct replacement, even to continuing some of the marketing names. Both would fly while Travel Air retained its identity, but would be incorporated into the Curtiss-Wright line with the same numbers. Travel Air biplanes were widely used in 1920s/1930s war movies, particularly to represent the airplanes they were patterned after:  Germany's Fokker D-VII fighter, the top fighter of World War I. In the motion picture industry, they were known as "Wichita Fokkers." In fact, Hollywood's demand for Travel Air biplanes was so intense that Travel Air's California salesman, Fred Hoyt, coaxed Travel Air co-founder and principal airplane designer, Lloyd Stearman, to come to Venice, California in 1926 to exploit the movie industry demand for his aircraft by starting the short-lived independent Stearman Aircraft Company (re-opened back in Wichita in 1927).[2][4][10] Some of the many movies using Travel Air biplanes (2000 and 4000, in particular) included:[10][11] Date from Aerofiles[12] Initially Travel Air assigned letters to each type, with a suffix denoting the engine. Variants were distinguished with prefixes and suffixes in a particular order, and denoting different fittings. The prefix S, preceding all other prefixes meant it was a Seaplane and was fitted with floats. Next it was wings. B was the Standard wing, not to be confused with the original basic elephant ear wing, and D indicated the aircraft was fitted with a Speedwing. The engine code followed this, and due to the long service period when considerable experimentation occurred, a wide variety of engines were installed in production airplane as follows: Following the engine code in a very small number of cases, M, indicated that it was a single seater configured as a Mailplane, and then the model number. The same system was also used with the later numerical desigation sequence. The sole example of the mailplane seems to have been the BM-4000, a Wright J-5 powered mailplane, of which 7 were built. Not all possible variations were built. Suffixes were also added that were specific to modifications made and often referred to conversions or post-production versions. Data from U.S. Civil Aircraft Vol. 1 (ATC 1 - 100)[46]General characteristics Performance (Partial listing, only covers most numerous types)</t>
  </si>
  <si>
    <t>biplane aircraft</t>
  </si>
  <si>
    <t>Travel Air, Curtiss-Wright</t>
  </si>
  <si>
    <t>https://en.wikipedia.org/Travel Air, Curtiss-Wright</t>
  </si>
  <si>
    <t>Lloyd Stearman</t>
  </si>
  <si>
    <t>https://en.wikipedia.org/Lloyd Stearman</t>
  </si>
  <si>
    <t>13 March 1925[1]</t>
  </si>
  <si>
    <t>24 ft 2 in (7.37 m)</t>
  </si>
  <si>
    <t>8 ft 11 in (2.72 m)</t>
  </si>
  <si>
    <t>297 sq ft (27.6 m2)</t>
  </si>
  <si>
    <t>1,335 lb (606 kg)</t>
  </si>
  <si>
    <t>2,180 lb (989 kg)</t>
  </si>
  <si>
    <t>1 × Curtiss OX-5 water-cooled V8 engine, 90 hp (67 kW)</t>
  </si>
  <si>
    <t>10,000 ft (3,000 m) no load</t>
  </si>
  <si>
    <t>//upload.wikimedia.org/wikipedia/commons/thumb/2/2e/Curtiss_Wright_Travel_Air_E4000_OTT2013_D7N8754_BEA_003.jpg/300px-Curtiss_Wright_Travel_Air_E4000_OTT2013_D7N8754_BEA_003.jpg</t>
  </si>
  <si>
    <t>42 US gal (160 l; 35 imp gal)</t>
  </si>
  <si>
    <t>2-bladed wooden fixed-pitch propeller</t>
  </si>
  <si>
    <t>approx 1,300[1]</t>
  </si>
  <si>
    <t>Two passengers</t>
  </si>
  <si>
    <t>private owners, aerial sightseeing businesses</t>
  </si>
  <si>
    <t>Travel Air #1</t>
  </si>
  <si>
    <t>1925–1930</t>
  </si>
  <si>
    <t>34 ft 8 in (10.57 m)</t>
  </si>
  <si>
    <t>845 lb (383 kg)</t>
  </si>
  <si>
    <t>28 ft 8 in (8.74 m)</t>
  </si>
  <si>
    <t>4 US gal (15 l; 3.3 imp gal)</t>
  </si>
  <si>
    <t>66.75 in (1.695 m)</t>
  </si>
  <si>
    <t>55.75 in (1.416 m)</t>
  </si>
  <si>
    <t>Nord Aviation N 500 Cadet</t>
  </si>
  <si>
    <t>The Nord Aviation N 500 Cadet was a single-seat VTOL research aircraft built by Nord Aviation in 1967. A model kit presenting the concept was first shown at the Paris Air Show at Le Bourget in 1965. The aircraft was driven by two ducted fans, with three blades per fan, mounted on short wings that were able to pivot between providing vertical and horizontal thrust. Two prototypes were constructed, one making its first (tethered) flight in July 1968. General characteristics Performance     Related lists</t>
  </si>
  <si>
    <t>VTOL research aircraft</t>
  </si>
  <si>
    <t>Nord Aviation  Aérospatiale</t>
  </si>
  <si>
    <t>https://en.wikipedia.org/Nord Aviation  Aérospatiale</t>
  </si>
  <si>
    <t>6.58 m (21 ft 7 in)</t>
  </si>
  <si>
    <t>6.14 m (20 ft 2 in)</t>
  </si>
  <si>
    <t>1 × Allison T63 turboshaft, 236 kW (316 hp)</t>
  </si>
  <si>
    <t>350 km/h (220 mph, 190 kn)</t>
  </si>
  <si>
    <t>https://en.wikipedia.org/VTOL research aircraft</t>
  </si>
  <si>
    <t>1,250 kg (2,756 lb)</t>
  </si>
  <si>
    <t>Vultee XP-68 Tornado</t>
  </si>
  <si>
    <t>The Vultee XP-68 Tornado was proposed American high-altitude interceptor aircraft. It was based on the experimental XP-54 Swoose Goose and powered by the Wright R-2160 Tornado 42-cylinder radial engine driving a set of contra-rotating propellers in a twin-boom pusher configuration. When the engine was cancelled on 22 November 1941, the XP-68 was also cancelled. Data from Fighters of the America Air Force: From World War I Pursuit to the F-117[1]General characteristics Performance Armament  Related development Aircraft of comparable role, configuration, and era   Model numbering continued by Convair  This aircraft-related article is a stub. You can help Wikipedia by expanding it.This America military article is a stub. You can help Wikipedia by expanding it.</t>
  </si>
  <si>
    <t>Vultee Aircraft</t>
  </si>
  <si>
    <t>https://en.wikipedia.org/Vultee Aircraft</t>
  </si>
  <si>
    <t>n/a</t>
  </si>
  <si>
    <t>51 ft 6 in (15.70 m)</t>
  </si>
  <si>
    <t>51 ft 8 in (15.75 m)</t>
  </si>
  <si>
    <t>505 sq ft (46.9 m2)</t>
  </si>
  <si>
    <t>15,595 lb (7,074 kg)</t>
  </si>
  <si>
    <t>26,164 lb (11,868 kg)</t>
  </si>
  <si>
    <t>1 × Wright R-2160 42 cylinder 6 row air-cooled radial engine, 2,500 hp (1,900 kW)</t>
  </si>
  <si>
    <t>450 mph (720 km/h, 390 kn) estimated at 35,000 ft (11,000 m)</t>
  </si>
  <si>
    <t>1,800 mi (2,900 km, 1,600 nmi)</t>
  </si>
  <si>
    <t>48,900 ft (14,900 m) (service)</t>
  </si>
  <si>
    <t>3,000 ft/min (15 m/s) initial</t>
  </si>
  <si>
    <t>//upload.wikimedia.org/wikipedia/commons/thumb/c/c9/Vultee_XP-68.png/300px-Vultee_XP-68.png</t>
  </si>
  <si>
    <t>Canceled project</t>
  </si>
  <si>
    <t>contrarotating</t>
  </si>
  <si>
    <t>20 minutes to 35,000 ft (11,000 m) estimated</t>
  </si>
  <si>
    <t>Hewitt-Sperry Automatic Airplane</t>
  </si>
  <si>
    <t>The Hewitt-Sperry Automatic Airplane was a project undertaken during World War I to develop a flying bomb, or pilotless aircraft capable of carrying explosives to its target. It is considered by some to be a precursor of the  cruise missile. Before World War I, the possibility of using radio to control aircraft intrigued many inventors. One of these, Elmer Sperry, succeeded in arousing the US Navy's interest. Sperry had been perfecting gyroscopes for naval use since 1896 and established the Sperry Gyroscope Company in 1910. In 1911, airplanes had only been flying for eight years, and yet Sperry became intrigued with the concept of applying radio control to them. He realized that for radio control to be effective, automatic stabilization would be essential, so he decided to adapt his naval gyro-stabilizers (which he had developed for destroyers). In 1913, the Navy provided a flying boat to test and evaluate the gyro-based autopilot. Sperry's son Lawrence served as an engineer during the test phase. In 1914, Lawrence Sperry was in Europe and observed the developing techniques of aerial warfare, including the use of aircraft. In 1915, the New-York Tribune broke the news of the project.[1] In 1916, the two Sperrys joined Peter Hewitt, an early inventor of radio-related devices, to develop an explosive-laden pilotless airplane. Elmer Sperry and Hewitt served together on the Naval Consulting Board, where they both were members of the Committee on Aeronautics and Aeronautical Motors. Because of these connections, they were able to arrange for a representative of the Navy's Bureau of Ordnance, Lt. T. S. Wilkinson, to examine the control equipment they assembled. The system consisted of a gyroscopic stabilizer, a directive gyroscope, an aneroid barometer to regulate height, servo-motors for control of rudders and ailerons, and a device for distance gearing. These all could be installed in an airplane which could be catapulted or flown from the water, and would climb to a predetermined altitude, fly a pre-set course, and after traveling a pre-set distance, drop its bombs or dive to the ground. Wilkinson reported that the weapon did not possess a degree of accuracy sufficient to hit a ship, but, because of its range of 50 to 100 miles (80 to 161 km), it might be of interest to the Army. However, after the US declaration of war on Germany, Sperry began urging the Navy to revisit the idea. The Naval Consulting Board supported him, and formally requested the Secretary of Navy to apportion $50,000 for the work. The government thus included the development of the flying bomb or aerial torpedo in its war preparations. The Senate went so far as to establish two classes for the type weapon, one for wireless control, the other for completely automatic operation. Final approval came on May 17, 1917, and the Navy agreed to provide five (later upped to seven) Curtiss N-9 seaplanes and to purchase six sets of the Sperry automatic control gear. Navy Secretary Josephus Daniels agreed to spend $200,000 on the project, with the money to be administered by the Bureau of Ordnance, the Bureau of Construction and Repair and the Bureau of Engineering. The operation was established at Copiague, Long Island. The autopilot equipment was already designed, but the radio control system hadn't been fully developed, so while the hangars were being built at Copiague, Sperry turned his attention to this aspect, purchasing rights to a number of patented radio-related inventions. Ultimately, though, the radio control systems were not used on the Hewitt-Sperry Automatic Airplane. Later, in 1922, the system was installed on several Verville-designed planes along with gear for the Army Air Services engineering division. These aircraft successfully hit their targets from ranges of 30, 60 and 90 miles (140 km). The first test flights of an autopilot-equipped aircraft was in September, 1917, and took place with a human pilot on board to fly the takeoff. By November, the system successfully flew the aircraft to its intended target at a 30-mile (48 km) range, where the distance-measuring gear would drop a bag of sand. Accuracy was within two miles (3 km) of target. Having observed the test flights, Rear Admiral Ralph Earle proposed a program to eliminate the German U-boat threat, one element of which was to use flying bombs, launched from Navy ships, to attack the submarine bases at Wilhelmshaven, Cuxhaven and Heligoland. Ultimately this plan was rejected, but had an element of prophecy, for in September 1944, during World War II, a modified B-24 flying as a drone attacked the submarine installations at Heligoland. Not only was Earle's recommendation rejected, but the Navy declared that though development of the system was to continue, no production resources were to be diverted to it, and it was not to go into production. When the N-9 flight test program got started, it became apparent that a more efficient airframe was needed. Because war production deliveries could not be diverted, a special, rush order was placed with Curtiss in October, 1917, for six planes of unique design, with an empty weight of 500 lb (230 kg), top speed of 90 mph (140 km/h), range of 50 miles (80 km) and the capability of carrying up to 1,000 lb (450 kg) of explosives. They became known as the Curtiss-Sperry Flying Bomb. Because this was to be a design dedicated to the remote control concept, the planes were not equipped with seats or standard pilot controls. No flight or wind-tunnel testing of the design was performed before production began. The first was delivered on November 10. One of the most daunting challenges to the designers was the launch mechanism. The original concept envisioned by Hewitt and Sperry was a catapult mechanism or from the water (the N-9s were seaplanes, the Flying Bomb was not). For the Flying Bomb, it was decided to try to launch it by sliding it down a long wire. In November and December 1917, three attempts were made to launch the Flying Bomb. On the first launch, one wing was damaged as the plane went down the wire, and on the second, the plane lifted from the wire but immediately plunged to the ground. The wire method was then abandoned in favor of a traditional catapult with a 150-foot (46 m) track, with power obtained from a 3-ton weight being dropped from a height of 30 feet (9.1 m). On the third try, the plane lagged behind the cart, damaging the propeller, and the plane flipped over its nose. Two more attempts in January, 1918, saw the plane get airborne, but it was too tail-heavy, so it stalled and crashed almost immediately. It was realized that some flight test evaluation of the aircraft's capabilities was necessary. One of the planes was then fitted out with sled runners for landing gear, a seat and standard control stick, and Lawrence Sperry decided that he would be the test pilot. While taxiing it on ice, he hit some slushy snow, and wrecked the plane, though Sperry was unhurt. A second airplane was fitted out, and Sperry managed to get it in the air, but lost control when the automatic pilot was engaged. After two complete rolls, Sperry managed to regain control and land safely. Clearly, though, more attention to flight testing the basic design was needed, particularly in the area of handling qualities. Sperry and his assistant, N. W. Dalton, obtained a Marmon automobile, and mounted the Curtiss-Sperry Flying Bomb to the top of it. In this configuration, Sperry and his crew drove the Long Island Motor Parkway at 80 mph (130 km/h), one of the first examples of an open-air wind tunnel, and adjusted the flight controls to what they thought was the optimum settings. The design of the fuselage was changed slightly, lengthening it by two feet. The Marmon was not only an excellent way to adjust the flight controls, it was realized that it would also be a good launching platform, and this was tried on March 6, 1918. The aircraft left the car cleanly, and flew in stable flight for the 1,000 yards (910 m) that the distance-measuring gear had been set for. For the first time in history, an unmanned, heavier-than-air vehicle had flown in controlled flight. The feat, however, could not be duplicated, and it was thought that the roadway was too rough. The Marmon was fitted with railroad wheels, and an unused spur of the Long Island Rail Road, four miles (6 km) east of Farmingdale, New York was put back into service. On the first try, before full flying speed had been reached, the aircraft developed enough lift to raise the front wheels off the track, and another crash resulted. It was time to re-think the catapult system, and to help design it, Sperry and Hewitt hired a young and promising engineer named Carl Norden. The first try with the new system was in August, 1918, and it too resulted in a crash. Two more tests were tried, with the stabilization package that had been design for the Flying Bomb replaced with the four-gyro system used earlier on the N-9 tests, but the result was again a disappointment, with very short flights ending in crashes. On the last one, on September 26, the Flying Bomb climbed straight for about a hundred yards, then entered a spiral dive and crashed. This was the final flight for the Curtiss-Sperry Flying Bomb, as all the usable airframes had been consumed in crashes, and there remained no confidence in the design. Sperry and Hewitt returned to the N-9. The Sperrys built a wind tunnel at the Washington Navy Yard and carried out a series of tests on the N-9, fine tuning the design. On October 17, an unmanned N-9 was launched using the new Norden catapult system. It came cleanly off the track, climbed steadily and flew within 2° of the line of intended flight. The distance gear had been set for a flight of eight miles (13 km), but somehow malfunctioned. When last seen, the N-9 was cruising over Bayshore Air Station at about 4,000 feet (1,200 m), heading east. It was never seen again.[2] Despite the success of the stabilization gear, there was doubt in the Navy about the program, and they asked Carl Norden to review the Sperry components and recommend improvement. The navy was, by now, satisfied with the concept, and was contemplating purchasing such equipment on its own, apart from the Sperrys. Elmer Sperry tried to stir up enthusiasm again, calling the concept of the flying bomb the "gun of the future". This was to no avail, however. World War I came to a close when the Armistice was signed on November 11, 1918. Almost a hundred flights had been flown in the N-9, but  almost all of these were in the N-9s and had a safety pilot on board. The Navy took complete control of the program from Sperry, spelling the end of the Hewitt-Sperry Automatic Airplane. During the early post-war years, the Navy sponsored similar projects. For the first program, Witteman-Lewis aircraft and Norden-designed gyrostabilizers were used, but the results were no better than those achieved by the Sperrys. In 1921, the program was reoriented to focus on the radio control aspect. The control equipment was developed at the radio laboratory at NAS Anacostia (later the Naval Research Laboratory). In 1923, tests began, and were relatively successful, but interest waned and the project lapsed in 1925. Over a decade was to pass before the Navy seriously undertook the development of target drones and pilotless aircraft.</t>
  </si>
  <si>
    <t>Missile</t>
  </si>
  <si>
    <t>Elmer SperryPeter Cooper Hewitt</t>
  </si>
  <si>
    <t>https://en.wikipedia.org/Elmer SperryPeter Cooper Hewitt</t>
  </si>
  <si>
    <t>//upload.wikimedia.org/wikipedia/commons/thumb/b/bd/Hewitt-Sperry_Automatic_Airplane_1918.jpg/300px-Hewitt-Sperry_Automatic_Airplane_1918.jpg</t>
  </si>
  <si>
    <t>https://en.wikipedia.org/Missile</t>
  </si>
  <si>
    <t>Development discontinued</t>
  </si>
  <si>
    <t>7 Curtiss Model N-based prototypes6 Curtiss-Sperry Flying Bomb prototypes</t>
  </si>
  <si>
    <t>America Navy</t>
  </si>
  <si>
    <t>Curtiss Model N</t>
  </si>
  <si>
    <t>https://en.wikipedia.org/Curtiss Model N</t>
  </si>
  <si>
    <t>https://en.wikipedia.org/America Navy</t>
  </si>
  <si>
    <t>Kawasaki P-2J</t>
  </si>
  <si>
    <t>The Kawasaki P-2J (originally P2V-Kai) was a Maritime patrol and ASW aircraft developed for the Japan Maritime Self-Defense Force. A turboprop-powered version of the radial-engined P-2 Neptune, the P-2J was developed as an alternative to buying the larger and more expensive P-3 Orion, which would eventually replace the P-2J in the 1980s. The Kawasaki-built P-2J (originally P2V-Kai, where "Kai" (改) means modification) was the last version of the Neptune to be produced. Work on the P-2J was begun in 1961.[1] The first P-2J, converted from a P2V-7 (P-2H) performed its initial flight on 21 July 1966, and the last of a further 82 production P-2Js was delivered in March 1979.[2] The Wright radial engines of the Lockheed P-2s were replaced with 2,125 kW (2,850 HP) Ishikawajima-Harima T64-IHI-10 turboprop engines, using three-bladed propellers instead of the four-bladed units of late-model P-2s.[3] The Ishikawajima-Harima J3-IHI-7C booster turbojets, produced 13.7 kN (3,085 lbf) thrust, giving the P-2J a top speed of 650 km/h (400 mph). The P-2J had accommodations for up to 12 crewmen.[3] The forward fuselage was extended 4 feet 3 inches (1.30 m), with the tail surfaces being enlarged and their shape modified. AN/APS-80 search radar was fitted in a smaller radome. Updated avionics systems were installed, and these systems were much more compact than those used in other versions of the Neptune. The lighter avionics load permitted greater fuel capacity. The P-2J's main gear was fitted with two wheels each, rather than the one large wheel of the earlier models.[3] The P-2J was phased out in the 1980s in favor of the P-3C Orion,[3] which eventually replaced the Neptune in the ocean-patrol air fleets of the West. The last maritime reconnaissance squadron re-equipped with the Orion in 1993, but the P-2J remained in service for electronic reconnaissance and target support purposes.[4] Data from Combat Aircraft since 1945[3]General characteristics Performance Armament  Related development Aircraft of comparable role, configuration, and era  Related lists</t>
  </si>
  <si>
    <t>ASW and maritime patrol aircraft</t>
  </si>
  <si>
    <t>Japan/America</t>
  </si>
  <si>
    <t>Lockheed  Kawasaki Aerospace Company</t>
  </si>
  <si>
    <t>https://en.wikipedia.org/Lockheed  Kawasaki Aerospace Company</t>
  </si>
  <si>
    <t>29.23 m (95 ft 11 in)</t>
  </si>
  <si>
    <t>30.87 m (101 ft 3 in)</t>
  </si>
  <si>
    <t>8.93 m (29 ft 4 in)</t>
  </si>
  <si>
    <t>92.9 m2 (1,000 sq ft)</t>
  </si>
  <si>
    <t>19,278 kg (42,501 lb)</t>
  </si>
  <si>
    <t>2 × Ishikawajima-Harima J3-IHI-7C turbojet engines, 13.7 kN (3,100 lbf) thrust  each (boosters for take-off and combat)</t>
  </si>
  <si>
    <t>650 km/h (400 mph, 350 kn)402</t>
  </si>
  <si>
    <t>9,150 m (30,020 ft)</t>
  </si>
  <si>
    <t>9.133 m/s (1,797.8 ft/min)</t>
  </si>
  <si>
    <t>//upload.wikimedia.org/wikipedia/commons/thumb/6/6e/UP-2J.jpg/300px-UP-2J.jpg</t>
  </si>
  <si>
    <t>https://en.wikipedia.org/ASW and maritime patrol aircraft</t>
  </si>
  <si>
    <t>3-bladed constant-speed fully-feathering reversible-pitch propellers</t>
  </si>
  <si>
    <t>Japan Maritime Self-Defense Force</t>
  </si>
  <si>
    <t>{'P-2J': 'iginally called the P2V-Kai', 'EP-2J': '2J converted for electronic intelligence gathering. Two converted.[2][3]', 'UP-2J': '2J converted for drone support, target towing and test purposes. Four converted.[3][4]'}</t>
  </si>
  <si>
    <t>root</t>
  </si>
  <si>
    <t>1966-1979</t>
  </si>
  <si>
    <t>Lockheed P-2 Neptune</t>
  </si>
  <si>
    <t>https://en.wikipedia.org/Lockheed P-2 Neptune</t>
  </si>
  <si>
    <t>34,020 kg (75,001 lb)</t>
  </si>
  <si>
    <t>https://en.wikipedia.org/Japan Maritime Self-Defense Force</t>
  </si>
  <si>
    <t>3,629 kg (8,001 lb) including free-fall bombs, depth charges, and torpedoes</t>
  </si>
  <si>
    <t>4,445 km (2,762 mi, 2,400 nmi)</t>
  </si>
  <si>
    <t>16 x 5 in rockets under the wings</t>
  </si>
  <si>
    <t>Mil Mi-36</t>
  </si>
  <si>
    <t>The Mil Mi-36 was a Soviet light multipurpose helicopter first projected in the early 1980s. Its projected roles were to assist in fire support and communications, cargo transportation, SAR and medevac, and aerial surveillance. It was also planned to use twin TV-O-100 turboshaft engines, a two-bladed main rotor and a four-bladed tail rotor. At the start of the 1980s the development of the TV-O-100 turbine gave Soviet designers their first lightweight powerplant which was suitable for smaller high-performance helicopters. This allowed the development of a new class of lightweight combat helicopters to augment the larger and more powerful transport, assault and anti-tank platforms. Roles envisaged for such a helicopter included attack, close-range infantry support, troop transport with four soldiers, medivac with four stretchers, SAR/CSAR, liaison, light cargo, reconnaissance, artillery fire correction, as well as the potential capacity to eventually act as a scout, spotter, and provide target identification/approval for new dedicated attack helicopters (the projected Mil Mi-28 and Kamov Ka-50). Specifications also included day, night and all-weather capabilities. Experience with the Mil Mi-24 in Afghanistan showed the vulnerability of helicopters to ambushes from infantry, RPG and MANPAD fire, as well as the need to counter this threat through vigilance and by immediately returning suppressive fire (even if the attack came from behind). As a result, the new scout helicopter would have been designed from the start to have a 360 degree retaliatory capability in the form of two gun turrets. These were to be of 7.62 mm calibre and it is likely that the gun used would have been the new GShG-7.62 machine gun which had been developed primarily as a defensive gun for helicopters (mounted as part of the organic armament of the Kamov Ka-29TB assault transport). In addition, stub wings could be attached, giving the capability to carry bombs, gunpods, rockets and up to eight anti-tank missiles (this would have likely been 9K114 Shturm missiles in either the new four round launcher being developed for the Mil Mi-8 or possibly on special stub wings each with a pair of twin launchers). A civil version was also planned which would have carried ten people or one ton of cargo and had secondary patrol and rescue capabilities. The original specification called for a 2500 kg takeoff weight, but attempts to meet the required mixture of weapons, transport and survivability meant that the weight quickly climbed to 3400 kg. Meanwhile, Kamov had designed a more specialised platform in the 2200 kg range in the form of the Kamov V-60 which was favoured but not produced either. Much of the design philosophy was retained and subsequently grew into the Mil Mi-40 which was proposed within a year of work ceasing on the Mi-36.  Related development Aircraft of comparable role, configuration, and era</t>
  </si>
  <si>
    <t>Military support helicopter</t>
  </si>
  <si>
    <t>Soviet Union</t>
  </si>
  <si>
    <t>Mil Moscow Helicopter Plant</t>
  </si>
  <si>
    <t>https://en.wikipedia.org/Mil Moscow Helicopter Plant</t>
  </si>
  <si>
    <t>https://en.wikipedia.org/Soviet Union</t>
  </si>
  <si>
    <t>Wassmer WA-51 Pacific</t>
  </si>
  <si>
    <t>The Wassmer WA-51 Pacific is a French four-seat cabin monoplane designed and built by Société Wassmer. Different-powered variants include the Wassmer WA-52 Europa and the Wassmer WA-54 Atlantic.  It was the world's first composite material-built aircraft.[1] Having manufactured glass-fibre cowlings for Bébé, D112 and D120 Jodels, increasing number of glass-fibre parts for their Javelot, Bijave and Super-Javelot gliders, and then Super-IV aircraft, in 1966 Wassmer first flew the glass-fibre WA-50 prototype, a single-engined four-seat cabin monoplane with a retractable tricycle landing gear. Originally designed as a three-seater powered by a 115cv Potez engine, engine unavailability at the time resulted in a 150cv Lycoming O-320 being used instead and the aircraft becoming a 4-seater.[1]  Using the same profile as the Super-IV but only 8.6m span, and compensated with large slotted flaps, the wings were formed from two moulded halves and contained two 70 litre fuel tanks.[1]  The fuselage was also manufactured as two halves, and featured butterfly doors. The design entered production as the WA-51 Pacific with a fixed tricycle landing gear. The low-wing cantilever monoplane was powered by a nose-mounted 150 hp (112 kW) Lycoming O-320-E2A piston engine. A variant, powered by a 160 hp (119 kW) Lycoming IO-320-B1A was called the WA-52 Europa. Further refinements produced the 180 hp (134 kW) Lycoming O-360-A1LD powered WA-54 Atlantic. Data from Mondey.General characteristics Performance</t>
  </si>
  <si>
    <t>Four-seat cabin monoplane</t>
  </si>
  <si>
    <t>Société Wassmer</t>
  </si>
  <si>
    <t>https://en.wikipedia.org/Société Wassmer</t>
  </si>
  <si>
    <t>1 (pilot)</t>
  </si>
  <si>
    <t>7.50 m (24 ft 7.25 in)</t>
  </si>
  <si>
    <t>9.40 m (30 ft 10 in)</t>
  </si>
  <si>
    <t>2.26 m (7 ft 5 in)</t>
  </si>
  <si>
    <t>12.40 m2 (133.47 sq ft)</t>
  </si>
  <si>
    <t>620 kg (1,367 lb)</t>
  </si>
  <si>
    <t>1,130 kg (2,491 lb)</t>
  </si>
  <si>
    <t>1 × Lycoming O-360-A1LD , 134 kW (180 hp)</t>
  </si>
  <si>
    <t>280 km/h (174 mph, 151 kn) at sea level</t>
  </si>
  <si>
    <t>1,340 km (839 mi, 729 nmi)</t>
  </si>
  <si>
    <t>4,500 m (14,760 ft)</t>
  </si>
  <si>
    <t>//upload.wikimedia.org/wikipedia/commons/thumb/6/66/Wassmer_WA-54_Atlantic_D-EERC_01.jpg/300px-Wassmer_WA-54_Atlantic_D-EERC_01.jpg</t>
  </si>
  <si>
    <t>260 km/h (162 mph, 141 kn) at 1,675 m (5,500 ft)</t>
  </si>
  <si>
    <t>3 (passengers)</t>
  </si>
  <si>
    <t>1969–1977</t>
  </si>
  <si>
    <t>https://en.wikipedia.org/18 March 1966</t>
  </si>
  <si>
    <t>Curtiss XP-71</t>
  </si>
  <si>
    <t>The Curtiss XP-71 was a 1941 American proposal for an exceptionally large[1] heavy fighter design. It was intended to serve as an extreme-range interceptor and escort fighter. While significant progress was made in the design phase, no prototypes were ever built, and the design was abandoned in 1943. The proposed aircraft was to have a pressurized cockpit. Power would be provided by two Pratt &amp; Whitney R-4360 Wasp Major radial engines each driving a set of pusher contra-rotating propellers.[2] Based on studies of heavy, long-range fighters that had been undertaken prior to the American involvement in World War II, the America Army Air Forces initially ordered two prototypes in November 1941.[3] The major role for the proposed aircraft was to act as an "escort" fighter to protect heavy bombers that would have to operate over occupied Europe even if Britain was conquered.[3] Developed around two turbocharged 3,450 hp (2,570 kW) R-4360s driving pusher propellers, the XP-71 would have been the largest fighter aircraft built in the war. The final XP-71 design would have been larger than the contemporary B-25 and was considered a complex industrial project that would have taxed the resources of the Curtiss company as it was evident that development time would stretch out well beyond the projected need for the type. [1] At the time, Curtiss facilities were completely committed to producing existing aircraft;[citation needed] due to the need to keep their production lines open for the current types on order and with shifting combat requirements, the USAAF reconsidered the need for the project before prototype construction had begun.[citation needed] As conditions changed and it was clear that Britain would continue to be available for forward bases, the requirement for the advanced fighter project led to the cancellation of the XP-71 in early 1942.[3] Data from[citation needed]General characteristics Performance Armament   Aircraft of comparable role, configuration, and era  Related lists</t>
  </si>
  <si>
    <t>Heavy fighter Escort fighter Bomber-destroyer/interceptor</t>
  </si>
  <si>
    <t>Curtiss-Wright</t>
  </si>
  <si>
    <t>https://en.wikipedia.org/Curtiss-Wright</t>
  </si>
  <si>
    <t>61 ft 10 in (18.85 m)</t>
  </si>
  <si>
    <t>82 ft 3 in (25.07 m)</t>
  </si>
  <si>
    <t>602 sq ft (55.9 m2)</t>
  </si>
  <si>
    <t>31,060 lb (14,089 kg)</t>
  </si>
  <si>
    <t>2 × Pratt &amp; Whitney R-4360-13 Wasp Major 28-cylinder air-cooled radial piston engines, 3,450 hp (2,570 kW)  each</t>
  </si>
  <si>
    <t>428 mph (689 km/h, 372 kn) at 25,000 ft (7,600 m)</t>
  </si>
  <si>
    <t>3,000 mi (4,800 km, 2,600 nmi)</t>
  </si>
  <si>
    <t>40,000 ft (12,000 m)</t>
  </si>
  <si>
    <t>//upload.wikimedia.org/wikipedia/commons/thumb/9/9b/Curtiss_XP-71_wooden_model.jpg/300px-Curtiss_XP-71_wooden_model.jpg</t>
  </si>
  <si>
    <t>https://en.wikipedia.org/Heavy fighter Escort fighter Bomber-destroyer/interceptor</t>
  </si>
  <si>
    <t>Cancelled in 1943</t>
  </si>
  <si>
    <t>51.6 lb/sq ft (252 kg/m2)</t>
  </si>
  <si>
    <t>America Army Air Forces</t>
  </si>
  <si>
    <t>0.147 hp/lb (0.242 kW/kg)</t>
  </si>
  <si>
    <t>46,950 lb (21,296 kg)</t>
  </si>
  <si>
    <t>https://en.wikipedia.org/America Army Air Forces</t>
  </si>
  <si>
    <t>25,000 ft (7,600 m) in 12 minutes 30 seconds</t>
  </si>
  <si>
    <t>1× 75 mm (2.95 in) cannon2× 37 mm (1.46 in) cannon</t>
  </si>
  <si>
    <t>Gloster E.1/44</t>
  </si>
  <si>
    <t>The Gloster E.1/44 was a British single-engined jet fighter design of the Second World War, developed and produced by the British aviation firm Gloster Aircraft Company. It was amongst the first jet-propelled aircraft to be developed and was produced on an experimental basis. Following favourable testing of Britain's first jet propelled aircraft, the turbojet-powered Gloster E.28/39 in 1941, there was considerable interest in the application of the new propulsion technology to fighter aircraft. During 1942, work commenced upon a development of a larger twin-engined fighter aircraft, which became the Gloster Meteor, the first Allied jet fighter. British industrial manufacturer Rover, who had already been contracted to produce the Power Jets W.2 jet engine, had considerable difficulty in achieving sufficient engine production during the war. Concerned by the wider production consequences of this shortage, the Air Ministry recognised the potential value of adopting a single-engined aircraft over the twin-engine configuration of the Meteor, leading to the issuing of Specification E.5/42, calling for the design and manufacture of such a fighter. Gloster was amongst those companies to receive the specification and produced a single-engine fighter design with a low-wing monoplane configuration, which was to be equipped with a highly tapered wing and a T-tail, as well as being alternatively powered by either a single Halford H.1 or Rolls-Royce Nene engine, fed by air intakes in the wing roots. During late 1943, work on a pair of prototypes, as the GA.1, commenced. Engine manufacturing problems were mostly rectified following the reassignment of production activity to Rolls-Royce Limited. Gloster decided to refine the GA.1 independently, until the Air Ministry issued Specification E.1/44 during 1944, which sought an experimental jet-powered aircraft powered by the Rolls-Royce Nene, leading to the revised GA.2. Progress on the new fighter was slow, Gloster having concentrated on the development and production of the Meteor. On 9 March 1948, the second E.1/44 performed its maiden flight at RAF Boscombe Down. Testing revealed unpromising performance and characteristics and Gloster recognised the Meteor as having more development potential and the aircraft never entered production. The development of the turbojet-powered E.1/44 was the product of a collaboration between the Gloster Aircraft Company and Sir Frank Whittle's firm, Power Jets Ltd. Whittle had formed Power Jets in March 1936 to develop his ideas of jet propulsion, with Whittle as the company's chief engineer.[1] For several years, attracting financial backers and aviation firms prepared to take on Whittle's radical ideas was difficult; in 1931, Armstrong-Siddeley had evaluated and rejected Whittle's proposal, finding it to be technically sound but at the limits of engineering capability.[2] Securing funding was a persistently worrying issue throughout the early development of the engine.[3] The first Whittle prototype jet engine, the Power Jets WU, began running trials in early 1937; shortly afterwards, Sir Henry Tizard, chairman of the Aeronautical Research Committee and the Air Ministry gave the project their support.[4] On 28 April 1939, Whittle made a visit to the premises of the Gloster Aircraft Company, where he met several key figures, such as George Carter, Gloster's chief designer.[5] Carter took a keen interest in Whittle's project, particularly when he saw the operational Power Jets W.1 engine; Carter quickly made several rough proposals of various aircraft designs powered by the engine. Independently, Whittle had also been producing proposals for a high-altitude jet-powered bomber; following the start of the Second World War and the Battle for France, a greater national emphasis on fighter aircraft arose.[6] Power Jets and Gloster quickly formed a mutual understanding around mid-1939.[7] In September 1939, the Air Ministry issued a specification to Gloster for an aircraft to test one of Whittle's turbojet designs in flight, resulting in the development of the Gloster E.28/39, the first British jet aircraft. The name adopted for this initial proof of concept aircraft, E.28/39, originated from the aircraft having been developed in conformance with the 28th "Experimental" specification issued by the Air Ministry in 1939.[8] While the specification had included provisions for armaments, these were not initially included and the aircraft was principally intended to demonstrate the viability, qualities, and potential value of jet propulsion in broad terms, not to immediately produce a combat aircraft.[9] On 15 May 1941, Gloster's Chief Test Pilot, Flight Lieutenant Gerry Sayer flew the aircraft under jet power for the first time from RAF Cranwell, near Sleaford in Lincolnshire, in a flight lasting 17 minutes.[10][11] The successful testing of the E.28/39 had directly led to the design of the twin-engined Gloster Meteor jet fighter from 1940. During 1942, engine manufacturer Rover, who had already been contracted to produce the Power Jets W.2 jet engine, had experienced production problems and the Air Ministry decided to issue Specification E.5/42 for an aircraft which would only be powered by one engine. Gloster produced a design which developed into a low-wing monoplane equipped with a highly tapered wing and a T-tail arrangement, along with a tailwheel undercarriage. It was to be powered by a Halford H.1 or Rolls-Royce Nene engine fed by intakes in the wing roots. During late 1943, construction activity on a pair of prototype GA.1s, commenced.[12][13] The difficulties of manufacture were resolved by Rolls-Royce Limited exchanging jet engine production (as such, the W2 engine would become known as the Welland) for Meteor tank engine production with Rover, Rolls-Royce overcoming the production problems. Demand for a single-engined design dissipated and the fledgling GA.1 was no longer required. Gloster continued to work on the design privately, intending to adopt a Halford H.1 engine to power the type instead of the W2/Welland. During 1944, the Air Ministry issued Specification E.1/44 for an experimental jet-powered aircraft that would be powered the new Rolls-Royce Nene engine. Gloster's design team decided to approach the specified requirements of this new specification by developing a new design,  GA.2. It was not based on the earlier E.5/42, being a significantly larger aeroplane.[14] During 1944, after reviewing submissions, the Air Ministry issued a contract to Gloster for a prototype; this order was joined during late 1945 by additional orders for the completion of a further three aircraft.[15] The Gloster E.1/44 was a stressed-skin mid-winged monoplane design, featuring a relatively broad fuselage and a wide-track undercarriage. The design bore little resemblance to the twin-jet Meteor and only superficial similarities to the earlier pioneering E.28/29, being a larger and significantly heavier aircraft. Unlike the E.28/29, which had a central air intake in the nose into a straight-through duct to reach its turbojet engine, the E.1/44's Nene received air via a pair of semi-circular air intakes ahead of the wing roots.[16] The tailplane was mounted midway up the rear fuselage, set beneath the single fin and rudder. Unlike the earlier E5/42, a widely spaced tricycle landing gear arrangement was adopted for the E.1/44.[17][18] The unusually wide fuselage of the E.1/44 was made in sections, the front of which being attached to the central section via four longerons.[19] The centre fuselage, composed of reinforced Z-section frames and heavy double-channel section frames, accommodated the Nene and attachment points for the centre-section of the wing. Set into the sides of the central section were the air intakes, which featured boundary-layer bleeds and were readily detachable.[19] The rear fuselage section used semi-monocoque construction, reinforced by several Z-section frames and top-hat stringers; the detachable tail section featured a similar structure. Apart from the upper portion of the fin, which was composed of wood for its insulating properties, the tail unit was an all-metal, stressed-skin unit. Rivets were used to attach the sections.[19] The centre-section of the wing, which accommodated the flaps, inboard air brakes and main undercarriage, was a single-spar stressed-skin structure, with an auxiliary rear spar.[19] Both spars use a plate web design; the main spar's booms were composed from high-tensile steel, the rear spar of light-alloy booms. The outer portions of the wing, which had similar construction, were fixed at the spars and at the leading edge. An unusual feature of the aircraft was the skin of the wings, which was composed of relatively difficult-to-work stainless-steel.[17][20] The flying controls of the E.1/44 were relatively conventional, employing an array of push-rods and spring-torque shafts (the latter being primarily used for actuation of the spring tabs) to feed control inputs to the flight control surfaces.[19] Power for the undercarriage and the flaps was provided by a Dowty hydraulic pump, driven via a gear box from the Nene engine. For emergencies, there was a hand-pump for the flight surfaces and a compressed-air system for the undercarriage.[21] Electrical power was provided by a 1,500-watt HX2 generator, also driven via the gear box, which charged a pair of series-connected 12-volt accumulators. Equipment included a two-way radio set, IFF, oxygen tanks, windscreen de-icing system, fire detectors and fire extinguishers and a drogue parachute in the tail.[21] Progress on the new fighter was slow, Gloster having chosen to concentrate on the twin-engined Meteor and the first prototype was not completed until July 1947. The project received a considerable setback when the prototype was destroyed in a road accident while being transported to RAF Boscombe Down for flight testing.[22][23] The first E.1/44 to fly was the second prototype. On 9 March 1948, it performed its maiden flight at RAF Boscombe Down, flown by Gloster Chief Test Pilot Bill Waterton. Reportedly, Waterton was not impressed with the aircraft, commenting on its lack of power and its unfavourable flying characteristics, unflatteringly referring to it as the "Gormless". While this unofficial name never stuck, the prototype never received an official name, although "Ace" was proposed at one point.[24] Shortly after its first flight, the second prototype was dispatched to RAF Moreton Valence, Gloucestershire for further test flights.[22] Initial flight testing confirmed the aircraft's poor handling and a revised tail unit with a high mounted tailplane was installed. While this change has been credited with resolving the handling problems, performance remained little better than that of the existing Meteor. This comparison was a major factor in the termination of the test programme during 1949 as the design did not possess the development potential of the Meteor. The fourth prototype (TX150) was never completed.[25] Some elements of the design were used in other aircraft. The revised tail design developed for the E.1/44 was carried over to the Meteor, being employed on the Meteor F 8 and later models.[26] Following the end of the programme, the two aircraft to achieve flight continued in use as aerial test beds for some time before being scrapped; reportedly, at least one of these prototypes remained in existence as late as 1951.[27] Data from Jane's all the World's Aircraft 1949-50,[28] The British Fighter since 1912[29]General characteristics Performance Armament   Aircraft of comparable role, configuration, and era</t>
  </si>
  <si>
    <t>Gloster Aircraft Company</t>
  </si>
  <si>
    <t>https://en.wikipedia.org/Gloster Aircraft Company</t>
  </si>
  <si>
    <t>George Carter</t>
  </si>
  <si>
    <t>https://en.wikipedia.org/George Carter</t>
  </si>
  <si>
    <t>//upload.wikimedia.org/wikipedia/commons/thumb/0/01/Gloster_E1-44_2.jpg/300px-Gloster_E1-44_2.jpg</t>
  </si>
  <si>
    <t>3 (4th prototype not completed)</t>
  </si>
  <si>
    <t>Royal Air Force (intended)</t>
  </si>
  <si>
    <t>https://en.wikipedia.org/Royal Air Force (intended)</t>
  </si>
  <si>
    <t>Lockheed WP-3D Orion</t>
  </si>
  <si>
    <t>The Lockheed WP-3D Orion is a highly modified P-3 Orion used by the Aircraft Operations Center division of the National Oceanic and Atmospheric Administration (NOAA). Only two of these aircraft exist, each incorporating numerous features for the role of collecting weather information. During hurricane season, the WP-3Ds are deployed for duty as hurricane hunters. The aircraft also support research on other topics, such as Arctic ice coverage, air chemistry studies, and ocean water temperature and current analysis.[1] The WP-3Ds are equipped with three weather radars, C band radars in the nose and on the lower fuselage, and an X-band radar in the aircraft's tail. They are also equipped with the ability to deploy dropsondes into storm systems, and have onboard temperature sensors, and other meteorological equipment. While the aircraft are not specially strengthened for flying into hurricanes, their decks were reinforced to withstand the additional equipment load. It has a barber-pole sampler (named for its red-and-white stripes) that protrude from the aircraft's front, a tail Doppler weather radar, and other unique-looking instruments hanging from the wing.[2] NOAA currently operates two WP-3Ds nicknamed Miss Piggy and Kermit, and their logos feature the characters created by Jim Henson Productions. NOAA's other hurricane hunting aircraft, the Gulfstream IV-SP, is named Gonzo; they complement the fleet of WC-130 aircraft operated by the America Air Force 53rd Weather Reconnaissance Squadron. As of 2014, the two Orions had each flown more than 10,000 hours and flown into more than 80 hurricanes.[1] Between 2015 and 2017, the aircraft received major overhauls, costing a total of $35 million. This work was performed by the America Navy's Fleet Readiness Center Southeast in Jacksonville Florida. The work included new wings and engines and upgraded radars and avionics. NOAA anticipates that these changes will allow the aircraft to fly until between 2032 and 2037.[1] Data from Riders of the storms[3]General characteristics Performance Related development Aircraft of comparable role, configuration, and era  Related lists</t>
  </si>
  <si>
    <t>Weather reconnaissance aircraft</t>
  </si>
  <si>
    <t>Lockheed Corporation</t>
  </si>
  <si>
    <t>https://en.wikipedia.org/Lockheed Corporation</t>
  </si>
  <si>
    <t>Up to 22 (2 pilots, flight engineer, navigator, flight director, 2–3 engineering/electronics specialists, radio/avionics specialist and up to 12 scientists)</t>
  </si>
  <si>
    <t>116 ft 10 in (35.61 m)</t>
  </si>
  <si>
    <t>99 ft 8 in (30.38 m)</t>
  </si>
  <si>
    <t>34 ft 3 in (10.44 m)</t>
  </si>
  <si>
    <t>1,300.0 sq ft (120.77 m2) [4]</t>
  </si>
  <si>
    <t>73,000 lb (33,112 kg)</t>
  </si>
  <si>
    <t>4 × Allison T56-14 turboprops, 4,500 shp (3,400 kW)  each</t>
  </si>
  <si>
    <t>3,800 nmi (4,400 mi, 7,000 km) at high altitude; 2,500 nmi (2,900 mi; 4,600 km) at low altitude</t>
  </si>
  <si>
    <t>27,000 ft (8,200 m)</t>
  </si>
  <si>
    <t>3,000 ft/min (15 m/s)</t>
  </si>
  <si>
    <t>//upload.wikimedia.org/wikipedia/commons/thumb/c/c5/NOAA_WP-3D_Orions.jpg/300px-NOAA_WP-3D_Orions.jpg</t>
  </si>
  <si>
    <t>250 kn (290 mph, 460 km/h)</t>
  </si>
  <si>
    <t>11.5 hours at high altitude; 9.5 hours at low altitude</t>
  </si>
  <si>
    <t>National Oceanic and Atmospheric Administration</t>
  </si>
  <si>
    <t>Lockheed P-3 Orion</t>
  </si>
  <si>
    <t>https://en.wikipedia.org/Lockheed P-3 Orion</t>
  </si>
  <si>
    <t>135,000 lb (61,235 kg)</t>
  </si>
  <si>
    <t>https://en.wikipedia.org/National Oceanic and Atmospheric Administration</t>
  </si>
  <si>
    <t>Spartan Executive</t>
  </si>
  <si>
    <t>The Spartan 7W Executive is a cabin monoplane aircraft that was produced by the Spartan Aircraft Company during the late 1930s and early 1940s. The 7W features an all-metal fuselage, as well as a retractable undercarriage. The 7W Executive was popular with affluent buyers worldwide.[1].mw-parser-output .toclimit-2 .toclevel-1 ul,.mw-parser-output .toclimit-3 .toclevel-2 ul,.mw-parser-output .toclimit-4 .toclevel-3 ul,.mw-parser-output .toclimit-5 .toclevel-4 ul,.mw-parser-output .toclimit-6 .toclevel-5 ul,.mw-parser-output .toclimit-7 .toclevel-6 ul{display:none}Designed expressly for the executive market, the Spartan Executive was configured for both performance and comfort. Built during the Great Depression, the 7W was the brainchild of company-founder William G. Skelly of Skelly Oil who desired a fast, comfortable aircraft to support his tastes and those of his rich oil-executive colleagues.[2] Through a series of acquisitions, J. Paul Getty took over ownership of the Spartan Aircraft Company in 1935, and directed its fortunes from that point to 1968.[3] The interior of the 7W is spacious and features 18 in (46 cm) of slide-back seat room for front-seat passengers, arm rests, ash trays, dome lighting, deep cushions, cabin heaters, ventilators, soundproofing, large windows, and interior access to the 100 lb (45 kg) capacity luggage compartment. The interior can be configured for four or five passengers.[4] The 10th airframe in the production run was modified into a military demonstrator, the Spartan 7W-F, incorporating two forward-firing .30 calibre machine guns mounted on the port side near the firewall and firing through the propeller arc through a synchronized mechanism. A further modification was to provide a gunner's station at a dorsal hatch on the roof with a windscreen and machine gun fitted. Provision was also made for bomb racks under the wings.[5] The military experiment was short-lived and the aircraft was reverted to a stock model and sold to aviatrix Arlene Davis who entered the Executive (NC17605) in the 1939 Bendix Air Races.[5] Davis was the first woman to complete the race flying solo, and took the high-performance aircraft to fifth place.[6] Including the 7X prototypes, 36 7W Executives were built before production was halted in 1940. Following up on a modified Spartan Executive military demonstrator, a two-seat military variant of the 7W Executive, named the Spartan 8W Zeus, was developed. The aircraft featured a greenhouse canopy covering a tandem cockpit and was powered by a more powerful 600 hp (447 kW) Pratt &amp; Whitney Wasp engine.[1] A small production run of four or five examples was made but with no official interest, the project waned.[7] In 1942, a total of 16 7W Executives were impressed into military service with the America Army Air Corps. The 7Ws served as executive transports for military staff as the UC-71.[4] A post-World War II effort to rekindle interest in the Executive series, under the re-branded Spartan 12-W designation, failed to gain interest.[4] Only one Model 12 was completed, and today is part of the Tulsa Air and Space Museum &amp; Planetarium collection.[8] In August 2018 a total of 17 model 7Ws were still registered with the Federal Aviation Administration in the America.[9] Notable owners of 7Ws included aircraft designer and aviator Howard Hughes, wealthy industrialist J. Paul Getty, [Note 1] and King Ghazi of Iraq. King Ghazi's Spartan Executive was designated "Eagle of Iraq" and was outfitted with his Coat of Arms, an extra-luxurious interior and customized features.[10] Data from EAA Spartan [12]General characteristics Performance Three examples based in Montreal, formerly Royal Air Force examples used in California.[11] The second prototype was exported to China and serialed 1309. It was damaged beyond repair and captured by the Japanese who displayed it along with other captured Chinese aircraft.[11] At least one example was received by the LAPE (Líneas Aéreas Postales Españolas) to be used as an airliner marked as EC-AGM until requisitioned by the Spanish Republican Air Force and marked as 30+74. It was later captured by the Nationalists. Several others were purchased by the Republicans.[11] One example (AX666) was built for King Ghazi of Iraq. Used by No. 1 Photographic Reconnaissance Unit RAF. Three examples with serials KD100, KD101 and KD102 were used in California for flight training.[11][13][page needed] 16 examples impressed from civil owners. All but two survived to return to civil service.[11][13]  Related development Aircraft of comparable role, configuration, and era  Related lists</t>
  </si>
  <si>
    <t>Personal luxury transport</t>
  </si>
  <si>
    <t>Spartan Aircraft Company</t>
  </si>
  <si>
    <t>https://en.wikipedia.org/Spartan Aircraft Company</t>
  </si>
  <si>
    <t>March 8, 1936[1]</t>
  </si>
  <si>
    <t>26 ft 10 in (8.18 m)</t>
  </si>
  <si>
    <t>39 ft 0 in (11.89 m)</t>
  </si>
  <si>
    <t>8 ft 0 in (2.44 m)</t>
  </si>
  <si>
    <t>250 sq ft (23 m2)</t>
  </si>
  <si>
    <t>3,400 lb (1,542 kg)</t>
  </si>
  <si>
    <t>1 × Pratt &amp; Whitney R-985-AN3 9-cylinder air-cooled radial piston engine, 450 hp (340 kW)</t>
  </si>
  <si>
    <t>257 mph (414 km/h, 223 kn)</t>
  </si>
  <si>
    <t>1,000 mi (1,600 km, 870 nmi)</t>
  </si>
  <si>
    <t>1,080 ft/min (5.5 m/s)</t>
  </si>
  <si>
    <t>//upload.wikimedia.org/wikipedia/commons/thumb/5/5d/Spartan_Executive_Old_Warden_7_Oct_2013_1.jpg/300px-Spartan_Executive_Old_Warden_7_Oct_2013_1.jpg</t>
  </si>
  <si>
    <t>2-bladed variable-pitch propeller</t>
  </si>
  <si>
    <t>215 mph (346 km/h, 187 kn)</t>
  </si>
  <si>
    <t>3 or 4 passengers</t>
  </si>
  <si>
    <t>1936 - 1940</t>
  </si>
  <si>
    <t>4,400 lb (1,996 kg)</t>
  </si>
  <si>
    <t>https://en.wikipedia.org/Spartan 12W</t>
  </si>
  <si>
    <t>Flugan</t>
  </si>
  <si>
    <t>Flugan (The Fly) was an early aeroplane designed and built by Carl Richard Nyberg outside his home in Lidingö, Sweden. Construction started in 1897 and he kept working on it until 1922. The craft only managed a few short jumps and Nyberg was often ridiculed, however several of his innovations are still in use.[1] He was the first to test his design in a wind tunnel and the first to build a hangar.[2] The reasons for failure include poor wing and propeller design and, allegedly, Nyberg's fear of heights. The Flugan had a wingspan of 5 meters, and the surface area of the wings was 13 m2. It was powered by a steam engine heated by four blowtorches (UK: blowlamps) and it produced 10 hp (7 kW) at 2000 rpm. The power-to-weight ratio was actually better than the Wright engine. The total weight of the plane was 80 kg. The weight of the engine was 18 kg.[1]</t>
  </si>
  <si>
    <t>Grumman XTB2F</t>
  </si>
  <si>
    <t>The Grumman TB2F was a cancelled twin-engined torpedo bomber project, intended as Grumman's successor to the successful TBF Avenger. However, only a mockup was ever constructed. In 1944, during World War II, the Midway class aircraft carriers were being built, and Grumman attempted to design a new torpedo bomber to accompany those carriers. However, it was soon decided that, among other difficulties, it would be impracticable to efficiently deploy twin-engined aircraft of this size from an aircraft carrier, and the plans were scrapped. Data from A Tracker Before Its Time?[1]General characteristics Performance Armament   Aircraft of comparable role, configuration, and era  Related lists</t>
  </si>
  <si>
    <t>Torpedo bomber</t>
  </si>
  <si>
    <t>Grumman</t>
  </si>
  <si>
    <t>https://en.wikipedia.org/Grumman</t>
  </si>
  <si>
    <t>52 ft 0 in (15.85 m)</t>
  </si>
  <si>
    <t>74 ft 0 in (22.56 m) (Folded span</t>
  </si>
  <si>
    <t>2 × Pratt &amp; Whitney R-2800-22 Double Wasp radial engine, 2,100 hp (1,600 kW)  each</t>
  </si>
  <si>
    <t>271 kn (312 mph, 502 km/h)</t>
  </si>
  <si>
    <t>31,600 ft (9,600 m)</t>
  </si>
  <si>
    <t>//upload.wikimedia.org/wikipedia/en/thumb/3/34/Grumman_XTB2F.jpg/300px-Grumman_XTB2F.jpg</t>
  </si>
  <si>
    <t>Cancelled at mockup stage</t>
  </si>
  <si>
    <t>1,960 US Gallon internal fuel</t>
  </si>
  <si>
    <t>61.8 kn (71.1 mph, 114.4 km/h)</t>
  </si>
  <si>
    <t>43,937 lb (19,929 kg)</t>
  </si>
  <si>
    <t>1× 75 mm cannon and 6× .50 in (12.7 mm) machine guns forward firing2× .50 in machine guns each in dorsal and ball turrets</t>
  </si>
  <si>
    <t>1× Mark 13 torpedo or 3,500 lb (1,600 kg) bombs or mines in bomb bay</t>
  </si>
  <si>
    <t>2,352 nmi (2,707 mi, 4,356 km)</t>
  </si>
  <si>
    <t>Waco C-62</t>
  </si>
  <si>
    <t>The Waco C-62 was a proposed high wing transport airplane similar in size and capacity to the Douglas DC-3. 13 pre-production aircraft were ordered in October 1941, with a contract for 240 production models awarded in early 1942;[1] however, the project was canceled in September 1943 in favor of the Curtiss-Wright C-76 Caravan before any aircraft were built.[2] Data from [3]General characteristics Performance</t>
  </si>
  <si>
    <t>Transport aircraft</t>
  </si>
  <si>
    <t>Waco Aircraft Company</t>
  </si>
  <si>
    <t>https://en.wikipedia.org/Waco Aircraft Company</t>
  </si>
  <si>
    <t>73 ft 10 in (22.5 m)</t>
  </si>
  <si>
    <t>100 ft 0 in (30.48 m)</t>
  </si>
  <si>
    <t>19 ft 1 in (5.82 m)</t>
  </si>
  <si>
    <t>21,660 lb (9,825 kg)</t>
  </si>
  <si>
    <t>2 × Pratt &amp; Whitney R-1830-39 radial engines, 1,200 hp (890 kW)  each</t>
  </si>
  <si>
    <t>150 mph (241 km/h, 130 kn)</t>
  </si>
  <si>
    <t>600 mi (966 km, 522 nmi)</t>
  </si>
  <si>
    <t>17,001 ft (5,182 m)</t>
  </si>
  <si>
    <t>//upload.wikimedia.org/wikipedia/commons/thumb/c/ce/Waco_YC-62_wind_tunnel.jpg/300px-Waco_YC-62_wind_tunnel.jpg</t>
  </si>
  <si>
    <t>22 soldiers or 4,400 pounds (2,000 kg) cargo</t>
  </si>
  <si>
    <t>29,500 lb (13,381 kg)</t>
  </si>
  <si>
    <t>Sopwith Salamander</t>
  </si>
  <si>
    <t>The Sopwith TF.2 Salamander was a British ground-attack aircraft of the First World War designed by the Sopwith Aviation Company which first flew in April 1918. It was a single-engined, single-seat biplane, based on the Sopwith Snipe fighter, with an armoured forward fuselage to protect the pilot and fuel system from ground fire during low level operations. It was ordered in large numbers for the Royal Air Force but the war ended before the type could enter squadron service, although two were in France in October 1918. In August 1917, the British Royal Flying Corps (RFC) introduced the coordinated mass use of single-seat fighter aircraft for low-level ground-attack operations in support of the Third Battle of Ypres, with Airco DH.5s, which were unsuitable for high-altitude combat, specialising in this role. The tactic proved effective and was repeated at the Battle of Cambrai in November 1917 by DH.5s and Sopwith Camels being used in strafing attacks. While the tactic proved successful, losses of the unarmoured fighters proved to be extremely high, reaching up to 30 per cent per day. Most losses were due to ground fire, although low-flying aircraft also proved vulnerable to attacks from above by enemy fighters.[1][2] Two-seat German fighters such as Halberstadt CL.II, originally designed as escort fighters, were also used ground-attack, playing an important role in the German counter-offensive at Cambrai.[2][3] While the CL-type fighters were not armoured, the Germans also introduced more specialised heavily armoured two-seat aircraft such as the Junkers J.I for contact patrol and ground-attack work.[1][4] As a result of the high losses sustained during strafing and after seeing the success of the new German types, the RFC instructed the Sopwith Aviation Company to modify a Camel for close air support, by fitting downward-firing guns and armour. The modified Camel, known as the "TF.1" (trench fighter 1), flew on 15 February 1918. Two Lewis guns were fixed to fire downwards and forwards at an angle of 45 degrees and a third gun was mounted on the upper wing. The downward-firing guns proved to be of little use, being almost impossible to aim. The TF.1 did not go into production but information gained in testing it was used for the Salamander design.[5][6] Work on a more advanced armoured fighter, conceived as an armoured version of the Sopwith Snipe, began early in 1918. The forward portion of the fuselage was a 605 lb (275 kg) box of armour plate, forming an integral part of the aircraft structure, protecting the pilot and fuel system, with a 0.315 in (8 mm) front plate, a 0.433 in (11 mm) bottom plate, 0.236 in (6 mm) side plates and rear armour consisting of an 11-gauge and 6-gauge plate separated by an air gap.[7] The rear (unarmoured) section of the fuselage was a generally similar structure to the Snipe but flat sided, to match the forepart. The two-bay wings and tailplane were identical in form to those of the Snipe but were strengthened to cope with the extra weight, while the fin and rudder were identical to the Snipe. The new aircraft used the same Bentley BR2 rotary engine as the Snipe, covered by an unarmoured cowling – the foremost armour plate forming the firewall.[8][9] Originally an armament of three machine guns was planned, with two Lewis guns firing forwards and downwards through the cockpit floor as in the TF.1, and a forward firing Vickers machine gun. This was changed to a conventional battery of two synchronised Vickers guns in front of the cockpit, as on the Snipe, before the first prototype was complete. The guns were staggered, with the starboard gun mounted a few inches forward of the port one to give more room for ammunition. Four light bombs could also be carried.[10] The first prototype started flight tests at Brooklands aerodrome on 27 April 1918 and was sent to France for evaluation on 9 May.[11] It was wrecked in a crash on 19 May while being flown by No. 65 Squadron when the pilot had to avoid a tender crossing the aerodrome responding to another crash.[12] While the Salamander was generally considered promising in the ground-attack role, lateral control was recognised as poor.[12] To rectify these problems, the Salamander underwent many of the same modifications to the tail and ailerons as the Snipe.[13] Production was intended to be on a very large scale – an initial order for 500 aircraft was placed with Sopwith on 18 June, followed by additional orders with Wolseley Motors, the Air Navigation Co., Glendower Aircraft, Palladium Motors and the National Aircraft Factory No. 1. A total of 1,400 Salamanders were ordered.[14] Production was slowed, however, by problems producing the armour plate, this being prone to distortion during the hardening process,[12] and shortages of the BR.2 engine.[15][nb 1] By the end of October 1918 only 37 Salamanders were on RAF charge, and just two of these were in France.[17] The first Salamander-equipped squadron, 157 Squadron, was due to fly out to France with 24 aircraft on 21 November, with more squadrons in the process of forming in the United Kingdom.[18] With the Armistice, the immediate need for a specialist close support aircraft evaporated, and 157 Squadron was quickly disbanded.[19] Production continued for several months following the Armistice, with at least 497 completed.[20] It was discovered postwar that 70 Salamanders had been fitted with Sopwith Snipe wings instead of the stronger wings of the Salamander, rendering the aircraft unsafe,[20] while the armoured section was subject to spontaneous distortion, misaligning the airframe and again making the aircraft dangerous.[21] The Salamander was used in trials of various patterns of disruptive camouflage in 1919, while some Salamanders were still in use at Heliopolis, Egypt in 1922. One example went to America, and was still in existence at McCook Field in 1926.[22] Data from British Aeroplanes 1914–18[24]General characteristics Performance Armament  Related development Aircraft of comparable role, configuration, and era  Related lists</t>
  </si>
  <si>
    <t>Ground attack</t>
  </si>
  <si>
    <t>Sopwith</t>
  </si>
  <si>
    <t>https://en.wikipedia.org/Sopwith</t>
  </si>
  <si>
    <t>19 ft 6 in (5.94 m)</t>
  </si>
  <si>
    <t>31 ft 2.6 in (9.51 m)</t>
  </si>
  <si>
    <t>9 ft 4 in (2.84 m)</t>
  </si>
  <si>
    <t>272 sq ft (25.3 m2)</t>
  </si>
  <si>
    <t>1,844 lb (836 kg)</t>
  </si>
  <si>
    <t>2,512 lb (1,139 kg)</t>
  </si>
  <si>
    <t>1 × Bentley BR2 9-cylinder air-cooled rotary piston engine, 230 hp (170 kW)</t>
  </si>
  <si>
    <t>125 mph (201 km/h, 109 kn) at 500 ft (152 m)</t>
  </si>
  <si>
    <t>//upload.wikimedia.org/wikipedia/commons/thumb/f/f8/Sopwith_Salamander_prototype.jpg/300px-Sopwith_Salamander_prototype.jpg</t>
  </si>
  <si>
    <t>29 imp gal (35 US gal; 132 l)</t>
  </si>
  <si>
    <t>1 hour 30 minutes</t>
  </si>
  <si>
    <t>Royal Air Force</t>
  </si>
  <si>
    <t>1918–1919</t>
  </si>
  <si>
    <t>Sopwith Snipe</t>
  </si>
  <si>
    <t>https://en.wikipedia.org/Sopwith Snipe</t>
  </si>
  <si>
    <t>https://en.wikipedia.org/Royal Air Force</t>
  </si>
  <si>
    <t>2 × 0.303 in Vickers machine guns, 2,000 rounds of ammunition</t>
  </si>
  <si>
    <t>4 × 25 lb (10 kg) bombs[25]</t>
  </si>
  <si>
    <t>https://en.wikipedia.org/1918–1919</t>
  </si>
  <si>
    <t>Walkerjet Schoolboy</t>
  </si>
  <si>
    <t>The Walkerjet Schoolboy is a Czech paramotor that was designed by Victor Procházka and produced by Walkerjet of Třemošná for powered paragliding. Now out of production, when it was available the aircraft was supplied complete and ready-to-fly.[1] The Schoolboy was designed as a trainer to comply with the US FAR 103 Ultralight Vehicles rules as well as European regulations. It features a paraglider-style wing, two-place accommodation and a single engine in pusher configuration with a reduction drive and a fixed pitch two-bladed wooden propeller. The aircraft is built from a combination of bolted aluminium and 4130 steel tubing and is noted for its reinforced chassis. The propeller cage can be dismantled for ground transport or storage.[1] As is the case with all paramotors, take-off and landing is accomplished by foot. Inflight steering is accomplished via handles that actuate the canopy brakes, creating roll and yaw.[1] Data from Bertrand[1]General characteristics</t>
  </si>
  <si>
    <t>Walkerjet</t>
  </si>
  <si>
    <t>https://en.wikipedia.org/Walkerjet</t>
  </si>
  <si>
    <t>Victor Procházka</t>
  </si>
  <si>
    <t>1 × single cylinder, two-stroke, air-cooled aircraft engine, with a reduction drive</t>
  </si>
  <si>
    <t>2000s</t>
  </si>
  <si>
    <t>Winds Italia Raven</t>
  </si>
  <si>
    <t>The Winds Italia Raven is an Italian powered hang glider that was designed by champion hang glider pilot Randy Haney and produced by his company Winds Italia of Bologna. Now out of production, when it was available the aircraft was supplied complete and ready-to-fly.[1] The Raven features a cable-braced hang glider-style high-wing, weight-shift controls, single-place accommodation, foot-launching and landing and a single engine in pusher configuration.[1] The aircraft uses a standard hang glider wing, made from bolted-together aluminum tubing, with its single surface wing covered in Dacron sailcloth. The wing is supported by a single tube-type kingpost and uses an "A" frame control bar. The engine is a two-stroke, single cylinder Radne Raket 120 of 15 hp (11 kW) powering the 132 cm (52 in) diameter propeller through a 3.54:1 reduction drive. The harness mounts the engine and the 5 litres (1.1 imp gal; 1.3 US gal) fuel tank. Dual retractable small wheels are provided to protect the propeller during take-off and landing. Electric starting and a folding propeller are standard features.[1] Data from Bertrand[1]General characteristics</t>
  </si>
  <si>
    <t>Powered hang glider</t>
  </si>
  <si>
    <t>Winds Italia</t>
  </si>
  <si>
    <t>https://en.wikipedia.org/Winds Italia</t>
  </si>
  <si>
    <t>Randy Haney</t>
  </si>
  <si>
    <t>21.9 kg (48 lb) harness and engine only</t>
  </si>
  <si>
    <t>1 × Radne Raket 120 single cylinder, air-cooled aircraft engine with a 3.54</t>
  </si>
  <si>
    <t>https://en.wikipedia.org/Powered hang glider</t>
  </si>
  <si>
    <t>5 litres (1.1 imp gal; 1.3 US gal)</t>
  </si>
  <si>
    <t>2-bladed folding, 1.32 m (4 ft 4 in) diameter</t>
  </si>
  <si>
    <t>Aero Nord AIR</t>
  </si>
  <si>
    <t>The Aero Nord AIR series is a family of French paramotors that was designed and produced by Aero Nord of Lorgies, and later Bénifontaine, for powered paragliding. Now out of production, when it was available the aircraft was supplied as a complete and ready-to-fly.[1] The aircraft was designed to comply with the US FAR 103 Ultralight Vehicles rules as well as European regulations. It features a paraglider-style wing, single-place accommodation and a single 22 hp (16 kW) RDM engine in pusher configuration with a 4:1 ratio reduction drive and a 100 to 125 cm (39 to 49 in) diameter two-bladed wooden propeller. The fuel tank capacity is 9 litres (2.0 imp gal; 2.4 US gal). As is the case with all paramotors, take-off and landing is accomplished by foot.[1] The aircraft is built with a welded aluminium tubing propeller cage, which can be broken down into two or four sections for ground stowage. Inflight steering is accomplished via handles that actuate the canopy brakes, creating roll and yaw.[1] Reviewer Rene Coulon wrote in 2003 that the "machine shows good understanding of the market and skill in the production" and noted that the series has attracted "considerable attention".[1] Data from Bertrand[1]General characteristics</t>
  </si>
  <si>
    <t>Aero Nord ULM</t>
  </si>
  <si>
    <t>https://en.wikipedia.org/Aero Nord ULM</t>
  </si>
  <si>
    <t>21 kg (46 lb)</t>
  </si>
  <si>
    <t>1 × RDM single cylinder, two-stroke, air-cooled aircraft engine, with a 4</t>
  </si>
  <si>
    <t>Büttner Easy Plane</t>
  </si>
  <si>
    <t>The Büttner Easy Plane is a German paramotor that was designed by Gerald Büttner and produced by Büttner Propeller of Obernkirchen for powered paragliding. Now out of production, when it was available the aircraft was supplied complete and ready-to-fly.[1] The Easy Plane was designed to comply with the US FAR 103 Ultralight Vehicles rules as well as European regulations. It features a paraglider-style wing, single-place accommodation and a single  20 hp (15 kW) Solo engine in pusher configuration with a 2.85:1 ratio reduction drive and a 115 cm (45 in) diameter Büttner Propeller-designed  propeller. The fuel capacity is 5 litres (1.1 imp gal; 1.3 US gal), with an option of a 10 litres (2.2 imp gal; 2.6 US gal) tank.[1] As is the case with all paramotors, take-off and landing is accomplished by foot. Inflight steering is accomplished via handles that actuate the canopy brakes, creating roll and yaw.[1] Data from Bertrand[1]General characteristics</t>
  </si>
  <si>
    <t>Büttner Propeller</t>
  </si>
  <si>
    <t>https://en.wikipedia.org/Büttner Propeller</t>
  </si>
  <si>
    <t>Gerald Büttner</t>
  </si>
  <si>
    <t>23.6 kg (52 lb)</t>
  </si>
  <si>
    <t>1 × Solo single cylinder, two-stroke, air-cooled aircraft engine, with a 2.85</t>
  </si>
  <si>
    <t>5 litres (1.1 imp gal; 1.3 US gal), optionally 10 litres (2.2 imp gal; 2.6 US gal)</t>
  </si>
  <si>
    <t>3-bladed Büttner Propeller, 1.15 m (3 ft 9 in) diameter</t>
  </si>
  <si>
    <t>Bye Aerospace eFlyer 2</t>
  </si>
  <si>
    <t>The Bye Aerospace eFlyer 2 (formerly the Sun Flyer 2)[1] is a light electric aircraft designed and under development by Bye Aerospace of Denver, Colorado. The aircraft was first publicly introduced on 11 May 2016, and first flew on 10 April 2018. The two seater is designed for the flight training market with a single tractor electric motor powered by Lithium-ion batteries. The design was originally developed by Bye Aerospace subsidiary Aero Electric Aircraft Corporation (AEAC).[2][3] Arion Aircraft of Shelbyville, Tennessee constructed the proof-of-concept prototype[4] and delivered it in March 2016.[5] The eFlyer 2 was first publicly introduced at the Centennial Airport in Colorado on 11 May 2016.[3] Ground and taxi tests on the prototype were started in November 2016.[6] A four-seater derivative model, named the Bye Aerospace Sun Flyer 4, was announced in July 2017. It will be a day/night IFR aircraft with an 800 lb (360 kg) payload, capable of 150 kn (280 km/h) maximum cruise speed and a 4.2 hour endurance.[7][8] The eFlyer 2 first flew on 10 April 2018.[9][10] AEAC and Bye Aerospace merged in 2018 and Bye Aerospace took over the project.[11] Development of the four-seater should follow completion of the smaller eFlyer 2, the certification of which is forecast to cost US$25 million. Bye had received 220 orders for the two models by October 2018.[12] By January 2019, Subaru and SBI Investment invested in Bye Aerospace to advance the eFlyer 2 certification.[13] On 8 February 2019 the eFlyer 2 flew for the first time in its intended production configuration, including with a Siemens SP70D electric motor.[14] FAA Part 23 Certification was planned for 2020,[15] with Siemens taking an active part.[16] In November 2020 it was announced that the motor supplier would instead be Safran.[17] In an email to AOPA, George Bye indicated the reason for the change, that Bye Aerospace was “… unable to reach a mutual commercial proposition…” with Siemens/Rolls Royce.[18] At AirVenture in July 2021 George Bye of Bye Aerospace stated that the eFlyer 2 will be certified in late 2022 or early 2023 with a target price of US$489,000.[19] The aircraft is intended to be certified under FAR 23 and supplied as a complete ready-to-fly-aircraft.[20][2] It has been designed specifically for the flight training market and is projected to have a 3.5 hour duration.[2][3] The eFlyer 2 features a cantilever low-wing, a two-seat side-by-side configuration enclosed cockpit under a bubble canopy, fixed tricycle landing gear and a single electric motor in tractor configuration powered by up to six Lithium-ion battery packs.[2][5][3][21] The design has a gross weight of 1,900 lb (860 kg)[2] and is made from composite material, primarily carbon fibre. The cockpit employs an iPad used for cockpit instrumentation display, including motor, battery and aircraft systems. The aircraft connects to Redbird Flight Simulations' Sidekick system, which wirelessly tracks the eFlyer's motor, flight time, physical location and attitude in real time when in flight.[2][5] The previously-used  57 lb (26 kg) Siemens SP70D had a takeoff rating of 90 kW (120 hp) and 70 kW (94 hp) continuous. Utah-based Electric Power Systems provides the 92-kWh energy storage including battery modules, management and distribution. The 138 kn (256 km/h) cruise aircraft is projected to have hourly operating costs one-sixth of a piston-powered Cessna 172.[15] The Safran motor announced in November 2020 will be from the  ENGINeUS 100 line.[22] By February 2019, one example, the prototype, had been registered in the America with the Federal Aviation Administration.[23] By December 2018 the company had 220 deposits, split evenly between the eFlyer 2 and eFlyer 4,[20] growing to 298 by April 2019.[16] In December 2020, the company indicated it had 711 purchase agreements.[24] The following organizations have ordered the aircraft: Data from AVweb[2]General characteristics Performance  Related development Aircraft of comparable role, configuration, and era  Related lists</t>
  </si>
  <si>
    <t>Electric training aircraft</t>
  </si>
  <si>
    <t>Bye Aerospace</t>
  </si>
  <si>
    <t>https://en.wikipedia.org/Bye Aerospace</t>
  </si>
  <si>
    <t>38 ft (12 m)</t>
  </si>
  <si>
    <t>129 sq ft (12.0 m2)</t>
  </si>
  <si>
    <t>1,460 lb (662 kg)</t>
  </si>
  <si>
    <t>1,900 lb (862 kg)</t>
  </si>
  <si>
    <t>1 × Safran electric motor with up to six lithium-ion battery packs, 115 hp (90 kW)</t>
  </si>
  <si>
    <t>135 kn (155 mph, 250 km/h)</t>
  </si>
  <si>
    <t>1,050 ft/min (5.3 m/s)</t>
  </si>
  <si>
    <t>//upload.wikimedia.org/wikipedia/commons/thumb/1/15/Sun-Flyer-Prototype-mountains.jpg/300px-Sun-Flyer-Prototype-mountains.jpg</t>
  </si>
  <si>
    <t>https://en.wikipedia.org/Electric training aircraft</t>
  </si>
  <si>
    <t>Under development (since 2016)</t>
  </si>
  <si>
    <t>3.5 hours</t>
  </si>
  <si>
    <t>Bye Aerospace Sun Flyer 4</t>
  </si>
  <si>
    <t>https://en.wikipedia.org/Bye Aerospace Sun Flyer 4</t>
  </si>
  <si>
    <t>D'Yves Yvasion 2000</t>
  </si>
  <si>
    <t>The D'Yves Yvasion 2000 (English: Evasion) is a family of French paramotors that was designed by Yves Hélary and produced by D'Yves Air Pub of La Chapelle-en-Vexin for powered paragliding. Now out of production, when it was available the aircraft was supplied complete and ready-to-fly.[1] The Yvasion 2000 series was designed to comply with the US FAR 103 Ultralight Vehicles rules as well as European regulations. It features a paraglider-style wing, single-place accommodation and a single engine in pusher configuration with a reduction drive and a two-bladed wooden propeller. The individual models differ by the installed powerplant.[1] As is the case with all paramotors, take-off and landing is accomplished by foot. Inflight steering is accomplished via handles that actuate the canopy brakes, creating roll and yaw.[1] Data from Bertrand[1]General characteristics</t>
  </si>
  <si>
    <t>D'Yves Air Pub</t>
  </si>
  <si>
    <t>https://en.wikipedia.org/D'Yves Air Pub</t>
  </si>
  <si>
    <t>Yves Hélary</t>
  </si>
  <si>
    <t>1 × Solo 210 single cylinder, two-stroke, air-cooled aircraft engine, with a 2.8</t>
  </si>
  <si>
    <t>2-bladed wooden, fixed pitch, 1.20 m (3 ft 11 in) diameter</t>
  </si>
  <si>
    <t>Fly Castelluccio SMN</t>
  </si>
  <si>
    <t>The Fly Castelluccio SMN is an Italian paramotor that was designed and produced by Fly Castelluccio of Ascoli Piceno for powered paragliding. Now out of production, when it was available the aircraft were supplied complete and ready-to-fly.[1] The SMN was designed to comply with the US FAR 103 Ultralight Vehicles rules as well as European regulations. It features a paraglider-style wing, single-place accommodation and a single Simonini Racing engine in pusher configuration powering a two-bladed 100 cm (39 in) wooden propeller through a reduction drive. The fuel tank capacity is 10 litres (2.2 imp gal; 2.6 US gal).[1] As is the case with all paramotors, take-off and landing is accomplished by foot. Inflight steering is accomplished via handles that actuate the canopy brakes, creating roll and yaw.[1] Data from Bertrand[1]General characteristics</t>
  </si>
  <si>
    <t>Fly Castelluccio</t>
  </si>
  <si>
    <t>https://en.wikipedia.org/Fly Castelluccio</t>
  </si>
  <si>
    <t>20 kg (44 lb)</t>
  </si>
  <si>
    <t>1 × Simonini Racing single cylinder, two-stroke, air-cooled aircraft engine, with a reduction drive</t>
  </si>
  <si>
    <t>2-bladed wooden, fixed pitch, 1.00 m (3 ft 3 in) diameter</t>
  </si>
  <si>
    <t>Fresh Breeze Airbass</t>
  </si>
  <si>
    <t>The Fresh Breeze Airbass is a family of German paramotors that was designed and produced by Fresh Breeze of Wedemark for powered paragliding. Now out of production, when it was available the aircraft was supplied complete and ready-to-fly.[1] The Airbass was designed to comply with the US FAR 103 Ultralight Vehicles rules as well as European regulations. It features a paraglider-style wing, single-place accommodation and a single 17 hp (13 kW) Solo 210 or 28 hp (21 kW) Hirth F33 engine in pusher configuration with a reduction drive and a 96 to 122 cm (38 to 48 in) diameter two-bladed composite propeller, depending on the model. The fuel tank capacity is 10 litres (2.2 imp gal; 2.6 US gal). The aircraft propeller cage can be folded into four parts and the aircraft rigged with low or high hang points.[1] As is the case with all paramotors, take-off and landing is accomplished by foot. Inflight steering is accomplished via handles that actuate the canopy brakes, creating roll and yaw.[1] Data from Bertrand[1]General characteristics</t>
  </si>
  <si>
    <t>Fresh Breeze</t>
  </si>
  <si>
    <t>https://en.wikipedia.org/Fresh Breeze</t>
  </si>
  <si>
    <t>22 kg (49 lb)</t>
  </si>
  <si>
    <t>1 × Solo 210 single cylinder, two-stroke, air-cooled aircraft engine, with a 2.57</t>
  </si>
  <si>
    <t>2-bladed composite, fixed pitch, 1.10 m (3 ft 7 in) diameter</t>
  </si>
  <si>
    <t>Jet Pocket Top Must</t>
  </si>
  <si>
    <t>The Jet Pocket Top Must is a French paramotor that was designed by Phillippe Jeorgeaguet and produced by Jet Pocket of Chantelle, Allier for powered paragliding. Now out of production, when it was available the aircraft was supplied complete and ready-to-fly.[1] The Top Must was designed to comply with the US FAR 103 Ultralight Vehicles rules as well as European regulations. It features a paraglider-style wing, single-place accommodation and a single 20 hp (15 kW) Zenoah G-25 engine in pusher configuration with a 2.9:1 ratio belt reduction drive and a 123 cm (48 in) diameter two-bladed wooden propeller. The fuel tank capacity is 7 litres (1.5 imp gal; 1.8 US gal).[1] As is the case with all paramotors, take-off and landing is accomplished by foot. Inflight steering is accomplished via handles that actuate the canopy brakes, creating roll and yaw.[1] Reviewer Rene Coulon wrote in 2003 that the line of paramotors produced by the company were, "reliable, light, yet powerful, well balanced statically and dynamically."[1] Data from Bertrand[1]General characteristics</t>
  </si>
  <si>
    <t>Jet Pocket</t>
  </si>
  <si>
    <t>https://en.wikipedia.org/Jet Pocket</t>
  </si>
  <si>
    <t>Phillippe Jeorgeaguet</t>
  </si>
  <si>
    <t>28 kg (62 lb)</t>
  </si>
  <si>
    <t>1 × Zenoah G-25 single cylinder, two-stroke, air-cooled aircraft engine, with a 2.9</t>
  </si>
  <si>
    <t>7 litres (1.5 imp gal; 1.8 US gal)</t>
  </si>
  <si>
    <t>2-bladed wooden, fixed pitch, 1.23 m (4 ft 0 in) diameter</t>
  </si>
  <si>
    <t>Rad MXL</t>
  </si>
  <si>
    <t>The Rad MXL is a British paramotor that was designed by John Radford and produced by Rad Aviation of Kidlington for powered paragliding. Now out of production, when it was available the aircraft was supplied complete and ready-to-fly.[1] The MXL was designed with a focus on lightness. It was intended to comply with the US FAR 103 Ultralight Vehicles rules as well as European regulations. It features a paraglider-style wing, single-place accommodation and a single 14 hp (10 kW) Radne Raket 120 engine in pusher configuration with a 3:1 ratio reduction drive, recoil start and a 105 cm (41 in) diameter three-bladed, ground adjustable, composite propeller. The fuel tank capacity is 8 litres (1.8 imp gal; 2.1 US gal). The aircraft chassis is built from a combination of high-tensile steel. An optional completely dismantle-able cage was a factory option to improve ground portability.[1] Acceptable pilot weight is up to 100 kg (220 lb).[1] As is the case with all paramotors, take-off and landing is accomplished by foot. Inflight steering is accomplished via handles that actuate the canopy brakes, creating roll and yaw.[1] Data from Bertrand[1]General characteristics</t>
  </si>
  <si>
    <t>Rad Aviation</t>
  </si>
  <si>
    <t>https://en.wikipedia.org/Rad Aviation</t>
  </si>
  <si>
    <t>John Radford</t>
  </si>
  <si>
    <t>16.4 kg (36 lb)</t>
  </si>
  <si>
    <t>1 × Radne Raket 120 single cylinder, two-stroke, air-cooled aircraft engine, with a 3</t>
  </si>
  <si>
    <t>8 litres (1.8 imp gal; 2.1 US gal)</t>
  </si>
  <si>
    <t>3-bladed ground adjustable, composite, 1.05 m (3 ft 5 in) diameter</t>
  </si>
  <si>
    <t>Skymaster Single Seater</t>
  </si>
  <si>
    <t>The Skymaster Single Seater is an American powered parachute that was under development by Skymaster Powered Parachutes of Hartland, Wisconsin. The aircraft was intended to be supplied as a kit for amateur construction.[1] The aircraft was developed from the larger two seat Skymaster Excel and introduced in about 2004,. Development ended when the company went out of business in late 2008. It appears that only one prototype was ever constructed and it is not clear if it ever flew.[2][3][4] The aircraft was designed to comply with the US FAR 103 Ultralight Vehicles rules, including the category's maximum empty weight of 254 lb (115 kg). It features a 290 sq ft (27 m2) Skybolt semi-elliptical or 450 sq ft (42 m2) Quantum Advantage rectangular parachute-style wing, single-seat accommodation, tricycle landing gear and a single 46 hp (34 kW) single carburetor Rotax 503 engine in pusher configuration. Both the 64 hp (48 kW) Rotax 582 and the 50 hp (37 kW) dual carburetor Rotax 503 engines were also intended to be offered for the production model.[1][4] The aircraft carriage is built from bolted aluminium tubing. In flight steering is accomplished via handles that actuate the canopy brakes, creating roll and yaw. On the ground the aircraft has lever-controlled nosewheel steering. The main landing gear incorporates spring and rod suspension.[1][4] The prototype was configured with hand-only controls to allow it to be flown by paraplegic wheelchair aviators. Company data indicates that this option was intended to be offered at no charge.[4] Data from Bertrand and manufacturer[1][4]General characteristics</t>
  </si>
  <si>
    <t>Skymaster Powered Parachutes</t>
  </si>
  <si>
    <t>https://en.wikipedia.org/Skymaster Powered Parachutes</t>
  </si>
  <si>
    <t>290 sq ft (27 m2) Skybolt semi-elliptical canopy</t>
  </si>
  <si>
    <t>254 lb (115 kg) maximum</t>
  </si>
  <si>
    <t>1 × Rotax 503 twin cylinder, two-stroke, air-cooled aircraft engine, 46 hp (34 kW)</t>
  </si>
  <si>
    <t>Production completed (2008)</t>
  </si>
  <si>
    <t>3-bladed composite, ground adjustable</t>
  </si>
  <si>
    <t>at least one prototype</t>
  </si>
  <si>
    <t>Skymaster Excel</t>
  </si>
  <si>
    <t>https://en.wikipedia.org/Skymaster Excel</t>
  </si>
  <si>
    <t>circa 2004</t>
  </si>
  <si>
    <t>https://en.wikipedia.org/at least one prototype</t>
  </si>
  <si>
    <t>Skyway Light</t>
  </si>
  <si>
    <t>The Skyway Light is a German paramotor that was designed and produced by Skyway Products of Ettenheim for powered paragliding. Now out of production, when it was available the aircraft was supplied complete and ready-to-fly.[1] The aircraft was designed to comply with the US FAR 103 Ultralight Vehicles rules as well as European regulations. It features a paraglider-style wing, single-place accommodation and a single 19 hp (14 kW) Skyway T170 engine in pusher configuration with a 2.8:1 ratio reduction drive and a 110 cm (43 in) diameter three-bladed composite propeller. The fuel tank capacity is 11 litres (2.4 imp gal; 2.9 US gal). The aircraft is built from a combination of bolted aluminium and composite material, with the engine mount and fuel tank made from composites.[1] As is the case with all paramotors, take-off and landing is accomplished by foot. Inflight steering is accomplished via handles that actuate the canopy brakes, creating roll and yaw.[1] Data from Bertrand[1]General characteristics</t>
  </si>
  <si>
    <t>Skyway Products</t>
  </si>
  <si>
    <t>https://en.wikipedia.org/Skyway Products</t>
  </si>
  <si>
    <t>17.5 kg (39 lb)</t>
  </si>
  <si>
    <t>1 × Skyway T170 single cylinder, two-stroke, air-cooled aircraft engine, with a 2.8</t>
  </si>
  <si>
    <t>Production completed (2005)</t>
  </si>
  <si>
    <t>11 litres (2.4 imp gal; 2.9 US gal)</t>
  </si>
  <si>
    <t>3-bladed composite, ground adjustable, 1.10 m (3 ft 7 in) diameter</t>
  </si>
  <si>
    <t>Sperwill ST</t>
  </si>
  <si>
    <t>The Sperwill ST is a British paramotor that was designed by Riann Oliver and produced by Sperwill Ltd of Bristol for powered paragliding. Now out of production, when it was available the aircraft was supplied complete and ready-to-fly.[1] The aircraft was designed to comply with the US FAR 103 Ultralight Vehicles rules as well as European regulations. It features a paraglider-style wing, single-place accommodation and a single 24.6 hp (18 kW) Hirth F-33 engine in pusher configuration with a 2.3:1 ratio reduction drive and a three-bladed, fixed-pitch wooden propeller. The fuel tank capacity is 9 litres (2.0 imp gal; 2.4 US gal). The aircraft is built from a combination of bolted aluminium and 4130 steel tubing and dismantles for ground transport.[1] As is the case with all paramotors, take-off and landing is accomplished by foot. Inflight steering is accomplished via handles that actuate the canopy brakes, creating roll and yaw.[1] Data from Bertrand[1]General characteristics</t>
  </si>
  <si>
    <t>Sperwill Ltd</t>
  </si>
  <si>
    <t>https://en.wikipedia.org/Sperwill Ltd</t>
  </si>
  <si>
    <t>Riann Oliver</t>
  </si>
  <si>
    <t>1 × Hirth F-33 single cylinder, two-stroke, air-cooled aircraft engine, with a 2.3</t>
  </si>
  <si>
    <t>3-bladed wooden, fixed-pitch</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</si>
</sst>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 mmmm yyyy"/>
    <numFmt numFmtId="165" formatCode="mmmm yyyy"/>
    <numFmt numFmtId="166" formatCode="mmmm d, yyyy"/>
    <numFmt numFmtId="167" formatCode="yyyy-m"/>
    <numFmt numFmtId="168" formatCode="m-d"/>
    <numFmt numFmtId="169" formatCode="mmm d yyyy"/>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1" numFmtId="168" xfId="0" applyAlignment="1" applyFont="1" applyNumberFormat="1">
      <alignment readingOrder="0"/>
    </xf>
    <xf borderId="0" fillId="0" fontId="1" numFmtId="16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n.wikipedia.org/France" TargetMode="External"/><Relationship Id="rId190" Type="http://schemas.openxmlformats.org/officeDocument/2006/relationships/hyperlink" Target="https://en.wikipedia.org/Autogyro" TargetMode="External"/><Relationship Id="rId42" Type="http://schemas.openxmlformats.org/officeDocument/2006/relationships/hyperlink" Target="https://en.wikipedia.org/Air-Sport" TargetMode="External"/><Relationship Id="rId41" Type="http://schemas.openxmlformats.org/officeDocument/2006/relationships/hyperlink" Target="https://en.wikipedia.org/France" TargetMode="External"/><Relationship Id="rId44" Type="http://schemas.openxmlformats.org/officeDocument/2006/relationships/hyperlink" Target="https://en.wikipedia.org/Poland" TargetMode="External"/><Relationship Id="rId194" Type="http://schemas.openxmlformats.org/officeDocument/2006/relationships/hyperlink" Target="https://en.wikipedia.org/America" TargetMode="External"/><Relationship Id="rId43" Type="http://schemas.openxmlformats.org/officeDocument/2006/relationships/hyperlink" Target="https://en.wikipedia.org/Paraglider" TargetMode="External"/><Relationship Id="rId193" Type="http://schemas.openxmlformats.org/officeDocument/2006/relationships/hyperlink" Target="https://en.wikipedia.org/Curtiss-Wright" TargetMode="External"/><Relationship Id="rId46" Type="http://schemas.openxmlformats.org/officeDocument/2006/relationships/hyperlink" Target="https://en.wikipedia.org/Paraglider" TargetMode="External"/><Relationship Id="rId192" Type="http://schemas.openxmlformats.org/officeDocument/2006/relationships/hyperlink" Target="https://en.wikipedia.org/Missile" TargetMode="External"/><Relationship Id="rId45" Type="http://schemas.openxmlformats.org/officeDocument/2006/relationships/hyperlink" Target="https://en.wikipedia.org/Tupolev" TargetMode="External"/><Relationship Id="rId191" Type="http://schemas.openxmlformats.org/officeDocument/2006/relationships/hyperlink" Target="https://en.wikipedia.org/France" TargetMode="External"/><Relationship Id="rId48" Type="http://schemas.openxmlformats.org/officeDocument/2006/relationships/hyperlink" Target="https://en.wikipedia.org/Aeroprakt" TargetMode="External"/><Relationship Id="rId187" Type="http://schemas.openxmlformats.org/officeDocument/2006/relationships/hyperlink" Target="https://en.wikipedia.org/America" TargetMode="External"/><Relationship Id="rId47" Type="http://schemas.openxmlformats.org/officeDocument/2006/relationships/hyperlink" Target="https://en.wikipedia.org/Israel" TargetMode="External"/><Relationship Id="rId186" Type="http://schemas.openxmlformats.org/officeDocument/2006/relationships/hyperlink" Target="https://en.wikipedia.org/Autogyro" TargetMode="External"/><Relationship Id="rId185" Type="http://schemas.openxmlformats.org/officeDocument/2006/relationships/hyperlink" Target="https://en.wikipedia.org/1936" TargetMode="External"/><Relationship Id="rId49" Type="http://schemas.openxmlformats.org/officeDocument/2006/relationships/hyperlink" Target="https://en.wikipedia.org/Ukraine" TargetMode="External"/><Relationship Id="rId184" Type="http://schemas.openxmlformats.org/officeDocument/2006/relationships/hyperlink" Target="https://en.wikipedia.org/France" TargetMode="External"/><Relationship Id="rId189" Type="http://schemas.openxmlformats.org/officeDocument/2006/relationships/hyperlink" Target="https://en.wikipedia.org/America" TargetMode="External"/><Relationship Id="rId188" Type="http://schemas.openxmlformats.org/officeDocument/2006/relationships/hyperlink" Target="https://en.wikipedia.org/America" TargetMode="External"/><Relationship Id="rId31" Type="http://schemas.openxmlformats.org/officeDocument/2006/relationships/hyperlink" Target="https://en.wikipedia.org/China" TargetMode="External"/><Relationship Id="rId30" Type="http://schemas.openxmlformats.org/officeDocument/2006/relationships/hyperlink" Target="https://en.wikipedia.org/China" TargetMode="External"/><Relationship Id="rId33" Type="http://schemas.openxmlformats.org/officeDocument/2006/relationships/hyperlink" Target="https://en.wikipedia.org/Paramotor" TargetMode="External"/><Relationship Id="rId183" Type="http://schemas.openxmlformats.org/officeDocument/2006/relationships/hyperlink" Target="https://en.wikipedia.org/Germany" TargetMode="External"/><Relationship Id="rId32" Type="http://schemas.openxmlformats.org/officeDocument/2006/relationships/hyperlink" Target="https://en.wikipedia.org/France" TargetMode="External"/><Relationship Id="rId182" Type="http://schemas.openxmlformats.org/officeDocument/2006/relationships/hyperlink" Target="https://en.wikipedia.org/India" TargetMode="External"/><Relationship Id="rId35" Type="http://schemas.openxmlformats.org/officeDocument/2006/relationships/hyperlink" Target="https://en.wikipedia.org/France" TargetMode="External"/><Relationship Id="rId181" Type="http://schemas.openxmlformats.org/officeDocument/2006/relationships/hyperlink" Target="https://en.wikipedia.org/Germany" TargetMode="External"/><Relationship Id="rId34" Type="http://schemas.openxmlformats.org/officeDocument/2006/relationships/hyperlink" Target="https://en.wikipedia.org/Australia" TargetMode="External"/><Relationship Id="rId180" Type="http://schemas.openxmlformats.org/officeDocument/2006/relationships/hyperlink" Target="https://en.wikipedia.org/Germany" TargetMode="External"/><Relationship Id="rId37" Type="http://schemas.openxmlformats.org/officeDocument/2006/relationships/hyperlink" Target="https://en.wikipedia.org/Australia" TargetMode="External"/><Relationship Id="rId176" Type="http://schemas.openxmlformats.org/officeDocument/2006/relationships/hyperlink" Target="https://en.wikipedia.org/Germany" TargetMode="External"/><Relationship Id="rId36" Type="http://schemas.openxmlformats.org/officeDocument/2006/relationships/hyperlink" Target="https://en.wikipedia.org/France" TargetMode="External"/><Relationship Id="rId175" Type="http://schemas.openxmlformats.org/officeDocument/2006/relationships/hyperlink" Target="https://en.wikipedia.org/Autogyro" TargetMode="External"/><Relationship Id="rId39" Type="http://schemas.openxmlformats.org/officeDocument/2006/relationships/hyperlink" Target="https://en.wikipedia.org/Salmson" TargetMode="External"/><Relationship Id="rId174" Type="http://schemas.openxmlformats.org/officeDocument/2006/relationships/hyperlink" Target="https://en.wikipedia.org/Rotortec" TargetMode="External"/><Relationship Id="rId38" Type="http://schemas.openxmlformats.org/officeDocument/2006/relationships/hyperlink" Target="https://en.wikipedia.org/Canada" TargetMode="External"/><Relationship Id="rId173" Type="http://schemas.openxmlformats.org/officeDocument/2006/relationships/hyperlink" Target="https://en.wikipedia.org/Germany" TargetMode="External"/><Relationship Id="rId179" Type="http://schemas.openxmlformats.org/officeDocument/2006/relationships/hyperlink" Target="https://en.wikipedia.org/Canada" TargetMode="External"/><Relationship Id="rId178" Type="http://schemas.openxmlformats.org/officeDocument/2006/relationships/hyperlink" Target="https://en.wikipedia.org/America" TargetMode="External"/><Relationship Id="rId177" Type="http://schemas.openxmlformats.org/officeDocument/2006/relationships/hyperlink" Target="https://en.wikipedia.org/America" TargetMode="External"/><Relationship Id="rId20" Type="http://schemas.openxmlformats.org/officeDocument/2006/relationships/hyperlink" Target="https://en.wikipedia.org/ProFe" TargetMode="External"/><Relationship Id="rId22" Type="http://schemas.openxmlformats.org/officeDocument/2006/relationships/hyperlink" Target="https://en.wikipedia.org/America" TargetMode="External"/><Relationship Id="rId21" Type="http://schemas.openxmlformats.org/officeDocument/2006/relationships/hyperlink" Target="https://en.wikipedia.org/ProFe" TargetMode="External"/><Relationship Id="rId24" Type="http://schemas.openxmlformats.org/officeDocument/2006/relationships/hyperlink" Target="https://en.wikipedia.org/Slovenia" TargetMode="External"/><Relationship Id="rId23" Type="http://schemas.openxmlformats.org/officeDocument/2006/relationships/hyperlink" Target="https://en.wikipedia.org/Pipistrel" TargetMode="External"/><Relationship Id="rId26" Type="http://schemas.openxmlformats.org/officeDocument/2006/relationships/hyperlink" Target="https://en.wikipedia.org/France" TargetMode="External"/><Relationship Id="rId25" Type="http://schemas.openxmlformats.org/officeDocument/2006/relationships/hyperlink" Target="https://en.wikipedia.org/Protoplane" TargetMode="External"/><Relationship Id="rId28" Type="http://schemas.openxmlformats.org/officeDocument/2006/relationships/hyperlink" Target="https://en.wikipedia.org/JSSG" TargetMode="External"/><Relationship Id="rId27" Type="http://schemas.openxmlformats.org/officeDocument/2006/relationships/hyperlink" Target="https://en.wikipedia.org/America" TargetMode="External"/><Relationship Id="rId29" Type="http://schemas.openxmlformats.org/officeDocument/2006/relationships/hyperlink" Target="https://en.wikipedia.org/JSSG" TargetMode="External"/><Relationship Id="rId11" Type="http://schemas.openxmlformats.org/officeDocument/2006/relationships/hyperlink" Target="https://en.wikipedia.org/America" TargetMode="External"/><Relationship Id="rId10" Type="http://schemas.openxmlformats.org/officeDocument/2006/relationships/hyperlink" Target="https://en.wikipedia.org/Italy" TargetMode="External"/><Relationship Id="rId13" Type="http://schemas.openxmlformats.org/officeDocument/2006/relationships/hyperlink" Target="https://en.wikipedia.org/Pro-Composites" TargetMode="External"/><Relationship Id="rId12" Type="http://schemas.openxmlformats.org/officeDocument/2006/relationships/hyperlink" Target="https://en.wikipedia.org/1942" TargetMode="External"/><Relationship Id="rId15" Type="http://schemas.openxmlformats.org/officeDocument/2006/relationships/hyperlink" Target="https://en.wikipedia.org/Pro.Mecc" TargetMode="External"/><Relationship Id="rId198" Type="http://schemas.openxmlformats.org/officeDocument/2006/relationships/hyperlink" Target="https://en.wikipedia.org/Walkerjet" TargetMode="External"/><Relationship Id="rId14" Type="http://schemas.openxmlformats.org/officeDocument/2006/relationships/hyperlink" Target="https://en.wikipedia.org/America" TargetMode="External"/><Relationship Id="rId197" Type="http://schemas.openxmlformats.org/officeDocument/2006/relationships/hyperlink" Target="https://en.wikipedia.org/Sopwith" TargetMode="External"/><Relationship Id="rId17" Type="http://schemas.openxmlformats.org/officeDocument/2006/relationships/hyperlink" Target="https://en.wikipedia.org/Autogyro" TargetMode="External"/><Relationship Id="rId196" Type="http://schemas.openxmlformats.org/officeDocument/2006/relationships/hyperlink" Target="https://en.wikipedia.org/America" TargetMode="External"/><Relationship Id="rId16" Type="http://schemas.openxmlformats.org/officeDocument/2006/relationships/hyperlink" Target="https://en.wikipedia.org/Italy" TargetMode="External"/><Relationship Id="rId195" Type="http://schemas.openxmlformats.org/officeDocument/2006/relationships/hyperlink" Target="https://en.wikipedia.org/Grumman" TargetMode="External"/><Relationship Id="rId19" Type="http://schemas.openxmlformats.org/officeDocument/2006/relationships/hyperlink" Target="https://en.wikipedia.org/1945" TargetMode="External"/><Relationship Id="rId18" Type="http://schemas.openxmlformats.org/officeDocument/2006/relationships/hyperlink" Target="https://en.wikipedia.org/Spain" TargetMode="External"/><Relationship Id="rId199" Type="http://schemas.openxmlformats.org/officeDocument/2006/relationships/hyperlink" Target="https://en.wikipedia.org/Paramotor" TargetMode="External"/><Relationship Id="rId84" Type="http://schemas.openxmlformats.org/officeDocument/2006/relationships/hyperlink" Target="https://en.wikipedia.org/China" TargetMode="External"/><Relationship Id="rId83" Type="http://schemas.openxmlformats.org/officeDocument/2006/relationships/hyperlink" Target="https://en.wikipedia.org/PowerVision" TargetMode="External"/><Relationship Id="rId86" Type="http://schemas.openxmlformats.org/officeDocument/2006/relationships/hyperlink" Target="https://en.wikipedia.org/Air-Sport" TargetMode="External"/><Relationship Id="rId85" Type="http://schemas.openxmlformats.org/officeDocument/2006/relationships/hyperlink" Target="https://en.wikipedia.org/China" TargetMode="External"/><Relationship Id="rId88" Type="http://schemas.openxmlformats.org/officeDocument/2006/relationships/hyperlink" Target="https://en.wikipedia.org/Poland" TargetMode="External"/><Relationship Id="rId150" Type="http://schemas.openxmlformats.org/officeDocument/2006/relationships/hyperlink" Target="https://en.wikipedia.org/America" TargetMode="External"/><Relationship Id="rId87" Type="http://schemas.openxmlformats.org/officeDocument/2006/relationships/hyperlink" Target="https://en.wikipedia.org/Paraglider" TargetMode="External"/><Relationship Id="rId89" Type="http://schemas.openxmlformats.org/officeDocument/2006/relationships/hyperlink" Target="https://en.wikipedia.org/Air-Sport" TargetMode="External"/><Relationship Id="rId80" Type="http://schemas.openxmlformats.org/officeDocument/2006/relationships/hyperlink" Target="https://en.wikipedia.org/Boeing" TargetMode="External"/><Relationship Id="rId82" Type="http://schemas.openxmlformats.org/officeDocument/2006/relationships/hyperlink" Target="https://en.wikipedia.org/PowerVision" TargetMode="External"/><Relationship Id="rId81" Type="http://schemas.openxmlformats.org/officeDocument/2006/relationships/hyperlink" Target="https://en.wikipedia.org/America" TargetMode="External"/><Relationship Id="rId1" Type="http://schemas.openxmlformats.org/officeDocument/2006/relationships/hyperlink" Target="https://en.wikipedia.org/Homebuilt" TargetMode="External"/><Relationship Id="rId2" Type="http://schemas.openxmlformats.org/officeDocument/2006/relationships/hyperlink" Target="https://en.wikipedia.org/Germany" TargetMode="External"/><Relationship Id="rId3" Type="http://schemas.openxmlformats.org/officeDocument/2006/relationships/hyperlink" Target="https://en.wikipedia.org/America" TargetMode="External"/><Relationship Id="rId149" Type="http://schemas.openxmlformats.org/officeDocument/2006/relationships/hyperlink" Target="https://en.wikipedia.org/America" TargetMode="External"/><Relationship Id="rId4" Type="http://schemas.openxmlformats.org/officeDocument/2006/relationships/hyperlink" Target="https://en.wikipedia.org/Germany" TargetMode="External"/><Relationship Id="rId148" Type="http://schemas.openxmlformats.org/officeDocument/2006/relationships/hyperlink" Target="https://en.wikipedia.org/1957" TargetMode="External"/><Relationship Id="rId9" Type="http://schemas.openxmlformats.org/officeDocument/2006/relationships/hyperlink" Target="https://en.wikipedia.org/Pro.Mecc" TargetMode="External"/><Relationship Id="rId143" Type="http://schemas.openxmlformats.org/officeDocument/2006/relationships/hyperlink" Target="https://en.wikipedia.org/America" TargetMode="External"/><Relationship Id="rId142" Type="http://schemas.openxmlformats.org/officeDocument/2006/relationships/hyperlink" Target="https://en.wikipedia.org/America" TargetMode="External"/><Relationship Id="rId141" Type="http://schemas.openxmlformats.org/officeDocument/2006/relationships/hyperlink" Target="https://en.wikipedia.org/Swallow" TargetMode="External"/><Relationship Id="rId140" Type="http://schemas.openxmlformats.org/officeDocument/2006/relationships/hyperlink" Target="https://en.wikipedia.org/America" TargetMode="External"/><Relationship Id="rId5" Type="http://schemas.openxmlformats.org/officeDocument/2006/relationships/hyperlink" Target="https://en.wikipedia.org/Sweden" TargetMode="External"/><Relationship Id="rId147" Type="http://schemas.openxmlformats.org/officeDocument/2006/relationships/hyperlink" Target="https://en.wikipedia.org/Homebuilt" TargetMode="External"/><Relationship Id="rId6" Type="http://schemas.openxmlformats.org/officeDocument/2006/relationships/hyperlink" Target="https://en.wikipedia.org/Homebuilt" TargetMode="External"/><Relationship Id="rId146" Type="http://schemas.openxmlformats.org/officeDocument/2006/relationships/hyperlink" Target="https://en.wikipedia.org/America" TargetMode="External"/><Relationship Id="rId7" Type="http://schemas.openxmlformats.org/officeDocument/2006/relationships/hyperlink" Target="https://en.wikipedia.org/America" TargetMode="External"/><Relationship Id="rId145" Type="http://schemas.openxmlformats.org/officeDocument/2006/relationships/hyperlink" Target="https://en.wikipedia.org/America" TargetMode="External"/><Relationship Id="rId8" Type="http://schemas.openxmlformats.org/officeDocument/2006/relationships/hyperlink" Target="https://en.wikipedia.org/America" TargetMode="External"/><Relationship Id="rId144" Type="http://schemas.openxmlformats.org/officeDocument/2006/relationships/hyperlink" Target="https://en.wikipedia.org/America" TargetMode="External"/><Relationship Id="rId73" Type="http://schemas.openxmlformats.org/officeDocument/2006/relationships/hyperlink" Target="https://en.wikipedia.org/Indonesia" TargetMode="External"/><Relationship Id="rId72" Type="http://schemas.openxmlformats.org/officeDocument/2006/relationships/hyperlink" Target="https://en.wikipedia.org/Autogyro" TargetMode="External"/><Relationship Id="rId75" Type="http://schemas.openxmlformats.org/officeDocument/2006/relationships/hyperlink" Target="https://en.wikipedia.org/Supermarine" TargetMode="External"/><Relationship Id="rId74" Type="http://schemas.openxmlformats.org/officeDocument/2006/relationships/hyperlink" Target="https://en.wikipedia.org/France" TargetMode="External"/><Relationship Id="rId77" Type="http://schemas.openxmlformats.org/officeDocument/2006/relationships/hyperlink" Target="https://en.wikipedia.org/France" TargetMode="External"/><Relationship Id="rId76" Type="http://schemas.openxmlformats.org/officeDocument/2006/relationships/hyperlink" Target="https://en.wikipedia.org/Fighter" TargetMode="External"/><Relationship Id="rId79" Type="http://schemas.openxmlformats.org/officeDocument/2006/relationships/hyperlink" Target="https://en.wikipedia.org/Australia" TargetMode="External"/><Relationship Id="rId78" Type="http://schemas.openxmlformats.org/officeDocument/2006/relationships/hyperlink" Target="https://en.wikipedia.org/America" TargetMode="External"/><Relationship Id="rId71" Type="http://schemas.openxmlformats.org/officeDocument/2006/relationships/hyperlink" Target="https://en.wikipedia.org/Canada" TargetMode="External"/><Relationship Id="rId70" Type="http://schemas.openxmlformats.org/officeDocument/2006/relationships/hyperlink" Target="https://en.wikipedia.org/Canada" TargetMode="External"/><Relationship Id="rId139" Type="http://schemas.openxmlformats.org/officeDocument/2006/relationships/hyperlink" Target="https://en.wikipedia.org/America" TargetMode="External"/><Relationship Id="rId138" Type="http://schemas.openxmlformats.org/officeDocument/2006/relationships/hyperlink" Target="https://en.wikipedia.org/Germany" TargetMode="External"/><Relationship Id="rId137" Type="http://schemas.openxmlformats.org/officeDocument/2006/relationships/hyperlink" Target="https://en.wikipedia.org/America" TargetMode="External"/><Relationship Id="rId132" Type="http://schemas.openxmlformats.org/officeDocument/2006/relationships/hyperlink" Target="https://en.wikipedia.org/America" TargetMode="External"/><Relationship Id="rId131" Type="http://schemas.openxmlformats.org/officeDocument/2006/relationships/hyperlink" Target="https://en.wikipedia.org/America" TargetMode="External"/><Relationship Id="rId130" Type="http://schemas.openxmlformats.org/officeDocument/2006/relationships/hyperlink" Target="https://en.wikipedia.org/America" TargetMode="External"/><Relationship Id="rId136" Type="http://schemas.openxmlformats.org/officeDocument/2006/relationships/hyperlink" Target="https://en.wikipedia.org/America" TargetMode="External"/><Relationship Id="rId135" Type="http://schemas.openxmlformats.org/officeDocument/2006/relationships/hyperlink" Target="https://en.wikipedia.org/America" TargetMode="External"/><Relationship Id="rId134" Type="http://schemas.openxmlformats.org/officeDocument/2006/relationships/hyperlink" Target="https://en.wikipedia.org/America" TargetMode="External"/><Relationship Id="rId133" Type="http://schemas.openxmlformats.org/officeDocument/2006/relationships/hyperlink" Target="https://en.wikipedia.org/America" TargetMode="External"/><Relationship Id="rId62" Type="http://schemas.openxmlformats.org/officeDocument/2006/relationships/hyperlink" Target="https://en.wikipedia.org/Canada" TargetMode="External"/><Relationship Id="rId61" Type="http://schemas.openxmlformats.org/officeDocument/2006/relationships/hyperlink" Target="https://en.wikipedia.org/Paramotor" TargetMode="External"/><Relationship Id="rId64" Type="http://schemas.openxmlformats.org/officeDocument/2006/relationships/hyperlink" Target="https://en.wikipedia.org/China" TargetMode="External"/><Relationship Id="rId63" Type="http://schemas.openxmlformats.org/officeDocument/2006/relationships/hyperlink" Target="https://en.wikipedia.org/China" TargetMode="External"/><Relationship Id="rId66" Type="http://schemas.openxmlformats.org/officeDocument/2006/relationships/hyperlink" Target="https://en.wikipedia.org/America" TargetMode="External"/><Relationship Id="rId172" Type="http://schemas.openxmlformats.org/officeDocument/2006/relationships/hyperlink" Target="https://en.wikipedia.org/Autogyro" TargetMode="External"/><Relationship Id="rId65" Type="http://schemas.openxmlformats.org/officeDocument/2006/relationships/hyperlink" Target="https://en.wikipedia.org/Germany" TargetMode="External"/><Relationship Id="rId171" Type="http://schemas.openxmlformats.org/officeDocument/2006/relationships/hyperlink" Target="https://en.wikipedia.org/Rotortec" TargetMode="External"/><Relationship Id="rId68" Type="http://schemas.openxmlformats.org/officeDocument/2006/relationships/hyperlink" Target="https://en.wikipedia.org/Australia" TargetMode="External"/><Relationship Id="rId170" Type="http://schemas.openxmlformats.org/officeDocument/2006/relationships/hyperlink" Target="https://en.wikipedia.org/Germany" TargetMode="External"/><Relationship Id="rId67" Type="http://schemas.openxmlformats.org/officeDocument/2006/relationships/hyperlink" Target="https://en.wikipedia.org/America" TargetMode="External"/><Relationship Id="rId60" Type="http://schemas.openxmlformats.org/officeDocument/2006/relationships/hyperlink" Target="https://en.wikipedia.org/Paratour" TargetMode="External"/><Relationship Id="rId165" Type="http://schemas.openxmlformats.org/officeDocument/2006/relationships/hyperlink" Target="https://en.wikipedia.org/America" TargetMode="External"/><Relationship Id="rId69" Type="http://schemas.openxmlformats.org/officeDocument/2006/relationships/hyperlink" Target="https://en.wikipedia.org/Australia" TargetMode="External"/><Relationship Id="rId164" Type="http://schemas.openxmlformats.org/officeDocument/2006/relationships/hyperlink" Target="https://en.wikipedia.org/America" TargetMode="External"/><Relationship Id="rId163" Type="http://schemas.openxmlformats.org/officeDocument/2006/relationships/hyperlink" Target="https://en.wikipedia.org/America" TargetMode="External"/><Relationship Id="rId162" Type="http://schemas.openxmlformats.org/officeDocument/2006/relationships/hyperlink" Target="https://en.wikipedia.org/America" TargetMode="External"/><Relationship Id="rId169" Type="http://schemas.openxmlformats.org/officeDocument/2006/relationships/hyperlink" Target="https://en.wikipedia.org/America" TargetMode="External"/><Relationship Id="rId168" Type="http://schemas.openxmlformats.org/officeDocument/2006/relationships/hyperlink" Target="https://en.wikipedia.org/America" TargetMode="External"/><Relationship Id="rId167" Type="http://schemas.openxmlformats.org/officeDocument/2006/relationships/hyperlink" Target="https://en.wikipedia.org/America" TargetMode="External"/><Relationship Id="rId166" Type="http://schemas.openxmlformats.org/officeDocument/2006/relationships/hyperlink" Target="https://en.wikipedia.org/America" TargetMode="External"/><Relationship Id="rId51" Type="http://schemas.openxmlformats.org/officeDocument/2006/relationships/hyperlink" Target="https://en.wikipedia.org/BMP" TargetMode="External"/><Relationship Id="rId50" Type="http://schemas.openxmlformats.org/officeDocument/2006/relationships/hyperlink" Target="https://en.wikipedia.org/BMP" TargetMode="External"/><Relationship Id="rId53" Type="http://schemas.openxmlformats.org/officeDocument/2006/relationships/hyperlink" Target="https://en.wikipedia.org/China" TargetMode="External"/><Relationship Id="rId52" Type="http://schemas.openxmlformats.org/officeDocument/2006/relationships/hyperlink" Target="https://en.wikipedia.org/China" TargetMode="External"/><Relationship Id="rId55" Type="http://schemas.openxmlformats.org/officeDocument/2006/relationships/hyperlink" Target="https://en.wikipedia.org/China" TargetMode="External"/><Relationship Id="rId161" Type="http://schemas.openxmlformats.org/officeDocument/2006/relationships/hyperlink" Target="https://en.wikipedia.org/Ukraine" TargetMode="External"/><Relationship Id="rId54" Type="http://schemas.openxmlformats.org/officeDocument/2006/relationships/hyperlink" Target="https://en.wikipedia.org/China" TargetMode="External"/><Relationship Id="rId160" Type="http://schemas.openxmlformats.org/officeDocument/2006/relationships/hyperlink" Target="https://en.wikipedia.org/Ultralight" TargetMode="External"/><Relationship Id="rId57" Type="http://schemas.openxmlformats.org/officeDocument/2006/relationships/hyperlink" Target="https://en.wikipedia.org/France" TargetMode="External"/><Relationship Id="rId56" Type="http://schemas.openxmlformats.org/officeDocument/2006/relationships/hyperlink" Target="https://en.wikipedia.org/France" TargetMode="External"/><Relationship Id="rId159" Type="http://schemas.openxmlformats.org/officeDocument/2006/relationships/hyperlink" Target="https://en.wikipedia.org/America" TargetMode="External"/><Relationship Id="rId59" Type="http://schemas.openxmlformats.org/officeDocument/2006/relationships/hyperlink" Target="https://en.wikipedia.org/Australia" TargetMode="External"/><Relationship Id="rId154" Type="http://schemas.openxmlformats.org/officeDocument/2006/relationships/hyperlink" Target="https://en.wikipedia.org/Homebuilt" TargetMode="External"/><Relationship Id="rId58" Type="http://schemas.openxmlformats.org/officeDocument/2006/relationships/hyperlink" Target="https://en.wikipedia.org/homebuilt" TargetMode="External"/><Relationship Id="rId153" Type="http://schemas.openxmlformats.org/officeDocument/2006/relationships/hyperlink" Target="https://en.wikipedia.org/nVAero" TargetMode="External"/><Relationship Id="rId152" Type="http://schemas.openxmlformats.org/officeDocument/2006/relationships/hyperlink" Target="https://en.wikipedia.org/America" TargetMode="External"/><Relationship Id="rId151" Type="http://schemas.openxmlformats.org/officeDocument/2006/relationships/hyperlink" Target="https://en.wikipedia.org/America" TargetMode="External"/><Relationship Id="rId158" Type="http://schemas.openxmlformats.org/officeDocument/2006/relationships/hyperlink" Target="https://en.wikipedia.org/America" TargetMode="External"/><Relationship Id="rId157" Type="http://schemas.openxmlformats.org/officeDocument/2006/relationships/hyperlink" Target="https://en.wikipedia.org/Germany" TargetMode="External"/><Relationship Id="rId156" Type="http://schemas.openxmlformats.org/officeDocument/2006/relationships/hyperlink" Target="https://en.wikipedia.org/Autogyro" TargetMode="External"/><Relationship Id="rId155" Type="http://schemas.openxmlformats.org/officeDocument/2006/relationships/hyperlink" Target="https://en.wikipedia.org/Rotortec" TargetMode="External"/><Relationship Id="rId107" Type="http://schemas.openxmlformats.org/officeDocument/2006/relationships/hyperlink" Target="https://en.wikipedia.org/America" TargetMode="External"/><Relationship Id="rId106" Type="http://schemas.openxmlformats.org/officeDocument/2006/relationships/hyperlink" Target="https://en.wikipedia.org/America" TargetMode="External"/><Relationship Id="rId105" Type="http://schemas.openxmlformats.org/officeDocument/2006/relationships/hyperlink" Target="https://en.wikipedia.org/America" TargetMode="External"/><Relationship Id="rId104" Type="http://schemas.openxmlformats.org/officeDocument/2006/relationships/hyperlink" Target="https://en.wikipedia.org/America" TargetMode="External"/><Relationship Id="rId109" Type="http://schemas.openxmlformats.org/officeDocument/2006/relationships/hyperlink" Target="https://en.wikipedia.org/America" TargetMode="External"/><Relationship Id="rId108" Type="http://schemas.openxmlformats.org/officeDocument/2006/relationships/hyperlink" Target="https://en.wikipedia.org/America" TargetMode="External"/><Relationship Id="rId103" Type="http://schemas.openxmlformats.org/officeDocument/2006/relationships/hyperlink" Target="https://en.wikipedia.org/France" TargetMode="External"/><Relationship Id="rId102" Type="http://schemas.openxmlformats.org/officeDocument/2006/relationships/hyperlink" Target="https://en.wikipedia.org/Canada" TargetMode="External"/><Relationship Id="rId101" Type="http://schemas.openxmlformats.org/officeDocument/2006/relationships/hyperlink" Target="https://en.wikipedia.org/Para-Ski" TargetMode="External"/><Relationship Id="rId100" Type="http://schemas.openxmlformats.org/officeDocument/2006/relationships/hyperlink" Target="https://en.wikipedia.org/America" TargetMode="External"/><Relationship Id="rId217" Type="http://schemas.openxmlformats.org/officeDocument/2006/relationships/hyperlink" Target="https://en.wikipedia.org/France" TargetMode="External"/><Relationship Id="rId216" Type="http://schemas.openxmlformats.org/officeDocument/2006/relationships/hyperlink" Target="https://en.wikipedia.org/Paramotor" TargetMode="External"/><Relationship Id="rId215" Type="http://schemas.openxmlformats.org/officeDocument/2006/relationships/hyperlink" Target="https://en.wikipedia.org/America" TargetMode="External"/><Relationship Id="rId214" Type="http://schemas.openxmlformats.org/officeDocument/2006/relationships/hyperlink" Target="https://en.wikipedia.org/Paramotor" TargetMode="External"/><Relationship Id="rId219" Type="http://schemas.openxmlformats.org/officeDocument/2006/relationships/drawing" Target="../drawings/drawing1.xml"/><Relationship Id="rId218" Type="http://schemas.openxmlformats.org/officeDocument/2006/relationships/hyperlink" Target="https://en.wikipedia.org/Paramotor" TargetMode="External"/><Relationship Id="rId213" Type="http://schemas.openxmlformats.org/officeDocument/2006/relationships/hyperlink" Target="https://en.wikipedia.org/France" TargetMode="External"/><Relationship Id="rId212" Type="http://schemas.openxmlformats.org/officeDocument/2006/relationships/hyperlink" Target="https://en.wikipedia.org/Paramotor" TargetMode="External"/><Relationship Id="rId211" Type="http://schemas.openxmlformats.org/officeDocument/2006/relationships/hyperlink" Target="https://en.wikipedia.org/Germany" TargetMode="External"/><Relationship Id="rId210" Type="http://schemas.openxmlformats.org/officeDocument/2006/relationships/hyperlink" Target="https://en.wikipedia.org/Paramotor" TargetMode="External"/><Relationship Id="rId129" Type="http://schemas.openxmlformats.org/officeDocument/2006/relationships/hyperlink" Target="https://en.wikipedia.org/America" TargetMode="External"/><Relationship Id="rId128" Type="http://schemas.openxmlformats.org/officeDocument/2006/relationships/hyperlink" Target="https://en.wikipedia.org/America" TargetMode="External"/><Relationship Id="rId127" Type="http://schemas.openxmlformats.org/officeDocument/2006/relationships/hyperlink" Target="https://en.wikipedia.org/America" TargetMode="External"/><Relationship Id="rId126" Type="http://schemas.openxmlformats.org/officeDocument/2006/relationships/hyperlink" Target="https://en.wikipedia.org/America" TargetMode="External"/><Relationship Id="rId121" Type="http://schemas.openxmlformats.org/officeDocument/2006/relationships/hyperlink" Target="https://en.wikipedia.org/America" TargetMode="External"/><Relationship Id="rId120" Type="http://schemas.openxmlformats.org/officeDocument/2006/relationships/hyperlink" Target="https://en.wikipedia.org/America" TargetMode="External"/><Relationship Id="rId125" Type="http://schemas.openxmlformats.org/officeDocument/2006/relationships/hyperlink" Target="https://en.wikipedia.org/America" TargetMode="External"/><Relationship Id="rId124" Type="http://schemas.openxmlformats.org/officeDocument/2006/relationships/hyperlink" Target="https://en.wikipedia.org/America" TargetMode="External"/><Relationship Id="rId123" Type="http://schemas.openxmlformats.org/officeDocument/2006/relationships/hyperlink" Target="https://en.wikipedia.org/America" TargetMode="External"/><Relationship Id="rId122" Type="http://schemas.openxmlformats.org/officeDocument/2006/relationships/hyperlink" Target="https://en.wikipedia.org/America" TargetMode="External"/><Relationship Id="rId95" Type="http://schemas.openxmlformats.org/officeDocument/2006/relationships/hyperlink" Target="https://en.wikipedia.org/Poland" TargetMode="External"/><Relationship Id="rId94" Type="http://schemas.openxmlformats.org/officeDocument/2006/relationships/hyperlink" Target="https://en.wikipedia.org/Paramotor" TargetMode="External"/><Relationship Id="rId97" Type="http://schemas.openxmlformats.org/officeDocument/2006/relationships/hyperlink" Target="https://en.wikipedia.org/Paramotor" TargetMode="External"/><Relationship Id="rId96" Type="http://schemas.openxmlformats.org/officeDocument/2006/relationships/hyperlink" Target="https://en.wikipedia.org/Parapower" TargetMode="External"/><Relationship Id="rId99" Type="http://schemas.openxmlformats.org/officeDocument/2006/relationships/hyperlink" Target="https://en.wikipedia.org/Counter-insurgency" TargetMode="External"/><Relationship Id="rId98" Type="http://schemas.openxmlformats.org/officeDocument/2006/relationships/hyperlink" Target="https://en.wikipedia.org/Poland" TargetMode="External"/><Relationship Id="rId91" Type="http://schemas.openxmlformats.org/officeDocument/2006/relationships/hyperlink" Target="https://en.wikipedia.org/Poland" TargetMode="External"/><Relationship Id="rId90" Type="http://schemas.openxmlformats.org/officeDocument/2006/relationships/hyperlink" Target="https://en.wikipedia.org/Paraglider" TargetMode="External"/><Relationship Id="rId93" Type="http://schemas.openxmlformats.org/officeDocument/2006/relationships/hyperlink" Target="https://en.wikipedia.org/Poland" TargetMode="External"/><Relationship Id="rId92" Type="http://schemas.openxmlformats.org/officeDocument/2006/relationships/hyperlink" Target="https://en.wikipedia.org/Paramotor" TargetMode="External"/><Relationship Id="rId118" Type="http://schemas.openxmlformats.org/officeDocument/2006/relationships/hyperlink" Target="https://en.wikipedia.org/America" TargetMode="External"/><Relationship Id="rId117" Type="http://schemas.openxmlformats.org/officeDocument/2006/relationships/hyperlink" Target="https://en.wikipedia.org/America" TargetMode="External"/><Relationship Id="rId116" Type="http://schemas.openxmlformats.org/officeDocument/2006/relationships/hyperlink" Target="https://en.wikipedia.org/1969" TargetMode="External"/><Relationship Id="rId115" Type="http://schemas.openxmlformats.org/officeDocument/2006/relationships/hyperlink" Target="https://en.wikipedia.org/France" TargetMode="External"/><Relationship Id="rId119" Type="http://schemas.openxmlformats.org/officeDocument/2006/relationships/hyperlink" Target="https://en.wikipedia.org/America" TargetMode="External"/><Relationship Id="rId110" Type="http://schemas.openxmlformats.org/officeDocument/2006/relationships/hyperlink" Target="https://en.wikipedia.org/America" TargetMode="External"/><Relationship Id="rId114" Type="http://schemas.openxmlformats.org/officeDocument/2006/relationships/hyperlink" Target="https://en.wikipedia.org/America" TargetMode="External"/><Relationship Id="rId113" Type="http://schemas.openxmlformats.org/officeDocument/2006/relationships/hyperlink" Target="https://en.wikipedia.org/Mini-MAX" TargetMode="External"/><Relationship Id="rId112" Type="http://schemas.openxmlformats.org/officeDocument/2006/relationships/hyperlink" Target="https://en.wikipedia.org/America" TargetMode="External"/><Relationship Id="rId111" Type="http://schemas.openxmlformats.org/officeDocument/2006/relationships/hyperlink" Target="https://en.wikipedia.org/America" TargetMode="External"/><Relationship Id="rId206" Type="http://schemas.openxmlformats.org/officeDocument/2006/relationships/hyperlink" Target="https://en.wikipedia.org/Paramotor" TargetMode="External"/><Relationship Id="rId205" Type="http://schemas.openxmlformats.org/officeDocument/2006/relationships/hyperlink" Target="https://en.wikipedia.org/America" TargetMode="External"/><Relationship Id="rId204" Type="http://schemas.openxmlformats.org/officeDocument/2006/relationships/hyperlink" Target="https://en.wikipedia.org/Germany" TargetMode="External"/><Relationship Id="rId203" Type="http://schemas.openxmlformats.org/officeDocument/2006/relationships/hyperlink" Target="https://en.wikipedia.org/Paramotor" TargetMode="External"/><Relationship Id="rId209" Type="http://schemas.openxmlformats.org/officeDocument/2006/relationships/hyperlink" Target="https://en.wikipedia.org/Italy" TargetMode="External"/><Relationship Id="rId208" Type="http://schemas.openxmlformats.org/officeDocument/2006/relationships/hyperlink" Target="https://en.wikipedia.org/Paramotor" TargetMode="External"/><Relationship Id="rId207" Type="http://schemas.openxmlformats.org/officeDocument/2006/relationships/hyperlink" Target="https://en.wikipedia.org/France" TargetMode="External"/><Relationship Id="rId202" Type="http://schemas.openxmlformats.org/officeDocument/2006/relationships/hyperlink" Target="https://en.wikipedia.org/France" TargetMode="External"/><Relationship Id="rId201" Type="http://schemas.openxmlformats.org/officeDocument/2006/relationships/hyperlink" Target="https://en.wikipedia.org/Paramotor" TargetMode="External"/><Relationship Id="rId200" Type="http://schemas.openxmlformats.org/officeDocument/2006/relationships/hyperlink" Target="https://en.wikipedia.org/Ital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tr">
        <f>IFERROR(__xludf.DUMMYFUNCTION("GOOGLETRANSLATE(A:A, ""en"", ""te"")"),"పేరు")</f>
        <v>పేరు</v>
      </c>
      <c r="C1" s="1" t="s">
        <v>1</v>
      </c>
      <c r="D1" s="1" t="str">
        <f>IFERROR(__xludf.DUMMYFUNCTION("GOOGLETRANSLATE(C:C, ""en"", ""te"")"),"వివరణ")</f>
        <v>వివరణ</v>
      </c>
      <c r="E1" s="1" t="s">
        <v>2</v>
      </c>
      <c r="F1" s="1" t="str">
        <f>IFERROR(__xludf.DUMMYFUNCTION("GOOGLETRANSLATE(E:E, ""en"", ""te"")"),"పాత్ర")</f>
        <v>పాత్ర</v>
      </c>
      <c r="G1" s="1" t="s">
        <v>3</v>
      </c>
      <c r="H1" s="1" t="str">
        <f>IFERROR(__xludf.DUMMYFUNCTION("GOOGLETRANSLATE(G:G, ""en"", ""te"")"),"జాతీయ మూలం")</f>
        <v>జాతీయ మూలం</v>
      </c>
      <c r="I1" s="1" t="s">
        <v>4</v>
      </c>
      <c r="J1" s="1" t="str">
        <f>IFERROR(__xludf.DUMMYFUNCTION("GOOGLETRANSLATE(I:I, ""en"", ""te"")"),"తయారీదారు")</f>
        <v>తయారీదారు</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c r="AO1" s="1" t="s">
        <v>35</v>
      </c>
      <c r="AP1" s="1" t="s">
        <v>36</v>
      </c>
      <c r="AQ1" s="1" t="s">
        <v>37</v>
      </c>
      <c r="AR1" s="1" t="s">
        <v>38</v>
      </c>
      <c r="AS1" s="1" t="s">
        <v>39</v>
      </c>
      <c r="AT1" s="1" t="s">
        <v>40</v>
      </c>
      <c r="AU1" s="1" t="s">
        <v>41</v>
      </c>
      <c r="AV1" s="1" t="s">
        <v>42</v>
      </c>
      <c r="AW1" s="1" t="s">
        <v>43</v>
      </c>
      <c r="AX1" s="1" t="s">
        <v>44</v>
      </c>
      <c r="AY1" s="1" t="s">
        <v>45</v>
      </c>
      <c r="AZ1" s="1" t="s">
        <v>46</v>
      </c>
      <c r="BA1" s="1" t="s">
        <v>47</v>
      </c>
      <c r="BB1" s="1" t="s">
        <v>48</v>
      </c>
      <c r="BC1" s="1" t="s">
        <v>49</v>
      </c>
      <c r="BD1" s="1" t="s">
        <v>50</v>
      </c>
      <c r="BE1" s="1" t="s">
        <v>51</v>
      </c>
      <c r="BF1" s="1" t="s">
        <v>52</v>
      </c>
      <c r="BG1" s="1" t="s">
        <v>53</v>
      </c>
      <c r="BH1" s="1" t="s">
        <v>54</v>
      </c>
      <c r="BI1" s="1" t="s">
        <v>55</v>
      </c>
      <c r="BJ1" s="1" t="s">
        <v>56</v>
      </c>
      <c r="BK1" s="1" t="s">
        <v>57</v>
      </c>
      <c r="BL1" s="1" t="s">
        <v>58</v>
      </c>
      <c r="BM1" s="1" t="s">
        <v>59</v>
      </c>
      <c r="BN1" s="1" t="s">
        <v>60</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c r="CY1" s="1" t="s">
        <v>97</v>
      </c>
      <c r="CZ1" s="1" t="s">
        <v>98</v>
      </c>
      <c r="DA1" s="1" t="s">
        <v>99</v>
      </c>
      <c r="DB1" s="1" t="s">
        <v>100</v>
      </c>
      <c r="DC1" s="1" t="s">
        <v>101</v>
      </c>
      <c r="DD1" s="1" t="s">
        <v>102</v>
      </c>
      <c r="DE1" s="1" t="s">
        <v>103</v>
      </c>
      <c r="DF1" s="1" t="s">
        <v>104</v>
      </c>
      <c r="DG1" s="1" t="s">
        <v>105</v>
      </c>
      <c r="DH1" s="1" t="s">
        <v>106</v>
      </c>
      <c r="DI1" s="1" t="s">
        <v>107</v>
      </c>
      <c r="DJ1" s="1" t="s">
        <v>108</v>
      </c>
      <c r="DK1" s="1" t="s">
        <v>109</v>
      </c>
    </row>
    <row r="2">
      <c r="A2" s="1" t="s">
        <v>110</v>
      </c>
      <c r="B2" s="1" t="str">
        <f>IFERROR(__xludf.DUMMYFUNCTION("GOOGLETRANSLATE(A:A, ""en"", ""te"")"),"పైల్ పినోచియో II")</f>
        <v>పైల్ పినోచియో II</v>
      </c>
      <c r="C2" s="1" t="s">
        <v>111</v>
      </c>
      <c r="D2" s="1" t="str">
        <f>IFERROR(__xludf.DUMMYFUNCTION("GOOGLETRANSLATE(C:C, ""en"", ""te"")"),"పైల్ సిపి .90 పినోచియో II అనేది సింగిల్-సీట్, సింగిల్-ఇంజిన్ ఏరోబాటిక్ స్పోర్ట్ విమానం ఫ్రాన్స్‌లో అభివృద్ధి చేయబడింది మరియు హోమ్‌బిల్డింగ్ కోసం విక్రయించబడింది. [1] ఈ డిజైన్ పీల్ యొక్క ఎమెరాడ్ [2] పై ఆధారపడింది మరియు పైల్ యొక్క మొట్టమొదటి డిజైన్‌తో పినోచ"&amp;"ియో, సిపి .10 మరియు పరోక్షంగా రెండవ, సిపి .20 తో సంబంధం లేదు. ఇది ఒక కాంటిలివర్, సాంప్రదాయిక రూపకల్పన యొక్క తక్కువ-వింగ్ మోనోప్లేన్, పరివేష్టిత కాక్‌పిట్ మరియు స్థిర, టెయిల్‌వీల్ అండర్ క్యారేజీ. [2] నిర్మాణం అంతటా చెక్కతో ఉంది. [2] [3] పైల్ 1965 లో డిజైన్"&amp;"‌పై పనిని ప్రారంభించినప్పటికీ, [4] మొదటి ఉదాహరణ 1986 వరకు ఎగరలేదు. [3] జేన్ యొక్క ఆల్ ది వరల్డ్ విమానాల నుండి డేటా 1977-78, పే .496-97 జనరల్ లక్షణాల పనితీరు")</f>
        <v>పైల్ సిపి .90 పినోచియో II అనేది సింగిల్-సీట్, సింగిల్-ఇంజిన్ ఏరోబాటిక్ స్పోర్ట్ విమానం ఫ్రాన్స్‌లో అభివృద్ధి చేయబడింది మరియు హోమ్‌బిల్డింగ్ కోసం విక్రయించబడింది. [1] ఈ డిజైన్ పీల్ యొక్క ఎమెరాడ్ [2] పై ఆధారపడింది మరియు పైల్ యొక్క మొట్టమొదటి డిజైన్‌తో పినోచియో, సిపి .10 మరియు పరోక్షంగా రెండవ, సిపి .20 తో సంబంధం లేదు. ఇది ఒక కాంటిలివర్, సాంప్రదాయిక రూపకల్పన యొక్క తక్కువ-వింగ్ మోనోప్లేన్, పరివేష్టిత కాక్‌పిట్ మరియు స్థిర, టెయిల్‌వీల్ అండర్ క్యారేజీ. [2] నిర్మాణం అంతటా చెక్కతో ఉంది. [2] [3] పైల్ 1965 లో డిజైన్‌పై పనిని ప్రారంభించినప్పటికీ, [4] మొదటి ఉదాహరణ 1986 వరకు ఎగరలేదు. [3] జేన్ యొక్క ఆల్ ది వరల్డ్ విమానాల నుండి డేటా 1977-78, పే .496-97 జనరల్ లక్షణాల పనితీరు</v>
      </c>
      <c r="E2" s="1" t="s">
        <v>112</v>
      </c>
      <c r="F2" s="1" t="str">
        <f>IFERROR(__xludf.DUMMYFUNCTION("GOOGLETRANSLATE(E:E, ""en"", ""te"")"),"ఏరోబాటిక్ స్పోర్ట్ విమానం")</f>
        <v>ఏరోబాటిక్ స్పోర్ట్ విమానం</v>
      </c>
      <c r="G2" s="1" t="s">
        <v>113</v>
      </c>
      <c r="H2" s="1" t="str">
        <f>IFERROR(__xludf.DUMMYFUNCTION("GOOGLETRANSLATE(G:G, ""en"", ""te"")"),"ఫ్రాన్స్")</f>
        <v>ఫ్రాన్స్</v>
      </c>
      <c r="I2" s="1" t="s">
        <v>114</v>
      </c>
      <c r="J2" s="1" t="str">
        <f>IFERROR(__xludf.DUMMYFUNCTION("GOOGLETRANSLATE(I:I, ""en"", ""te"")"),"హోమ్‌బిల్ట్")</f>
        <v>హోమ్‌బిల్ట్</v>
      </c>
      <c r="K2" s="2" t="s">
        <v>115</v>
      </c>
      <c r="L2" s="1" t="s">
        <v>116</v>
      </c>
      <c r="M2" s="1" t="s">
        <v>117</v>
      </c>
      <c r="N2" s="3">
        <v>31651.0</v>
      </c>
      <c r="O2" s="1" t="s">
        <v>118</v>
      </c>
      <c r="P2" s="1" t="s">
        <v>119</v>
      </c>
      <c r="Q2" s="1" t="s">
        <v>120</v>
      </c>
      <c r="R2" s="1" t="s">
        <v>121</v>
      </c>
      <c r="S2" s="1" t="s">
        <v>122</v>
      </c>
      <c r="T2" s="1" t="s">
        <v>123</v>
      </c>
      <c r="U2" s="1" t="s">
        <v>124</v>
      </c>
      <c r="V2" s="1" t="s">
        <v>125</v>
      </c>
      <c r="W2" s="1" t="s">
        <v>126</v>
      </c>
      <c r="X2" s="1" t="s">
        <v>127</v>
      </c>
      <c r="Y2" s="1" t="s">
        <v>128</v>
      </c>
      <c r="Z2" s="1" t="s">
        <v>129</v>
      </c>
    </row>
    <row r="3">
      <c r="A3" s="1" t="s">
        <v>130</v>
      </c>
      <c r="B3" s="1" t="str">
        <f>IFERROR(__xludf.DUMMYFUNCTION("GOOGLETRANSLATE(A:A, ""en"", ""te"")"),"ప్లాట్జర్ మోట్టే")</f>
        <v>ప్లాట్జర్ మోట్టే</v>
      </c>
      <c r="C3" s="1" t="s">
        <v>131</v>
      </c>
      <c r="D3" s="1" t="str">
        <f>IFERROR(__xludf.DUMMYFUNCTION("GOOGLETRANSLATE(C:C, ""en"", ""te"")"),"ప్లాట్జర్ మోట్టే (ఇంగ్లీష్: చిమ్మట) అనేది జర్మన్ te త్సాహిక-నిర్మిత విమానం మోట్టేలో స్ట్రట్-బ్రేస్డ్ పారాసోల్ వింగ్ కాన్ఫిగరేషన్, చిన్న విండ్‌షీల్డ్‌తో సింగిల్-సీట్ ఓపెన్ కాక్‌పిట్, స్థిర సాంప్రదాయ ల్యాండింగ్ గేర్ మరియు ట్రాక్టర్ కాన్ఫిగరేషన్‌లో ఒకే ఇంజిన"&amp;"్ ఉన్నాయి. [1] [2] విమానం ప్లాట్జర్ కీబిట్జ్ బిప్‌లేన్ మాదిరిగానే వింగ్ డిజైన్‌ను ఉపయోగిస్తుంది. మోట్టే యొక్క ఫ్యూజ్‌లేజ్ మెటల్ గొట్టాల నుండి తయారవుతుంది, దాని ఎగిరే ఉపరితలాలు డోప్డ్ ఎయిర్‌క్రాఫ్ట్ ఫాబ్రిక్‌లో కప్పబడి ఉంటాయి. దాని 8.2 మీ (26.9 అడుగులు) స్"&amp;"పాన్ వింగ్‌లో వి-స్ట్రట్స్ మరియు జ్యూరీ స్ట్రట్‌ల మద్దతు ఉన్న 13 మీ 2 (140 చదరపు అడుగులు) విస్తీర్ణం ఉంది. ఉపయోగించిన ఇంజిన్లలో నిస్సాన్ మైక్రా నుండి 65 హెచ్‌పి (48 కిలోవాట్ల) నిస్సాన్ 12 పి ఆటోమోటివ్ ఇంజిన్, అలాగే 51 హెచ్‌పి (38 కిలోవాట్ కాక్‌పిట్ పైన దగ"&amp;"్గరగా అమర్చిన రెక్క యొక్క సామీప్యం కారణంగా పైలట్ యాక్సెస్ కష్టం. బిల్డర్లు దీనిని వెనుకంజలో ఉన్న ఎడ్జ్ వింగ్ కటౌట్‌తో పరిష్కరించారు. [1] [2] మోట్టే ప్లాట్జర్ యొక్క మొట్టమొదటి డిజైన్, కానీ అతని తరువాత రెండు-సీట్ల కీట్జ్ బిప్‌లేన్ బిల్డర్లతో మోట్టే కంటే చాల"&amp;"ా ప్రాచుర్యం పొందింది. [1] [2] బేయర్ల్ మరియు టాక్ నుండి డేటా [1] [2] సాధారణ లక్షణాల పనితీరు")</f>
        <v>ప్లాట్జర్ మోట్టే (ఇంగ్లీష్: చిమ్మట) అనేది జర్మన్ te త్సాహిక-నిర్మిత విమానం మోట్టేలో స్ట్రట్-బ్రేస్డ్ పారాసోల్ వింగ్ కాన్ఫిగరేషన్, చిన్న విండ్‌షీల్డ్‌తో సింగిల్-సీట్ ఓపెన్ కాక్‌పిట్, స్థిర సాంప్రదాయ ల్యాండింగ్ గేర్ మరియు ట్రాక్టర్ కాన్ఫిగరేషన్‌లో ఒకే ఇంజిన్ ఉన్నాయి. [1] [2] విమానం ప్లాట్జర్ కీబిట్జ్ బిప్‌లేన్ మాదిరిగానే వింగ్ డిజైన్‌ను ఉపయోగిస్తుంది. మోట్టే యొక్క ఫ్యూజ్‌లేజ్ మెటల్ గొట్టాల నుండి తయారవుతుంది, దాని ఎగిరే ఉపరితలాలు డోప్డ్ ఎయిర్‌క్రాఫ్ట్ ఫాబ్రిక్‌లో కప్పబడి ఉంటాయి. దాని 8.2 మీ (26.9 అడుగులు) స్పాన్ వింగ్‌లో వి-స్ట్రట్స్ మరియు జ్యూరీ స్ట్రట్‌ల మద్దతు ఉన్న 13 మీ 2 (140 చదరపు అడుగులు) విస్తీర్ణం ఉంది. ఉపయోగించిన ఇంజిన్లలో నిస్సాన్ మైక్రా నుండి 65 హెచ్‌పి (48 కిలోవాట్ల) నిస్సాన్ 12 పి ఆటోమోటివ్ ఇంజిన్, అలాగే 51 హెచ్‌పి (38 కిలోవాట్ కాక్‌పిట్ పైన దగ్గరగా అమర్చిన రెక్క యొక్క సామీప్యం కారణంగా పైలట్ యాక్సెస్ కష్టం. బిల్డర్లు దీనిని వెనుకంజలో ఉన్న ఎడ్జ్ వింగ్ కటౌట్‌తో పరిష్కరించారు. [1] [2] మోట్టే ప్లాట్జర్ యొక్క మొట్టమొదటి డిజైన్, కానీ అతని తరువాత రెండు-సీట్ల కీట్జ్ బిప్‌లేన్ బిల్డర్లతో మోట్టే కంటే చాలా ప్రాచుర్యం పొందింది. [1] [2] బేయర్ల్ మరియు టాక్ నుండి డేటా [1] [2] సాధారణ లక్షణాల పనితీరు</v>
      </c>
      <c r="E3" s="1" t="s">
        <v>132</v>
      </c>
      <c r="F3" s="1" t="str">
        <f>IFERROR(__xludf.DUMMYFUNCTION("GOOGLETRANSLATE(E:E, ""en"", ""te"")"),"Te త్సాహిక నిర్మించిన విమానం")</f>
        <v>Te త్సాహిక నిర్మించిన విమానం</v>
      </c>
      <c r="G3" s="1" t="s">
        <v>133</v>
      </c>
      <c r="H3" s="1" t="str">
        <f>IFERROR(__xludf.DUMMYFUNCTION("GOOGLETRANSLATE(G:G, ""en"", ""te"")"),"జర్మనీ")</f>
        <v>జర్మనీ</v>
      </c>
      <c r="L3" s="1" t="s">
        <v>134</v>
      </c>
      <c r="O3" s="1" t="s">
        <v>135</v>
      </c>
      <c r="Q3" s="1" t="s">
        <v>136</v>
      </c>
      <c r="S3" s="1" t="s">
        <v>137</v>
      </c>
      <c r="T3" s="1" t="s">
        <v>138</v>
      </c>
      <c r="U3" s="1" t="s">
        <v>139</v>
      </c>
      <c r="V3" s="1" t="s">
        <v>140</v>
      </c>
      <c r="W3" s="1" t="s">
        <v>141</v>
      </c>
      <c r="Z3" s="1" t="s">
        <v>142</v>
      </c>
      <c r="AA3" s="1" t="s">
        <v>143</v>
      </c>
      <c r="AB3" s="1" t="s">
        <v>144</v>
      </c>
      <c r="AC3" s="2" t="s">
        <v>145</v>
      </c>
      <c r="AD3" s="1" t="s">
        <v>146</v>
      </c>
      <c r="AE3" s="1" t="s">
        <v>147</v>
      </c>
      <c r="AF3" s="1" t="s">
        <v>148</v>
      </c>
      <c r="AG3" s="1" t="s">
        <v>149</v>
      </c>
      <c r="AH3" s="1" t="s">
        <v>150</v>
      </c>
      <c r="AI3" s="1" t="s">
        <v>151</v>
      </c>
    </row>
    <row r="4">
      <c r="A4" s="1" t="s">
        <v>152</v>
      </c>
      <c r="B4" s="1" t="str">
        <f>IFERROR(__xludf.DUMMYFUNCTION("GOOGLETRANSLATE(A:A, ""en"", ""te"")"),"పోబెరెజ్నీ పి -5 పోబెర్ స్పోర్ట్")</f>
        <v>పోబెరెజ్నీ పి -5 పోబెర్ స్పోర్ట్</v>
      </c>
      <c r="C4" s="1" t="s">
        <v>153</v>
      </c>
      <c r="D4" s="1" t="str">
        <f>IFERROR(__xludf.DUMMYFUNCTION("GOOGLETRANSLATE(C:C, ""en"", ""te"")"),"పి -5 పోబెర్ స్పోర్ట్ అనేది ప్రయోగాత్మక ఎయిర్క్రాఫ్ట్ అసోసియేషన్ వ్యవస్థాపకుడు పాల్ పోబెరెజ్నీ రూపొందించిన ప్రారంభ తక్కువ-వింగ్ హోమ్‌బిల్ట్ విమానం. నిర్మించిన ఒక ఉదాహరణ ఆ సమయంలో ప్రతి EAA అధ్యాయానికి దేశవ్యాప్తంగా ఎగురవేయబడింది. పోబెర్ స్పోర్ట్ యొక్క మొదట"&amp;"ి డ్రాయింగ్లు నవంబర్ 1956 లో ప్రయోగాత్మక సంచికలో ప్రచురించబడ్డాయి. [1] పోబెర్ స్పోర్ట్ స్ట్రట్-బ్రేస్డ్, తక్కువ-వింగ్, టెయిల్‌డ్రాగర్ విమానం. ఫ్యూజ్‌లేజ్ అనేది ఏస్ బేబీ ఏస్ యొక్క మార్పు. ల్యాండింగ్ గేర్ J-3 పిల్ల. ఫాబ్రిక్ కవర్ అల్యూమినియం రెక్కలు హై-వింగ"&amp;"్ లుస్కోంబే విమాన రూపకల్పన నుండి వచ్చాయి. ఎలివేటర్లు పుష్-పుల్ గొట్టాలతో నియంత్రించబడతాయి. [2] 1959 EAA కన్వెన్షన్‌లో పోబెర్ స్పోర్ట్ ప్రవేశపెట్టబడింది. భాగాల సోర్సింగ్ సమయంలో, పోబెరెజ్నీ లస్కోమ్ రెక్కలను తీయటానికి సి -47 ను ఉపయోగించాడు మరియు విమానంలో ఉన్"&amp;"నప్పుడు ఐలెరాన్‌లపై పనిని ప్రారంభించాడు. [3] అండర్స్ “ఆండీ” లుంగ్బర్గ్ తరువాత దేశంలోని ప్రతి EAA అధ్యాయాన్ని సందర్శించడానికి విమానంతో 72 స్టాప్ పర్యటనలో అమెరికాలో పర్యటించారు. ఈ పర్యటనను ఈ మార్గంలో te త్సాహిక రేడియో ఆపరేటర్లు ప్రసారం చేశారు. [4] ఈ విమానం "&amp;"1975 లో విస్కాన్సిన్‌లోని ఓష్కోష్‌లోని EAA ఎయిర్‌వెంచర్ మ్యూజియంకు విరాళంగా ఇవ్వబడింది. [5] ప్రయోగంజినెరల్ లక్షణాల నుండి డేటా పోల్చదగిన పాత్ర, కాన్ఫిగరేషన్ మరియు ERA యొక్క పనితీరు విమానం")</f>
        <v>పి -5 పోబెర్ స్పోర్ట్ అనేది ప్రయోగాత్మక ఎయిర్క్రాఫ్ట్ అసోసియేషన్ వ్యవస్థాపకుడు పాల్ పోబెరెజ్నీ రూపొందించిన ప్రారంభ తక్కువ-వింగ్ హోమ్‌బిల్ట్ విమానం. నిర్మించిన ఒక ఉదాహరణ ఆ సమయంలో ప్రతి EAA అధ్యాయానికి దేశవ్యాప్తంగా ఎగురవేయబడింది. పోబెర్ స్పోర్ట్ యొక్క మొదటి డ్రాయింగ్లు నవంబర్ 1956 లో ప్రయోగాత్మక సంచికలో ప్రచురించబడ్డాయి. [1] పోబెర్ స్పోర్ట్ స్ట్రట్-బ్రేస్డ్, తక్కువ-వింగ్, టెయిల్‌డ్రాగర్ విమానం. ఫ్యూజ్‌లేజ్ అనేది ఏస్ బేబీ ఏస్ యొక్క మార్పు. ల్యాండింగ్ గేర్ J-3 పిల్ల. ఫాబ్రిక్ కవర్ అల్యూమినియం రెక్కలు హై-వింగ్ లుస్కోంబే విమాన రూపకల్పన నుండి వచ్చాయి. ఎలివేటర్లు పుష్-పుల్ గొట్టాలతో నియంత్రించబడతాయి. [2] 1959 EAA కన్వెన్షన్‌లో పోబెర్ స్పోర్ట్ ప్రవేశపెట్టబడింది. భాగాల సోర్సింగ్ సమయంలో, పోబెరెజ్నీ లస్కోమ్ రెక్కలను తీయటానికి సి -47 ను ఉపయోగించాడు మరియు విమానంలో ఉన్నప్పుడు ఐలెరాన్‌లపై పనిని ప్రారంభించాడు. [3] అండర్స్ “ఆండీ” లుంగ్బర్గ్ తరువాత దేశంలోని ప్రతి EAA అధ్యాయాన్ని సందర్శించడానికి విమానంతో 72 స్టాప్ పర్యటనలో అమెరికాలో పర్యటించారు. ఈ పర్యటనను ఈ మార్గంలో te త్సాహిక రేడియో ఆపరేటర్లు ప్రసారం చేశారు. [4] ఈ విమానం 1975 లో విస్కాన్సిన్‌లోని ఓష్కోష్‌లోని EAA ఎయిర్‌వెంచర్ మ్యూజియంకు విరాళంగా ఇవ్వబడింది. [5] ప్రయోగంజినెరల్ లక్షణాల నుండి డేటా పోల్చదగిన పాత్ర, కాన్ఫిగరేషన్ మరియు ERA యొక్క పనితీరు విమానం</v>
      </c>
      <c r="E4" s="1" t="s">
        <v>154</v>
      </c>
      <c r="F4" s="1" t="str">
        <f>IFERROR(__xludf.DUMMYFUNCTION("GOOGLETRANSLATE(E:E, ""en"", ""te"")"),"హోమ్‌బిల్ట్ విమానం")</f>
        <v>హోమ్‌బిల్ట్ విమానం</v>
      </c>
      <c r="G4" s="1" t="s">
        <v>155</v>
      </c>
      <c r="H4" s="1" t="str">
        <f>IFERROR(__xludf.DUMMYFUNCTION("GOOGLETRANSLATE(G:G, ""en"", ""te"")"),"అమెరికా")</f>
        <v>అమెరికా</v>
      </c>
      <c r="L4" s="1" t="s">
        <v>156</v>
      </c>
      <c r="M4" s="1" t="s">
        <v>157</v>
      </c>
      <c r="N4" s="3">
        <v>21738.0</v>
      </c>
      <c r="P4" s="1" t="s">
        <v>158</v>
      </c>
      <c r="Q4" s="1" t="s">
        <v>159</v>
      </c>
      <c r="R4" s="1" t="s">
        <v>160</v>
      </c>
      <c r="S4" s="1" t="s">
        <v>161</v>
      </c>
      <c r="T4" s="1" t="s">
        <v>162</v>
      </c>
      <c r="U4" s="1" t="s">
        <v>163</v>
      </c>
      <c r="V4" s="1" t="s">
        <v>164</v>
      </c>
      <c r="AA4" s="1" t="s">
        <v>165</v>
      </c>
      <c r="AB4" s="1" t="s">
        <v>166</v>
      </c>
      <c r="AC4" s="2" t="s">
        <v>167</v>
      </c>
      <c r="AE4" s="1" t="s">
        <v>168</v>
      </c>
      <c r="AG4" s="1" t="s">
        <v>169</v>
      </c>
      <c r="AI4" s="1" t="s">
        <v>170</v>
      </c>
      <c r="AJ4" s="1">
        <v>1.0</v>
      </c>
      <c r="AK4" s="1">
        <v>1.0</v>
      </c>
    </row>
    <row r="5">
      <c r="A5" s="1" t="s">
        <v>171</v>
      </c>
      <c r="B5" s="1" t="str">
        <f>IFERROR(__xludf.DUMMYFUNCTION("GOOGLETRANSLATE(A:A, ""en"", ""te"")"),"Qinetiq 1")</f>
        <v>Qinetiq 1</v>
      </c>
      <c r="C5" s="1" t="s">
        <v>172</v>
      </c>
      <c r="D5" s="1" t="str">
        <f>IFERROR(__xludf.DUMMYFUNCTION("GOOGLETRANSLATE(C:C, ""en"", ""te"")"),"క్వినెటెక్ 1 అనేది 40 కి.మీ (25 మైళ్ళు, 132,000 అడుగులు) మనుషుల బెలూన్ ఫ్లైట్ కోసం కొత్త ప్రపంచ ఎత్తు రికార్డును నెలకొల్పడానికి రూపొందించిన బెలూన్. బెలూన్‌కు ప్రధాన స్పాన్సర్‌లు, క్వినెటెక్ (గతంలో డేరా, బ్రిటిష్ డిఫెన్స్ ఎవాల్యుయేషన్ అండ్ రీసెర్చ్ ఏజెన్సీ"&amp;"లో భాగం) పేరు పెట్టారు. అపారమైన 381 మీటర్ల ఎత్తైన సున్నా-పీడన బెలూన్ 5,000 కిలోల పాలిథిలిన్ నుండి నిర్మించబడింది. బెలూన్ కోసం ఉపయోగించే లిఫ్ట్ గ్యాస్ హీలియం. Fill హించిన విమాన పైకప్పు వద్ద, బెలూన్ యొక్క వాల్యూమ్ 1.25 మిలియన్ m³ (40 మిలియన్ ft³) ఉండేది. ఇద"&amp;"్దరు పైలట్లు, ఆండీ ఎల్సన్ మరియు కోలిన్ ప్రెస్కోట్, ఓపెన్ డెక్‌ను ఆక్రమించవలసి ఉంది, పన్నెండు గంటల విమానంలో వాటిని సజీవంగా ఉంచడానికి జ్వేజ్డా-తయారీ చేసిన సోకోల్ స్పేస్ సూట్‌లపై ఆధారపడింది. ఈ ప్రయత్నం మొదట 2002 కోసం ప్రణాళిక చేయబడింది, కాని ప్రతికూల అధిక ఎత"&amp;"్తు పరిస్థితులు ఆ సంవత్సరంలో ప్రయత్నాలను నిలిపివేసాయి. పన్నెండు గంటల విమానాల ప్రయోగ స్థలం కార్న్‌వాల్ తీరానికి దూరంగా ఉండాలని నిర్ణయించారు. 2003 లో ఈ ప్రయోగం ప్రారంభంలో సెప్టెంబర్ 2 న సెయింట్ ఇవ్స్ తీరంలో ఆర్‌వి ట్రిటాన్ డెక్ నుండి జరగనుంది. ఆ రోజు ఉదయాన్"&amp;"నే, అధిక ఎత్తులో క్లౌడ్ కవర్ కారణంగా 24 గంటలు ప్రయోగాన్ని వాయిదా వేయాలని నిర్ణయించారు. మరుసటి రోజు ఉదయం బెలూన్‌ను పెంచడానికి ప్రయత్నం జరిగింది. ఉదయం 6.55 గంటలకు బెలూన్ 15 మీటర్ల ఎత్తుకు పెంచి, హీలియం కవరు నుండి తప్పించుకోవడం ప్రారంభించింది. బెలూన్ యొక్క అ"&amp;"తుకుల వెంట కోలుకోలేని కన్నీటి కనుగొనబడింది, మరియు 2003 లో ఫ్లైట్ కోసం అన్ని ప్రయత్నాలు వదిలివేయబడ్డాయి. ప్రస్తుత బెలూన్ ఫ్లైట్ రికార్డును మాల్కం రాస్ (యుఎస్ఎన్ఆర్) మరియు విక్టర్ ప్రథర్ (యుఎస్ఎన్) ఏర్పాటు చేశారు, అతను స్ట్రాటో-ల్యాబ్ వి బెలూన్ను 34,668 మీ "&amp;"(113,740 అడుగులు) కు తీసుకున్నాడు, 4 మే 1961 న గల్ఫ్ ఆఫ్ మెక్సికో పైన. బెలూనిస్టులు విజయవంతంగా దిగారు, కాని విక్టర్ ప్రథర్ హెలికాప్టర్ లిఫ్ట్ జీను నుండి జారిపోయాడు, అయితే వెయిటింగ్ ఎయిర్క్రాఫ్ట్ క్యారియర్‌కు బదిలీ చేయబడ్డారు, మరియు యుఎస్ నేవీ డైవర్స్ అతన్"&amp;"ని రక్షించటానికి ముందు అతను మునిగిపోయాడు. నికోలస్ పియాంటానిడా, కొత్త స్కైడైవింగ్ జంప్ రికార్డును నెలకొల్పడానికి ప్రయత్నిస్తున్నప్పుడు, ఫిబ్రవరి 2, 1966 న 123,800 అడుగుల (37.73 కిమీ) కు చేరుకున్నట్లు పేర్కొన్నారు. పియాంటానిడా గొండోలా నుండి తన శ్వాస ఉపకరణాన"&amp;"్ని డిస్‌కనెక్ట్ చేయలేకపోయాడు, కాబట్టి గ్రౌండ్ సిబ్బంది బల్లూన్ వద్ద ఉంది ఫ్లైట్ సీలింగ్. పియాంటానిడా ప్రయత్నం ఫ్లైట్ రికార్డును నెలకొల్పలేదు ఎందుకంటే అతను బెలూన్ లేకుండా దిగాడు. [1]")</f>
        <v>క్వినెటెక్ 1 అనేది 40 కి.మీ (25 మైళ్ళు, 132,000 అడుగులు) మనుషుల బెలూన్ ఫ్లైట్ కోసం కొత్త ప్రపంచ ఎత్తు రికార్డును నెలకొల్పడానికి రూపొందించిన బెలూన్. బెలూన్‌కు ప్రధాన స్పాన్సర్‌లు, క్వినెటెక్ (గతంలో డేరా, బ్రిటిష్ డిఫెన్స్ ఎవాల్యుయేషన్ అండ్ రీసెర్చ్ ఏజెన్సీలో భాగం) పేరు పెట్టారు. అపారమైన 381 మీటర్ల ఎత్తైన సున్నా-పీడన బెలూన్ 5,000 కిలోల పాలిథిలిన్ నుండి నిర్మించబడింది. బెలూన్ కోసం ఉపయోగించే లిఫ్ట్ గ్యాస్ హీలియం. Fill హించిన విమాన పైకప్పు వద్ద, బెలూన్ యొక్క వాల్యూమ్ 1.25 మిలియన్ m³ (40 మిలియన్ ft³) ఉండేది. ఇద్దరు పైలట్లు, ఆండీ ఎల్సన్ మరియు కోలిన్ ప్రెస్కోట్, ఓపెన్ డెక్‌ను ఆక్రమించవలసి ఉంది, పన్నెండు గంటల విమానంలో వాటిని సజీవంగా ఉంచడానికి జ్వేజ్డా-తయారీ చేసిన సోకోల్ స్పేస్ సూట్‌లపై ఆధారపడింది. ఈ ప్రయత్నం మొదట 2002 కోసం ప్రణాళిక చేయబడింది, కాని ప్రతికూల అధిక ఎత్తు పరిస్థితులు ఆ సంవత్సరంలో ప్రయత్నాలను నిలిపివేసాయి. పన్నెండు గంటల విమానాల ప్రయోగ స్థలం కార్న్‌వాల్ తీరానికి దూరంగా ఉండాలని నిర్ణయించారు. 2003 లో ఈ ప్రయోగం ప్రారంభంలో సెప్టెంబర్ 2 న సెయింట్ ఇవ్స్ తీరంలో ఆర్‌వి ట్రిటాన్ డెక్ నుండి జరగనుంది. ఆ రోజు ఉదయాన్నే, అధిక ఎత్తులో క్లౌడ్ కవర్ కారణంగా 24 గంటలు ప్రయోగాన్ని వాయిదా వేయాలని నిర్ణయించారు. మరుసటి రోజు ఉదయం బెలూన్‌ను పెంచడానికి ప్రయత్నం జరిగింది. ఉదయం 6.55 గంటలకు బెలూన్ 15 మీటర్ల ఎత్తుకు పెంచి, హీలియం కవరు నుండి తప్పించుకోవడం ప్రారంభించింది. బెలూన్ యొక్క అతుకుల వెంట కోలుకోలేని కన్నీటి కనుగొనబడింది, మరియు 2003 లో ఫ్లైట్ కోసం అన్ని ప్రయత్నాలు వదిలివేయబడ్డాయి. ప్రస్తుత బెలూన్ ఫ్లైట్ రికార్డును మాల్కం రాస్ (యుఎస్ఎన్ఆర్) మరియు విక్టర్ ప్రథర్ (యుఎస్ఎన్) ఏర్పాటు చేశారు, అతను స్ట్రాటో-ల్యాబ్ వి బెలూన్ను 34,668 మీ (113,740 అడుగులు) కు తీసుకున్నాడు, 4 మే 1961 న గల్ఫ్ ఆఫ్ మెక్సికో పైన. బెలూనిస్టులు విజయవంతంగా దిగారు, కాని విక్టర్ ప్రథర్ హెలికాప్టర్ లిఫ్ట్ జీను నుండి జారిపోయాడు, అయితే వెయిటింగ్ ఎయిర్క్రాఫ్ట్ క్యారియర్‌కు బదిలీ చేయబడ్డారు, మరియు యుఎస్ నేవీ డైవర్స్ అతన్ని రక్షించటానికి ముందు అతను మునిగిపోయాడు. నికోలస్ పియాంటానిడా, కొత్త స్కైడైవింగ్ జంప్ రికార్డును నెలకొల్పడానికి ప్రయత్నిస్తున్నప్పుడు, ఫిబ్రవరి 2, 1966 న 123,800 అడుగుల (37.73 కిమీ) కు చేరుకున్నట్లు పేర్కొన్నారు. పియాంటానిడా గొండోలా నుండి తన శ్వాస ఉపకరణాన్ని డిస్‌కనెక్ట్ చేయలేకపోయాడు, కాబట్టి గ్రౌండ్ సిబ్బంది బల్లూన్ వద్ద ఉంది ఫ్లైట్ సీలింగ్. పియాంటానిడా ప్రయత్నం ఫ్లైట్ రికార్డును నెలకొల్పలేదు ఎందుకంటే అతను బెలూన్ లేకుండా దిగాడు. [1]</v>
      </c>
      <c r="AL5" s="1" t="s">
        <v>173</v>
      </c>
      <c r="AM5" s="1" t="s">
        <v>174</v>
      </c>
      <c r="AN5" s="1">
        <v>1.0</v>
      </c>
      <c r="AO5" s="1" t="s">
        <v>175</v>
      </c>
    </row>
    <row r="6">
      <c r="A6" s="1" t="s">
        <v>176</v>
      </c>
      <c r="B6" s="1" t="str">
        <f>IFERROR(__xludf.DUMMYFUNCTION("GOOGLETRANSLATE(A:A, ""en"", ""te"")"),"Rmt bateleur")</f>
        <v>Rmt bateleur</v>
      </c>
      <c r="C6" s="1" t="s">
        <v>177</v>
      </c>
      <c r="D6" s="1" t="str">
        <f>IFERROR(__xludf.DUMMYFUNCTION("GOOGLETRANSLATE(C:C, ""en"", ""te"")"),"RMT BATELEUR (బర్డ్ జాతులకు పేరు పెట్టబడింది) ఒక జర్మన్ అల్ట్రాలైట్ మరియు లైట్-స్పోర్ట్ విమానం, ఇది ఆండ్రీ వాన్ స్కోనెబెక్ చేత రూపొందించబడింది మరియు చెడ్డ బోక్లెట్ యొక్క RMT విమానయానం చేత ఉత్పత్తి చేయబడింది. ఈ విమానం te త్సాహిక నిర్మాణానికి కిట్‌గా లేదా ప"&amp;"ూర్తి రెడీ-టు-ఫ్లై-ఎయిర్‌క్రాఫ్ట్‌గా సరఫరా చేయబడుతుంది. [1] [2] పోటీ మోడల్ గ్లైడర్‌ల రూపకల్పన కెరీర్ తర్వాత ఈ విమానం వాన్ స్కోనెబెక్ తన మొదటి పూర్తి-పరిమాణ విమానంగా రూపొందించబడింది. బాటెలూర్ ఫెడెరేషన్ ఏరోనటిక్ ఇంటర్నేషనల్ మైక్రోలైట్ రూల్స్ మరియు యుఎస్ లైట"&amp;"్-స్పోర్ట్ ఎయిర్క్రాఫ్ట్ రూల్స్ ను పాటించటానికి ఉద్దేశించబడింది. సంస్థను ఫార్ 23 ప్రమాణాలకు టైప్ చేయాలని కంపెనీ యోచిస్తోంది. [1] [3] బాటెలూర్ ఒక కెనార్డ్‌తో డెల్టా వింగ్ లేఅవుట్‌ను కలిగి ఉంది. వింగ్ ఒక కాంటిలివర్ లో-వింగ్ డిజైన్. ఈ విమానం ప్రత్యేక బబుల్ క"&amp;"ానోపీల క్రింద రెండు-సీట్ల తేమను కలిగి ఉంది, స్థిర లేదా ఐచ్ఛికంగా ముడుచుకునే ట్రైసైకిల్ ల్యాండింగ్ గేర్ మరియు పషర్ కాన్ఫిగరేషన్‌లో ఒకే ఇంజిన్. లైట్-స్పోర్ట్ వెర్షన్‌కు ఆ వర్గం యొక్క నియమాలు అవసరమయ్యే విధంగా స్థిర ల్యాండింగ్ గేర్‌ను కలిగి ఉంటుంది మరియు స్థూ"&amp;"ల బరువు 600 కిలోలు (1,323 పౌండ్లు). [1] [4] విమానం మిశ్రమాల నుండి తయారవుతుంది. దీని 6.25 మీ (20.5 అడుగులు) స్పాన్ వింగ్ 14 మీ 2 (150 చదరపు అడుగులు) విస్తీర్ణంలో ఉంది మరియు ప్రధాన మరియు కానార్డ్ వింగ్స్‌పై అమర్చిన ఫ్లాప్‌లు. ప్రామాణిక ఇంజన్లు 100 హెచ్‌పి ("&amp;"75 కిలోవాట్ల) రోటాక్స్ 912లు మరియు టర్బోచార్జ్డ్, 115 హెచ్‌పి (86 కిలోవాట్) రోటాక్స్ 914 ఫోర్-స్ట్రోక్ పవర్‌ప్లాంట్లు. ల్యాండింగ్ గేర్ యుఎస్ లైట్-స్పోర్ట్ ఎయిర్క్రాఫ్ట్ మార్కెట్ కోసం పరిష్కరించబడింది లేదా హోమ్‌బిల్ట్ వెర్షన్ కోసం ముడుచుకుంటుంది. [1] [2] ఉ"&amp;"త్పత్తి మొదట్లో దక్షిణాఫ్రికాలో స్థాపించబడింది, జర్మనీకి, చివరకు 2012 లో అమెరికాకు వెళ్లారు. [1] [2] మార్చి 2017 నాటికి, ఫెడరల్ ఏవియేషన్ అడ్మినిస్ట్రేషన్ యొక్క ఆమోదించబడిన ప్రత్యేక లైట్-స్పోర్ట్ విమానాల జాబితాలో డిజైన్ కనిపించదు. [5] బేయర్ల్ నుండి డేటా [1"&amp;"] సాధారణ లక్షణాల పనితీరు")</f>
        <v>RMT BATELEUR (బర్డ్ జాతులకు పేరు పెట్టబడింది) ఒక జర్మన్ అల్ట్రాలైట్ మరియు లైట్-స్పోర్ట్ విమానం, ఇది ఆండ్రీ వాన్ స్కోనెబెక్ చేత రూపొందించబడింది మరియు చెడ్డ బోక్లెట్ యొక్క RMT విమానయానం చేత ఉత్పత్తి చేయబడింది. ఈ విమానం te త్సాహిక నిర్మాణానికి కిట్‌గా లేదా పూర్తి రెడీ-టు-ఫ్లై-ఎయిర్‌క్రాఫ్ట్‌గా సరఫరా చేయబడుతుంది. [1] [2] పోటీ మోడల్ గ్లైడర్‌ల రూపకల్పన కెరీర్ తర్వాత ఈ విమానం వాన్ స్కోనెబెక్ తన మొదటి పూర్తి-పరిమాణ విమానంగా రూపొందించబడింది. బాటెలూర్ ఫెడెరేషన్ ఏరోనటిక్ ఇంటర్నేషనల్ మైక్రోలైట్ రూల్స్ మరియు యుఎస్ లైట్-స్పోర్ట్ ఎయిర్క్రాఫ్ట్ రూల్స్ ను పాటించటానికి ఉద్దేశించబడింది. సంస్థను ఫార్ 23 ప్రమాణాలకు టైప్ చేయాలని కంపెనీ యోచిస్తోంది. [1] [3] బాటెలూర్ ఒక కెనార్డ్‌తో డెల్టా వింగ్ లేఅవుట్‌ను కలిగి ఉంది. వింగ్ ఒక కాంటిలివర్ లో-వింగ్ డిజైన్. ఈ విమానం ప్రత్యేక బబుల్ కానోపీల క్రింద రెండు-సీట్ల తేమను కలిగి ఉంది, స్థిర లేదా ఐచ్ఛికంగా ముడుచుకునే ట్రైసైకిల్ ల్యాండింగ్ గేర్ మరియు పషర్ కాన్ఫిగరేషన్‌లో ఒకే ఇంజిన్. లైట్-స్పోర్ట్ వెర్షన్‌కు ఆ వర్గం యొక్క నియమాలు అవసరమయ్యే విధంగా స్థిర ల్యాండింగ్ గేర్‌ను కలిగి ఉంటుంది మరియు స్థూల బరువు 600 కిలోలు (1,323 పౌండ్లు). [1] [4] విమానం మిశ్రమాల నుండి తయారవుతుంది. దీని 6.25 మీ (20.5 అడుగులు) స్పాన్ వింగ్ 14 మీ 2 (150 చదరపు అడుగులు) విస్తీర్ణంలో ఉంది మరియు ప్రధాన మరియు కానార్డ్ వింగ్స్‌పై అమర్చిన ఫ్లాప్‌లు. ప్రామాణిక ఇంజన్లు 100 హెచ్‌పి (75 కిలోవాట్ల) రోటాక్స్ 912లు మరియు టర్బోచార్జ్డ్, 115 హెచ్‌పి (86 కిలోవాట్) రోటాక్స్ 914 ఫోర్-స్ట్రోక్ పవర్‌ప్లాంట్లు. ల్యాండింగ్ గేర్ యుఎస్ లైట్-స్పోర్ట్ ఎయిర్క్రాఫ్ట్ మార్కెట్ కోసం పరిష్కరించబడింది లేదా హోమ్‌బిల్ట్ వెర్షన్ కోసం ముడుచుకుంటుంది. [1] [2] ఉత్పత్తి మొదట్లో దక్షిణాఫ్రికాలో స్థాపించబడింది, జర్మనీకి, చివరకు 2012 లో అమెరికాకు వెళ్లారు. [1] [2] మార్చి 2017 నాటికి, ఫెడరల్ ఏవియేషన్ అడ్మినిస్ట్రేషన్ యొక్క ఆమోదించబడిన ప్రత్యేక లైట్-స్పోర్ట్ విమానాల జాబితాలో డిజైన్ కనిపించదు. [5] బేయర్ల్ నుండి డేటా [1] సాధారణ లక్షణాల పనితీరు</v>
      </c>
      <c r="E6" s="1" t="s">
        <v>178</v>
      </c>
      <c r="F6" s="1" t="str">
        <f>IFERROR(__xludf.DUMMYFUNCTION("GOOGLETRANSLATE(E:E, ""en"", ""te"")"),"అల్ట్రాలైట్ విమానం మరియు లైట్-స్పోర్ట్ విమానం")</f>
        <v>అల్ట్రాలైట్ విమానం మరియు లైట్-స్పోర్ట్ విమానం</v>
      </c>
      <c r="G6" s="1" t="s">
        <v>133</v>
      </c>
      <c r="H6" s="1" t="str">
        <f>IFERROR(__xludf.DUMMYFUNCTION("GOOGLETRANSLATE(G:G, ""en"", ""te"")"),"జర్మనీ")</f>
        <v>జర్మనీ</v>
      </c>
      <c r="I6" s="1" t="s">
        <v>179</v>
      </c>
      <c r="J6" s="1" t="str">
        <f>IFERROR(__xludf.DUMMYFUNCTION("GOOGLETRANSLATE(I:I, ""en"", ""te"")"),"RMT ఏవియేషన్")</f>
        <v>RMT ఏవియేషన్</v>
      </c>
      <c r="K6" s="1" t="s">
        <v>180</v>
      </c>
      <c r="L6" s="1" t="s">
        <v>181</v>
      </c>
      <c r="O6" s="1" t="s">
        <v>135</v>
      </c>
      <c r="Q6" s="1" t="s">
        <v>182</v>
      </c>
      <c r="S6" s="1" t="s">
        <v>183</v>
      </c>
      <c r="T6" s="1" t="s">
        <v>184</v>
      </c>
      <c r="U6" s="1" t="s">
        <v>185</v>
      </c>
      <c r="V6" s="1" t="s">
        <v>186</v>
      </c>
      <c r="W6" s="1" t="s">
        <v>187</v>
      </c>
      <c r="Z6" s="1" t="s">
        <v>188</v>
      </c>
      <c r="AB6" s="1" t="s">
        <v>189</v>
      </c>
      <c r="AC6" s="2" t="s">
        <v>145</v>
      </c>
      <c r="AD6" s="1" t="s">
        <v>190</v>
      </c>
      <c r="AE6" s="1" t="s">
        <v>191</v>
      </c>
      <c r="AG6" s="1" t="s">
        <v>192</v>
      </c>
      <c r="AH6" s="1" t="s">
        <v>193</v>
      </c>
      <c r="AI6" s="1" t="s">
        <v>194</v>
      </c>
      <c r="AK6" s="1" t="s">
        <v>195</v>
      </c>
      <c r="AP6" s="1" t="s">
        <v>196</v>
      </c>
    </row>
    <row r="7">
      <c r="A7" s="1" t="s">
        <v>197</v>
      </c>
      <c r="B7" s="1" t="str">
        <f>IFERROR(__xludf.DUMMYFUNCTION("GOOGLETRANSLATE(A:A, ""en"", ""te"")"),"ప్రోక్రేర్ పిక్కియో")</f>
        <v>ప్రోక్రేర్ పిక్కియో</v>
      </c>
      <c r="C7" s="1" t="s">
        <v>198</v>
      </c>
      <c r="D7" s="1" t="str">
        <f>IFERROR(__xludf.DUMMYFUNCTION("GOOGLETRANSLATE(C:C, ""en"", ""te"")"),"ప్రోక్రేర్ ఎఫ్. పిక్కియో 1950 ల చివరలో ఇటలీలో స్టెలియో ఫ్రాటి యొక్క ఫాల్కో మరియు నిబ్బియో డిజైన్ల యొక్క మరింత అభివృద్ధిగా అభివృద్ధి చేయబడింది. దాని పూర్వీకుల మాదిరిగానే, పిక్కియో అనూహ్యంగా శుభ్రమైన పంక్తుల యొక్క సాంప్రదాయిక లో-వింగ్ కాంటిలివర్ మోనోప్లేన్,"&amp;" ముడుచుకునే ట్రైసైకిల్ అండర్ క్యారేజ్. పిక్కియో యొక్క ప్రారంభ సంస్కరణలు మునుపటి డిజైన్ల మాదిరిగానే చెక్క నిర్మాణాన్ని పంచుకున్నాయి, కాని వారి ప్లైవుడ్ తొక్కల పైభాగంలో సన్నని అల్యూమినియం చర్మాన్ని కలిగి ఉన్నాయి. F.15e మరియు F.15F అయితే, ఆల్-మెటల్. ప్రారంభం"&amp;"లో, చెక్క పికియోస్ యొక్క ఉత్పత్తి మిలన్లో ప్రోకేర్ చేత నిర్వహించబడింది, కాని 1960 ల మధ్యలో, ఫ్రాటి జనరల్ ఏవియాను తన డిజైన్లను నిర్మించడానికి తన సొంత కర్మాగారంగా స్థాపించాడు, F.15E తో ప్రారంభమైంది. అయినప్పటికీ, కొన్ని ఉదాహరణలు మాత్రమే నిర్మించబడ్డాయి మరియు"&amp;" 1990 ల మధ్యలో ఆస్ట్రియన్ సంస్థ HOAC చేత పునరుద్ధరించబడే వరకు డిజైన్ నిద్రాణమై ఉంది. HOAC నిజ్నిజ్ నోవ్‌గోరోడ్‌లోని జెఎస్‌సి సోకోల్ ప్లాంట్‌లో నిర్మించిన రెండు-సీట్ల ఎఫ్. పిక్కియో ప్రధానంగా ప్రైవేట్ పైలట్ యజమానులచే ఆపరేషన్ కోసం ఉద్దేశించబడింది మరియు డిజైన"&amp;"్‌ను అనేక యూరోపియన్ దేశాలకు ఎగుమతి చేశారు, అలాగే ఇటాలియన్ వ్యక్తులు కొనుగోలు చేశారు. చాలా మంది ఇప్పటికీ ఎయిర్ విలువైనవి (2012). జేన్ యొక్క అన్ని ప్రపంచ విమానాల నుండి డేటా 1961-62 [2] సాధారణ లక్షణాల పనితీరు")</f>
        <v>ప్రోక్రేర్ ఎఫ్. పిక్కియో 1950 ల చివరలో ఇటలీలో స్టెలియో ఫ్రాటి యొక్క ఫాల్కో మరియు నిబ్బియో డిజైన్ల యొక్క మరింత అభివృద్ధిగా అభివృద్ధి చేయబడింది. దాని పూర్వీకుల మాదిరిగానే, పిక్కియో అనూహ్యంగా శుభ్రమైన పంక్తుల యొక్క సాంప్రదాయిక లో-వింగ్ కాంటిలివర్ మోనోప్లేన్, ముడుచుకునే ట్రైసైకిల్ అండర్ క్యారేజ్. పిక్కియో యొక్క ప్రారంభ సంస్కరణలు మునుపటి డిజైన్ల మాదిరిగానే చెక్క నిర్మాణాన్ని పంచుకున్నాయి, కాని వారి ప్లైవుడ్ తొక్కల పైభాగంలో సన్నని అల్యూమినియం చర్మాన్ని కలిగి ఉన్నాయి. F.15e మరియు F.15F అయితే, ఆల్-మెటల్. ప్రారంభంలో, చెక్క పికియోస్ యొక్క ఉత్పత్తి మిలన్లో ప్రోకేర్ చేత నిర్వహించబడింది, కాని 1960 ల మధ్యలో, ఫ్రాటి జనరల్ ఏవియాను తన డిజైన్లను నిర్మించడానికి తన సొంత కర్మాగారంగా స్థాపించాడు, F.15E తో ప్రారంభమైంది. అయినప్పటికీ, కొన్ని ఉదాహరణలు మాత్రమే నిర్మించబడ్డాయి మరియు 1990 ల మధ్యలో ఆస్ట్రియన్ సంస్థ HOAC చేత పునరుద్ధరించబడే వరకు డిజైన్ నిద్రాణమై ఉంది. HOAC నిజ్నిజ్ నోవ్‌గోరోడ్‌లోని జెఎస్‌సి సోకోల్ ప్లాంట్‌లో నిర్మించిన రెండు-సీట్ల ఎఫ్. పిక్కియో ప్రధానంగా ప్రైవేట్ పైలట్ యజమానులచే ఆపరేషన్ కోసం ఉద్దేశించబడింది మరియు డిజైన్‌ను అనేక యూరోపియన్ దేశాలకు ఎగుమతి చేశారు, అలాగే ఇటాలియన్ వ్యక్తులు కొనుగోలు చేశారు. చాలా మంది ఇప్పటికీ ఎయిర్ విలువైనవి (2012). జేన్ యొక్క అన్ని ప్రపంచ విమానాల నుండి డేటా 1961-62 [2] సాధారణ లక్షణాల పనితీరు</v>
      </c>
      <c r="E7" s="1" t="s">
        <v>199</v>
      </c>
      <c r="F7" s="1" t="str">
        <f>IFERROR(__xludf.DUMMYFUNCTION("GOOGLETRANSLATE(E:E, ""en"", ""te"")"),"యుటిలిటీ విమానం")</f>
        <v>యుటిలిటీ విమానం</v>
      </c>
      <c r="G7" s="1" t="s">
        <v>200</v>
      </c>
      <c r="H7" s="1" t="str">
        <f>IFERROR(__xludf.DUMMYFUNCTION("GOOGLETRANSLATE(G:G, ""en"", ""te"")"),"ఇటలీ")</f>
        <v>ఇటలీ</v>
      </c>
      <c r="I7" s="1" t="s">
        <v>201</v>
      </c>
      <c r="J7" s="1" t="str">
        <f>IFERROR(__xludf.DUMMYFUNCTION("GOOGLETRANSLATE(I:I, ""en"", ""te"")"),"ప్రోక్రేర్, జనరల్ ఏవియా, హోక్")</f>
        <v>ప్రోక్రేర్, జనరల్ ఏవియా, హోక్</v>
      </c>
      <c r="K7" s="1" t="s">
        <v>202</v>
      </c>
      <c r="L7" s="1" t="s">
        <v>203</v>
      </c>
      <c r="M7" s="1" t="s">
        <v>204</v>
      </c>
      <c r="N7" s="3">
        <v>21677.0</v>
      </c>
      <c r="O7" s="1">
        <v>1.0</v>
      </c>
      <c r="P7" s="1" t="s">
        <v>205</v>
      </c>
      <c r="Q7" s="1" t="s">
        <v>206</v>
      </c>
      <c r="R7" s="1" t="s">
        <v>207</v>
      </c>
      <c r="S7" s="1" t="s">
        <v>208</v>
      </c>
      <c r="T7" s="1" t="s">
        <v>209</v>
      </c>
      <c r="U7" s="1" t="s">
        <v>210</v>
      </c>
      <c r="V7" s="1" t="s">
        <v>211</v>
      </c>
      <c r="W7" s="1" t="s">
        <v>212</v>
      </c>
      <c r="X7" s="1" t="s">
        <v>213</v>
      </c>
      <c r="Y7" s="1" t="s">
        <v>214</v>
      </c>
      <c r="Z7" s="1" t="s">
        <v>215</v>
      </c>
      <c r="AA7" s="1" t="s">
        <v>216</v>
      </c>
      <c r="AE7" s="1" t="s">
        <v>217</v>
      </c>
      <c r="AG7" s="1" t="s">
        <v>218</v>
      </c>
      <c r="AH7" s="1" t="s">
        <v>219</v>
      </c>
      <c r="AJ7" s="1" t="s">
        <v>220</v>
      </c>
      <c r="AK7" s="1" t="s">
        <v>221</v>
      </c>
      <c r="AQ7" s="1" t="s">
        <v>222</v>
      </c>
      <c r="AR7" s="1" t="s">
        <v>223</v>
      </c>
      <c r="AS7" s="1">
        <v>7.37</v>
      </c>
      <c r="AT7" s="1" t="s">
        <v>224</v>
      </c>
      <c r="AU7" s="1" t="s">
        <v>225</v>
      </c>
      <c r="AV7" s="1" t="s">
        <v>226</v>
      </c>
    </row>
    <row r="8">
      <c r="A8" s="1" t="s">
        <v>227</v>
      </c>
      <c r="B8" s="1" t="str">
        <f>IFERROR(__xludf.DUMMYFUNCTION("GOOGLETRANSLATE(A:A, ""en"", ""te"")"),"రాడాబ్ విండెక్స్")</f>
        <v>రాడాబ్ విండెక్స్</v>
      </c>
      <c r="C8" s="1" t="s">
        <v>228</v>
      </c>
      <c r="D8" s="1" t="str">
        <f>IFERROR(__xludf.DUMMYFUNCTION("GOOGLETRANSLATE(C:C, ""en"", ""te"")"),"రాడాబ్ విండెక్స్ అనేది స్వీడిష్ హై-వింగ్, సింగిల్-సీట్ ఏరోబాటిక్ గ్లైడర్స్ మరియు మోటారు గ్లైడర్‌ల కుటుంబం, దీనిని స్వెన్ ఓలోఫ్ రిడ్డర్ రూపొందించారు మరియు ప్రారంభంలో రాడాబ్ మరియు తరువాత విండెక్సేర్ ఎబి చేత te త్సాహిక నిర్మాణానికి ఒక కిట్‌గా ఉత్పత్తి చేయబడి"&amp;"ంది. [1] [2] [[(3] ప్రారంభ రూపకల్పన శక్తి లేని మోడల్ 1100. దీని తరువాత ప్రస్తుత ఉత్పత్తి 1200 సి మోటర్‌గ్లైడర్. ఈ ప్రాజెక్ట్ 1980 లో స్వెన్-ఓలోఫ్ రిడ్డర్ మరియు హరాల్డ్ ఉండిన్ మధ్య అభిరుచి రూపకల్పనగా ప్రారంభమైంది, తరువాత ఈ డిజైన్‌ను రూపొందించడానికి రాడాబ్‌"&amp;"ను స్థాపించారు. 1983 నాటికి వారు కస్టమ్ ఎయిర్‌ఫాయిల్ విభాగాన్ని అభివృద్ధి చేసి విండ్ టన్నెల్‌లో పరీక్షించారు. [2] మొట్టమొదటి శక్తి లేని 1100 మోడల్ 1985 లో ఎగిరింది, కాని మరుసటి సంవత్సరం, వారు కిట్ ఉత్పత్తి కోసం సన్నద్ధమయ్యాడు, వారు కర్మాగారం కాలిపోయింది, "&amp;"వారు నిర్మించిన అన్ని ఫైబర్గ్లాస్ అచ్చులు ఉన్నాయి. అచ్చులు నాశనం కావడానికి ముందే రెండు 1200 సి ఎయిర్క్రాఫ్ట్ కిట్లు మాత్రమే ఉత్పత్తి చేయబడ్డాయి. వీటిలో ఒకటి 1987 ప్యారిస్ ఎయిర్‌షోలో ఎగరడానికి సమయం పూర్తయింది. [1] [2] 1990 నాటికి అచ్చులు భర్తీ చేయబడ్డాయి మ"&amp;"రియు మొదటి కొత్త 1200 సి పూర్తయింది. మొట్టమొదటి te త్సాహిక-నిర్మిత విండెక్స్ 1996 లో ఒక కిట్ నుండి పూర్తయింది. 1999 నాటికి విండెక్సెయిర్ ఎబి రాడాబ్ నుండి ఉత్పత్తిని చేపట్టింది. [2] 1200 సి కార్బన్-ఫైబర్-రీన్ఫోర్స్డ్ పాలిమర్ మరియు ఫైబర్గ్లాస్ కలయిక నుండి న"&amp;"ిర్మించబడింది. విమానం పూర్తిగా ఏరోబాటిక్ మరియు +9/-6g కు నొక్కి చెప్పబడింది. 12.1 మీ (40 అడుగుల) స్పాన్ వింగ్ కార్బన్ ఫైబర్ స్పార్స్‌ను కలిగి ఉంది మరియు ఇది సెమీ టేపెర్డ్ ప్లాన్‌ఫార్మ్. వింగ్ కస్టమ్ రాడాబ్ KTH-FFA 17% మందం ఎయిర్‌ఫాయిల్‌ను ఉపయోగిస్తుంది మర"&amp;"ియు గ్లైడ్‌పాత్ నియంత్రణ కోసం స్కీంప్ప్-హర్త్-స్టైల్ ఎగువ ఉపరితల గాలి బ్రేక్‌లు మరియు 22.5% తీగ ఫ్లాప్‌లను కలిగి ఉంది. కోనిగ్ SC-430 15 kW (20 HP) రెండు-స్ట్రోక్ మూడు-సిలిండర్ ఇంజన్ ట్రాక్టర్ కాన్ఫిగరేషన్‌లో అమర్చబడి, వేరియబుల్-పిచ్, పూర్తిగా ఈక ప్రొపెల్ల"&amp;"ర్‌ను కలిగి ఉంది. [1] [2] [4] [5] ఇది ఉత్పత్తిలో ఉన్నప్పుడు విండెక్స్ 1200 సి మూడు కిట్లలో సరఫరా చేయబడింది, ఫ్యూజ్‌లేజ్, రెక్కలు మరియు ఇంజిన్ మరియు ప్రొపెల్లర్. [6] 1991 లో, పోలాండ్‌లోని జీలోనా గోరాలో జరిగిన FAI వరల్డ్ గ్లైడర్ ఏరోబాటిక్ ఛాంపియన్‌షిప్‌లో ఈ"&amp;" నమూనాను ఎగురవేశారు, రెండు కాంస్య పతకాలు సాధించారు. [2] ఆగష్టు 2011 లో ఫెడరల్ ఏవియేషన్ అడ్మినిస్ట్రేషన్తో అమెరికాలో నాలుగు విండెక్స్ మోటార్ గ్లైడర్లు మరియు ఒక గ్లైడర్ నమోదు చేయబడ్డాయి. అన్నీ ప్రయోగాత్మక - te త్సాహిక -నిర్మిత వర్గంలో ఉన్నాయి. [7] సెయిల్‌ప్"&amp;"లేన్ డైరెక్టరీ మరియు కంపెనీ వెబ్‌సైట్ నుండి డేటా, [1] [9] జేన్ యొక్క అన్ని ప్రపంచ విమానాలు 1988-89 [8] సాధారణ లక్షణాల పనితీరు")</f>
        <v>రాడాబ్ విండెక్స్ అనేది స్వీడిష్ హై-వింగ్, సింగిల్-సీట్ ఏరోబాటిక్ గ్లైడర్స్ మరియు మోటారు గ్లైడర్‌ల కుటుంబం, దీనిని స్వెన్ ఓలోఫ్ రిడ్డర్ రూపొందించారు మరియు ప్రారంభంలో రాడాబ్ మరియు తరువాత విండెక్సేర్ ఎబి చేత te త్సాహిక నిర్మాణానికి ఒక కిట్‌గా ఉత్పత్తి చేయబడింది. [1] [2] [[(3] ప్రారంభ రూపకల్పన శక్తి లేని మోడల్ 1100. దీని తరువాత ప్రస్తుత ఉత్పత్తి 1200 సి మోటర్‌గ్లైడర్. ఈ ప్రాజెక్ట్ 1980 లో స్వెన్-ఓలోఫ్ రిడ్డర్ మరియు హరాల్డ్ ఉండిన్ మధ్య అభిరుచి రూపకల్పనగా ప్రారంభమైంది, తరువాత ఈ డిజైన్‌ను రూపొందించడానికి రాడాబ్‌ను స్థాపించారు. 1983 నాటికి వారు కస్టమ్ ఎయిర్‌ఫాయిల్ విభాగాన్ని అభివృద్ధి చేసి విండ్ టన్నెల్‌లో పరీక్షించారు. [2] మొట్టమొదటి శక్తి లేని 1100 మోడల్ 1985 లో ఎగిరింది, కాని మరుసటి సంవత్సరం, వారు కిట్ ఉత్పత్తి కోసం సన్నద్ధమయ్యాడు, వారు కర్మాగారం కాలిపోయింది, వారు నిర్మించిన అన్ని ఫైబర్గ్లాస్ అచ్చులు ఉన్నాయి. అచ్చులు నాశనం కావడానికి ముందే రెండు 1200 సి ఎయిర్క్రాఫ్ట్ కిట్లు మాత్రమే ఉత్పత్తి చేయబడ్డాయి. వీటిలో ఒకటి 1987 ప్యారిస్ ఎయిర్‌షోలో ఎగరడానికి సమయం పూర్తయింది. [1] [2] 1990 నాటికి అచ్చులు భర్తీ చేయబడ్డాయి మరియు మొదటి కొత్త 1200 సి పూర్తయింది. మొట్టమొదటి te త్సాహిక-నిర్మిత విండెక్స్ 1996 లో ఒక కిట్ నుండి పూర్తయింది. 1999 నాటికి విండెక్సెయిర్ ఎబి రాడాబ్ నుండి ఉత్పత్తిని చేపట్టింది. [2] 1200 సి కార్బన్-ఫైబర్-రీన్ఫోర్స్డ్ పాలిమర్ మరియు ఫైబర్గ్లాస్ కలయిక నుండి నిర్మించబడింది. విమానం పూర్తిగా ఏరోబాటిక్ మరియు +9/-6g కు నొక్కి చెప్పబడింది. 12.1 మీ (40 అడుగుల) స్పాన్ వింగ్ కార్బన్ ఫైబర్ స్పార్స్‌ను కలిగి ఉంది మరియు ఇది సెమీ టేపెర్డ్ ప్లాన్‌ఫార్మ్. వింగ్ కస్టమ్ రాడాబ్ KTH-FFA 17% మందం ఎయిర్‌ఫాయిల్‌ను ఉపయోగిస్తుంది మరియు గ్లైడ్‌పాత్ నియంత్రణ కోసం స్కీంప్ప్-హర్త్-స్టైల్ ఎగువ ఉపరితల గాలి బ్రేక్‌లు మరియు 22.5% తీగ ఫ్లాప్‌లను కలిగి ఉంది. కోనిగ్ SC-430 15 kW (20 HP) రెండు-స్ట్రోక్ మూడు-సిలిండర్ ఇంజన్ ట్రాక్టర్ కాన్ఫిగరేషన్‌లో అమర్చబడి, వేరియబుల్-పిచ్, పూర్తిగా ఈక ప్రొపెల్లర్‌ను కలిగి ఉంది. [1] [2] [4] [5] ఇది ఉత్పత్తిలో ఉన్నప్పుడు విండెక్స్ 1200 సి మూడు కిట్లలో సరఫరా చేయబడింది, ఫ్యూజ్‌లేజ్, రెక్కలు మరియు ఇంజిన్ మరియు ప్రొపెల్లర్. [6] 1991 లో, పోలాండ్‌లోని జీలోనా గోరాలో జరిగిన FAI వరల్డ్ గ్లైడర్ ఏరోబాటిక్ ఛాంపియన్‌షిప్‌లో ఈ నమూనాను ఎగురవేశారు, రెండు కాంస్య పతకాలు సాధించారు. [2] ఆగష్టు 2011 లో ఫెడరల్ ఏవియేషన్ అడ్మినిస్ట్రేషన్తో అమెరికాలో నాలుగు విండెక్స్ మోటార్ గ్లైడర్లు మరియు ఒక గ్లైడర్ నమోదు చేయబడ్డాయి. అన్నీ ప్రయోగాత్మక - te త్సాహిక -నిర్మిత వర్గంలో ఉన్నాయి. [7] సెయిల్‌ప్లేన్ డైరెక్టరీ మరియు కంపెనీ వెబ్‌సైట్ నుండి డేటా, [1] [9] జేన్ యొక్క అన్ని ప్రపంచ విమానాలు 1988-89 [8] సాధారణ లక్షణాల పనితీరు</v>
      </c>
      <c r="E8" s="1" t="s">
        <v>229</v>
      </c>
      <c r="F8" s="1" t="str">
        <f>IFERROR(__xludf.DUMMYFUNCTION("GOOGLETRANSLATE(E:E, ""en"", ""te"")"),"గ్లైడర్ మరియు మోటారు గ్లైడర్")</f>
        <v>గ్లైడర్ మరియు మోటారు గ్లైడర్</v>
      </c>
      <c r="G8" s="1" t="s">
        <v>230</v>
      </c>
      <c r="H8" s="1" t="str">
        <f>IFERROR(__xludf.DUMMYFUNCTION("GOOGLETRANSLATE(G:G, ""en"", ""te"")"),"స్వీడన్")</f>
        <v>స్వీడన్</v>
      </c>
      <c r="I8" s="1" t="s">
        <v>231</v>
      </c>
      <c r="J8" s="1" t="str">
        <f>IFERROR(__xludf.DUMMYFUNCTION("GOOGLETRANSLATE(I:I, ""en"", ""te"")"),"Radabwindexair ab")</f>
        <v>Radabwindexair ab</v>
      </c>
      <c r="K8" s="1" t="s">
        <v>232</v>
      </c>
      <c r="L8" s="1" t="s">
        <v>233</v>
      </c>
      <c r="M8" s="1" t="s">
        <v>234</v>
      </c>
      <c r="N8" s="1" t="s">
        <v>235</v>
      </c>
      <c r="O8" s="1" t="s">
        <v>135</v>
      </c>
      <c r="P8" s="1" t="s">
        <v>236</v>
      </c>
      <c r="Q8" s="1" t="s">
        <v>237</v>
      </c>
      <c r="S8" s="1" t="s">
        <v>238</v>
      </c>
      <c r="T8" s="1" t="s">
        <v>239</v>
      </c>
      <c r="U8" s="1" t="s">
        <v>240</v>
      </c>
      <c r="V8" s="1" t="s">
        <v>241</v>
      </c>
      <c r="W8" s="1" t="s">
        <v>242</v>
      </c>
      <c r="Z8" s="1" t="s">
        <v>243</v>
      </c>
      <c r="AA8" s="1" t="s">
        <v>244</v>
      </c>
      <c r="AB8" s="1" t="s">
        <v>245</v>
      </c>
      <c r="AC8" s="2" t="s">
        <v>246</v>
      </c>
      <c r="AD8" s="1" t="s">
        <v>247</v>
      </c>
      <c r="AE8" s="1" t="s">
        <v>248</v>
      </c>
      <c r="AF8" s="1" t="s">
        <v>249</v>
      </c>
      <c r="AG8" s="1" t="s">
        <v>250</v>
      </c>
      <c r="AH8" s="1" t="s">
        <v>251</v>
      </c>
      <c r="AI8" s="1" t="s">
        <v>252</v>
      </c>
      <c r="AR8" s="1" t="s">
        <v>253</v>
      </c>
      <c r="AS8" s="1">
        <v>19.75</v>
      </c>
      <c r="AT8" s="1" t="s">
        <v>254</v>
      </c>
      <c r="AW8" s="1" t="s">
        <v>255</v>
      </c>
      <c r="AX8" s="1" t="s">
        <v>256</v>
      </c>
      <c r="AY8" s="1" t="s">
        <v>257</v>
      </c>
      <c r="AZ8" s="1" t="s">
        <v>258</v>
      </c>
      <c r="BA8" s="1" t="s">
        <v>259</v>
      </c>
      <c r="BB8" s="1">
        <v>36.0</v>
      </c>
      <c r="BC8" s="1" t="s">
        <v>260</v>
      </c>
      <c r="BD8" s="1" t="s">
        <v>261</v>
      </c>
      <c r="BE8" s="1" t="s">
        <v>262</v>
      </c>
    </row>
    <row r="9">
      <c r="A9" s="1" t="s">
        <v>263</v>
      </c>
      <c r="B9" s="1" t="str">
        <f>IFERROR(__xludf.DUMMYFUNCTION("GOOGLETRANSLATE(A:A, ""en"", ""te"")"),"పైల్ డైమంట్")</f>
        <v>పైల్ డైమంట్</v>
      </c>
      <c r="C9" s="1" t="s">
        <v>264</v>
      </c>
      <c r="D9" s="1" t="str">
        <f>IFERROR(__xludf.DUMMYFUNCTION("GOOGLETRANSLATE(C:C, ""en"", ""te"")"),"పైల్ సిపి 60 డైమంట్ అనేది 1960 లలో ఫ్రాన్స్‌లో రూపొందించిన సింగిల్-ఇంజిన్ లైట్ విమానం మరియు ఇంటి భవనం కోసం విక్రయించబడింది. [1] డైమంట్ అనేది సాంప్రదాయిక, తక్కువ-వింగ్ కాంటిలివర్ మోనోప్లేన్ మరియు తప్పనిసరిగా ఎక్కువ మంది ప్రయాణీకులకు అనుగుణంగా రూపొందించిన ప"&amp;"ైల్ యొక్క విజయవంతమైన ఎమెరాడ్ యొక్క విస్తరించిన సంస్కరణ. [1] [2] ఈ అదనపు సామర్థ్యం పున es రూపకల్పన చేయబడిన ఫ్యూజ్‌లేజ్ ద్వారా అందించబడుతుంది, ఇది వెనుక విభాగంలో ఎక్కువగా ఉంటుంది మరియు మొత్తం ఎక్కువ. [3] ఎమెరాడ్‌లో రెండు సీట్లు మాత్రమే ఉన్నాయి, పక్కపక్కనే, "&amp;"డైమంట్ క్యాబిన్ వెనుక భాగంలో ఒకటి లేదా ఇద్దరు వ్యక్తులను సీటు చేయడానికి అదనపు బెంచ్ సీటును కలిగి ఉంది. [2] వింగ్స్పాన్ ఎమెరాడ్ కంటే ఎక్కువ, ఇది ఎక్కువ గరిష్ట టేకాఫ్ బరువును అనుమతిస్తుంది. [3] 110 పేజీల ప్రణాళికల సమితిలో ముడుచుకునే గేర్, ట్రైసైకిల్ గేర్ మర"&amp;"ియు వింగ్ మౌంటెడ్ ఇంధన ట్యాంకుల మార్పులు ఉన్నాయి. [4] ఎమెరాడ్ మాదిరిగానే, పీల్ డైమంట్ కోసం రకం ధృవీకరణను పొందాడు, దీనిని వాణిజ్య ప్రాతిపదికన తయారు చేయడానికి అనుమతిస్తుంది. [2] ఏదేమైనా, ఎమెరాడ్ మాదిరిగా కాకుండా, ఇది వాస్తవానికి ప్రసారం కాలేదు, మరియు డైమంట్"&amp;" ఎప్పుడైనా హోమ్‌బిల్ట్‌గా మాత్రమే నిర్మించబడింది. [5] 1970 ల చివరినాటికి, డైమంట్ యొక్క అసలు సంస్కరణలు ఇకపై అందించబడలేదు మరియు సూపర్ డైమంట్ చేత భర్తీ చేయబడ్డాయి, ఇది మరింత శక్తివంతమైన ఇంజిన్ల కోసం రూపొందించబడింది మరియు సవరించిన తోక ఉపరితలాలను కలిగి ఉంది. ["&amp;"2] జేన్ యొక్క ఆల్ ది వరల్డ్ విమానాల నుండి డేటా 1977-78, పే .496 జనరల్ లక్షణాల పనితీరు")</f>
        <v>పైల్ సిపి 60 డైమంట్ అనేది 1960 లలో ఫ్రాన్స్‌లో రూపొందించిన సింగిల్-ఇంజిన్ లైట్ విమానం మరియు ఇంటి భవనం కోసం విక్రయించబడింది. [1] డైమంట్ అనేది సాంప్రదాయిక, తక్కువ-వింగ్ కాంటిలివర్ మోనోప్లేన్ మరియు తప్పనిసరిగా ఎక్కువ మంది ప్రయాణీకులకు అనుగుణంగా రూపొందించిన పైల్ యొక్క విజయవంతమైన ఎమెరాడ్ యొక్క విస్తరించిన సంస్కరణ. [1] [2] ఈ అదనపు సామర్థ్యం పున es రూపకల్పన చేయబడిన ఫ్యూజ్‌లేజ్ ద్వారా అందించబడుతుంది, ఇది వెనుక విభాగంలో ఎక్కువగా ఉంటుంది మరియు మొత్తం ఎక్కువ. [3] ఎమెరాడ్‌లో రెండు సీట్లు మాత్రమే ఉన్నాయి, పక్కపక్కనే, డైమంట్ క్యాబిన్ వెనుక భాగంలో ఒకటి లేదా ఇద్దరు వ్యక్తులను సీటు చేయడానికి అదనపు బెంచ్ సీటును కలిగి ఉంది. [2] వింగ్స్పాన్ ఎమెరాడ్ కంటే ఎక్కువ, ఇది ఎక్కువ గరిష్ట టేకాఫ్ బరువును అనుమతిస్తుంది. [3] 110 పేజీల ప్రణాళికల సమితిలో ముడుచుకునే గేర్, ట్రైసైకిల్ గేర్ మరియు వింగ్ మౌంటెడ్ ఇంధన ట్యాంకుల మార్పులు ఉన్నాయి. [4] ఎమెరాడ్ మాదిరిగానే, పీల్ డైమంట్ కోసం రకం ధృవీకరణను పొందాడు, దీనిని వాణిజ్య ప్రాతిపదికన తయారు చేయడానికి అనుమతిస్తుంది. [2] ఏదేమైనా, ఎమెరాడ్ మాదిరిగా కాకుండా, ఇది వాస్తవానికి ప్రసారం కాలేదు, మరియు డైమంట్ ఎప్పుడైనా హోమ్‌బిల్ట్‌గా మాత్రమే నిర్మించబడింది. [5] 1970 ల చివరినాటికి, డైమంట్ యొక్క అసలు సంస్కరణలు ఇకపై అందించబడలేదు మరియు సూపర్ డైమంట్ చేత భర్తీ చేయబడ్డాయి, ఇది మరింత శక్తివంతమైన ఇంజిన్ల కోసం రూపొందించబడింది మరియు సవరించిన తోక ఉపరితలాలను కలిగి ఉంది. [2] జేన్ యొక్క ఆల్ ది వరల్డ్ విమానాల నుండి డేటా 1977-78, పే .496 జనరల్ లక్షణాల పనితీరు</v>
      </c>
      <c r="E9" s="1" t="s">
        <v>265</v>
      </c>
      <c r="F9" s="1" t="str">
        <f>IFERROR(__xludf.DUMMYFUNCTION("GOOGLETRANSLATE(E:E, ""en"", ""te"")"),"సివిల్ యుటిలిటీ విమానం")</f>
        <v>సివిల్ యుటిలిటీ విమానం</v>
      </c>
      <c r="G9" s="1" t="s">
        <v>113</v>
      </c>
      <c r="H9" s="1" t="str">
        <f>IFERROR(__xludf.DUMMYFUNCTION("GOOGLETRANSLATE(G:G, ""en"", ""te"")"),"ఫ్రాన్స్")</f>
        <v>ఫ్రాన్స్</v>
      </c>
      <c r="I9" s="1" t="s">
        <v>114</v>
      </c>
      <c r="J9" s="1" t="str">
        <f>IFERROR(__xludf.DUMMYFUNCTION("GOOGLETRANSLATE(I:I, ""en"", ""te"")"),"హోమ్‌బిల్ట్")</f>
        <v>హోమ్‌బిల్ట్</v>
      </c>
      <c r="K9" s="2" t="s">
        <v>115</v>
      </c>
      <c r="L9" s="1" t="s">
        <v>116</v>
      </c>
      <c r="M9" s="1" t="s">
        <v>117</v>
      </c>
      <c r="O9" s="1" t="s">
        <v>118</v>
      </c>
      <c r="P9" s="1" t="s">
        <v>266</v>
      </c>
      <c r="Q9" s="1" t="s">
        <v>267</v>
      </c>
      <c r="R9" s="1" t="s">
        <v>268</v>
      </c>
      <c r="S9" s="1" t="s">
        <v>269</v>
      </c>
      <c r="T9" s="1" t="s">
        <v>270</v>
      </c>
      <c r="U9" s="1" t="s">
        <v>271</v>
      </c>
      <c r="V9" s="1" t="s">
        <v>272</v>
      </c>
      <c r="W9" s="1" t="s">
        <v>126</v>
      </c>
      <c r="X9" s="1" t="s">
        <v>273</v>
      </c>
      <c r="Y9" s="1" t="s">
        <v>274</v>
      </c>
      <c r="Z9" s="1" t="s">
        <v>275</v>
      </c>
      <c r="AA9" s="1" t="s">
        <v>276</v>
      </c>
      <c r="AK9" s="1" t="s">
        <v>277</v>
      </c>
      <c r="AR9" s="1" t="s">
        <v>278</v>
      </c>
    </row>
    <row r="10">
      <c r="A10" s="1" t="s">
        <v>279</v>
      </c>
      <c r="B10" s="1" t="str">
        <f>IFERROR(__xludf.DUMMYFUNCTION("GOOGLETRANSLATE(A:A, ""en"", ""te"")"),"పైపర్ PA-14 కుటుంబ క్రూయిజర్")</f>
        <v>పైపర్ PA-14 కుటుంబ క్రూయిజర్</v>
      </c>
      <c r="C10" s="1" t="s">
        <v>280</v>
      </c>
      <c r="D10" s="1" t="str">
        <f>IFERROR(__xludf.DUMMYFUNCTION("GOOGLETRANSLATE(C:C, ""en"", ""te"")"),"పైపర్ PA-14 కుటుంబ క్రూయిజర్ 1940 ల చివరలో అమెరికన్ నిర్మించిన చిన్న టూరింగ్ విమానం. పైపర్ ఎయిర్క్రాఫ్ట్ 1946 మరియు మార్చి 1948 మధ్య PA-12 సూపర్ క్రూయిజర్ మూడు-సీట్ల టూరింగ్ విమానాలను నిర్మించింది. 1947 లో, PA-12 డిజైన్ నాలుగు సీట్ల లేఅవుట్‌కు అనుగుణంగా ఉ"&amp;"ంది స్లాట్డ్ ఫ్లాప్‌లను కలుపుతోంది. అసలు హై-వింగ్ మరియు స్థిర టెయిల్‌వీల్ అండర్ క్యారేజ్ లేఅవుట్ లక్షణాలు అలాగే ఉంచబడ్డాయి. PA-14 ప్రోటోటైప్ 21 మార్చి 1947 న కంపెనీ లాక్ హెవెన్ పెన్సిల్వేనియా ఫ్యాక్టరీ నుండి మొదటి విమాన ప్రయాణం చేసింది. [1] రెండవ PA-14 6 "&amp;"ఫిబ్రవరి 1948 న పూర్తయింది మరియు మొదటి కస్టమర్ డెలివరీలు ఆ సంవత్సరం తరువాత జరిగాయి. [1] 238 ఉదాహరణలు పూర్తయ్యాయి, [2] చాలావరకు అమెరికాలోని ప్రైవేట్ యజమాని పైలట్లకు విక్రయించబడ్డాయి, కాని విదేశీ అమ్మకాలు ఫ్రాన్స్‌కు అనేక ఉన్నాయి. ఈ విమానం కంపెనీకి తీవ్రమైన"&amp;" ఆర్థిక ఇబ్బందుల సమయంలో ప్రారంభించబడింది, వాస్తవానికి, ఫ్యామిలీ క్రూయిజర్ విడుదలైన వెంటనే, పైపర్‌ను రిసీవర్‌షిప్‌లో ఉంచారు, దాని నుండి తరువాత అది విజయవంతంగా ఉద్భవించింది. 126 ఉదాహరణలు 2011 ఏప్రిల్‌లో అమెరికాలో నమోదు చేయబడ్డాయి, వీటిలో 81 అలాస్కాలో మరియు 1"&amp;"3 విమానాలు కెనడాలో నమోదు చేయబడ్డాయి. పైపర్ విమానం మరియు వారి ముందస్తుదారుల నుండి డేటా [3] సాధారణ లక్షణాలు పనితీరు సంబంధిత అభివృద్ధి విమానం పోల్చదగిన పాత్ర, కాన్ఫిగరేషన్ మరియు ERA")</f>
        <v>పైపర్ PA-14 కుటుంబ క్రూయిజర్ 1940 ల చివరలో అమెరికన్ నిర్మించిన చిన్న టూరింగ్ విమానం. పైపర్ ఎయిర్క్రాఫ్ట్ 1946 మరియు మార్చి 1948 మధ్య PA-12 సూపర్ క్రూయిజర్ మూడు-సీట్ల టూరింగ్ విమానాలను నిర్మించింది. 1947 లో, PA-12 డిజైన్ నాలుగు సీట్ల లేఅవుట్‌కు అనుగుణంగా ఉంది స్లాట్డ్ ఫ్లాప్‌లను కలుపుతోంది. అసలు హై-వింగ్ మరియు స్థిర టెయిల్‌వీల్ అండర్ క్యారేజ్ లేఅవుట్ లక్షణాలు అలాగే ఉంచబడ్డాయి. PA-14 ప్రోటోటైప్ 21 మార్చి 1947 న కంపెనీ లాక్ హెవెన్ పెన్సిల్వేనియా ఫ్యాక్టరీ నుండి మొదటి విమాన ప్రయాణం చేసింది. [1] రెండవ PA-14 6 ఫిబ్రవరి 1948 న పూర్తయింది మరియు మొదటి కస్టమర్ డెలివరీలు ఆ సంవత్సరం తరువాత జరిగాయి. [1] 238 ఉదాహరణలు పూర్తయ్యాయి, [2] చాలావరకు అమెరికాలోని ప్రైవేట్ యజమాని పైలట్లకు విక్రయించబడ్డాయి, కాని విదేశీ అమ్మకాలు ఫ్రాన్స్‌కు అనేక ఉన్నాయి. ఈ విమానం కంపెనీకి తీవ్రమైన ఆర్థిక ఇబ్బందుల సమయంలో ప్రారంభించబడింది, వాస్తవానికి, ఫ్యామిలీ క్రూయిజర్ విడుదలైన వెంటనే, పైపర్‌ను రిసీవర్‌షిప్‌లో ఉంచారు, దాని నుండి తరువాత అది విజయవంతంగా ఉద్భవించింది. 126 ఉదాహరణలు 2011 ఏప్రిల్‌లో అమెరికాలో నమోదు చేయబడ్డాయి, వీటిలో 81 అలాస్కాలో మరియు 13 విమానాలు కెనడాలో నమోదు చేయబడ్డాయి. పైపర్ విమానం మరియు వారి ముందస్తుదారుల నుండి డేటా [3] సాధారణ లక్షణాలు పనితీరు సంబంధిత అభివృద్ధి విమానం పోల్చదగిన పాత్ర, కాన్ఫిగరేషన్ మరియు ERA</v>
      </c>
      <c r="E10" s="1" t="s">
        <v>281</v>
      </c>
      <c r="F10" s="1" t="str">
        <f>IFERROR(__xludf.DUMMYFUNCTION("GOOGLETRANSLATE(E:E, ""en"", ""te"")"),"సింగిల్-ఇంజిన్ క్యాబిన్ మోనోప్లేన్")</f>
        <v>సింగిల్-ఇంజిన్ క్యాబిన్ మోనోప్లేన్</v>
      </c>
      <c r="G10" s="1" t="s">
        <v>155</v>
      </c>
      <c r="H10" s="1" t="str">
        <f>IFERROR(__xludf.DUMMYFUNCTION("GOOGLETRANSLATE(G:G, ""en"", ""te"")"),"అమెరికా")</f>
        <v>అమెరికా</v>
      </c>
      <c r="I10" s="1" t="s">
        <v>282</v>
      </c>
      <c r="J10" s="1" t="str">
        <f>IFERROR(__xludf.DUMMYFUNCTION("GOOGLETRANSLATE(I:I, ""en"", ""te"")"),"పైపర్ విమానం")</f>
        <v>పైపర్ విమానం</v>
      </c>
      <c r="K10" s="1" t="s">
        <v>283</v>
      </c>
      <c r="N10" s="3">
        <v>17247.0</v>
      </c>
      <c r="O10" s="1">
        <v>1.0</v>
      </c>
      <c r="P10" s="1" t="s">
        <v>284</v>
      </c>
      <c r="Q10" s="1" t="s">
        <v>285</v>
      </c>
      <c r="R10" s="1" t="s">
        <v>286</v>
      </c>
      <c r="S10" s="1" t="s">
        <v>287</v>
      </c>
      <c r="T10" s="1" t="s">
        <v>288</v>
      </c>
      <c r="V10" s="1" t="s">
        <v>289</v>
      </c>
      <c r="W10" s="1" t="s">
        <v>290</v>
      </c>
      <c r="X10" s="1" t="s">
        <v>291</v>
      </c>
      <c r="Z10" s="1" t="s">
        <v>292</v>
      </c>
      <c r="AA10" s="1" t="s">
        <v>293</v>
      </c>
      <c r="AF10" s="1" t="s">
        <v>294</v>
      </c>
      <c r="AG10" s="1" t="s">
        <v>295</v>
      </c>
      <c r="AH10" s="1" t="s">
        <v>296</v>
      </c>
      <c r="AI10" s="1" t="s">
        <v>297</v>
      </c>
      <c r="AJ10" s="1">
        <v>238.0</v>
      </c>
      <c r="AK10" s="1" t="s">
        <v>221</v>
      </c>
      <c r="AT10" s="1" t="s">
        <v>298</v>
      </c>
      <c r="AX10" s="1" t="s">
        <v>299</v>
      </c>
      <c r="BE10" s="1" t="s">
        <v>300</v>
      </c>
      <c r="BF10" s="1" t="s">
        <v>301</v>
      </c>
      <c r="BG10" s="1" t="s">
        <v>302</v>
      </c>
      <c r="BH10" s="1" t="s">
        <v>303</v>
      </c>
    </row>
    <row r="11">
      <c r="A11" s="1" t="s">
        <v>304</v>
      </c>
      <c r="B11" s="1" t="str">
        <f>IFERROR(__xludf.DUMMYFUNCTION("GOOGLETRANSLATE(A:A, ""en"", ""te"")"),"పోబెర్ పిక్సీ")</f>
        <v>పోబెర్ పిక్సీ</v>
      </c>
      <c r="C11" s="1" t="s">
        <v>305</v>
      </c>
      <c r="D11" s="1" t="str">
        <f>IFERROR(__xludf.DUMMYFUNCTION("GOOGLETRANSLATE(C:C, ""en"", ""te"")"),"పోబెర్ పిక్సీ అనేది సింగిల్-సీట్ లైట్ విమానం, ఇది 1974 లో అమెరికాలో రూపొందించబడింది మరియు హోమ్‌బిల్డింగ్ కోసం ప్రణాళికలుగా విక్రయించబడింది. [1] [2] ఇది సాంప్రదాయిక పారాసోల్-వింగ్ మోనోప్లేన్, ఇది స్థిర టెయిల్‌వీల్ అండర్ క్యారేజ్ మరియు ఒకే ఓపెన్ కాక్‌పిట్. "&amp;"డిజైన్ హీత్ పారాసోల్ చేత ప్రేరణ పొందింది. [1] [2] 1973 చమురు సంక్షోభానికి ప్రతిస్పందనగా, EAA అధిక ఇంధన ఆర్థిక వ్యవస్థతో ఒక విమానాన్ని అభివృద్ధి చేయడానికి ""ప్రాజెక్ట్ ఎకోనోప్లేన్"" ను ప్రారంభించింది, అందువల్ల దాని సభ్యులు పనిచేయడానికి సరసమైనది. [1] పోబెర్"&amp;" పిక్సీ ఫలితం, 1835 సిసి [2] యొక్క వోక్స్వ్యాగన్ ఎయిర్-కూల్డ్ ఇంజిన్ మరియు గంటకు 3 నుండి 3.5 యుఎస్ గల్ (11 నుండి 13 ఎల్) ఇంధన వినియోగం. జనవరి 1974 లో ప్రణాళికలు పూర్తయ్యాయి మరియు ఆ సంవత్సరం EAA వార్షిక సదస్సు కోసం ప్రోటోటైప్ జూలై చివరలో ప్రయాణించింది. సమా"&amp;"వేశం తరువాత, ప్రోటోటైప్ సవరణల కోసం వర్క్‌షాప్‌కు తిరిగి ఇవ్వబడింది, వీటిలో 60 హెచ్‌పి (45 కిలోవాట్ల) లింబాచ్ ఎస్ఎల్ 1700 ఇఎ ఇంజిన్ మరియు రెహ్మ్ 5330 టూ-బ్లేడ్ ఫిక్స్‌డ్-పిచ్ ప్రొపెల్లర్‌తో సహా, వీటి వివరాలను ప్రణాళికల్లో చేర్చారు. పిక్సీ ఫ్యూజ్‌లేజ్ వెల్డ"&amp;"ెడ్ 4130 స్టీల్ ట్యూబ్ నుండి, రెక్కలను సిట్కా స్ప్రూస్ నుండి తయారు చేస్తారు, స్టిట్స్ పాలీ-ఫైబర్ ఫాబ్రిక్‌తో కప్పబడి ఉంటుంది. సిఫార్సు చేయబడిన ఇంజిన్లలో వోక్స్వ్యాగన్ లేదా కాంటినెంటల్ A65 ఉన్నాయి. [3] డిజైన్ పూర్తి-స్పాన్ ఐలెరాన్‌లను కలిగి ఉంటుంది, ఇది కన"&amp;"ీస ప్రతికూల యావ్‌తో అధిక రోల్ రేటును ఇస్తుంది. [1] [2] ఎయిర్క్రాఫ్ట్ స్ప్రూస్ మరియు స్పెషాలిటీ డిజైన్ గురించి చెబుతుంది: హీత్ పారాసోల్‌కు అనేక విధాలుగా, పిక్సీ 1930 లలో హెల్మెట్-అండ్-గాగుల్ రోజుల ఆధునీకరణ. పెద్ద వింగ్ మరియు పూర్తి-స్పాన్ ఐలెరాన్లు సులభంగా"&amp;" ఎగురుతూ ఉంటాయి. కనీస టెయిల్‌డ్రాగర్ అనుభవంతో, పిక్సీ భూమిపై నిర్వహించడానికి ఒక బ్రీజ్. ల్యాండింగ్‌లు సున్నితమైన వ్యవహారాలు, క్రూయిజ్‌లో దృశ్యమానత అత్యుత్తమమైనది మరియు స్కిస్‌తో ఉపయోగించడం సరదా యొక్క మరొక కోణాన్ని జోడిస్తుంది. [3] మార్చి 2017 నాటికి, 27 ఉ"&amp;"దాహరణలు అమెరికాలో ఫెడరల్ ఏవియేషన్ అడ్మినిస్ట్రేషన్ మరియు ఆరు ట్రాన్స్‌పోర్ట్ కెనడాతో నమోదు చేయబడ్డాయి. [4] [[(చేర్చుట సాధారణ లక్షణాల పనితీరు")</f>
        <v>పోబెర్ పిక్సీ అనేది సింగిల్-సీట్ లైట్ విమానం, ఇది 1974 లో అమెరికాలో రూపొందించబడింది మరియు హోమ్‌బిల్డింగ్ కోసం ప్రణాళికలుగా విక్రయించబడింది. [1] [2] ఇది సాంప్రదాయిక పారాసోల్-వింగ్ మోనోప్లేన్, ఇది స్థిర టెయిల్‌వీల్ అండర్ క్యారేజ్ మరియు ఒకే ఓపెన్ కాక్‌పిట్. డిజైన్ హీత్ పారాసోల్ చేత ప్రేరణ పొందింది. [1] [2] 1973 చమురు సంక్షోభానికి ప్రతిస్పందనగా, EAA అధిక ఇంధన ఆర్థిక వ్యవస్థతో ఒక విమానాన్ని అభివృద్ధి చేయడానికి "ప్రాజెక్ట్ ఎకోనోప్లేన్" ను ప్రారంభించింది, అందువల్ల దాని సభ్యులు పనిచేయడానికి సరసమైనది. [1] పోబెర్ పిక్సీ ఫలితం, 1835 సిసి [2] యొక్క వోక్స్వ్యాగన్ ఎయిర్-కూల్డ్ ఇంజిన్ మరియు గంటకు 3 నుండి 3.5 యుఎస్ గల్ (11 నుండి 13 ఎల్) ఇంధన వినియోగం. జనవరి 1974 లో ప్రణాళికలు పూర్తయ్యాయి మరియు ఆ సంవత్సరం EAA వార్షిక సదస్సు కోసం ప్రోటోటైప్ జూలై చివరలో ప్రయాణించింది. సమావేశం తరువాత, ప్రోటోటైప్ సవరణల కోసం వర్క్‌షాప్‌కు తిరిగి ఇవ్వబడింది, వీటిలో 60 హెచ్‌పి (45 కిలోవాట్ల) లింబాచ్ ఎస్ఎల్ 1700 ఇఎ ఇంజిన్ మరియు రెహ్మ్ 5330 టూ-బ్లేడ్ ఫిక్స్‌డ్-పిచ్ ప్రొపెల్లర్‌తో సహా, వీటి వివరాలను ప్రణాళికల్లో చేర్చారు. పిక్సీ ఫ్యూజ్‌లేజ్ వెల్డెడ్ 4130 స్టీల్ ట్యూబ్ నుండి, రెక్కలను సిట్కా స్ప్రూస్ నుండి తయారు చేస్తారు, స్టిట్స్ పాలీ-ఫైబర్ ఫాబ్రిక్‌తో కప్పబడి ఉంటుంది. సిఫార్సు చేయబడిన ఇంజిన్లలో వోక్స్వ్యాగన్ లేదా కాంటినెంటల్ A65 ఉన్నాయి. [3] డిజైన్ పూర్తి-స్పాన్ ఐలెరాన్‌లను కలిగి ఉంటుంది, ఇది కనీస ప్రతికూల యావ్‌తో అధిక రోల్ రేటును ఇస్తుంది. [1] [2] ఎయిర్క్రాఫ్ట్ స్ప్రూస్ మరియు స్పెషాలిటీ డిజైన్ గురించి చెబుతుంది: హీత్ పారాసోల్‌కు అనేక విధాలుగా, పిక్సీ 1930 లలో హెల్మెట్-అండ్-గాగుల్ రోజుల ఆధునీకరణ. పెద్ద వింగ్ మరియు పూర్తి-స్పాన్ ఐలెరాన్లు సులభంగా ఎగురుతూ ఉంటాయి. కనీస టెయిల్‌డ్రాగర్ అనుభవంతో, పిక్సీ భూమిపై నిర్వహించడానికి ఒక బ్రీజ్. ల్యాండింగ్‌లు సున్నితమైన వ్యవహారాలు, క్రూయిజ్‌లో దృశ్యమానత అత్యుత్తమమైనది మరియు స్కిస్‌తో ఉపయోగించడం సరదా యొక్క మరొక కోణాన్ని జోడిస్తుంది. [3] మార్చి 2017 నాటికి, 27 ఉదాహరణలు అమెరికాలో ఫెడరల్ ఏవియేషన్ అడ్మినిస్ట్రేషన్ మరియు ఆరు ట్రాన్స్‌పోర్ట్ కెనడాతో నమోదు చేయబడ్డాయి. [4] [[(చేర్చుట సాధారణ లక్షణాల పనితీరు</v>
      </c>
      <c r="E11" s="1" t="s">
        <v>306</v>
      </c>
      <c r="F11" s="1" t="str">
        <f>IFERROR(__xludf.DUMMYFUNCTION("GOOGLETRANSLATE(E:E, ""en"", ""te"")"),"వినోద విమానం")</f>
        <v>వినోద విమానం</v>
      </c>
      <c r="I11" s="1" t="s">
        <v>307</v>
      </c>
      <c r="J11" s="1" t="str">
        <f>IFERROR(__xludf.DUMMYFUNCTION("GOOGLETRANSLATE(I:I, ""en"", ""te"")"),"అక్రో స్పోర్ట్ (ప్రణాళికలు)")</f>
        <v>అక్రో స్పోర్ట్ (ప్రణాళికలు)</v>
      </c>
      <c r="K11" s="1" t="s">
        <v>308</v>
      </c>
      <c r="L11" s="1" t="s">
        <v>309</v>
      </c>
      <c r="M11" s="1" t="s">
        <v>310</v>
      </c>
      <c r="N11" s="4">
        <v>27211.0</v>
      </c>
      <c r="O11" s="1" t="s">
        <v>311</v>
      </c>
      <c r="P11" s="1" t="s">
        <v>312</v>
      </c>
      <c r="Q11" s="1" t="s">
        <v>313</v>
      </c>
      <c r="R11" s="1" t="s">
        <v>314</v>
      </c>
      <c r="S11" s="1" t="s">
        <v>315</v>
      </c>
      <c r="T11" s="1" t="s">
        <v>316</v>
      </c>
      <c r="U11" s="1" t="s">
        <v>163</v>
      </c>
      <c r="V11" s="1" t="s">
        <v>317</v>
      </c>
      <c r="W11" s="1" t="s">
        <v>318</v>
      </c>
      <c r="X11" s="1" t="s">
        <v>319</v>
      </c>
      <c r="Y11" s="1" t="s">
        <v>320</v>
      </c>
      <c r="Z11" s="1" t="s">
        <v>321</v>
      </c>
      <c r="AA11" s="1" t="s">
        <v>322</v>
      </c>
      <c r="AG11" s="1" t="s">
        <v>323</v>
      </c>
      <c r="AR11" s="1" t="s">
        <v>253</v>
      </c>
      <c r="BI11" s="1" t="s">
        <v>324</v>
      </c>
    </row>
    <row r="12">
      <c r="A12" s="1" t="s">
        <v>325</v>
      </c>
      <c r="B12" s="1" t="str">
        <f>IFERROR(__xludf.DUMMYFUNCTION("GOOGLETRANSLATE(A:A, ""en"", ""te"")"),"పోబెర్ సూపర్ ఏస్")</f>
        <v>పోబెర్ సూపర్ ఏస్</v>
      </c>
      <c r="C12" s="1" t="s">
        <v>326</v>
      </c>
      <c r="D12" s="1" t="str">
        <f>IFERROR(__xludf.DUMMYFUNCTION("GOOGLETRANSLATE(C:C, ""en"", ""te"")"),"పోబెర్ సూపర్ ఏస్ అనేది 1935 లో ఓర్లాండ్ కార్బెన్ చేత హోమ్‌బిల్ట్ విమానంగా రూపొందించబడిన సింగిల్-సీట్ స్పోర్ట్స్ విమానం. ఆ సంవత్సరం ఏప్రిల్ మరియు అక్టోబర్ మధ్య జనాదరణ పొందిన విమానయానంలో ప్రణాళికలు మరియు నిర్మాణ కథనాల సమితి కనిపించింది మరియు తరువాత ఓర్లాండ్"&amp;" కార్బెన్ విక్రయించింది. ఇది సాంప్రదాయిక టెయిల్‌వీల్ కాన్ఫిగరేషన్ యొక్క సింగిల్-సీట్ పారాసోల్ వింగ్ మోనోప్లేన్. ప్రచురించబడినట్లుగా, ఈ ప్రణాళికలు ఫోర్డ్ మోడల్ A నుండి ఇంజిన్‌ను విమానానికి శక్తివంతం చేయడానికి సవరించాలని పిలుపునిచ్చాయి. విమానాలకు హక్కులు పా"&amp;"ల్ పోబెరెజ్నీకి మిగిలిన కార్బెన్ కంపెనీ ఆస్తులతో విక్రయించబడ్డాయి. ప్రణాళికలు ప్రస్తుతం అక్రో స్పోర్ట్ అమ్మకం కోసం అందించబడ్డాయి [నవీకరణ]. [1] సాధారణ లక్షణాల పనితీరు సంబంధిత జాబితాల నుండి డేటా")</f>
        <v>పోబెర్ సూపర్ ఏస్ అనేది 1935 లో ఓర్లాండ్ కార్బెన్ చేత హోమ్‌బిల్ట్ విమానంగా రూపొందించబడిన సింగిల్-సీట్ స్పోర్ట్స్ విమానం. ఆ సంవత్సరం ఏప్రిల్ మరియు అక్టోబర్ మధ్య జనాదరణ పొందిన విమానయానంలో ప్రణాళికలు మరియు నిర్మాణ కథనాల సమితి కనిపించింది మరియు తరువాత ఓర్లాండ్ కార్బెన్ విక్రయించింది. ఇది సాంప్రదాయిక టెయిల్‌వీల్ కాన్ఫిగరేషన్ యొక్క సింగిల్-సీట్ పారాసోల్ వింగ్ మోనోప్లేన్. ప్రచురించబడినట్లుగా, ఈ ప్రణాళికలు ఫోర్డ్ మోడల్ A నుండి ఇంజిన్‌ను విమానానికి శక్తివంతం చేయడానికి సవరించాలని పిలుపునిచ్చాయి. విమానాలకు హక్కులు పాల్ పోబెరెజ్నీకి మిగిలిన కార్బెన్ కంపెనీ ఆస్తులతో విక్రయించబడ్డాయి. ప్రణాళికలు ప్రస్తుతం అక్రో స్పోర్ట్ అమ్మకం కోసం అందించబడ్డాయి [నవీకరణ]. [1] సాధారణ లక్షణాల పనితీరు సంబంధిత జాబితాల నుండి డేటా</v>
      </c>
      <c r="E12" s="1" t="s">
        <v>327</v>
      </c>
      <c r="F12" s="1" t="str">
        <f>IFERROR(__xludf.DUMMYFUNCTION("GOOGLETRANSLATE(E:E, ""en"", ""te"")"),"క్రీడా విమానం")</f>
        <v>క్రీడా విమానం</v>
      </c>
      <c r="G12" s="1" t="s">
        <v>155</v>
      </c>
      <c r="H12" s="1" t="str">
        <f>IFERROR(__xludf.DUMMYFUNCTION("GOOGLETRANSLATE(G:G, ""en"", ""te"")"),"అమెరికా")</f>
        <v>అమెరికా</v>
      </c>
      <c r="I12" s="1" t="s">
        <v>328</v>
      </c>
      <c r="J12" s="1" t="str">
        <f>IFERROR(__xludf.DUMMYFUNCTION("GOOGLETRANSLATE(I:I, ""en"", ""te"")"),"అక్రో స్పోర్ట్")</f>
        <v>అక్రో స్పోర్ట్</v>
      </c>
      <c r="K12" s="1" t="s">
        <v>329</v>
      </c>
      <c r="L12" s="1" t="s">
        <v>330</v>
      </c>
      <c r="M12" s="1" t="s">
        <v>331</v>
      </c>
      <c r="O12" s="1" t="s">
        <v>135</v>
      </c>
      <c r="P12" s="1" t="s">
        <v>332</v>
      </c>
      <c r="Q12" s="1" t="s">
        <v>333</v>
      </c>
      <c r="R12" s="1" t="s">
        <v>334</v>
      </c>
      <c r="S12" s="1" t="s">
        <v>335</v>
      </c>
      <c r="T12" s="1" t="s">
        <v>336</v>
      </c>
      <c r="U12" s="1" t="s">
        <v>337</v>
      </c>
      <c r="V12" s="1" t="s">
        <v>338</v>
      </c>
      <c r="W12" s="1" t="s">
        <v>339</v>
      </c>
      <c r="X12" s="1" t="s">
        <v>340</v>
      </c>
      <c r="Y12" s="1" t="s">
        <v>341</v>
      </c>
      <c r="Z12" s="1" t="s">
        <v>342</v>
      </c>
      <c r="AG12" s="1" t="s">
        <v>343</v>
      </c>
      <c r="AR12" s="1" t="s">
        <v>253</v>
      </c>
    </row>
    <row r="13">
      <c r="A13" s="1" t="s">
        <v>344</v>
      </c>
      <c r="B13" s="1" t="str">
        <f>IFERROR(__xludf.DUMMYFUNCTION("GOOGLETRANSLATE(A:A, ""en"", ""te"")"),"పోమిలియో ఎఫ్‌విఎల్ -8")</f>
        <v>పోమిలియో ఎఫ్‌విఎల్ -8</v>
      </c>
      <c r="C13" s="1" t="s">
        <v>345</v>
      </c>
      <c r="D13" s="1" t="str">
        <f>IFERROR(__xludf.DUMMYFUNCTION("GOOGLETRANSLATE(C:C, ""en"", ""te"")"),"పోమిలియో ఎఫ్‌విఎల్ -8 అనేది ఫాబ్రికా ఏరోప్లాని ఇంగ్ నిర్మించిన బిప్‌లేన్ ఫైటర్ విమానం. O. పోమిలియో ఫర్ ఇంజనీరింగ్ డివిజన్ ఆఫ్ ది ఏవియేషన్ సెక్షన్, యు.ఎస్. సిగ్నల్ కార్ప్స్. FVL-8 ఒక చెక్క చట్రంతో నిర్మించబడింది మరియు ప్లైవుడ్‌లో కప్పబడి ఉంది. రెక్కలను ఫ్య"&amp;"ూజ్‌లేజ్ నుండి స్ట్రట్స్ ద్వారా వేరు చేశారు. ఇది లిబర్టీ 8 ఇంజిన్ చేత శక్తిని పొందింది మరియు రెండు మెషిన్ గన్స్ చేత సాయుధమైంది. ఆరు ప్రోటోటైప్‌లు నిర్మించబడ్డాయి, మొదటిది ఫిబ్రవరి 1919 లో మొదటి విమానంలో ఉంది. ఉత్పత్తి విమానాలకు ఎటువంటి ఉత్తర్వులు రాలేదు. "&amp;"[1] ఏంజెకి నుండి డేటా, 1987. పే. 197. [1] సాధారణ లక్షణాల పనితీరు")</f>
        <v>పోమిలియో ఎఫ్‌విఎల్ -8 అనేది ఫాబ్రికా ఏరోప్లాని ఇంగ్ నిర్మించిన బిప్‌లేన్ ఫైటర్ విమానం. O. పోమిలియో ఫర్ ఇంజనీరింగ్ డివిజన్ ఆఫ్ ది ఏవియేషన్ సెక్షన్, యు.ఎస్. సిగ్నల్ కార్ప్స్. FVL-8 ఒక చెక్క చట్రంతో నిర్మించబడింది మరియు ప్లైవుడ్‌లో కప్పబడి ఉంది. రెక్కలను ఫ్యూజ్‌లేజ్ నుండి స్ట్రట్స్ ద్వారా వేరు చేశారు. ఇది లిబర్టీ 8 ఇంజిన్ చేత శక్తిని పొందింది మరియు రెండు మెషిన్ గన్స్ చేత సాయుధమైంది. ఆరు ప్రోటోటైప్‌లు నిర్మించబడ్డాయి, మొదటిది ఫిబ్రవరి 1919 లో మొదటి విమానంలో ఉంది. ఉత్పత్తి విమానాలకు ఎటువంటి ఉత్తర్వులు రాలేదు. [1] ఏంజెకి నుండి డేటా, 1987. పే. 197. [1] సాధారణ లక్షణాల పనితీరు</v>
      </c>
      <c r="E13" s="1" t="s">
        <v>346</v>
      </c>
      <c r="F13" s="1" t="str">
        <f>IFERROR(__xludf.DUMMYFUNCTION("GOOGLETRANSLATE(E:E, ""en"", ""te"")"),"యుద్ధ")</f>
        <v>యుద్ధ</v>
      </c>
      <c r="G13" s="1" t="s">
        <v>155</v>
      </c>
      <c r="H13" s="1" t="str">
        <f>IFERROR(__xludf.DUMMYFUNCTION("GOOGLETRANSLATE(G:G, ""en"", ""te"")"),"అమెరికా")</f>
        <v>అమెరికా</v>
      </c>
      <c r="I13" s="1" t="s">
        <v>347</v>
      </c>
      <c r="J13" s="1" t="str">
        <f>IFERROR(__xludf.DUMMYFUNCTION("GOOGLETRANSLATE(I:I, ""en"", ""te"")"),"ఇంజనీరింగ్ డివిజన్/ఫాబ్రికా ఏరోప్లాని ఇంగ్. O. పోమిలియో")</f>
        <v>ఇంజనీరింగ్ డివిజన్/ఫాబ్రికా ఏరోప్లాని ఇంగ్. O. పోమిలియో</v>
      </c>
      <c r="K13" s="1" t="s">
        <v>348</v>
      </c>
      <c r="L13" s="1" t="s">
        <v>349</v>
      </c>
      <c r="M13" s="1" t="s">
        <v>350</v>
      </c>
      <c r="N13" s="1" t="s">
        <v>351</v>
      </c>
      <c r="O13" s="1">
        <v>1.0</v>
      </c>
      <c r="P13" s="1" t="s">
        <v>352</v>
      </c>
      <c r="Q13" s="1" t="s">
        <v>353</v>
      </c>
      <c r="R13" s="1" t="s">
        <v>354</v>
      </c>
      <c r="S13" s="1" t="s">
        <v>355</v>
      </c>
      <c r="T13" s="1" t="s">
        <v>356</v>
      </c>
      <c r="U13" s="1" t="s">
        <v>357</v>
      </c>
      <c r="V13" s="1" t="s">
        <v>358</v>
      </c>
      <c r="W13" s="1" t="s">
        <v>359</v>
      </c>
      <c r="AA13" s="1" t="s">
        <v>360</v>
      </c>
      <c r="AC13" s="2" t="s">
        <v>167</v>
      </c>
      <c r="AJ13" s="1">
        <v>7.0</v>
      </c>
    </row>
    <row r="14">
      <c r="A14" s="1" t="s">
        <v>361</v>
      </c>
      <c r="B14" s="1" t="str">
        <f>IFERROR(__xludf.DUMMYFUNCTION("GOOGLETRANSLATE(A:A, ""en"", ""te"")"),"ప్రో-కాంపోసైట్స్ వ్యక్తిగత క్రూయిజర్")</f>
        <v>ప్రో-కాంపోసైట్స్ వ్యక్తిగత క్రూయిజర్</v>
      </c>
      <c r="C14" s="1" t="s">
        <v>362</v>
      </c>
      <c r="D14" s="1" t="str">
        <f>IFERROR(__xludf.DUMMYFUNCTION("GOOGLETRANSLATE(C:C, ""en"", ""te"")"),"కొర్వైర్ క్రూయిజర్ అని కూడా పిలువబడే ప్రో-కాంపోజిట్స్ పర్సనల్ క్రూయిజర్ ఒకే సీటు, మిశ్రమ హోమ్‌బిల్ట్ విమానం. [1] [2] [3] [4] వ్యక్తిగత క్రూయిజర్ ఒకే ప్రదేశం, తక్కువ-వింగ్, ట్రైసైకిల్ గేర్ విమానం V- తోకతో. [2] [5] మిశ్రమ విమానం ఫోల్డప్లేన్ పద్ధతిని ఉపయోగిం"&amp;"చి నిర్మించబడింది. ఈ పద్ధతి సౌకర్యవంతమైన ఫ్లాట్ కాంపోజిట్ ప్యానెల్లను ఉపయోగిస్తుంది, ఇవి వ్యాసార్థం-బెంట్, ఒక గాలము లోపల గట్టి ఫ్యూజ్‌లేజ్ విభాగాలను ఏర్పరుస్తాయి. భవన సమయం 800 గంటలు అంచనా వేయబడింది. [2] [6] ఈ విమానం 250 ఎల్బి (113 కిలోల) వరకు పవర్‌ప్లాంట్"&amp;"ల కోసం రూపొందించబడింది మరియు 65 నుండి 115 హెచ్‌పి (48 నుండి 86 కిలోవాట్) వరకు ఆమోదయోగ్యమైన విద్యుత్ పరిధిని కలిగి ఉంది. 100 HP (75 kW) కొర్వైర్ ఎయిర్-కూల్డ్ నాలుగు స్ట్రోక్ ఆటోమోటివ్ మార్పిడి సాధారణంగా ఉపయోగించబడుతుంది. [3] [4] [7] పరిచయం నుండి డేటా! [సైట"&amp;"ేషన్ అవసరం] మరియు బేయర్ల్ [7] సాధారణ లక్షణాల పనితీరు")</f>
        <v>కొర్వైర్ క్రూయిజర్ అని కూడా పిలువబడే ప్రో-కాంపోజిట్స్ పర్సనల్ క్రూయిజర్ ఒకే సీటు, మిశ్రమ హోమ్‌బిల్ట్ విమానం. [1] [2] [3] [4] వ్యక్తిగత క్రూయిజర్ ఒకే ప్రదేశం, తక్కువ-వింగ్, ట్రైసైకిల్ గేర్ విమానం V- తోకతో. [2] [5] మిశ్రమ విమానం ఫోల్డప్లేన్ పద్ధతిని ఉపయోగించి నిర్మించబడింది. ఈ పద్ధతి సౌకర్యవంతమైన ఫ్లాట్ కాంపోజిట్ ప్యానెల్లను ఉపయోగిస్తుంది, ఇవి వ్యాసార్థం-బెంట్, ఒక గాలము లోపల గట్టి ఫ్యూజ్‌లేజ్ విభాగాలను ఏర్పరుస్తాయి. భవన సమయం 800 గంటలు అంచనా వేయబడింది. [2] [6] ఈ విమానం 250 ఎల్బి (113 కిలోల) వరకు పవర్‌ప్లాంట్ల కోసం రూపొందించబడింది మరియు 65 నుండి 115 హెచ్‌పి (48 నుండి 86 కిలోవాట్) వరకు ఆమోదయోగ్యమైన విద్యుత్ పరిధిని కలిగి ఉంది. 100 HP (75 kW) కొర్వైర్ ఎయిర్-కూల్డ్ నాలుగు స్ట్రోక్ ఆటోమోటివ్ మార్పిడి సాధారణంగా ఉపయోగించబడుతుంది. [3] [4] [7] పరిచయం నుండి డేటా! [సైటేషన్ అవసరం] మరియు బేయర్ల్ [7] సాధారణ లక్షణాల పనితీరు</v>
      </c>
      <c r="E14" s="1" t="s">
        <v>154</v>
      </c>
      <c r="F14" s="1" t="str">
        <f>IFERROR(__xludf.DUMMYFUNCTION("GOOGLETRANSLATE(E:E, ""en"", ""te"")"),"హోమ్‌బిల్ట్ విమానం")</f>
        <v>హోమ్‌బిల్ట్ విమానం</v>
      </c>
      <c r="G14" s="1" t="s">
        <v>155</v>
      </c>
      <c r="H14" s="1" t="str">
        <f>IFERROR(__xludf.DUMMYFUNCTION("GOOGLETRANSLATE(G:G, ""en"", ""te"")"),"అమెరికా")</f>
        <v>అమెరికా</v>
      </c>
      <c r="I14" s="1" t="s">
        <v>363</v>
      </c>
      <c r="J14" s="1" t="str">
        <f>IFERROR(__xludf.DUMMYFUNCTION("GOOGLETRANSLATE(I:I, ""en"", ""te"")"),"ప్రో-కాంపోసైట్లు")</f>
        <v>ప్రో-కాంపోసైట్లు</v>
      </c>
      <c r="L14" s="1" t="s">
        <v>364</v>
      </c>
      <c r="O14" s="1" t="s">
        <v>135</v>
      </c>
      <c r="P14" s="1" t="s">
        <v>365</v>
      </c>
      <c r="Q14" s="1" t="s">
        <v>366</v>
      </c>
      <c r="S14" s="1" t="s">
        <v>367</v>
      </c>
      <c r="T14" s="1" t="s">
        <v>368</v>
      </c>
      <c r="U14" s="1" t="s">
        <v>369</v>
      </c>
      <c r="V14" s="1" t="s">
        <v>370</v>
      </c>
      <c r="W14" s="1" t="s">
        <v>371</v>
      </c>
      <c r="Z14" s="1" t="s">
        <v>372</v>
      </c>
      <c r="AA14" s="1" t="s">
        <v>373</v>
      </c>
      <c r="AB14" s="1" t="s">
        <v>166</v>
      </c>
      <c r="AC14" s="2" t="s">
        <v>167</v>
      </c>
      <c r="AD14" s="1" t="s">
        <v>374</v>
      </c>
      <c r="AE14" s="1" t="s">
        <v>375</v>
      </c>
      <c r="AF14" s="1" t="s">
        <v>376</v>
      </c>
      <c r="AG14" s="1" t="s">
        <v>377</v>
      </c>
      <c r="AH14" s="1" t="s">
        <v>378</v>
      </c>
      <c r="AT14" s="1" t="s">
        <v>379</v>
      </c>
      <c r="AY14" s="1" t="s">
        <v>380</v>
      </c>
    </row>
    <row r="15">
      <c r="A15" s="1" t="s">
        <v>381</v>
      </c>
      <c r="B15" s="1" t="str">
        <f>IFERROR(__xludf.DUMMYFUNCTION("GOOGLETRANSLATE(A:A, ""en"", ""te"")"),"Pro.mecc స్పార్విరో")</f>
        <v>Pro.mecc స్పార్విరో</v>
      </c>
      <c r="C15" s="1" t="s">
        <v>382</v>
      </c>
      <c r="D15" s="1" t="str">
        <f>IFERROR(__xludf.DUMMYFUNCTION("GOOGLETRANSLATE(C:C, ""en"", ""te"")"),"PRO.MECC స్పార్విరో (ఇంగ్లీష్: స్పారోహాక్) అనేది ఇటాలియన్ అల్ట్రాలైట్ విమానం, ఇది కొరిగ్లియానో ​​డి ఓట్రాంటో యొక్క PRO.MECC చేత రూపొందించబడింది మరియు ఉత్పత్తి చేయబడింది. స్పార్విరో te త్సాహిక నిర్మాణం లేదా పూర్తి రెడీ-టు-ఫ్లై-ఎయిర్‌క్రాఫ్ట్ కోసం కిట్‌గా స"&amp;"రఫరా చేయబడుతుంది. [1] [2] స్పార్విరో ఫెడెరేషన్ ఏరోనటిక్ ఇంటర్నేషనల్ మైక్రోలైట్ నిబంధనలకు అనుగుణంగా రూపొందించబడింది. ఇది కాంటిలివర్ లో-వింగ్, బబుల్ పందిరి కింద రెండు-సైడ్-సైడ్-సైడ్ కాన్ఫిగరేషన్ పరివేష్టిత కాక్‌పిట్, స్థిర ట్రైసైకిల్ ల్యాండింగ్ గేర్ మరియు ట"&amp;"్రాక్టర్ కాన్ఫిగరేషన్‌లో ఒకే ఇంజిన్ కలిగి ఉంది. [1] [2] స్పార్విరోను ప్రధానంగా కార్బన్ ఫైబర్ నుండి తయారు చేస్తారు, రెక్కల తొక్కలు ఫైబర్గ్లాస్ నుండి తయారు చేయబడతాయి. దీని 9.23 మీ (30.3 అడుగులు) స్పాన్ వింగ్ 12 మీ 2 (130 చదరపు అడుగులు) మరియు ఫ్లాప్‌లను కలిగ"&amp;"ి ఉంది. అమర్చిన ప్రామాణిక ఇంజిన్ 100 HP (75 kW) రోటాక్స్ 912లు నాలుగు-స్ట్రోక్ పవర్‌ప్లాంట్, 80 HP (60 kW) రోటాక్స్ 912UL ఐచ్ఛికం. 2011 లో, వేగవంతమైన మరియు పెయింట్ చేసిన ఫ్యూజ్‌లేజ్ మరియు రెక్కలను అందించే ఫాస్ట్-బిల్డ్ కిట్ ప్రవేశపెట్టబడింది, బిల్డర్ ఇంజి"&amp;"న్ మరియు విద్యుత్ సంస్థాపనలను మాత్రమే నిర్వహించాల్సిన అవసరం ఉంది. [1] [2] స్పార్విరో తరువాత PRO.Mecc Freccia Anemo గా అభివృద్ధి చేయబడింది, అదనపు స్ట్రీమ్‌లైనింగ్ మరియు కొత్త ఎలిప్టికల్ ప్లాన్‌ఫార్మ్ వింగ్. [1] [2] సమీక్షకుడు మారినో బోరిక్ 2015 సమీక్షలో డి"&amp;"జైన్‌ను ""స్టైలిష్ మాత్రమే కాకుండా, ప్రధానంగా కార్బన్‌ఫైబర్‌తో నిర్మించినందుకు దూకుడుగా తక్కువ ధరతో వర్ణించారు ...."" [2] బేయర్ల్ నుండి డేటా [1] సాధారణ లక్షణాల పనితీరు")</f>
        <v>PRO.MECC స్పార్విరో (ఇంగ్లీష్: స్పారోహాక్) అనేది ఇటాలియన్ అల్ట్రాలైట్ విమానం, ఇది కొరిగ్లియానో ​​డి ఓట్రాంటో యొక్క PRO.MECC చేత రూపొందించబడింది మరియు ఉత్పత్తి చేయబడింది. స్పార్విరో te త్సాహిక నిర్మాణం లేదా పూర్తి రెడీ-టు-ఫ్లై-ఎయిర్‌క్రాఫ్ట్ కోసం కిట్‌గా సరఫరా చేయబడుతుంది. [1] [2] స్పార్విరో ఫెడెరేషన్ ఏరోనటిక్ ఇంటర్నేషనల్ మైక్రోలైట్ నిబంధనలకు అనుగుణంగా రూపొందించబడింది. ఇది కాంటిలివర్ లో-వింగ్, బబుల్ పందిరి కింద రెండు-సైడ్-సైడ్-సైడ్ కాన్ఫిగరేషన్ పరివేష్టిత కాక్‌పిట్, స్థిర ట్రైసైకిల్ ల్యాండింగ్ గేర్ మరియు ట్రాక్టర్ కాన్ఫిగరేషన్‌లో ఒకే ఇంజిన్ కలిగి ఉంది. [1] [2] స్పార్విరోను ప్రధానంగా కార్బన్ ఫైబర్ నుండి తయారు చేస్తారు, రెక్కల తొక్కలు ఫైబర్గ్లాస్ నుండి తయారు చేయబడతాయి. దీని 9.23 మీ (30.3 అడుగులు) స్పాన్ వింగ్ 12 మీ 2 (130 చదరపు అడుగులు) మరియు ఫ్లాప్‌లను కలిగి ఉంది. అమర్చిన ప్రామాణిక ఇంజిన్ 100 HP (75 kW) రోటాక్స్ 912లు నాలుగు-స్ట్రోక్ పవర్‌ప్లాంట్, 80 HP (60 kW) రోటాక్స్ 912UL ఐచ్ఛికం. 2011 లో, వేగవంతమైన మరియు పెయింట్ చేసిన ఫ్యూజ్‌లేజ్ మరియు రెక్కలను అందించే ఫాస్ట్-బిల్డ్ కిట్ ప్రవేశపెట్టబడింది, బిల్డర్ ఇంజిన్ మరియు విద్యుత్ సంస్థాపనలను మాత్రమే నిర్వహించాల్సిన అవసరం ఉంది. [1] [2] స్పార్విరో తరువాత PRO.Mecc Freccia Anemo గా అభివృద్ధి చేయబడింది, అదనపు స్ట్రీమ్‌లైనింగ్ మరియు కొత్త ఎలిప్టికల్ ప్లాన్‌ఫార్మ్ వింగ్. [1] [2] సమీక్షకుడు మారినో బోరిక్ 2015 సమీక్షలో డిజైన్‌ను "స్టైలిష్ మాత్రమే కాకుండా, ప్రధానంగా కార్బన్‌ఫైబర్‌తో నిర్మించినందుకు దూకుడుగా తక్కువ ధరతో వర్ణించారు ...." [2] బేయర్ల్ నుండి డేటా [1] సాధారణ లక్షణాల పనితీరు</v>
      </c>
      <c r="E15" s="1" t="s">
        <v>383</v>
      </c>
      <c r="F15" s="1" t="str">
        <f>IFERROR(__xludf.DUMMYFUNCTION("GOOGLETRANSLATE(E:E, ""en"", ""te"")"),"అల్ట్రాలైట్ విమానం")</f>
        <v>అల్ట్రాలైట్ విమానం</v>
      </c>
      <c r="G15" s="1" t="s">
        <v>200</v>
      </c>
      <c r="H15" s="1" t="str">
        <f>IFERROR(__xludf.DUMMYFUNCTION("GOOGLETRANSLATE(G:G, ""en"", ""te"")"),"ఇటలీ")</f>
        <v>ఇటలీ</v>
      </c>
      <c r="I15" s="1" t="s">
        <v>384</v>
      </c>
      <c r="J15" s="1" t="str">
        <f>IFERROR(__xludf.DUMMYFUNCTION("GOOGLETRANSLATE(I:I, ""en"", ""te"")"),"Pro.mecc")</f>
        <v>Pro.mecc</v>
      </c>
      <c r="K15" s="2" t="s">
        <v>385</v>
      </c>
      <c r="O15" s="1" t="s">
        <v>135</v>
      </c>
      <c r="Q15" s="1" t="s">
        <v>386</v>
      </c>
      <c r="S15" s="1" t="s">
        <v>387</v>
      </c>
      <c r="T15" s="1" t="s">
        <v>139</v>
      </c>
      <c r="U15" s="1" t="s">
        <v>388</v>
      </c>
      <c r="V15" s="1" t="s">
        <v>186</v>
      </c>
      <c r="W15" s="1" t="s">
        <v>389</v>
      </c>
      <c r="Z15" s="1" t="s">
        <v>390</v>
      </c>
      <c r="AA15" s="1" t="s">
        <v>391</v>
      </c>
      <c r="AB15" s="1" t="s">
        <v>392</v>
      </c>
      <c r="AC15" s="2" t="s">
        <v>393</v>
      </c>
      <c r="AD15" s="1" t="s">
        <v>190</v>
      </c>
      <c r="AE15" s="1" t="s">
        <v>394</v>
      </c>
      <c r="AG15" s="1" t="s">
        <v>395</v>
      </c>
      <c r="AH15" s="1" t="s">
        <v>396</v>
      </c>
      <c r="AI15" s="1" t="s">
        <v>397</v>
      </c>
      <c r="AK15" s="1" t="s">
        <v>195</v>
      </c>
      <c r="AR15" s="1" t="s">
        <v>253</v>
      </c>
      <c r="BJ15" s="1" t="s">
        <v>398</v>
      </c>
    </row>
    <row r="16">
      <c r="A16" s="1" t="s">
        <v>399</v>
      </c>
      <c r="B16" s="1" t="str">
        <f>IFERROR(__xludf.DUMMYFUNCTION("GOOGLETRANSLATE(A:A, ""en"", ""te"")"),"రెడ్ బారన్")</f>
        <v>రెడ్ బారన్</v>
      </c>
      <c r="C16" s="1" t="s">
        <v>400</v>
      </c>
      <c r="D16" s="1" t="str">
        <f>IFERROR(__xludf.DUMMYFUNCTION("GOOGLETRANSLATE(C:C, ""en"", ""te"")"),"రెడ్ బారన్ ఉత్తర అమెరికా పి -51 డి ముస్తాంగ్ ఎన్ఎక్స్ 7715 సి, ఒరిజినల్ సీరియల్ నంబర్ 44-84961. ఇది 1966 నుండి 1973 వరకు మిస్ ఆర్.జె. మరియు రోటో-ఫినిష్ స్పెషల్, 1972 లో అపరిమిత బంగారాన్ని గెలుచుకుంది. ఫిబ్రవరి 1974 లో, దీనిని ఇడాహోలోని ఇడాహో ఫాల్స్ లోని ర"&amp;"ెడ్ బారన్ ఫ్లయింగ్ సర్వీస్ యొక్క ఎడ్ బ్రౌనింగ్ కొనుగోలు చేసింది మరియు రెడ్ బారన్ అని పేరు మార్చారు. [1] బ్రౌనింగ్ ఇద్దరు లాక్‌హీడ్ ఇంజనీర్లు, పీట్ లా మరియు బ్రూస్ బోలాండ్ మరియు ఇతర నిపుణుల బృందాన్ని విమానానికి పెద్ద మార్పులు చేయడానికి నియమించింది, వీటిలో "&amp;"రోల్స్ రాయిస్ గ్రిఫ్ఫోన్ 57 ఇంజిన్ మరియు అవ్రో షాక్లెటన్ నుండి కాంట్రా-రొటేటింగ్ ప్రొపెల్లర్లను ఏర్పాటు చేయడం వంటివి ఉన్నాయి. [2] [[2] 3] పెద్ద ఇంజిన్‌కు ఎయిర్‌ఫ్రేమ్‌లో, ముఖ్యంగా ఇంజిన్ కంపార్ట్‌మెంట్‌లో గణనీయమైన మార్పులు అవసరం. కాంట్రా-రొటేటింగ్ ప్రొపెల"&amp;"్లర్లు కూడా ఫిన్ ప్రాంతంలో పెరుగుదల అవసరమయ్యే అస్థిరతను సృష్టించాయి, ఇవన్నీ బ్రౌనింగ్ ఖర్చు $ 300,000 కంటే ఎక్కువ. [4] ఈ మార్పులతో, విమానం అపరిమిత సర్క్యూట్లో ఆధిపత్య రేసర్ అయింది. [5] దీనిని మొదట మాక్ మెక్‌క్లైన్ మరియు డారిల్ గ్రీనమైర్ ఎగురవేశారు; 1976 ల"&amp;"ో, గ్రీనమైర్ స్టీవ్ హింటన్ పైలట్ ది ప్లేన్‌ను సిఫారసు చేశాడు. హింటన్ ఒక సంవత్సరంలో వరుసగా నాలుగు అపరిమిత రేసులను గెలుచుకున్నాడు మరియు అలా చేసిన ఏకైక పైలట్. [6] ఆగష్టు 14, 1979 న, హింటన్ పిస్టన్ నడిచే విమానం 3 కిలోమీటర్ల ప్రపంచ వేగంతో 499.018 mph [7] [8] వ"&amp;"ద్ద నెవాడాలోని టోనోపా వద్ద, హింటన్, వయసు 27, స్పీడ్ రికార్డును సంగ్రహించిన అతి పిన్న వయస్కుడైన వ్యక్తి. ఈ బృందం నెవాడా ఎడారిలో 100+ డిగ్రీల ఉష్ణోగ్రతల కోసం ఆశతో ఉంది, దీని కింద వారు 530 mph సాధించగలరని వారు విశ్వసించారు. [9] వాతావరణం సహకరించలేదు, మరియు చల"&amp;"్లని 68-డిగ్రీల గాలి 500 mph లోపు వారి వేగాన్ని కలిగి ఉంది. అయినప్పటికీ, రికార్డు ఒక దశాబ్దం పాటు జరిగింది. సెప్టెంబర్ 16, 1979 న, హింటన్ రెనో ఎయిర్ రేసుల్లో RB-51 ను రేసింగ్ చేస్తున్నాడు, మాగ్నెటోలో ఒక కెపాసిటర్ విఫలమైనప్పుడు, ఇంజిన్ దాని సగం స్పార్క్ ప్"&amp;"లగ్‌లలో నడుస్తుంది. తప్పు ఏమిటో తెలియక, హింటన్ విమానం పూర్తి థొరెటల్‌కు నెట్టాడు. దీని ఫలితంగా సూపర్ఛార్జర్ అదనపు ఒత్తిడిని కలిగి ఉంది. చివరికి, సూపర్ఛార్జర్‌లో ఒక బేరింగ్ విఫలమైంది. హింటన్ రేసును రెండవ స్థానంలో ముగించి, అత్యవసర ల్యాండింగ్ చేయడానికి వెళ్ళ"&amp;"ాడు. సూపర్ఛార్జర్ వైఫల్యం షాఫ్ట్ వైఫల్యానికి దారితీసింది; ఆ షాఫ్ట్ ఆయిల్ పంప్‌ను నడిపించింది, ఇది ప్రొపెల్లర్ పిచ్‌ను నియంత్రించింది. ప్రొపెల్లర్లు ఫ్లాట్ గా వెళ్ళాయి, భారీ ఎయిర్ బ్రేక్ గా వ్యవహరించాయి. RB-51 రన్‌వే యొక్క చిన్నది కుప్పకూలింది. రెండు పైల్స"&amp;"్ రాక్ మధ్య విమానం దిగి, ఫైర్‌బాల్‌లో ఇంధనం చెలరేగడంతో రెక్కలు కత్తిరించబడ్డాయి. కాక్‌పిట్ అగ్ని నుండి ఎండ్-ఓవర్-ఎండ్‌ను విసిరివేసింది, అయినప్పటికీ హింటన్ విరిగిన వీపు, కాలు మరియు చీలమండతో బయటపడ్డాడు. [10] [11] అతని మనుగడ ప్రధాన ఇంజనీర్లలో ఒకరైన పీట్ లా, "&amp;"అదనపు కలుపులు మరియు కాక్‌పిట్‌లో ఇన్‌స్టాల్ చేయబడిన రోల్ బార్. [12] ఈ ప్రమాదంలో ఎరుపు బారన్ ధ్వంసమైంది. స్టీవ్ హింటన్ యొక్క సంస్థ, ఫైటర్ పునర్నిర్మాణాలు, డేటాప్లేట్, టెయిల్ నంబర్ 413334, మరియు రిజిస్ట్రేషన్ నంబర్ NX7715C ను P-51D సీరియల్ నంబర్ 44-73053, వ"&amp;"ీ విల్లీ II కు తరలించారు. [13] సాధారణ లక్షణాలు పోల్చదగిన పాత్ర, ఆకృతీకరణ మరియు యుగం యొక్క పనితీరు విమానం")</f>
        <v>రెడ్ బారన్ ఉత్తర అమెరికా పి -51 డి ముస్తాంగ్ ఎన్ఎక్స్ 7715 సి, ఒరిజినల్ సీరియల్ నంబర్ 44-84961. ఇది 1966 నుండి 1973 వరకు మిస్ ఆర్.జె. మరియు రోటో-ఫినిష్ స్పెషల్, 1972 లో అపరిమిత బంగారాన్ని గెలుచుకుంది. ఫిబ్రవరి 1974 లో, దీనిని ఇడాహోలోని ఇడాహో ఫాల్స్ లోని రెడ్ బారన్ ఫ్లయింగ్ సర్వీస్ యొక్క ఎడ్ బ్రౌనింగ్ కొనుగోలు చేసింది మరియు రెడ్ బారన్ అని పేరు మార్చారు. [1] బ్రౌనింగ్ ఇద్దరు లాక్‌హీడ్ ఇంజనీర్లు, పీట్ లా మరియు బ్రూస్ బోలాండ్ మరియు ఇతర నిపుణుల బృందాన్ని విమానానికి పెద్ద మార్పులు చేయడానికి నియమించింది, వీటిలో రోల్స్ రాయిస్ గ్రిఫ్ఫోన్ 57 ఇంజిన్ మరియు అవ్రో షాక్లెటన్ నుండి కాంట్రా-రొటేటింగ్ ప్రొపెల్లర్లను ఏర్పాటు చేయడం వంటివి ఉన్నాయి. [2] [[2] 3] పెద్ద ఇంజిన్‌కు ఎయిర్‌ఫ్రేమ్‌లో, ముఖ్యంగా ఇంజిన్ కంపార్ట్‌మెంట్‌లో గణనీయమైన మార్పులు అవసరం. కాంట్రా-రొటేటింగ్ ప్రొపెల్లర్లు కూడా ఫిన్ ప్రాంతంలో పెరుగుదల అవసరమయ్యే అస్థిరతను సృష్టించాయి, ఇవన్నీ బ్రౌనింగ్ ఖర్చు $ 300,000 కంటే ఎక్కువ. [4] ఈ మార్పులతో, విమానం అపరిమిత సర్క్యూట్లో ఆధిపత్య రేసర్ అయింది. [5] దీనిని మొదట మాక్ మెక్‌క్లైన్ మరియు డారిల్ గ్రీనమైర్ ఎగురవేశారు; 1976 లో, గ్రీనమైర్ స్టీవ్ హింటన్ పైలట్ ది ప్లేన్‌ను సిఫారసు చేశాడు. హింటన్ ఒక సంవత్సరంలో వరుసగా నాలుగు అపరిమిత రేసులను గెలుచుకున్నాడు మరియు అలా చేసిన ఏకైక పైలట్. [6] ఆగష్టు 14, 1979 న, హింటన్ పిస్టన్ నడిచే విమానం 3 కిలోమీటర్ల ప్రపంచ వేగంతో 499.018 mph [7] [8] వద్ద నెవాడాలోని టోనోపా వద్ద, హింటన్, వయసు 27, స్పీడ్ రికార్డును సంగ్రహించిన అతి పిన్న వయస్కుడైన వ్యక్తి. ఈ బృందం నెవాడా ఎడారిలో 100+ డిగ్రీల ఉష్ణోగ్రతల కోసం ఆశతో ఉంది, దీని కింద వారు 530 mph సాధించగలరని వారు విశ్వసించారు. [9] వాతావరణం సహకరించలేదు, మరియు చల్లని 68-డిగ్రీల గాలి 500 mph లోపు వారి వేగాన్ని కలిగి ఉంది. అయినప్పటికీ, రికార్డు ఒక దశాబ్దం పాటు జరిగింది. సెప్టెంబర్ 16, 1979 న, హింటన్ రెనో ఎయిర్ రేసుల్లో RB-51 ను రేసింగ్ చేస్తున్నాడు, మాగ్నెటోలో ఒక కెపాసిటర్ విఫలమైనప్పుడు, ఇంజిన్ దాని సగం స్పార్క్ ప్లగ్‌లలో నడుస్తుంది. తప్పు ఏమిటో తెలియక, హింటన్ విమానం పూర్తి థొరెటల్‌కు నెట్టాడు. దీని ఫలితంగా సూపర్ఛార్జర్ అదనపు ఒత్తిడిని కలిగి ఉంది. చివరికి, సూపర్ఛార్జర్‌లో ఒక బేరింగ్ విఫలమైంది. హింటన్ రేసును రెండవ స్థానంలో ముగించి, అత్యవసర ల్యాండింగ్ చేయడానికి వెళ్ళాడు. సూపర్ఛార్జర్ వైఫల్యం షాఫ్ట్ వైఫల్యానికి దారితీసింది; ఆ షాఫ్ట్ ఆయిల్ పంప్‌ను నడిపించింది, ఇది ప్రొపెల్లర్ పిచ్‌ను నియంత్రించింది. ప్రొపెల్లర్లు ఫ్లాట్ గా వెళ్ళాయి, భారీ ఎయిర్ బ్రేక్ గా వ్యవహరించాయి. RB-51 రన్‌వే యొక్క చిన్నది కుప్పకూలింది. రెండు పైల్స్ రాక్ మధ్య విమానం దిగి, ఫైర్‌బాల్‌లో ఇంధనం చెలరేగడంతో రెక్కలు కత్తిరించబడ్డాయి. కాక్‌పిట్ అగ్ని నుండి ఎండ్-ఓవర్-ఎండ్‌ను విసిరివేసింది, అయినప్పటికీ హింటన్ విరిగిన వీపు, కాలు మరియు చీలమండతో బయటపడ్డాడు. [10] [11] అతని మనుగడ ప్రధాన ఇంజనీర్లలో ఒకరైన పీట్ లా, అదనపు కలుపులు మరియు కాక్‌పిట్‌లో ఇన్‌స్టాల్ చేయబడిన రోల్ బార్. [12] ఈ ప్రమాదంలో ఎరుపు బారన్ ధ్వంసమైంది. స్టీవ్ హింటన్ యొక్క సంస్థ, ఫైటర్ పునర్నిర్మాణాలు, డేటాప్లేట్, టెయిల్ నంబర్ 413334, మరియు రిజిస్ట్రేషన్ నంబర్ NX7715C ను P-51D సీరియల్ నంబర్ 44-73053, వీ విల్లీ II కు తరలించారు. [13] సాధారణ లక్షణాలు పోల్చదగిన పాత్ర, ఆకృతీకరణ మరియు యుగం యొక్క పనితీరు విమానం</v>
      </c>
      <c r="I16" s="1" t="s">
        <v>401</v>
      </c>
      <c r="J16" s="1" t="str">
        <f>IFERROR(__xludf.DUMMYFUNCTION("GOOGLETRANSLATE(I:I, ""en"", ""te"")"),"నార్త్ అమెరికన్ ఏవియేషన్")</f>
        <v>నార్త్ అమెరికన్ ఏవియేషన్</v>
      </c>
      <c r="K16" s="1" t="s">
        <v>402</v>
      </c>
      <c r="O16" s="1">
        <v>1.0</v>
      </c>
      <c r="V16" s="1" t="s">
        <v>403</v>
      </c>
      <c r="W16" s="1" t="s">
        <v>404</v>
      </c>
      <c r="AA16" s="1" t="s">
        <v>405</v>
      </c>
      <c r="AF16" s="1" t="s">
        <v>406</v>
      </c>
      <c r="AL16" s="1" t="s">
        <v>407</v>
      </c>
      <c r="AO16" s="1" t="s">
        <v>408</v>
      </c>
      <c r="BK16" s="1" t="s">
        <v>409</v>
      </c>
      <c r="BL16" s="1" t="s">
        <v>410</v>
      </c>
      <c r="BM16" s="1" t="s">
        <v>411</v>
      </c>
    </row>
    <row r="17">
      <c r="A17" s="1" t="s">
        <v>412</v>
      </c>
      <c r="B17" s="1" t="str">
        <f>IFERROR(__xludf.DUMMYFUNCTION("GOOGLETRANSLATE(A:A, ""en"", ""te"")"),"ఫాంటమ్ X1")</f>
        <v>ఫాంటమ్ X1</v>
      </c>
      <c r="C17" s="1" t="s">
        <v>413</v>
      </c>
      <c r="D17" s="1" t="str">
        <f>IFERROR(__xludf.DUMMYFUNCTION("GOOGLETRANSLATE(C:C, ""en"", ""te"")"),"ఫాంటమ్ X1 అనేది సింగిల్-ఇంజిన్, ట్రాక్టర్ కాన్ఫిగరేషన్, సింగిల్ సీట్, కేబుల్-బ్రెస్డ్ హై వింగ్ ట్రైసైకిల్ గేర్-అమర్చిన అల్ట్రాలైట్ విమానం, ఇది మూడు నదుల, మిచిగాన్ యొక్క ఫాంటమ్ ఏరోనాటిక్స్ చేత ఉత్పత్తి అవుతుంది మరియు కిట్ రూపంలో లభిస్తుంది. [1] [2] [ 3 వాల"&amp;"ు X1 డిజైన్ 254 lb (115 kg) లోపు ఖాళీ బరువును కలిగి ఉండటానికి ఉద్దేశించబడింది, ఇది ఫార్ పార్ట్ 103 అల్ట్రాలైట్ వర్గానికి సరిపోతుంది. అల్ట్రాలైట్ ట్రైనర్‌గా రూపొందించిన ఎక్స్ 2 రెండు సీట్లు కూడా ఉన్నాయి. సింగిల్ మరియు రెండు-సీట్ల యొక్క ఆధునికీకరించిన నమూనా"&amp;"లు అసలు కేబుల్-బ్రేసింగ్ స్థానంలో స్ట్రట్‌లను ఉపయోగిస్తాయి. [1] [2] [3] ఫాంటమ్ ఎక్స్ 1 1982 లో సన్ ఎన్ ఫన్ వద్ద ప్రవేశపెట్టబడింది, ఇక్కడ ఇది చాలా దృష్టిని ఆకర్షించింది మరియు ప్రధాన డిజైన్ అవార్డును గెలుచుకుంది. ఈ రూపకల్పనను మిచిగాన్ లోని కలమజూ యొక్క ఫాంటమ"&amp;"్ విమానాలతో సహా అనేక వేర్వేరు తయారీదారులు నిర్మించారు మరియు విస్తృతంగా కాపీ చేయబడ్డారు. ఉత్పన్న డిజైన్లలో బెల్ సైడ్‌విండర్, హై-టెక్ హరికేన్ 103, ప్రపంచవ్యాప్త అల్ట్రాలైట్ స్పిట్‌ఫైర్ మరియు గోల్డెన్ గేట్ దోమ ఉన్నాయి. [1] ఫాంటమ్ X1 బోల్ట్-టుగెథర్ అల్యూమినియ"&amp;"ం గొట్టాల నుండి నిర్మించబడింది. రెక్కలు మరియు తోక ఉపరితలాలు డాక్రాన్ సెయిల్‌క్లాత్‌లో ప్రీ-సీవ్న్ ఎన్వలప్‌ల రూపంలో కప్పబడి ఉంటాయి. రెక్కలు విలోమ ""V"" ఆకారపు కింగ్‌పోస్ట్ నుండి వైర్-బ్రేస్డ్ మరియు పూర్తి-స్పాన్ ఐలెరాన్‌లను కలిగి ఉంటాయి. రవాణా మరియు నిల్వ "&amp;"కోసం రెక్కలను మడవటానికి అనుమతించడానికి ఫ్యాక్టరీ ఎంపిక కూడా ఉంది. ఇంజిన్ ప్రధాన గొట్టం ముందు భాగంలో అమర్చబడి ఉంటుంది, అదే గొట్టం యొక్క చాలా చివరలో తోక అమర్చబడుతుంది. కాక్‌పిట్ పాడ్ ఫైబర్‌గ్లాస్ నుండి తయారవుతుంది. ల్యాండింగ్ గేర్‌లో స్టీరబుల్ నోస్‌వీల్ ఉంట"&amp;"ుంది. [1] X1 మొదట ఏరోబాటిక్ విమానంగా రూపొందించబడింది మరియు వైఫల్యానికి ముందు +9/-6.6 g కు పరీక్షించబడింది మరియు +6.6/-4.4 గ్రా కార్యాచరణ పరిమితులను కలిగి ఉంటుంది. పూర్తి-స్పాన్ ఐలెరాన్లు X1 కు ఫాస్ట్ రోల్ రేట్ కూడా ఇస్తాయి. బాధ్యత కారణాల వల్ల X1 ఎప్పుడూ ఏ"&amp;"రోబాటిక్ డిజైన్‌గా విక్రయించబడలేదు. [1] ఫ్యాక్టరీ ఎంపికలలో బ్రేక్‌లు మరియు పూర్తి ఎయిర్‌ఫ్రేమ్ పారాచూట్‌తో పాటు వివిధ రకాల రోటాక్స్ ఇంజిన్‌లు 40 నుండి 64 హెచ్‌పి (30 నుండి 48 కిలోవాట్ వరకు) ఉన్నాయి. అసలు అసెంబ్లీ సమయాన్ని తయారీదారు 40 గంటలుగా రేట్ చేశారు."&amp;" [1] [3] కిట్‌ప్లాన్‌ల నుండి డేటా [2] పోల్చదగిన పాత్ర, కాన్ఫిగరేషన్ మరియు ERA యొక్క సాధారణ లక్షణాలు పనితీరు విమానం")</f>
        <v>ఫాంటమ్ X1 అనేది సింగిల్-ఇంజిన్, ట్రాక్టర్ కాన్ఫిగరేషన్, సింగిల్ సీట్, కేబుల్-బ్రెస్డ్ హై వింగ్ ట్రైసైకిల్ గేర్-అమర్చిన అల్ట్రాలైట్ విమానం, ఇది మూడు నదుల, మిచిగాన్ యొక్క ఫాంటమ్ ఏరోనాటిక్స్ చేత ఉత్పత్తి అవుతుంది మరియు కిట్ రూపంలో లభిస్తుంది. [1] [2] [ 3 వాలు X1 డిజైన్ 254 lb (115 kg) లోపు ఖాళీ బరువును కలిగి ఉండటానికి ఉద్దేశించబడింది, ఇది ఫార్ పార్ట్ 103 అల్ట్రాలైట్ వర్గానికి సరిపోతుంది. అల్ట్రాలైట్ ట్రైనర్‌గా రూపొందించిన ఎక్స్ 2 రెండు సీట్లు కూడా ఉన్నాయి. సింగిల్ మరియు రెండు-సీట్ల యొక్క ఆధునికీకరించిన నమూనాలు అసలు కేబుల్-బ్రేసింగ్ స్థానంలో స్ట్రట్‌లను ఉపయోగిస్తాయి. [1] [2] [3] ఫాంటమ్ ఎక్స్ 1 1982 లో సన్ ఎన్ ఫన్ వద్ద ప్రవేశపెట్టబడింది, ఇక్కడ ఇది చాలా దృష్టిని ఆకర్షించింది మరియు ప్రధాన డిజైన్ అవార్డును గెలుచుకుంది. ఈ రూపకల్పనను మిచిగాన్ లోని కలమజూ యొక్క ఫాంటమ్ విమానాలతో సహా అనేక వేర్వేరు తయారీదారులు నిర్మించారు మరియు విస్తృతంగా కాపీ చేయబడ్డారు. ఉత్పన్న డిజైన్లలో బెల్ సైడ్‌విండర్, హై-టెక్ హరికేన్ 103, ప్రపంచవ్యాప్త అల్ట్రాలైట్ స్పిట్‌ఫైర్ మరియు గోల్డెన్ గేట్ దోమ ఉన్నాయి. [1] ఫాంటమ్ X1 బోల్ట్-టుగెథర్ అల్యూమినియం గొట్టాల నుండి నిర్మించబడింది. రెక్కలు మరియు తోక ఉపరితలాలు డాక్రాన్ సెయిల్‌క్లాత్‌లో ప్రీ-సీవ్న్ ఎన్వలప్‌ల రూపంలో కప్పబడి ఉంటాయి. రెక్కలు విలోమ "V" ఆకారపు కింగ్‌పోస్ట్ నుండి వైర్-బ్రేస్డ్ మరియు పూర్తి-స్పాన్ ఐలెరాన్‌లను కలిగి ఉంటాయి. రవాణా మరియు నిల్వ కోసం రెక్కలను మడవటానికి అనుమతించడానికి ఫ్యాక్టరీ ఎంపిక కూడా ఉంది. ఇంజిన్ ప్రధాన గొట్టం ముందు భాగంలో అమర్చబడి ఉంటుంది, అదే గొట్టం యొక్క చాలా చివరలో తోక అమర్చబడుతుంది. కాక్‌పిట్ పాడ్ ఫైబర్‌గ్లాస్ నుండి తయారవుతుంది. ల్యాండింగ్ గేర్‌లో స్టీరబుల్ నోస్‌వీల్ ఉంటుంది. [1] X1 మొదట ఏరోబాటిక్ విమానంగా రూపొందించబడింది మరియు వైఫల్యానికి ముందు +9/-6.6 g కు పరీక్షించబడింది మరియు +6.6/-4.4 గ్రా కార్యాచరణ పరిమితులను కలిగి ఉంటుంది. పూర్తి-స్పాన్ ఐలెరాన్లు X1 కు ఫాస్ట్ రోల్ రేట్ కూడా ఇస్తాయి. బాధ్యత కారణాల వల్ల X1 ఎప్పుడూ ఏరోబాటిక్ డిజైన్‌గా విక్రయించబడలేదు. [1] ఫ్యాక్టరీ ఎంపికలలో బ్రేక్‌లు మరియు పూర్తి ఎయిర్‌ఫ్రేమ్ పారాచూట్‌తో పాటు వివిధ రకాల రోటాక్స్ ఇంజిన్‌లు 40 నుండి 64 హెచ్‌పి (30 నుండి 48 కిలోవాట్ వరకు) ఉన్నాయి. అసలు అసెంబ్లీ సమయాన్ని తయారీదారు 40 గంటలుగా రేట్ చేశారు. [1] [3] కిట్‌ప్లాన్‌ల నుండి డేటా [2] పోల్చదగిన పాత్ర, కాన్ఫిగరేషన్ మరియు ERA యొక్క సాధారణ లక్షణాలు పనితీరు విమానం</v>
      </c>
      <c r="E17" s="1" t="s">
        <v>383</v>
      </c>
      <c r="F17" s="1" t="str">
        <f>IFERROR(__xludf.DUMMYFUNCTION("GOOGLETRANSLATE(E:E, ""en"", ""te"")"),"అల్ట్రాలైట్ విమానం")</f>
        <v>అల్ట్రాలైట్ విమానం</v>
      </c>
      <c r="G17" s="1" t="s">
        <v>155</v>
      </c>
      <c r="H17" s="1" t="str">
        <f>IFERROR(__xludf.DUMMYFUNCTION("GOOGLETRANSLATE(G:G, ""en"", ""te"")"),"అమెరికా")</f>
        <v>అమెరికా</v>
      </c>
      <c r="I17" s="1" t="s">
        <v>414</v>
      </c>
      <c r="J17" s="1" t="str">
        <f>IFERROR(__xludf.DUMMYFUNCTION("GOOGLETRANSLATE(I:I, ""en"", ""te"")"),"ఫాంటమ్ ఏరోనాటిక్స్")</f>
        <v>ఫాంటమ్ ఏరోనాటిక్స్</v>
      </c>
      <c r="K17" s="1" t="s">
        <v>415</v>
      </c>
      <c r="N17" s="1">
        <v>1982.0</v>
      </c>
      <c r="O17" s="1" t="s">
        <v>135</v>
      </c>
      <c r="P17" s="1" t="s">
        <v>416</v>
      </c>
      <c r="Q17" s="1" t="s">
        <v>417</v>
      </c>
      <c r="R17" s="1" t="s">
        <v>418</v>
      </c>
      <c r="S17" s="1" t="s">
        <v>419</v>
      </c>
      <c r="T17" s="1" t="s">
        <v>420</v>
      </c>
      <c r="U17" s="1" t="s">
        <v>421</v>
      </c>
      <c r="V17" s="1" t="s">
        <v>422</v>
      </c>
      <c r="W17" s="1" t="s">
        <v>423</v>
      </c>
      <c r="Z17" s="1" t="s">
        <v>424</v>
      </c>
      <c r="AA17" s="1" t="s">
        <v>425</v>
      </c>
      <c r="AB17" s="1" t="s">
        <v>392</v>
      </c>
      <c r="AC17" s="2" t="s">
        <v>167</v>
      </c>
      <c r="AD17" s="1" t="s">
        <v>426</v>
      </c>
      <c r="AE17" s="1" t="s">
        <v>427</v>
      </c>
      <c r="AG17" s="1" t="s">
        <v>428</v>
      </c>
      <c r="AH17" s="1" t="s">
        <v>429</v>
      </c>
      <c r="AI17" s="1" t="s">
        <v>430</v>
      </c>
      <c r="AJ17" s="1" t="s">
        <v>431</v>
      </c>
      <c r="AR17" s="1" t="s">
        <v>253</v>
      </c>
      <c r="BA17" s="1" t="s">
        <v>432</v>
      </c>
      <c r="BJ17" s="1" t="s">
        <v>433</v>
      </c>
      <c r="BN17" s="1">
        <v>1982.0</v>
      </c>
    </row>
    <row r="18">
      <c r="A18" s="1" t="s">
        <v>434</v>
      </c>
      <c r="B18" s="1" t="str">
        <f>IFERROR(__xludf.DUMMYFUNCTION("GOOGLETRANSLATE(A:A, ""en"", ""te"")"),"పైపర్ పిటి -1")</f>
        <v>పైపర్ పిటి -1</v>
      </c>
      <c r="C18" s="1" t="s">
        <v>435</v>
      </c>
      <c r="D18" s="1" t="str">
        <f>IFERROR(__xludf.DUMMYFUNCTION("GOOGLETRANSLATE(C:C, ""en"", ""te"")"),"పైపర్ పిటి -1 1940 ల అమెరికన్ రెండు-సీట్ల ప్రాధమిక శిక్షణా మోనోప్లేన్, ఇది లాక్ హెవెన్ వద్ద పైపర్ విమానాలచే రూపొందించబడింది మరియు నిర్మించింది. తక్కువ-వింగ్ టెన్డం రెండు-సీట్ల మోనోప్లేన్, PT-1 తక్కువ-వింగ్ కలిగి ఉన్న మొదటి పైపర్ విమానం. ఇది ఆల్-మెటల్ ఫ్యూ"&amp;"జ్‌లేజ్ ఫ్రేమ్ మరియు చెక్క స్పార్ రెక్కలు మరియు తోక యూనిట్‌పై ఒక ఫాబ్రిక్ కలిగి ఉంది. PT-1 లో ముడుచుకునే టెయిల్‌వీల్ ల్యాండింగ్ గేర్‌ను కలిగి ఉంది మరియు ఇది 130 HP (97 kW) ఫ్రాంక్లిన్ 6AC-2980D ఇంజిన్‌తో శక్తినిచ్చింది. తదుపరి విమానాలు నిర్మించబడలేదు. నాల"&amp;"ుగు-సీట్ల అభివృద్ధిని పైపర్ పిడబ్ల్యుఎ -6 గా రూపొందించారు, ఇది ఉత్పత్తిలోకి వెళ్ళలేదు. జేన్ యొక్క అన్ని ప్రపంచ విమానాల నుండి డేటా 1947 [1] పోల్చదగిన పాత్ర, కాన్ఫిగరేషన్ మరియు ERA యొక్క సాధారణ లక్షణాల పనితీరు విమానం")</f>
        <v>పైపర్ పిటి -1 1940 ల అమెరికన్ రెండు-సీట్ల ప్రాధమిక శిక్షణా మోనోప్లేన్, ఇది లాక్ హెవెన్ వద్ద పైపర్ విమానాలచే రూపొందించబడింది మరియు నిర్మించింది. తక్కువ-వింగ్ టెన్డం రెండు-సీట్ల మోనోప్లేన్, PT-1 తక్కువ-వింగ్ కలిగి ఉన్న మొదటి పైపర్ విమానం. ఇది ఆల్-మెటల్ ఫ్యూజ్‌లేజ్ ఫ్రేమ్ మరియు చెక్క స్పార్ రెక్కలు మరియు తోక యూనిట్‌పై ఒక ఫాబ్రిక్ కలిగి ఉంది. PT-1 లో ముడుచుకునే టెయిల్‌వీల్ ల్యాండింగ్ గేర్‌ను కలిగి ఉంది మరియు ఇది 130 HP (97 kW) ఫ్రాంక్లిన్ 6AC-2980D ఇంజిన్‌తో శక్తినిచ్చింది. తదుపరి విమానాలు నిర్మించబడలేదు. నాలుగు-సీట్ల అభివృద్ధిని పైపర్ పిడబ్ల్యుఎ -6 గా రూపొందించారు, ఇది ఉత్పత్తిలోకి వెళ్ళలేదు. జేన్ యొక్క అన్ని ప్రపంచ విమానాల నుండి డేటా 1947 [1] పోల్చదగిన పాత్ర, కాన్ఫిగరేషన్ మరియు ERA యొక్క సాధారణ లక్షణాల పనితీరు విమానం</v>
      </c>
      <c r="E18" s="1" t="s">
        <v>436</v>
      </c>
      <c r="F18" s="1" t="str">
        <f>IFERROR(__xludf.DUMMYFUNCTION("GOOGLETRANSLATE(E:E, ""en"", ""te"")"),"మోనోప్లేన్ ట్రైనర్")</f>
        <v>మోనోప్లేన్ ట్రైనర్</v>
      </c>
      <c r="I18" s="1" t="s">
        <v>282</v>
      </c>
      <c r="J18" s="1" t="str">
        <f>IFERROR(__xludf.DUMMYFUNCTION("GOOGLETRANSLATE(I:I, ""en"", ""te"")"),"పైపర్ విమానం")</f>
        <v>పైపర్ విమానం</v>
      </c>
      <c r="K18" s="1" t="s">
        <v>283</v>
      </c>
      <c r="N18" s="1">
        <v>1942.0</v>
      </c>
      <c r="O18" s="1">
        <v>2.0</v>
      </c>
      <c r="P18" s="1" t="s">
        <v>437</v>
      </c>
      <c r="Q18" s="1" t="s">
        <v>438</v>
      </c>
      <c r="R18" s="1" t="s">
        <v>334</v>
      </c>
      <c r="T18" s="1" t="s">
        <v>439</v>
      </c>
      <c r="U18" s="1" t="s">
        <v>440</v>
      </c>
      <c r="V18" s="1" t="s">
        <v>441</v>
      </c>
      <c r="W18" s="1" t="s">
        <v>442</v>
      </c>
      <c r="X18" s="1" t="s">
        <v>443</v>
      </c>
      <c r="Y18" s="1" t="s">
        <v>444</v>
      </c>
      <c r="Z18" s="1" t="s">
        <v>445</v>
      </c>
      <c r="AA18" s="1" t="s">
        <v>446</v>
      </c>
      <c r="AF18" s="1" t="s">
        <v>447</v>
      </c>
      <c r="AG18" s="1" t="s">
        <v>448</v>
      </c>
      <c r="AJ18" s="1">
        <v>1.0</v>
      </c>
      <c r="BI18" s="2" t="s">
        <v>449</v>
      </c>
      <c r="BO18" s="1" t="s">
        <v>450</v>
      </c>
    </row>
    <row r="19">
      <c r="A19" s="1" t="s">
        <v>451</v>
      </c>
      <c r="B19" s="1" t="str">
        <f>IFERROR(__xludf.DUMMYFUNCTION("GOOGLETRANSLATE(A:A, ""en"", ""te"")"),"పోమిలియో BVL-12")</f>
        <v>పోమిలియో BVL-12</v>
      </c>
      <c r="C19" s="1" t="s">
        <v>452</v>
      </c>
      <c r="D19" s="1" t="str">
        <f>IFERROR(__xludf.DUMMYFUNCTION("GOOGLETRANSLATE(C:C, ""en"", ""te"")"),"పోమిలియో బివిఎల్ -12 అనేది అమెరికా ఆర్మీ ఇంజనీరింగ్ డివిజన్ నిర్మించిన ఒక అమెరికన్ ప్రయోగాత్మక సింగిల్-ఇంజిన్ బిప్‌లేన్ బాంబర్, ఇది మొదటి ప్రపంచ యుద్ధం తరువాత అమెరికా ఆర్మీ ఎయిర్ కార్ప్స్ కోసం ఒట్టోరినో పోమిలియో రూపకల్పనకు 400 హెచ్‌పి (298 కెడబ్ల్యు) లిబర"&amp;"్టీ వి 12, ఇది రెండు కూర్చుంటుంది. ఇది సమాన-స్పాన్ రెక్కను కలిగి ఉంది, ఈ జంట యొక్క దిగువ ఫ్యూజ్‌లేజ్‌కు జతచేయబడిన స్ట్రట్స్ ద్వారా జతచేయబడింది, అమెరికాలో ప్రత్యేకమైనది, నేరుగా కాకుండా, ఇది సాధారణం. పనితీరు నిరాశపరిచింది మరియు ఆరు ట్రయల్ మోడల్స్ మాత్రమే ని"&amp;"ర్మించబడ్డాయి. సాధారణ లక్షణాలు పనితీరు సంబంధిత జాబితాలు")</f>
        <v>పోమిలియో బివిఎల్ -12 అనేది అమెరికా ఆర్మీ ఇంజనీరింగ్ డివిజన్ నిర్మించిన ఒక అమెరికన్ ప్రయోగాత్మక సింగిల్-ఇంజిన్ బిప్‌లేన్ బాంబర్, ఇది మొదటి ప్రపంచ యుద్ధం తరువాత అమెరికా ఆర్మీ ఎయిర్ కార్ప్స్ కోసం ఒట్టోరినో పోమిలియో రూపకల్పనకు 400 హెచ్‌పి (298 కెడబ్ల్యు) లిబర్టీ వి 12, ఇది రెండు కూర్చుంటుంది. ఇది సమాన-స్పాన్ రెక్కను కలిగి ఉంది, ఈ జంట యొక్క దిగువ ఫ్యూజ్‌లేజ్‌కు జతచేయబడిన స్ట్రట్స్ ద్వారా జతచేయబడింది, అమెరికాలో ప్రత్యేకమైనది, నేరుగా కాకుండా, ఇది సాధారణం. పనితీరు నిరాశపరిచింది మరియు ఆరు ట్రయల్ మోడల్స్ మాత్రమే నిర్మించబడ్డాయి. సాధారణ లక్షణాలు పనితీరు సంబంధిత జాబితాలు</v>
      </c>
      <c r="E19" s="1" t="s">
        <v>453</v>
      </c>
      <c r="F19" s="1" t="str">
        <f>IFERROR(__xludf.DUMMYFUNCTION("GOOGLETRANSLATE(E:E, ""en"", ""te"")"),"ప్రయోగాత్మక బిప్‌లేన్ బాంబర్")</f>
        <v>ప్రయోగాత్మక బిప్‌లేన్ బాంబర్</v>
      </c>
      <c r="I19" s="1" t="s">
        <v>454</v>
      </c>
      <c r="J19" s="1" t="str">
        <f>IFERROR(__xludf.DUMMYFUNCTION("GOOGLETRANSLATE(I:I, ""en"", ""te"")"),"ఇంజనీరింగ్ డివిజన్/పోమిలియో బ్రదర్స్")</f>
        <v>ఇంజనీరింగ్ డివిజన్/పోమిలియో బ్రదర్స్</v>
      </c>
      <c r="K19" s="1" t="s">
        <v>455</v>
      </c>
      <c r="L19" s="1" t="s">
        <v>456</v>
      </c>
      <c r="M19" s="1" t="s">
        <v>457</v>
      </c>
      <c r="N19" s="1">
        <v>1919.0</v>
      </c>
      <c r="AJ19" s="1">
        <v>6.0</v>
      </c>
      <c r="AQ19" s="1" t="s">
        <v>458</v>
      </c>
      <c r="BP19" s="1" t="s">
        <v>459</v>
      </c>
    </row>
    <row r="20">
      <c r="A20" s="1" t="s">
        <v>460</v>
      </c>
      <c r="B20" s="1" t="str">
        <f>IFERROR(__xludf.DUMMYFUNCTION("GOOGLETRANSLATE(A:A, ""en"", ""te"")"),"పావెల్ పి -70 ఏసీ డ్యూసీ")</f>
        <v>పావెల్ పి -70 ఏసీ డ్యూసీ</v>
      </c>
      <c r="C20" s="1" t="s">
        <v>461</v>
      </c>
      <c r="D20" s="1" t="str">
        <f>IFERROR(__xludf.DUMMYFUNCTION("GOOGLETRANSLATE(C:C, ""en"", ""te"")"),"పావెల్ పి -70 ఏసీ డ్యూసీ అనేది ఒక అమెరికన్ రెండు-సీట్ల పారాసోల్ వింగ్ మోనోప్లేన్, ఇది te త్సాహిక నిర్మాణం కోసం జాన్ సి. పావెల్ రూపొందించారు మరియు నిర్మించారు. [2] పి -70 ఏసీ డ్యూసీ యొక్క రూపకల్పనను మాజీ అమెరికా నేవీ కమాండర్ జాన్ సి. పావెల్ 1966 లో 1967 లో"&amp;" నిర్మాణం ప్రారంభమైంది. దీనిని ప్రయోగాత్మక హోమ్‌బిల్ట్ విభాగంలో ఫెడరల్ ఏవియేషన్ అడ్మినిస్ట్రేషన్ ధృవీకరించారు మరియు ప్రోటోటైప్ మొదట 20 జూన్ 1970 న ఎగిరింది . పరీక్షను అనుసరించి డిజైన్ హోమ్‌బిల్డింగ్ కోసం ప్రణాళికలుగా విక్రయించబడింది. [2] ఏసీ డ్యూసీ అనేది "&amp;"రెండు-సీట్ల పారాసోల్-వింగ్ మోనోప్లేన్, ఇది ప్రతి వైపు వీ-బ్రేసింగ్ స్ట్రట్‌లతో కూడిన మిశ్రమ నిర్మాణానికి ఫాబ్రిక్-కప్పబడిన వింగ్‌కు మద్దతు ఇస్తుంది. ఫాబ్రిక్-కప్పబడిన ఫ్యూజ్‌లేజ్ మరియు టెయిల్ యూనిట్ తోక యూనిట్‌పై వైర్-బ్రేసింగ్‌తో వెల్డెడ్ స్టీల్-ట్యూబ్ న"&amp;"ిర్మాణం. ఏసీ డ్యూసీ 65 మరియు 90 హెచ్‌పిల మధ్య రేట్ చేయబడిన ఏకైక పిస్టన్ ఇంజిన్ ద్వారా శక్తినివ్వవచ్చు, ప్రోటోటైప్‌లో 65 హెచ్‌పి (48 కిలోవాట్ల) కాంటినెంటల్ ఎ 65 ఎయిర్-కూల్డ్ ఇంజన్ ఒక లోహాన్ని రెండు బ్లేడెడ్ ఫిక్స్‌డ్-పిచ్ ప్రొపెల్లర్‌ను నడుపుతుంది. సాంప్రద"&amp;"ాయిక ల్యాండింగ్ గేర్‌కు టెయిల్‌స్కిడ్ ఉంది మరియు ఫ్యూజ్‌లేజ్‌లో రెండు ఓపెన్ కాక్‌పిట్‌లు ఉన్నాయి, ముందు కాక్‌పిట్ స్టార్‌బోర్డ్ వైపు ఒక చిన్న తలుపును కలిగి ఉంది. [2] జేన్ యొక్క అన్ని ప్రపంచ విమానాల నుండి డేటా 1973-74 [2] పోల్చదగిన పాత్ర, కాన్ఫిగరేషన్ మరియ"&amp;"ు ERA యొక్క సాధారణ లక్షణాల పనితీరు విమానం")</f>
        <v>పావెల్ పి -70 ఏసీ డ్యూసీ అనేది ఒక అమెరికన్ రెండు-సీట్ల పారాసోల్ వింగ్ మోనోప్లేన్, ఇది te త్సాహిక నిర్మాణం కోసం జాన్ సి. పావెల్ రూపొందించారు మరియు నిర్మించారు. [2] పి -70 ఏసీ డ్యూసీ యొక్క రూపకల్పనను మాజీ అమెరికా నేవీ కమాండర్ జాన్ సి. పావెల్ 1966 లో 1967 లో నిర్మాణం ప్రారంభమైంది. దీనిని ప్రయోగాత్మక హోమ్‌బిల్ట్ విభాగంలో ఫెడరల్ ఏవియేషన్ అడ్మినిస్ట్రేషన్ ధృవీకరించారు మరియు ప్రోటోటైప్ మొదట 20 జూన్ 1970 న ఎగిరింది . పరీక్షను అనుసరించి డిజైన్ హోమ్‌బిల్డింగ్ కోసం ప్రణాళికలుగా విక్రయించబడింది. [2] ఏసీ డ్యూసీ అనేది రెండు-సీట్ల పారాసోల్-వింగ్ మోనోప్లేన్, ఇది ప్రతి వైపు వీ-బ్రేసింగ్ స్ట్రట్‌లతో కూడిన మిశ్రమ నిర్మాణానికి ఫాబ్రిక్-కప్పబడిన వింగ్‌కు మద్దతు ఇస్తుంది. ఫాబ్రిక్-కప్పబడిన ఫ్యూజ్‌లేజ్ మరియు టెయిల్ యూనిట్ తోక యూనిట్‌పై వైర్-బ్రేసింగ్‌తో వెల్డెడ్ స్టీల్-ట్యూబ్ నిర్మాణం. ఏసీ డ్యూసీ 65 మరియు 90 హెచ్‌పిల మధ్య రేట్ చేయబడిన ఏకైక పిస్టన్ ఇంజిన్ ద్వారా శక్తినివ్వవచ్చు, ప్రోటోటైప్‌లో 65 హెచ్‌పి (48 కిలోవాట్ల) కాంటినెంటల్ ఎ 65 ఎయిర్-కూల్డ్ ఇంజన్ ఒక లోహాన్ని రెండు బ్లేడెడ్ ఫిక్స్‌డ్-పిచ్ ప్రొపెల్లర్‌ను నడుపుతుంది. సాంప్రదాయిక ల్యాండింగ్ గేర్‌కు టెయిల్‌స్కిడ్ ఉంది మరియు ఫ్యూజ్‌లేజ్‌లో రెండు ఓపెన్ కాక్‌పిట్‌లు ఉన్నాయి, ముందు కాక్‌పిట్ స్టార్‌బోర్డ్ వైపు ఒక చిన్న తలుపును కలిగి ఉంది. [2] జేన్ యొక్క అన్ని ప్రపంచ విమానాల నుండి డేటా 1973-74 [2] పోల్చదగిన పాత్ర, కాన్ఫిగరేషన్ మరియు ERA యొక్క సాధారణ లక్షణాల పనితీరు విమానం</v>
      </c>
      <c r="E20" s="1" t="s">
        <v>462</v>
      </c>
      <c r="F20" s="1" t="str">
        <f>IFERROR(__xludf.DUMMYFUNCTION("GOOGLETRANSLATE(E:E, ""en"", ""te"")"),"రెండు-సీట్ల హోమ్‌బిల్ట్ మోనోప్లేన్")</f>
        <v>రెండు-సీట్ల హోమ్‌బిల్ట్ మోనోప్లేన్</v>
      </c>
      <c r="G20" s="1" t="s">
        <v>155</v>
      </c>
      <c r="H20" s="1" t="str">
        <f>IFERROR(__xludf.DUMMYFUNCTION("GOOGLETRANSLATE(G:G, ""en"", ""te"")"),"అమెరికా")</f>
        <v>అమెరికా</v>
      </c>
      <c r="L20" s="1" t="s">
        <v>463</v>
      </c>
      <c r="N20" s="1" t="s">
        <v>464</v>
      </c>
      <c r="O20" s="1">
        <v>1.0</v>
      </c>
      <c r="P20" s="1" t="s">
        <v>465</v>
      </c>
      <c r="Q20" s="1" t="s">
        <v>466</v>
      </c>
      <c r="R20" s="1" t="s">
        <v>467</v>
      </c>
      <c r="S20" s="1" t="s">
        <v>468</v>
      </c>
      <c r="T20" s="1" t="s">
        <v>368</v>
      </c>
      <c r="U20" s="1" t="s">
        <v>469</v>
      </c>
      <c r="V20" s="1" t="s">
        <v>470</v>
      </c>
      <c r="W20" s="1" t="s">
        <v>471</v>
      </c>
      <c r="X20" s="1" t="s">
        <v>472</v>
      </c>
      <c r="Z20" s="1" t="s">
        <v>473</v>
      </c>
      <c r="AB20" s="1" t="s">
        <v>474</v>
      </c>
      <c r="AG20" s="1" t="s">
        <v>323</v>
      </c>
      <c r="AH20" s="1" t="s">
        <v>475</v>
      </c>
      <c r="AK20" s="1" t="s">
        <v>476</v>
      </c>
      <c r="BN20" s="1">
        <v>1970.0</v>
      </c>
    </row>
    <row r="21">
      <c r="A21" s="1" t="s">
        <v>477</v>
      </c>
      <c r="B21" s="1" t="str">
        <f>IFERROR(__xludf.DUMMYFUNCTION("GOOGLETRANSLATE(A:A, ""en"", ""te"")"),"అనుకూల సహేతాల స్వేచ్ఛ")</f>
        <v>అనుకూల సహేతాల స్వేచ్ఛ</v>
      </c>
      <c r="C21" s="1" t="s">
        <v>478</v>
      </c>
      <c r="D21" s="1" t="str">
        <f>IFERROR(__xludf.DUMMYFUNCTION("GOOGLETRANSLATE(C:C, ""en"", ""te"")"),"ప్రో-కాంపోసైట్స్ స్వేచ్ఛ అనేది ఒక అమెరికన్ te త్సాహిక-నిర్మిత విమానం, ఇల్లినాయిస్లోని బఫెలో గ్రోవ్ యొక్క అనుకూల-సమ్మేళనాల అభివృద్ధిలో ఉంది. ఈ విమానం te త్సాహిక నిర్మాణం కోసం ప్రణాళికల రూపంలో సరఫరా చేయడానికి ఉద్దేశించబడింది, కొన్ని ముందే ఏర్పడిన భాగాలు వేగ"&amp;"వంతమైన నిర్మాణానికి అందుబాటులో ఉంచబడ్డాయి. [1] [2] ఈ విమానం ఒక కాంటిలివర్ లో-వింగ్, తలుపులు యాక్సెస్ చేసిన నాలుగు-సీట్ల పరివేష్టిత క్యాబిన్, వీల్ ప్యాంటుతో స్థిర ట్రైసైకిల్ ల్యాండింగ్ గేర్ మరియు ట్రాక్టర్ కాన్ఫిగరేషన్‌లో ఒకే ఇంజిన్ ఉన్నాయి. [1] ఈ విమానం మ"&amp;"ుందే ఏర్పడిన ఫ్లాట్ ఫైబర్గ్లాస్ మరియు నురుగు మిశ్రమ ప్యానెళ్ల నుండి తయారు చేయబడింది, ఇవి వ్యాసార్థం ఆకారం వరకు వంగి ఉంటాయి. దాని 30 అడుగుల (9.1 మీ) స్పాన్ వింగ్ వింగ్ రూట్ వద్ద నాకా 63 ఎ -214 ఎయిర్‌ఫాయిల్‌ను ఉపయోగిస్తుంది, వింగ్ చిట్కా వద్ద నాకా 63 ఎ -212"&amp;" ఎయిర్‌ఫాయిల్‌కు మారుతుంది. రెక్కలో 134 చదరపు అడుగుల (12.4 మీ 2) మరియు క్యాబిన్ వెడల్పులో 46 (117 సెం.మీ) ఉంటుంది. ల్యాండింగ్ గేర్‌లో పూర్తిగా కాస్టరింగ్ నోస్‌వీల్ మరియు స్టీరింగ్ కోసం డిఫరెన్షియల్ బ్రేకింగ్ ఉన్నాయి. ఈ విమానం 180 నుండి 320 హెచ్‌పి (134 ను"&amp;"ండి 239 కిలోవాట్) వరకు రూపొందించబడింది. [1] [3] తయారీదారు ఈ డిజైన్‌ను ""నిర్మించిన ఏకైక మిశ్రమ, ప్రణాళికలు, సాంప్రదాయిక - నాన్ కానార్డ్ - ప్లాట్‌ఫామ్‌ను ఉపయోగించే 4 సీట్ల విమానం. దీనిని ముడి పదార్థాలను ఉపయోగించి లేదా ముందే ఏర్పడిన భాగాల నుండి మాన్యువల్‌ల "&amp;"నుండి పూర్తిగా నిర్మించవచ్చు. [2] డేటా. [2] డేటా. [2] డేటా బేయర్ల్ మరియు ప్రో-కాంపోసైట్స్ నుండి [1] [3] సాధారణ లక్షణాల పనితీరు")</f>
        <v>ప్రో-కాంపోసైట్స్ స్వేచ్ఛ అనేది ఒక అమెరికన్ te త్సాహిక-నిర్మిత విమానం, ఇల్లినాయిస్లోని బఫెలో గ్రోవ్ యొక్క అనుకూల-సమ్మేళనాల అభివృద్ధిలో ఉంది. ఈ విమానం te త్సాహిక నిర్మాణం కోసం ప్రణాళికల రూపంలో సరఫరా చేయడానికి ఉద్దేశించబడింది, కొన్ని ముందే ఏర్పడిన భాగాలు వేగవంతమైన నిర్మాణానికి అందుబాటులో ఉంచబడ్డాయి. [1] [2] ఈ విమానం ఒక కాంటిలివర్ లో-వింగ్, తలుపులు యాక్సెస్ చేసిన నాలుగు-సీట్ల పరివేష్టిత క్యాబిన్, వీల్ ప్యాంటుతో స్థిర ట్రైసైకిల్ ల్యాండింగ్ గేర్ మరియు ట్రాక్టర్ కాన్ఫిగరేషన్‌లో ఒకే ఇంజిన్ ఉన్నాయి. [1] ఈ విమానం ముందే ఏర్పడిన ఫ్లాట్ ఫైబర్గ్లాస్ మరియు నురుగు మిశ్రమ ప్యానెళ్ల నుండి తయారు చేయబడింది, ఇవి వ్యాసార్థం ఆకారం వరకు వంగి ఉంటాయి. దాని 30 అడుగుల (9.1 మీ) స్పాన్ వింగ్ వింగ్ రూట్ వద్ద నాకా 63 ఎ -214 ఎయిర్‌ఫాయిల్‌ను ఉపయోగిస్తుంది, వింగ్ చిట్కా వద్ద నాకా 63 ఎ -212 ఎయిర్‌ఫాయిల్‌కు మారుతుంది. రెక్కలో 134 చదరపు అడుగుల (12.4 మీ 2) మరియు క్యాబిన్ వెడల్పులో 46 (117 సెం.మీ) ఉంటుంది. ల్యాండింగ్ గేర్‌లో పూర్తిగా కాస్టరింగ్ నోస్‌వీల్ మరియు స్టీరింగ్ కోసం డిఫరెన్షియల్ బ్రేకింగ్ ఉన్నాయి. ఈ విమానం 180 నుండి 320 హెచ్‌పి (134 నుండి 239 కిలోవాట్) వరకు రూపొందించబడింది. [1] [3] తయారీదారు ఈ డిజైన్‌ను "నిర్మించిన ఏకైక మిశ్రమ, ప్రణాళికలు, సాంప్రదాయిక - నాన్ కానార్డ్ - ప్లాట్‌ఫామ్‌ను ఉపయోగించే 4 సీట్ల విమానం. దీనిని ముడి పదార్థాలను ఉపయోగించి లేదా ముందే ఏర్పడిన భాగాల నుండి మాన్యువల్‌ల నుండి పూర్తిగా నిర్మించవచ్చు. [2] డేటా. [2] డేటా. [2] డేటా బేయర్ల్ మరియు ప్రో-కాంపోసైట్స్ నుండి [1] [3] సాధారణ లక్షణాల పనితీరు</v>
      </c>
      <c r="E21" s="1" t="s">
        <v>132</v>
      </c>
      <c r="F21" s="1" t="str">
        <f>IFERROR(__xludf.DUMMYFUNCTION("GOOGLETRANSLATE(E:E, ""en"", ""te"")"),"Te త్సాహిక నిర్మించిన విమానం")</f>
        <v>Te త్సాహిక నిర్మించిన విమానం</v>
      </c>
      <c r="G21" s="1" t="s">
        <v>155</v>
      </c>
      <c r="H21" s="1" t="str">
        <f>IFERROR(__xludf.DUMMYFUNCTION("GOOGLETRANSLATE(G:G, ""en"", ""te"")"),"అమెరికా")</f>
        <v>అమెరికా</v>
      </c>
      <c r="I21" s="1" t="s">
        <v>363</v>
      </c>
      <c r="J21" s="1" t="str">
        <f>IFERROR(__xludf.DUMMYFUNCTION("GOOGLETRANSLATE(I:I, ""en"", ""te"")"),"ప్రో-కాంపోసైట్లు")</f>
        <v>ప్రో-కాంపోసైట్లు</v>
      </c>
      <c r="K21" s="2" t="s">
        <v>479</v>
      </c>
      <c r="O21" s="1" t="s">
        <v>135</v>
      </c>
      <c r="Q21" s="1" t="s">
        <v>480</v>
      </c>
      <c r="S21" s="1" t="s">
        <v>481</v>
      </c>
      <c r="T21" s="1" t="s">
        <v>482</v>
      </c>
      <c r="U21" s="1" t="s">
        <v>483</v>
      </c>
      <c r="V21" s="1" t="s">
        <v>484</v>
      </c>
      <c r="AB21" s="1" t="s">
        <v>144</v>
      </c>
      <c r="AC21" s="2" t="s">
        <v>167</v>
      </c>
      <c r="AD21" s="1" t="s">
        <v>485</v>
      </c>
      <c r="AE21" s="1" t="s">
        <v>486</v>
      </c>
      <c r="AG21" s="1" t="s">
        <v>487</v>
      </c>
      <c r="AI21" s="1" t="s">
        <v>488</v>
      </c>
      <c r="AJ21" s="1" t="s">
        <v>489</v>
      </c>
      <c r="AK21" s="1" t="s">
        <v>490</v>
      </c>
      <c r="AS21" s="1">
        <v>7.0</v>
      </c>
      <c r="AT21" s="1" t="s">
        <v>491</v>
      </c>
      <c r="AY21" s="1" t="s">
        <v>492</v>
      </c>
      <c r="BA21" s="1" t="s">
        <v>493</v>
      </c>
    </row>
    <row r="22">
      <c r="A22" s="1" t="s">
        <v>494</v>
      </c>
      <c r="B22" s="1" t="str">
        <f>IFERROR(__xludf.DUMMYFUNCTION("GOOGLETRANSLATE(A:A, ""en"", ""te"")"),"Pro.mecc freccia anemo")</f>
        <v>Pro.mecc freccia anemo</v>
      </c>
      <c r="C22" s="1" t="s">
        <v>495</v>
      </c>
      <c r="D22" s="1" t="str">
        <f>IFERROR(__xludf.DUMMYFUNCTION("GOOGLETRANSLATE(C:C, ""en"", ""te"")"),"PRO.MECC FRECCIA ANEMO (ఇంగ్లీష్: ఫాస్ట్ బాణం) అనేది ఇటాలియన్ అల్ట్రాలైట్ విమానం, ఇది కోరిగ్లియానో ​​డి ఓట్రాంటో యొక్క PRO.MECC చేత రూపొందించబడింది మరియు ఉత్పత్తి చేయబడింది. ఈ విమానం 2011 లో ఏరో ఫ్రెడ్రిచ్‌షాఫెన్ షోలో ప్రవేశపెట్టబడింది. Freccia పూర్తి రెడ"&amp;"ీ-టు-ఫ్లై-ఎయిర్‌క్రాఫ్ట్‌గా సరఫరా చేయబడుతుంది. [1] [2] FRECCIA మునుపటి PRO.MECC స్పార్వియెరో నుండి ఉద్భవించింది, అదనపు స్ట్రీమ్‌లైనింగ్ మరియు కొత్త ఎలిప్టికల్ వింగ్ ప్లాన్‌ఫార్మ్. ఇది ఫెడెరేషన్ ఏరోనటిక్ ఇంటర్నేషనల్ మైక్రోలైట్ నిబంధనలకు అనుగుణంగా రూపొందించ"&amp;"బడింది. ఇది కాంటిలివర్ లో-వింగ్, బబుల్ పందిరి కింద రెండు-సైడ్-సైడ్-సైడ్ కాన్ఫిగరేషన్ పరివేష్టిత కాక్‌పిట్, స్థిర లేదా, ఐచ్ఛికంగా, ముడుచుకునే ట్రైసైకిల్ ల్యాండింగ్ గేర్ మరియు ట్రాక్టర్ కాన్ఫిగరేషన్‌లో ఒకే ఇంజిన్ కలిగి ఉంది. [1] [2 ] ఈ విమానం కార్బన్ ఫైబర్ "&amp;"నుండి తయారు చేయబడింది. దాని 8.78 మీ (28.8 అడుగులు) స్పాన్ వింగ్ 10.18 మీ 2 (109.6 చదరపు అడుగులు) మరియు డబుల్ స్లాట్డ్ ఫ్లాప్‌లను కలిగి ఉంది, తక్కువ స్టాల్ వేగాన్ని అనుమతిస్తుంది. అందుబాటులో ఉన్న ఇంజన్లు 100 హెచ్‌పి (75 కిలోవాట్ బేయర్ల్ నుండి డేటా [1] సాధా"&amp;"రణ లక్షణాల పనితీరు")</f>
        <v>PRO.MECC FRECCIA ANEMO (ఇంగ్లీష్: ఫాస్ట్ బాణం) అనేది ఇటాలియన్ అల్ట్రాలైట్ విమానం, ఇది కోరిగ్లియానో ​​డి ఓట్రాంటో యొక్క PRO.MECC చేత రూపొందించబడింది మరియు ఉత్పత్తి చేయబడింది. ఈ విమానం 2011 లో ఏరో ఫ్రెడ్రిచ్‌షాఫెన్ షోలో ప్రవేశపెట్టబడింది. Freccia పూర్తి రెడీ-టు-ఫ్లై-ఎయిర్‌క్రాఫ్ట్‌గా సరఫరా చేయబడుతుంది. [1] [2] FRECCIA మునుపటి PRO.MECC స్పార్వియెరో నుండి ఉద్భవించింది, అదనపు స్ట్రీమ్‌లైనింగ్ మరియు కొత్త ఎలిప్టికల్ వింగ్ ప్లాన్‌ఫార్మ్. ఇది ఫెడెరేషన్ ఏరోనటిక్ ఇంటర్నేషనల్ మైక్రోలైట్ నిబంధనలకు అనుగుణంగా రూపొందించబడింది. ఇది కాంటిలివర్ లో-వింగ్, బబుల్ పందిరి కింద రెండు-సైడ్-సైడ్-సైడ్ కాన్ఫిగరేషన్ పరివేష్టిత కాక్‌పిట్, స్థిర లేదా, ఐచ్ఛికంగా, ముడుచుకునే ట్రైసైకిల్ ల్యాండింగ్ గేర్ మరియు ట్రాక్టర్ కాన్ఫిగరేషన్‌లో ఒకే ఇంజిన్ కలిగి ఉంది. [1] [2 ] ఈ విమానం కార్బన్ ఫైబర్ నుండి తయారు చేయబడింది. దాని 8.78 మీ (28.8 అడుగులు) స్పాన్ వింగ్ 10.18 మీ 2 (109.6 చదరపు అడుగులు) మరియు డబుల్ స్లాట్డ్ ఫ్లాప్‌లను కలిగి ఉంది, తక్కువ స్టాల్ వేగాన్ని అనుమతిస్తుంది. అందుబాటులో ఉన్న ఇంజన్లు 100 హెచ్‌పి (75 కిలోవాట్ బేయర్ల్ నుండి డేటా [1] సాధారణ లక్షణాల పనితీరు</v>
      </c>
      <c r="E22" s="1" t="s">
        <v>383</v>
      </c>
      <c r="F22" s="1" t="str">
        <f>IFERROR(__xludf.DUMMYFUNCTION("GOOGLETRANSLATE(E:E, ""en"", ""te"")"),"అల్ట్రాలైట్ విమానం")</f>
        <v>అల్ట్రాలైట్ విమానం</v>
      </c>
      <c r="G22" s="1" t="s">
        <v>200</v>
      </c>
      <c r="H22" s="1" t="str">
        <f>IFERROR(__xludf.DUMMYFUNCTION("GOOGLETRANSLATE(G:G, ""en"", ""te"")"),"ఇటలీ")</f>
        <v>ఇటలీ</v>
      </c>
      <c r="I22" s="1" t="s">
        <v>384</v>
      </c>
      <c r="J22" s="1" t="str">
        <f>IFERROR(__xludf.DUMMYFUNCTION("GOOGLETRANSLATE(I:I, ""en"", ""te"")"),"Pro.mecc")</f>
        <v>Pro.mecc</v>
      </c>
      <c r="K22" s="2" t="s">
        <v>385</v>
      </c>
      <c r="O22" s="1" t="s">
        <v>135</v>
      </c>
      <c r="Q22" s="1" t="s">
        <v>496</v>
      </c>
      <c r="S22" s="1" t="s">
        <v>497</v>
      </c>
      <c r="T22" s="1" t="s">
        <v>139</v>
      </c>
      <c r="U22" s="1" t="s">
        <v>388</v>
      </c>
      <c r="V22" s="1" t="s">
        <v>186</v>
      </c>
      <c r="W22" s="1" t="s">
        <v>498</v>
      </c>
      <c r="Z22" s="1" t="s">
        <v>499</v>
      </c>
      <c r="AA22" s="1" t="s">
        <v>500</v>
      </c>
      <c r="AB22" s="1" t="s">
        <v>392</v>
      </c>
      <c r="AC22" s="2" t="s">
        <v>393</v>
      </c>
      <c r="AD22" s="1" t="s">
        <v>190</v>
      </c>
      <c r="AE22" s="1" t="s">
        <v>501</v>
      </c>
      <c r="AG22" s="1" t="s">
        <v>126</v>
      </c>
      <c r="AH22" s="1" t="s">
        <v>193</v>
      </c>
      <c r="AI22" s="1" t="s">
        <v>502</v>
      </c>
      <c r="AK22" s="1" t="s">
        <v>195</v>
      </c>
      <c r="AR22" s="1" t="s">
        <v>253</v>
      </c>
      <c r="AY22" s="1" t="s">
        <v>192</v>
      </c>
      <c r="BF22" s="1" t="s">
        <v>381</v>
      </c>
      <c r="BG22" s="1" t="s">
        <v>503</v>
      </c>
      <c r="BN22" s="1">
        <v>2011.0</v>
      </c>
    </row>
    <row r="23">
      <c r="A23" s="1" t="s">
        <v>504</v>
      </c>
      <c r="B23" s="1" t="str">
        <f>IFERROR(__xludf.DUMMYFUNCTION("GOOGLETRANSLATE(A:A, ""en"", ""te"")"),"క్వాడ్ సిటీ ఛాలెంజర్")</f>
        <v>క్వాడ్ సిటీ ఛాలెంజర్</v>
      </c>
      <c r="C23" s="1" t="s">
        <v>505</v>
      </c>
      <c r="D23" s="1" t="str">
        <f>IFERROR(__xludf.DUMMYFUNCTION("GOOGLETRANSLATE(C:C, ""en"", ""te"")"),"క్వాడ్ సిటీ ఛాలెంజర్ ఒకటి మరియు రెండు సీట్లు, పషర్ కాన్ఫిగరేషన్, ట్రైసైకిల్ ల్యాండింగ్ గేర్ అల్ట్రాలైట్ విమానాల కుటుంబం, దీనిని ఇల్లినాయిస్లోని మోలిన్ యొక్క క్వాడ్ సిటీ ఎయిర్క్రాఫ్ట్ కార్పొరేషన్ రూపొందించింది మరియు ఉత్పత్తి చేసింది. ఛాలెంజర్ మొదట 1983 లో "&amp;"ప్రవేశపెట్టబడింది. [1] [2] [3] ఛాలెంజర్ అల్ట్రాలైట్ అనేది ఎత్తైన వింగ్, ట్రైసైకిల్ గేర్ కిట్ విమానం, ఇది 6061-టి 6 అల్యూమినియం మిశ్రమం గొట్టాల నుండి విమాన గ్రేడ్‌తో కట్టుబడి ఉంటుంది, ఇది బోల్ట్‌లు మరియు రివెట్‌లతో కట్టుబడి ప్రీసెవాన్ డాక్రాన్ ఎన్వలప్‌లు ల"&amp;"ేదా ప్రామాణిక విమాన ఫాబ్రిక్‌తో కప్పబడి ఉంటుంది. ఇంజిన్ పషర్ కాన్ఫిగరేషన్‌లో అమర్చబడి, ప్రొపెల్లర్‌ను తగ్గింపు డ్రైవ్ ద్వారా మారుస్తుంది, ఇది కాగ్డ్ టూత్ రబ్బరు బెల్ట్‌ను ఉపయోగిస్తుంది. [4] కిట్‌ను 4 ప్రధాన ఉప-కిట్స్‌లో కొనుగోలు చేయవచ్చు: టెయిల్ అసెంబ్లీ,"&amp;" ఫ్యూజ్‌లేజ్, రెక్కలు మరియు ఇంజిన్. ఫ్యాక్టరీ కిట్ ఇప్పటికే పూర్తయిన చాలా కష్టమైన యాంత్రిక పనులను సరఫరా చేస్తుంది. నియంత్రణలు మరియు ఫ్యాక్టరీలో సమావేశమైన ప్రాథమిక వింగ్ నిర్మాణాలతో పాటు ప్రాధమిక ఫ్యూజ్‌లేజ్ ఫ్రేమ్‌వర్క్ ఇందులో ఉంది. కిట్ బిల్డర్ చిన్న నిర"&amp;"్మాణ భాగాలను పూర్తి చేయడం, అల్యూమినియం ఫ్రేమ్‌లను ఫాబ్రిక్‌తో కప్పడం, ముద్ర వేయడం మరియు ఫాబ్రిక్ పెయింట్ చేయడం మరియు తుది అసెంబ్లీ చేయడం అవసరం. [4] విమానం దాని మోటారు స్విచ్ ఆఫ్ చేయడంతో ఎగురుతున్న సామర్థ్యాన్ని కలిగి ఉంది. [5] ఛాలెంజర్ రూపకల్పనను దాని ల్య"&amp;"ాండింగ్ గేర్ కోసం సమీక్షకులు విమర్శించారు, ఇది కఠినమైన కేబుల్-బ్రాస్డ్ రకం మరియు హార్డ్ ల్యాండింగ్ సమయంలో వంగి ఉంటుంది. ఈ సమస్యను సరిదిద్దే ప్రయత్నంలో చాలా మంది మార్కెట్ తర్వాత సరఫరాదారులు స్టాక్ ల్యాండింగ్ గేర్‌కు పున ments స్థాపనగా స్టీల్ గేర్ కాళ్ళను ర"&amp;"ూపొందించారు. మెరుగైన ఫ్యాక్టరీ-రూపొందించిన లైట్ స్పోర్ట్ స్పెషల్ (ఎల్‌ఎస్‌ఎస్) మోడల్ ఈ లోపాన్ని పరిష్కరించడానికి సవరించిన ల్యాండింగ్ గేర్‌ను కలిగి ఉంటుంది. [6] [7] [8] నవంబర్ 2018 లో, ఈ డిజైన్ 30 జూలై 2018 న జరిగిన ప్రమాదం కారణంగా కెనడా ఏవియేషన్ సేఫ్టీ అడ"&amp;"్వైజరీకి రవాణా భద్రత బోర్డుకు లోబడి ఉంది, అక్కడ ఒక ఛాలెంజర్ క్రాష్ అయ్యారు మరియు పైలట్ చంపబడ్డాడు. 402.2 గంటల సేవలో అలసట కారణంగా కుడి ఫ్రంట్ లిఫ్ట్ స్ట్రట్ దిగువ బ్రాకెట్ విఫలమైందని దర్యాప్తు నిర్ణయించింది. బ్రాకెట్ 500 గంటల భాగం జీవితాన్ని కలిగి ఉంది మరి"&amp;"యు ఇది 50 గంటల ఆవర్తన తనిఖీలకు లోబడి ఉంటుంది. 22 మంది ఇతర ఛాలెంజర్ల పరిశీలన ఎనిమిది మందిని కనుగొన్నారు, అది కూడా బ్రాకెట్లను పగులగొట్టింది. [9] ఛాలెంజర్.కా [12] [13] నుండి డేటా పోల్చదగిన పాత్ర, కాన్ఫిగరేషన్ మరియు ERA యొక్క సాధారణ లక్షణాల పనితీరు సంబంధిత అ"&amp;"భివృద్ధి విమానం")</f>
        <v>క్వాడ్ సిటీ ఛాలెంజర్ ఒకటి మరియు రెండు సీట్లు, పషర్ కాన్ఫిగరేషన్, ట్రైసైకిల్ ల్యాండింగ్ గేర్ అల్ట్రాలైట్ విమానాల కుటుంబం, దీనిని ఇల్లినాయిస్లోని మోలిన్ యొక్క క్వాడ్ సిటీ ఎయిర్క్రాఫ్ట్ కార్పొరేషన్ రూపొందించింది మరియు ఉత్పత్తి చేసింది. ఛాలెంజర్ మొదట 1983 లో ప్రవేశపెట్టబడింది. [1] [2] [3] ఛాలెంజర్ అల్ట్రాలైట్ అనేది ఎత్తైన వింగ్, ట్రైసైకిల్ గేర్ కిట్ విమానం, ఇది 6061-టి 6 అల్యూమినియం మిశ్రమం గొట్టాల నుండి విమాన గ్రేడ్‌తో కట్టుబడి ఉంటుంది, ఇది బోల్ట్‌లు మరియు రివెట్‌లతో కట్టుబడి ప్రీసెవాన్ డాక్రాన్ ఎన్వలప్‌లు లేదా ప్రామాణిక విమాన ఫాబ్రిక్‌తో కప్పబడి ఉంటుంది. ఇంజిన్ పషర్ కాన్ఫిగరేషన్‌లో అమర్చబడి, ప్రొపెల్లర్‌ను తగ్గింపు డ్రైవ్ ద్వారా మారుస్తుంది, ఇది కాగ్డ్ టూత్ రబ్బరు బెల్ట్‌ను ఉపయోగిస్తుంది. [4] కిట్‌ను 4 ప్రధాన ఉప-కిట్స్‌లో కొనుగోలు చేయవచ్చు: టెయిల్ అసెంబ్లీ, ఫ్యూజ్‌లేజ్, రెక్కలు మరియు ఇంజిన్. ఫ్యాక్టరీ కిట్ ఇప్పటికే పూర్తయిన చాలా కష్టమైన యాంత్రిక పనులను సరఫరా చేస్తుంది. నియంత్రణలు మరియు ఫ్యాక్టరీలో సమావేశమైన ప్రాథమిక వింగ్ నిర్మాణాలతో పాటు ప్రాధమిక ఫ్యూజ్‌లేజ్ ఫ్రేమ్‌వర్క్ ఇందులో ఉంది. కిట్ బిల్డర్ చిన్న నిర్మాణ భాగాలను పూర్తి చేయడం, అల్యూమినియం ఫ్రేమ్‌లను ఫాబ్రిక్‌తో కప్పడం, ముద్ర వేయడం మరియు ఫాబ్రిక్ పెయింట్ చేయడం మరియు తుది అసెంబ్లీ చేయడం అవసరం. [4] విమానం దాని మోటారు స్విచ్ ఆఫ్ చేయడంతో ఎగురుతున్న సామర్థ్యాన్ని కలిగి ఉంది. [5] ఛాలెంజర్ రూపకల్పనను దాని ల్యాండింగ్ గేర్ కోసం సమీక్షకులు విమర్శించారు, ఇది కఠినమైన కేబుల్-బ్రాస్డ్ రకం మరియు హార్డ్ ల్యాండింగ్ సమయంలో వంగి ఉంటుంది. ఈ సమస్యను సరిదిద్దే ప్రయత్నంలో చాలా మంది మార్కెట్ తర్వాత సరఫరాదారులు స్టాక్ ల్యాండింగ్ గేర్‌కు పున ments స్థాపనగా స్టీల్ గేర్ కాళ్ళను రూపొందించారు. మెరుగైన ఫ్యాక్టరీ-రూపొందించిన లైట్ స్పోర్ట్ స్పెషల్ (ఎల్‌ఎస్‌ఎస్) మోడల్ ఈ లోపాన్ని పరిష్కరించడానికి సవరించిన ల్యాండింగ్ గేర్‌ను కలిగి ఉంటుంది. [6] [7] [8] నవంబర్ 2018 లో, ఈ డిజైన్ 30 జూలై 2018 న జరిగిన ప్రమాదం కారణంగా కెనడా ఏవియేషన్ సేఫ్టీ అడ్వైజరీకి రవాణా భద్రత బోర్డుకు లోబడి ఉంది, అక్కడ ఒక ఛాలెంజర్ క్రాష్ అయ్యారు మరియు పైలట్ చంపబడ్డాడు. 402.2 గంటల సేవలో అలసట కారణంగా కుడి ఫ్రంట్ లిఫ్ట్ స్ట్రట్ దిగువ బ్రాకెట్ విఫలమైందని దర్యాప్తు నిర్ణయించింది. బ్రాకెట్ 500 గంటల భాగం జీవితాన్ని కలిగి ఉంది మరియు ఇది 50 గంటల ఆవర్తన తనిఖీలకు లోబడి ఉంటుంది. 22 మంది ఇతర ఛాలెంజర్ల పరిశీలన ఎనిమిది మందిని కనుగొన్నారు, అది కూడా బ్రాకెట్లను పగులగొట్టింది. [9] ఛాలెంజర్.కా [12] [13] నుండి డేటా పోల్చదగిన పాత్ర, కాన్ఫిగరేషన్ మరియు ERA యొక్క సాధారణ లక్షణాల పనితీరు సంబంధిత అభివృద్ధి విమానం</v>
      </c>
      <c r="E23" s="1" t="s">
        <v>383</v>
      </c>
      <c r="F23" s="1" t="str">
        <f>IFERROR(__xludf.DUMMYFUNCTION("GOOGLETRANSLATE(E:E, ""en"", ""te"")"),"అల్ట్రాలైట్ విమానం")</f>
        <v>అల్ట్రాలైట్ విమానం</v>
      </c>
      <c r="I23" s="1" t="s">
        <v>506</v>
      </c>
      <c r="J23" s="1" t="str">
        <f>IFERROR(__xludf.DUMMYFUNCTION("GOOGLETRANSLATE(I:I, ""en"", ""te"")"),"క్వాడ్ సిటీ ఎయిర్క్రాఫ్ట్ కార్పొరేషన్")</f>
        <v>క్వాడ్ సిటీ ఎయిర్క్రాఫ్ట్ కార్పొరేషన్</v>
      </c>
      <c r="N23" s="1">
        <v>1983.0</v>
      </c>
      <c r="O23" s="1" t="s">
        <v>135</v>
      </c>
      <c r="P23" s="1" t="s">
        <v>507</v>
      </c>
      <c r="Q23" s="1" t="s">
        <v>508</v>
      </c>
      <c r="R23" s="1" t="s">
        <v>509</v>
      </c>
      <c r="S23" s="1" t="s">
        <v>510</v>
      </c>
      <c r="T23" s="1" t="s">
        <v>511</v>
      </c>
      <c r="V23" s="1" t="s">
        <v>512</v>
      </c>
      <c r="W23" s="1" t="s">
        <v>513</v>
      </c>
      <c r="X23" s="1" t="s">
        <v>514</v>
      </c>
      <c r="Z23" s="1" t="s">
        <v>515</v>
      </c>
      <c r="AA23" s="1" t="s">
        <v>516</v>
      </c>
      <c r="AB23" s="1" t="s">
        <v>392</v>
      </c>
      <c r="AD23" s="1" t="s">
        <v>517</v>
      </c>
      <c r="AG23" s="1" t="s">
        <v>518</v>
      </c>
      <c r="AH23" s="1" t="s">
        <v>519</v>
      </c>
      <c r="AI23" s="1" t="s">
        <v>520</v>
      </c>
      <c r="AJ23" s="1" t="s">
        <v>521</v>
      </c>
      <c r="AK23" s="1" t="s">
        <v>522</v>
      </c>
      <c r="AR23" s="1" t="s">
        <v>253</v>
      </c>
      <c r="AX23" s="1" t="s">
        <v>523</v>
      </c>
      <c r="AY23" s="1" t="s">
        <v>524</v>
      </c>
      <c r="BE23" s="1" t="s">
        <v>525</v>
      </c>
      <c r="BH23" s="1" t="s">
        <v>526</v>
      </c>
      <c r="BJ23" s="1" t="s">
        <v>527</v>
      </c>
    </row>
    <row r="24">
      <c r="A24" s="1" t="s">
        <v>528</v>
      </c>
      <c r="B24" s="1" t="str">
        <f>IFERROR(__xludf.DUMMYFUNCTION("GOOGLETRANSLATE(A:A, ""en"", ""te"")"),"ఫెనిక్స్ ఏవియేషన్ ఫెనిక్స్")</f>
        <v>ఫెనిక్స్ ఏవియేషన్ ఫెనిక్స్</v>
      </c>
      <c r="C24" s="1" t="s">
        <v>529</v>
      </c>
      <c r="D24" s="1" t="str">
        <f>IFERROR(__xludf.DUMMYFUNCTION("GOOGLETRANSLATE(C:C, ""en"", ""te"")"),"ఫెనిక్స్ ఏవియేషన్ ఫెనిక్స్ (ఇంగ్లీష్: ఫీనిక్స్) ఒక స్పానిష్ ఆటోజొరో, అలికాంటే యొక్క ఫెనిక్స్ ఏవియేషన్ అభివృద్ధి. ఈ విమానం పూర్తి రెడీ-టు-ఫ్లై-ఎయిర్‌క్రాఫ్ట్‌గా సరఫరా చేయడానికి ఉద్దేశించబడింది. [1] 2009 లో జర్మనీలోని ఫ్రీడ్రిచ్‌షాఫెన్‌లో జరిగిన ఏరో 09 ప్రద"&amp;"ర్శనలో ఈ ప్రాజెక్ట్ మొదట ప్రకటించబడింది. మొదటి నమూనా 2010 లో ఎగిరింది, రెండవ ప్రోటోటైప్ 2011 లో ఎగురుతుంది. [2] ఫెనిక్స్ ఎక్కువగా కార్బన్ ఫైబర్ మరియు పాడ్ మరియు బూమ్ లేఅవుట్ నుండి నిర్మించబడింది. ఇది సింగిల్, రెండు-బ్లేడెడ్ వాగ్‌టైల్ లేదా 8.40 మీ (27.6 అడ"&amp;"ుగులు) వ్యాసం సగటు ప్రధాన రోటర్‌ను కలిగి ఉంది, ఇది 21.4 సెం.మీ (8.4 అంగుళాలు) తీగతో పొడవైన కాలమ్ పైభాగంలో అమర్చబడి ఉంటుంది. ఇది రెండు వైపులా రెండు-సైడ్-బై-సైడ్ కాన్ఫిగరేషన్ పరివేష్టిత కాక్‌పిట్‌ను కలిగి ఉంది, రెండు వైపులా ఫార్వర్డ్ హింగ్డ్ తలుపులు, ట్రైసై"&amp;"కిల్ ల్యాండింగ్ గేర్ మరియు నాలుగు సిలిండర్, గాలి మరియు ద్రవ-కూల్డ్, నాలుగు-స్ట్రోక్, డ్యూయల్-ఇగ్నోర్డ్ టర్బోచార్జ్డ్ 115 హెచ్‌పి ( 86 kW) ట్రాక్టర్ కాన్ఫిగరేషన్‌లో రోటాక్స్ 914 ఇంజిన్. ట్రాక్టర్ లేఅవుట్ మెరుగైన ప్రొపెల్లర్ సామర్థ్యాన్ని మరియు తక్కువ శబ్దా"&amp;"న్ని అందిస్తుంది, కానీ ఫార్వర్డ్ కాక్‌పిట్ దృశ్యమానత తగ్గిన ఖర్చుతో. సీట్ల వెనుక ఒక ప్రత్యేక సామాను స్థలం ఉంది, ఇరువైపుల నుండి దాని స్వంత తలుపుల ద్వారా బాహ్యంగా యాక్సెస్ చేయబడుతుంది. [1] [3] చిన్న వెనుక ఫ్యూజ్‌లేజ్ విస్తృత టెయిల్‌ప్లేన్‌ను అష్టభుజి ఎండ్‌ప"&amp;"్లేట్ రెక్కలతో కలిగి ఉంటుంది, అవి రడ్డర్లు వాటిపై అమర్చబడి ఉంటాయి. మొదటి నమూనా మరొక సెంట్రల్, వెంట్రల్ అండర్ఫిన్ కలిగి ఉంది. తోక కోన్లో బాలిస్టిక్ పారాచూట్ వ్యవస్థాపించబడింది. [3] మొదటి ఫెనిక్స్ 11 డిసెంబర్ 2009 న, ఆ ఏడాది ఏప్రిల్‌లో ఫ్రెడరిచ్‌షాఫెన్‌లో ఏ"&amp;"రో '09 లో ప్రదర్శించబడిన తరువాత. ఈ మొట్టమొదటి నమూనా ఎడమ చేతి సీటు నుండి ఎగురవేయబడింది, కాని రెండవది, మొదటిది 30 సెప్టెంబర్ 2011 న ఎగిరింది ప్రామాణిక హెలికాప్టర్ కుడి చేతి లేఅవుట్ను అవలంబించింది. ఫెనిక్స్ బ్రిటిష్ BCAR-T ప్రమాణాలకు అనుగుణంగా రూపొందించబడింద"&amp;"ి. [4] రెండు వెర్షన్లు అభివృద్ధిలో ఉన్నాయి: అల్ట్రాలైట్, యూరోపియన్ నిబంధనలను తీర్చడానికి మరియు దక్షిణాఫ్రికాకు ప్రయోగాత్మక. [3] ఈ విమానం ఖాళీ బరువు 285 కిలోల (628 పౌండ్లు) మరియు స్థూల బరువు 450 కిలోలు (992 పౌండ్లు), ఇది 165 కిలోల (364 ఎల్బి) యొక్క ఉపయోగకర"&amp;"మైన లోడ్‌ను ఇస్తుంది. [1] బేయర్ల్ [1] మరియు జేన్ యొక్క అన్ని ప్రపంచ విమానాలు 2013-14, పే .619 నుండి వచ్చిన డేటా. [3] పనితీరు గణాంకాలు అంచనాలు. సాధారణ లక్షణాలు పనితీరు ఏవియానిక్స్")</f>
        <v>ఫెనిక్స్ ఏవియేషన్ ఫెనిక్స్ (ఇంగ్లీష్: ఫీనిక్స్) ఒక స్పానిష్ ఆటోజొరో, అలికాంటే యొక్క ఫెనిక్స్ ఏవియేషన్ అభివృద్ధి. ఈ విమానం పూర్తి రెడీ-టు-ఫ్లై-ఎయిర్‌క్రాఫ్ట్‌గా సరఫరా చేయడానికి ఉద్దేశించబడింది. [1] 2009 లో జర్మనీలోని ఫ్రీడ్రిచ్‌షాఫెన్‌లో జరిగిన ఏరో 09 ప్రదర్శనలో ఈ ప్రాజెక్ట్ మొదట ప్రకటించబడింది. మొదటి నమూనా 2010 లో ఎగిరింది, రెండవ ప్రోటోటైప్ 2011 లో ఎగురుతుంది. [2] ఫెనిక్స్ ఎక్కువగా కార్బన్ ఫైబర్ మరియు పాడ్ మరియు బూమ్ లేఅవుట్ నుండి నిర్మించబడింది. ఇది సింగిల్, రెండు-బ్లేడెడ్ వాగ్‌టైల్ లేదా 8.40 మీ (27.6 అడుగులు) వ్యాసం సగటు ప్రధాన రోటర్‌ను కలిగి ఉంది, ఇది 21.4 సెం.మీ (8.4 అంగుళాలు) తీగతో పొడవైన కాలమ్ పైభాగంలో అమర్చబడి ఉంటుంది. ఇది రెండు వైపులా రెండు-సైడ్-బై-సైడ్ కాన్ఫిగరేషన్ పరివేష్టిత కాక్‌పిట్‌ను కలిగి ఉంది, రెండు వైపులా ఫార్వర్డ్ హింగ్డ్ తలుపులు, ట్రైసైకిల్ ల్యాండింగ్ గేర్ మరియు నాలుగు సిలిండర్, గాలి మరియు ద్రవ-కూల్డ్, నాలుగు-స్ట్రోక్, డ్యూయల్-ఇగ్నోర్డ్ టర్బోచార్జ్డ్ 115 హెచ్‌పి ( 86 kW) ట్రాక్టర్ కాన్ఫిగరేషన్‌లో రోటాక్స్ 914 ఇంజిన్. ట్రాక్టర్ లేఅవుట్ మెరుగైన ప్రొపెల్లర్ సామర్థ్యాన్ని మరియు తక్కువ శబ్దాన్ని అందిస్తుంది, కానీ ఫార్వర్డ్ కాక్‌పిట్ దృశ్యమానత తగ్గిన ఖర్చుతో. సీట్ల వెనుక ఒక ప్రత్యేక సామాను స్థలం ఉంది, ఇరువైపుల నుండి దాని స్వంత తలుపుల ద్వారా బాహ్యంగా యాక్సెస్ చేయబడుతుంది. [1] [3] చిన్న వెనుక ఫ్యూజ్‌లేజ్ విస్తృత టెయిల్‌ప్లేన్‌ను అష్టభుజి ఎండ్‌ప్లేట్ రెక్కలతో కలిగి ఉంటుంది, అవి రడ్డర్లు వాటిపై అమర్చబడి ఉంటాయి. మొదటి నమూనా మరొక సెంట్రల్, వెంట్రల్ అండర్ఫిన్ కలిగి ఉంది. తోక కోన్లో బాలిస్టిక్ పారాచూట్ వ్యవస్థాపించబడింది. [3] మొదటి ఫెనిక్స్ 11 డిసెంబర్ 2009 న, ఆ ఏడాది ఏప్రిల్‌లో ఫ్రెడరిచ్‌షాఫెన్‌లో ఏరో '09 లో ప్రదర్శించబడిన తరువాత. ఈ మొట్టమొదటి నమూనా ఎడమ చేతి సీటు నుండి ఎగురవేయబడింది, కాని రెండవది, మొదటిది 30 సెప్టెంబర్ 2011 న ఎగిరింది ప్రామాణిక హెలికాప్టర్ కుడి చేతి లేఅవుట్ను అవలంబించింది. ఫెనిక్స్ బ్రిటిష్ BCAR-T ప్రమాణాలకు అనుగుణంగా రూపొందించబడింది. [4] రెండు వెర్షన్లు అభివృద్ధిలో ఉన్నాయి: అల్ట్రాలైట్, యూరోపియన్ నిబంధనలను తీర్చడానికి మరియు దక్షిణాఫ్రికాకు ప్రయోగాత్మక. [3] ఈ విమానం ఖాళీ బరువు 285 కిలోల (628 పౌండ్లు) మరియు స్థూల బరువు 450 కిలోలు (992 పౌండ్లు), ఇది 165 కిలోల (364 ఎల్బి) యొక్క ఉపయోగకరమైన లోడ్‌ను ఇస్తుంది. [1] బేయర్ల్ [1] మరియు జేన్ యొక్క అన్ని ప్రపంచ విమానాలు 2013-14, పే .619 నుండి వచ్చిన డేటా. [3] పనితీరు గణాంకాలు అంచనాలు. సాధారణ లక్షణాలు పనితీరు ఏవియానిక్స్</v>
      </c>
      <c r="E24" s="1" t="s">
        <v>530</v>
      </c>
      <c r="F24" s="1" t="str">
        <f>IFERROR(__xludf.DUMMYFUNCTION("GOOGLETRANSLATE(E:E, ""en"", ""te"")"),"ఆటోజీరో")</f>
        <v>ఆటోజీరో</v>
      </c>
      <c r="G24" s="1" t="s">
        <v>531</v>
      </c>
      <c r="H24" s="1" t="str">
        <f>IFERROR(__xludf.DUMMYFUNCTION("GOOGLETRANSLATE(G:G, ""en"", ""te"")"),"స్పెయిన్")</f>
        <v>స్పెయిన్</v>
      </c>
      <c r="I24" s="1" t="s">
        <v>532</v>
      </c>
      <c r="J24" s="1" t="str">
        <f>IFERROR(__xludf.DUMMYFUNCTION("GOOGLETRANSLATE(I:I, ""en"", ""te"")"),"ఫెనిక్స్ ఏవియేషన్")</f>
        <v>ఫెనిక్స్ ఏవియేషన్</v>
      </c>
      <c r="K24" s="1" t="s">
        <v>533</v>
      </c>
      <c r="N24" s="3">
        <v>40158.0</v>
      </c>
      <c r="O24" s="1" t="s">
        <v>135</v>
      </c>
      <c r="P24" s="1" t="s">
        <v>534</v>
      </c>
      <c r="R24" s="1" t="s">
        <v>535</v>
      </c>
      <c r="T24" s="1" t="s">
        <v>139</v>
      </c>
      <c r="U24" s="1" t="s">
        <v>388</v>
      </c>
      <c r="V24" s="1" t="s">
        <v>536</v>
      </c>
      <c r="W24" s="1" t="s">
        <v>537</v>
      </c>
      <c r="AB24" s="2" t="s">
        <v>538</v>
      </c>
      <c r="AC24" s="2" t="s">
        <v>539</v>
      </c>
      <c r="AD24" s="1" t="s">
        <v>540</v>
      </c>
      <c r="AE24" s="1" t="s">
        <v>541</v>
      </c>
      <c r="AF24" s="1" t="s">
        <v>542</v>
      </c>
      <c r="AG24" s="1" t="s">
        <v>141</v>
      </c>
      <c r="AJ24" s="1" t="s">
        <v>543</v>
      </c>
      <c r="AK24" s="1" t="s">
        <v>195</v>
      </c>
      <c r="AP24" s="1" t="s">
        <v>544</v>
      </c>
      <c r="BQ24" s="1" t="s">
        <v>545</v>
      </c>
      <c r="BR24" s="1" t="s">
        <v>546</v>
      </c>
      <c r="BS24" s="1" t="s">
        <v>547</v>
      </c>
      <c r="BT24" s="1" t="s">
        <v>548</v>
      </c>
    </row>
    <row r="25">
      <c r="A25" s="1" t="s">
        <v>549</v>
      </c>
      <c r="B25" s="1" t="str">
        <f>IFERROR(__xludf.DUMMYFUNCTION("GOOGLETRANSLATE(A:A, ""en"", ""te"")"),"పైపర్ PA-8")</f>
        <v>పైపర్ PA-8</v>
      </c>
      <c r="C25" s="1" t="s">
        <v>550</v>
      </c>
      <c r="D25" s="1" t="str">
        <f>IFERROR(__xludf.DUMMYFUNCTION("GOOGLETRANSLATE(C:C, ""en"", ""te"")"),"పైపర్ PA-8 స్కైసైకిల్ 1940 ల అమెరికన్ సింగిల్-సీట్ల లైట్ విమానం, ఇది పైపర్ విమానాలు వారి లాక్ హెవెన్, పెన్సిల్వేనియా ప్లాంట్ వద్ద రూపొందించబడింది మరియు నిర్మించింది. 1944 చివరిలో పైపర్ యుద్ధం తరువాత నిర్మించడానికి ఉద్దేశించిన అనేక విమానాలను ప్రకటించింది. "&amp;"వీటిలో ఒకటి PWA-8 (యుద్ధానంతర విమానం 8). కబ్ సైకిల్ అనే పేరుతో ఏరోడైనమిక్ టెస్ట్ విమానం నిర్మించబడింది మరియు ఇది మొదట 27 ఆగస్టు 1944 న చిన్న రెండు సిలిండర్ ఫ్రాంక్లిన్ ఇంజిన్‌తో ప్రయాణించింది. ఫ్రాంక్లిన్ ఇంజిన్ స్థానంలో 37 హెచ్‌పి (28 కిలోవాట్ టెయిల్‌వీల"&amp;"్ ల్యాండింగ్ గేర్‌తో. F4U కోర్సెయిర్‌లో ఉపయోగించినట్లుగా బొడ్డు ఇంధన ట్యాంక్ ఉపయోగించి ఫ్యూజ్‌లేజ్ ఉత్పత్తి చేయబడింది. పిల్ల చక్రం రద్దు చేయబడింది మరియు ఇలాంటి కానీ కొత్త విమానం స్కైసైకిల్ పేరుతో నిర్మించబడింది. స్కైసైకిల్ మొదట 29 జనవరి 1945 న కబ్ సైకిల్ "&amp;"వలె అదే ఖండాంతర ఇంజిన్‌ను ఉపయోగించి ప్రయాణించింది. ఈ విమానం 1945 లో 55 హెచ్‌పి (41 కిలోవాట్ల) లైమింగ్ ఓ -145-ఎ 2 ఇంజిన్‌తో మరింత సవరించబడింది మరియు పిఎ -8 స్కైసైకిల్‌ను నియమించింది. తదుపరి ఉదాహరణలు నిర్మించబడలేదు. PA-8 స్కైసైకిల్ యొక్క ప్రతిరూపం, కార్ల్సన"&amp;"్ స్కైసైకిల్, 1995 లో ఎర్నెస్ట్ డబ్ల్యూ. కార్ల్సన్ చేత నిర్మించబడింది మరియు ఒహియోలోని ఈస్ట్ పాలస్తీనాకు చెందిన కార్ల్సన్ ఎయిర్క్రాఫ్ట్ నిర్మించింది. కార్ల్సన్ విమానాన్ని కిట్ రూపంలో విక్రయించాలని అనుకున్నాడు, కాని ఎటువంటి ఆర్డర్లు రాలేదు మరియు ప్రోటోటైప్ "&amp;"పైపర్ ఏవియేషన్ మ్యూజియంకు విరాళంగా ఇవ్వబడింది, ఎందుకంటే అసలు PA-8 ఉనికిలో లేదు. [1] [2] [3] [4] [5] సాధారణ లక్షణాల నుండి డేటా అదే పేరుతో పనితీరు విమానం: పోల్చదగిన పాత్ర, కాన్ఫిగరేషన్ మరియు ERA యొక్క విమానం")</f>
        <v>పైపర్ PA-8 స్కైసైకిల్ 1940 ల అమెరికన్ సింగిల్-సీట్ల లైట్ విమానం, ఇది పైపర్ విమానాలు వారి లాక్ హెవెన్, పెన్సిల్వేనియా ప్లాంట్ వద్ద రూపొందించబడింది మరియు నిర్మించింది. 1944 చివరిలో పైపర్ యుద్ధం తరువాత నిర్మించడానికి ఉద్దేశించిన అనేక విమానాలను ప్రకటించింది. వీటిలో ఒకటి PWA-8 (యుద్ధానంతర విమానం 8). కబ్ సైకిల్ అనే పేరుతో ఏరోడైనమిక్ టెస్ట్ విమానం నిర్మించబడింది మరియు ఇది మొదట 27 ఆగస్టు 1944 న చిన్న రెండు సిలిండర్ ఫ్రాంక్లిన్ ఇంజిన్‌తో ప్రయాణించింది. ఫ్రాంక్లిన్ ఇంజిన్ స్థానంలో 37 హెచ్‌పి (28 కిలోవాట్ టెయిల్‌వీల్ ల్యాండింగ్ గేర్‌తో. F4U కోర్సెయిర్‌లో ఉపయోగించినట్లుగా బొడ్డు ఇంధన ట్యాంక్ ఉపయోగించి ఫ్యూజ్‌లేజ్ ఉత్పత్తి చేయబడింది. పిల్ల చక్రం రద్దు చేయబడింది మరియు ఇలాంటి కానీ కొత్త విమానం స్కైసైకిల్ పేరుతో నిర్మించబడింది. స్కైసైకిల్ మొదట 29 జనవరి 1945 న కబ్ సైకిల్ వలె అదే ఖండాంతర ఇంజిన్‌ను ఉపయోగించి ప్రయాణించింది. ఈ విమానం 1945 లో 55 హెచ్‌పి (41 కిలోవాట్ల) లైమింగ్ ఓ -145-ఎ 2 ఇంజిన్‌తో మరింత సవరించబడింది మరియు పిఎ -8 స్కైసైకిల్‌ను నియమించింది. తదుపరి ఉదాహరణలు నిర్మించబడలేదు. PA-8 స్కైసైకిల్ యొక్క ప్రతిరూపం, కార్ల్సన్ స్కైసైకిల్, 1995 లో ఎర్నెస్ట్ డబ్ల్యూ. కార్ల్సన్ చేత నిర్మించబడింది మరియు ఒహియోలోని ఈస్ట్ పాలస్తీనాకు చెందిన కార్ల్సన్ ఎయిర్క్రాఫ్ట్ నిర్మించింది. కార్ల్సన్ విమానాన్ని కిట్ రూపంలో విక్రయించాలని అనుకున్నాడు, కాని ఎటువంటి ఆర్డర్లు రాలేదు మరియు ప్రోటోటైప్ పైపర్ ఏవియేషన్ మ్యూజియంకు విరాళంగా ఇవ్వబడింది, ఎందుకంటే అసలు PA-8 ఉనికిలో లేదు. [1] [2] [3] [4] [5] సాధారణ లక్షణాల నుండి డేటా అదే పేరుతో పనితీరు విమానం: పోల్చదగిన పాత్ర, కాన్ఫిగరేషన్ మరియు ERA యొక్క విమానం</v>
      </c>
      <c r="E25" s="1" t="s">
        <v>551</v>
      </c>
      <c r="F25" s="1" t="str">
        <f>IFERROR(__xludf.DUMMYFUNCTION("GOOGLETRANSLATE(E:E, ""en"", ""te"")"),"తేలికపాటి విమానం")</f>
        <v>తేలికపాటి విమానం</v>
      </c>
      <c r="I25" s="1" t="s">
        <v>282</v>
      </c>
      <c r="J25" s="1" t="str">
        <f>IFERROR(__xludf.DUMMYFUNCTION("GOOGLETRANSLATE(I:I, ""en"", ""te"")"),"పైపర్ విమానం")</f>
        <v>పైపర్ విమానం</v>
      </c>
      <c r="K25" s="1" t="s">
        <v>283</v>
      </c>
      <c r="L25" s="1" t="s">
        <v>552</v>
      </c>
      <c r="N25" s="1">
        <v>1945.0</v>
      </c>
      <c r="O25" s="1">
        <v>1.0</v>
      </c>
      <c r="P25" s="1" t="s">
        <v>553</v>
      </c>
      <c r="Q25" s="1" t="s">
        <v>554</v>
      </c>
      <c r="R25" s="1" t="s">
        <v>555</v>
      </c>
      <c r="U25" s="1" t="s">
        <v>556</v>
      </c>
      <c r="V25" s="1" t="s">
        <v>557</v>
      </c>
      <c r="W25" s="1" t="s">
        <v>558</v>
      </c>
      <c r="X25" s="1" t="s">
        <v>559</v>
      </c>
      <c r="AB25" s="1" t="s">
        <v>560</v>
      </c>
      <c r="AG25" s="1" t="s">
        <v>561</v>
      </c>
      <c r="AJ25" s="1">
        <v>2.0</v>
      </c>
      <c r="AR25" s="1" t="s">
        <v>562</v>
      </c>
      <c r="BI25" s="2" t="s">
        <v>563</v>
      </c>
      <c r="BJ25" s="1" t="s">
        <v>564</v>
      </c>
    </row>
    <row r="26">
      <c r="A26" s="1" t="s">
        <v>565</v>
      </c>
      <c r="B26" s="1" t="str">
        <f>IFERROR(__xludf.DUMMYFUNCTION("GOOGLETRANSLATE(A:A, ""en"", ""te"")"),"ప్రొఫెసర్ డి -10 తుకాన్")</f>
        <v>ప్రొఫెసర్ డి -10 తుకాన్</v>
      </c>
      <c r="C26" s="1" t="s">
        <v>566</v>
      </c>
      <c r="D26" s="1" t="str">
        <f>IFERROR(__xludf.DUMMYFUNCTION("GOOGLETRANSLATE(C:C, ""en"", ""te"")"),"ప్రొఫెసర్ డి -10 తుకాన్ (ఇంగ్లీష్: టౌకాన్) ఒక చెక్ హై-వింగ్, స్ట్రట్-బ్రేస్డ్, టి-టెయిల్డ్, రెండు-సీట్ల మోటార్ గ్లైడర్, దీనిని ప్రొఫెసర్ రూపకల్పన చేసి ఉత్పత్తి చేసి, te త్సాహిక నిర్మాణం కోసం కిట్ రూపంలో అందుబాటులో ఉంచబడింది. [1 నటించు D-10 ను స్వీయ-లాంచ్ "&amp;"సెయిల్‌ప్లేన్‌గా రూపొందించారు. ఇంజిన్ 40 హెచ్‌పి (30 కిలోవాట్) యొక్క రోటాక్స్ 447, కాక్‌పిట్ వెనుక ముడుచుకునే చేతిలో ట్రాక్టర్ కాన్ఫిగరేషన్‌లో అమర్చబడి ఉంటుంది. ఇంజిన్‌ను 15 సెకన్లలో ఉపసంహరించుకోవచ్చు. [1] D-10 ప్రధానంగా ఫైబర్గ్లాస్ మరియు కలప నుండి నిర్మి"&amp;"ంచబడింది. క్యాబిన్ ఒక బబుల్ పందిరి కింద కప్పబడి ఉంటుంది. సాంప్రదాయిక ల్యాండింగ్ గేర్ కాక్‌పిట్ అంతస్తులో రెండు పక్కపక్కనే, రిట్రాక్టబుల్ కాని మెయిన్‌వీల్స్‌ను ఉపయోగిస్తుంది. 14.7 మీ (48.23 అడుగులు) స్పాన్ వింగ్‌కు ప్రతి వైపు ఒకే లిఫ్ట్ స్ట్రట్ మరియు జ్యూర"&amp;"ీ స్ట్రట్‌లు మద్దతు ఇస్తాయి మరియు వోర్ట్‌మన్ ఎఫ్ఎక్స్ 63-137 ఎయిర్‌ఫాయిల్‌ను ఉపయోగిస్తాయి. [1] [2] పర్డీ మరియు బెర్ట్రాండ్ నుండి డేటా [1] [2] సాధారణ లక్షణాల పనితీరు")</f>
        <v>ప్రొఫెసర్ డి -10 తుకాన్ (ఇంగ్లీష్: టౌకాన్) ఒక చెక్ హై-వింగ్, స్ట్రట్-బ్రేస్డ్, టి-టెయిల్డ్, రెండు-సీట్ల మోటార్ గ్లైడర్, దీనిని ప్రొఫెసర్ రూపకల్పన చేసి ఉత్పత్తి చేసి, te త్సాహిక నిర్మాణం కోసం కిట్ రూపంలో అందుబాటులో ఉంచబడింది. [1 నటించు D-10 ను స్వీయ-లాంచ్ సెయిల్‌ప్లేన్‌గా రూపొందించారు. ఇంజిన్ 40 హెచ్‌పి (30 కిలోవాట్) యొక్క రోటాక్స్ 447, కాక్‌పిట్ వెనుక ముడుచుకునే చేతిలో ట్రాక్టర్ కాన్ఫిగరేషన్‌లో అమర్చబడి ఉంటుంది. ఇంజిన్‌ను 15 సెకన్లలో ఉపసంహరించుకోవచ్చు. [1] D-10 ప్రధానంగా ఫైబర్గ్లాస్ మరియు కలప నుండి నిర్మించబడింది. క్యాబిన్ ఒక బబుల్ పందిరి కింద కప్పబడి ఉంటుంది. సాంప్రదాయిక ల్యాండింగ్ గేర్ కాక్‌పిట్ అంతస్తులో రెండు పక్కపక్కనే, రిట్రాక్టబుల్ కాని మెయిన్‌వీల్స్‌ను ఉపయోగిస్తుంది. 14.7 మీ (48.23 అడుగులు) స్పాన్ వింగ్‌కు ప్రతి వైపు ఒకే లిఫ్ట్ స్ట్రట్ మరియు జ్యూరీ స్ట్రట్‌లు మద్దతు ఇస్తాయి మరియు వోర్ట్‌మన్ ఎఫ్ఎక్స్ 63-137 ఎయిర్‌ఫాయిల్‌ను ఉపయోగిస్తాయి. [1] [2] పర్డీ మరియు బెర్ట్రాండ్ నుండి డేటా [1] [2] సాధారణ లక్షణాల పనితీరు</v>
      </c>
      <c r="E26" s="1" t="s">
        <v>567</v>
      </c>
      <c r="F26" s="1" t="str">
        <f>IFERROR(__xludf.DUMMYFUNCTION("GOOGLETRANSLATE(E:E, ""en"", ""te"")"),"మోటార్ గ్లైడర్")</f>
        <v>మోటార్ గ్లైడర్</v>
      </c>
      <c r="G26" s="1" t="s">
        <v>568</v>
      </c>
      <c r="H26" s="1" t="str">
        <f>IFERROR(__xludf.DUMMYFUNCTION("GOOGLETRANSLATE(G:G, ""en"", ""te"")"),"చెక్ రిపబ్లిక్")</f>
        <v>చెక్ రిపబ్లిక్</v>
      </c>
      <c r="I26" s="1" t="s">
        <v>569</v>
      </c>
      <c r="J26" s="1" t="str">
        <f>IFERROR(__xludf.DUMMYFUNCTION("GOOGLETRANSLATE(I:I, ""en"", ""te"")"),"లాభం")</f>
        <v>లాభం</v>
      </c>
      <c r="K26" s="2" t="s">
        <v>570</v>
      </c>
      <c r="O26" s="1" t="s">
        <v>135</v>
      </c>
      <c r="P26" s="1" t="s">
        <v>571</v>
      </c>
      <c r="Q26" s="1" t="s">
        <v>572</v>
      </c>
      <c r="S26" s="1" t="s">
        <v>573</v>
      </c>
      <c r="T26" s="1" t="s">
        <v>574</v>
      </c>
      <c r="U26" s="1" t="s">
        <v>575</v>
      </c>
      <c r="V26" s="1" t="s">
        <v>576</v>
      </c>
      <c r="W26" s="1" t="s">
        <v>577</v>
      </c>
      <c r="Z26" s="1" t="s">
        <v>578</v>
      </c>
      <c r="AB26" s="1" t="s">
        <v>579</v>
      </c>
      <c r="AC26" s="1" t="s">
        <v>580</v>
      </c>
      <c r="AD26" s="1" t="s">
        <v>581</v>
      </c>
      <c r="AE26" s="1" t="s">
        <v>582</v>
      </c>
      <c r="AF26" s="1" t="s">
        <v>583</v>
      </c>
      <c r="AH26" s="1" t="s">
        <v>584</v>
      </c>
      <c r="AI26" s="1" t="s">
        <v>585</v>
      </c>
      <c r="AJ26" s="1" t="s">
        <v>586</v>
      </c>
      <c r="AK26" s="1" t="s">
        <v>195</v>
      </c>
      <c r="AT26" s="1" t="s">
        <v>587</v>
      </c>
    </row>
    <row r="27">
      <c r="A27" s="1" t="s">
        <v>588</v>
      </c>
      <c r="B27" s="1" t="str">
        <f>IFERROR(__xludf.DUMMYFUNCTION("GOOGLETRANSLATE(A:A, ""en"", ""te"")"),"ప్రొఫెసర్ డి -8 మోబి డిక్")</f>
        <v>ప్రొఫెసర్ డి -8 మోబి డిక్</v>
      </c>
      <c r="C27" s="1" t="s">
        <v>589</v>
      </c>
      <c r="D27" s="1" t="str">
        <f>IFERROR(__xludf.DUMMYFUNCTION("GOOGLETRANSLATE(C:C, ""en"", ""te"")"),"ప్రొఫెసర్ డి -8 మోబి డిక్ చెక్ పషర్ కాన్ఫిగరేషన్, పారాసోల్ వింగ్, స్ట్రట్-బ్రేస్డ్, వి-టెయిల్డ్, మోటారు గ్లైడర్‌ల కుటుంబం, దీనిని ప్రోఫ్ రూపొందించి ఉత్పత్తి చేసింది. ఈ విమానం అదే పేరుతో హర్మన్ మెల్విల్లే యొక్క నవల యొక్క గ్రేట్ వైట్ తిమింగలం కోసం పేరు పెట్"&amp;"టబడింది మరియు te త్సాహిక నిర్మాణానికి కిట్‌గా సరఫరా చేయబడింది. [1] ఈ ధారావాహికలో మొట్టమొదటి గ్లైడర్ సింగిల్ సీట్ మినీ స్ట్రాటాన్ డి -7, ఇది 1988 లో రూపొందించబడింది మరియు మొదట అమెరికాలో 1992 లో ఎయిర్‌వెంచర్ వద్ద చూపబడింది. దీని తరువాత మెరుగైన సింగిల్ సీట్ "&amp;"స్ట్రాటన్ డి -8 మరియు డి -8 మోబి డిక్ రెండు సీటర్లు. సిరీస్‌లోని అన్ని విమానాలు ఒకే అసాధారణ ఆకృతీకరణను పంచుకుంటాయి. [1] ఫైబర్గ్లాస్ మరియు ఎయిర్క్రాఫ్ట్ ఫాబ్రిక్ కవరింగ్ వాడకంతో ఈ విమానం ప్రధానంగా అల్యూమినియం ఫ్రేమ్ చుట్టూ నిర్మించబడింది. మోబి డిక్ మోడల్ క"&amp;"ూడా కలపను నిర్మాణంలో కలిగి ఉంటుంది. ఫ్యూజ్‌లేజ్ సాంప్రదాయిక సెయిల్ ప్లేన్ రకంలో కనిపిస్తుంది, కాని సెమీ-టేపెర్డ్ వింగ్ క్యాబనే స్ట్రట్‌లపై ఫ్యూజ్‌లేజ్ పైన సస్పెండ్ చేయబడింది, లిఫ్ట్ స్ట్రట్‌లచే మద్దతు ఉంది, వింగ్ వెనుక భాగంలో పషర్ ఇంజిన్ అమర్చబడి ఉంటుంది."&amp;" స్ట్రాటన్ డి -8 లో మోనోహీల్ ల్యాండింగ్ గేర్ ఉంది, మోబి డిక్ రెండు దగ్గరి అంతరం, ఫ్యూజ్‌లేజ్-మౌంటెడ్ వీల్స్ కలిగి ఉంది. అన్ని మోడళ్లకు ఐచ్ఛిక అవుట్రిగ్గర్ వింగ్ చిట్కా చక్రాలు ఉన్నాయి. [1] పర్డీ నుండి డేటా [1] సాధారణ లక్షణాల పనితీరు")</f>
        <v>ప్రొఫెసర్ డి -8 మోబి డిక్ చెక్ పషర్ కాన్ఫిగరేషన్, పారాసోల్ వింగ్, స్ట్రట్-బ్రేస్డ్, వి-టెయిల్డ్, మోటారు గ్లైడర్‌ల కుటుంబం, దీనిని ప్రోఫ్ రూపొందించి ఉత్పత్తి చేసింది. ఈ విమానం అదే పేరుతో హర్మన్ మెల్విల్లే యొక్క నవల యొక్క గ్రేట్ వైట్ తిమింగలం కోసం పేరు పెట్టబడింది మరియు te త్సాహిక నిర్మాణానికి కిట్‌గా సరఫరా చేయబడింది. [1] ఈ ధారావాహికలో మొట్టమొదటి గ్లైడర్ సింగిల్ సీట్ మినీ స్ట్రాటాన్ డి -7, ఇది 1988 లో రూపొందించబడింది మరియు మొదట అమెరికాలో 1992 లో ఎయిర్‌వెంచర్ వద్ద చూపబడింది. దీని తరువాత మెరుగైన సింగిల్ సీట్ స్ట్రాటన్ డి -8 మరియు డి -8 మోబి డిక్ రెండు సీటర్లు. సిరీస్‌లోని అన్ని విమానాలు ఒకే అసాధారణ ఆకృతీకరణను పంచుకుంటాయి. [1] ఫైబర్గ్లాస్ మరియు ఎయిర్క్రాఫ్ట్ ఫాబ్రిక్ కవరింగ్ వాడకంతో ఈ విమానం ప్రధానంగా అల్యూమినియం ఫ్రేమ్ చుట్టూ నిర్మించబడింది. మోబి డిక్ మోడల్ కూడా కలపను నిర్మాణంలో కలిగి ఉంటుంది. ఫ్యూజ్‌లేజ్ సాంప్రదాయిక సెయిల్ ప్లేన్ రకంలో కనిపిస్తుంది, కాని సెమీ-టేపెర్డ్ వింగ్ క్యాబనే స్ట్రట్‌లపై ఫ్యూజ్‌లేజ్ పైన సస్పెండ్ చేయబడింది, లిఫ్ట్ స్ట్రట్‌లచే మద్దతు ఉంది, వింగ్ వెనుక భాగంలో పషర్ ఇంజిన్ అమర్చబడి ఉంటుంది. స్ట్రాటన్ డి -8 లో మోనోహీల్ ల్యాండింగ్ గేర్ ఉంది, మోబి డిక్ రెండు దగ్గరి అంతరం, ఫ్యూజ్‌లేజ్-మౌంటెడ్ వీల్స్ కలిగి ఉంది. అన్ని మోడళ్లకు ఐచ్ఛిక అవుట్రిగ్గర్ వింగ్ చిట్కా చక్రాలు ఉన్నాయి. [1] పర్డీ నుండి డేటా [1] సాధారణ లక్షణాల పనితీరు</v>
      </c>
      <c r="E27" s="1" t="s">
        <v>567</v>
      </c>
      <c r="F27" s="1" t="str">
        <f>IFERROR(__xludf.DUMMYFUNCTION("GOOGLETRANSLATE(E:E, ""en"", ""te"")"),"మోటార్ గ్లైడర్")</f>
        <v>మోటార్ గ్లైడర్</v>
      </c>
      <c r="G27" s="1" t="s">
        <v>568</v>
      </c>
      <c r="H27" s="1" t="str">
        <f>IFERROR(__xludf.DUMMYFUNCTION("GOOGLETRANSLATE(G:G, ""en"", ""te"")"),"చెక్ రిపబ్లిక్")</f>
        <v>చెక్ రిపబ్లిక్</v>
      </c>
      <c r="I27" s="1" t="s">
        <v>569</v>
      </c>
      <c r="J27" s="1" t="str">
        <f>IFERROR(__xludf.DUMMYFUNCTION("GOOGLETRANSLATE(I:I, ""en"", ""te"")"),"లాభం")</f>
        <v>లాభం</v>
      </c>
      <c r="K27" s="2" t="s">
        <v>570</v>
      </c>
      <c r="O27" s="1" t="s">
        <v>135</v>
      </c>
      <c r="P27" s="1" t="s">
        <v>590</v>
      </c>
      <c r="Q27" s="1" t="s">
        <v>591</v>
      </c>
      <c r="S27" s="1" t="s">
        <v>592</v>
      </c>
      <c r="T27" s="1" t="s">
        <v>593</v>
      </c>
      <c r="U27" s="1" t="s">
        <v>594</v>
      </c>
      <c r="V27" s="1" t="s">
        <v>595</v>
      </c>
      <c r="W27" s="1" t="s">
        <v>596</v>
      </c>
      <c r="X27" s="1" t="s">
        <v>597</v>
      </c>
      <c r="Y27" s="1" t="s">
        <v>598</v>
      </c>
      <c r="Z27" s="1" t="s">
        <v>599</v>
      </c>
      <c r="AA27" s="1" t="s">
        <v>600</v>
      </c>
      <c r="AB27" s="1" t="s">
        <v>579</v>
      </c>
      <c r="AC27" s="1" t="s">
        <v>580</v>
      </c>
      <c r="AD27" s="1" t="s">
        <v>601</v>
      </c>
      <c r="AE27" s="1" t="s">
        <v>602</v>
      </c>
      <c r="AF27" s="1" t="s">
        <v>583</v>
      </c>
      <c r="AG27" s="1" t="s">
        <v>603</v>
      </c>
      <c r="AH27" s="1" t="s">
        <v>604</v>
      </c>
      <c r="AI27" s="1" t="s">
        <v>605</v>
      </c>
      <c r="AJ27" s="1" t="s">
        <v>606</v>
      </c>
      <c r="AR27" s="1" t="s">
        <v>253</v>
      </c>
      <c r="BB27" s="1">
        <v>18.0</v>
      </c>
      <c r="BN27" s="1" t="s">
        <v>607</v>
      </c>
    </row>
    <row r="28">
      <c r="A28" s="1" t="s">
        <v>608</v>
      </c>
      <c r="B28" s="1" t="str">
        <f>IFERROR(__xludf.DUMMYFUNCTION("GOOGLETRANSLATE(A:A, ""en"", ""te"")"),"ప్రశ్న గుర్తు (విమానం)")</f>
        <v>ప్రశ్న గుర్తు (విమానం)</v>
      </c>
      <c r="C28" s="1" t="s">
        <v>609</v>
      </c>
      <c r="D28" s="1" t="str">
        <f>IFERROR(__xludf.DUMMYFUNCTION("GOOGLETRANSLATE(C:C, ""en"", ""te"")"),"ప్రశ్న మార్క్ (""?"") అమెరికా ఆర్మీ ఎయిర్ కార్ప్స్ యొక్క సవరించిన అట్లాంటిక్-ఫోకర్ సి -2 ఎ రవాణా విమానం. 1929 లో, మేజర్ కార్ల్ ఎ. స్పాట్జ్ నేతృత్వంలో, వైమానిక ఇంధనం కలిగిన ప్రయోగంలో భాగంగా దీనిని ఫ్లైట్ ఎండ్యూరెన్స్ రికార్డ్ కోసం ఎగురవేయారు. ప్రశ్న మార్క్"&amp;" నిరంతర విమానంలో విమానయానంలో కొత్త ప్రపంచ రికార్డులను స్థాపించింది (గాలి కంటే భారీగా), ఫ్లైట్, ఫ్లైట్ (ఎయిర్ కంటే తేలికైనది) మరియు జనవరి 1 మరియు జనవరి 7, 1929 మధ్య దూరం, నాన్-స్టాప్ విమానంలో కాలిఫోర్నియాలోని లాస్ ఏంజిల్స్ సమీపంలో 151 గంటలు. రికార్డ్-సెట్ట"&amp;"ింగ్ ప్రదర్శన తరువాత, సి -2 ఎ రవాణా విధులకు తిరిగి ఇవ్వబడింది. 1931 లో మరింత శక్తివంతమైన ఇంజన్లు ఓర్పు విమానంలో ఉపయోగించిన వాటిని భర్తీ చేశాయి మరియు దీనిని సి -7 రవాణాగా తిరిగి నియమించారు. ఈ విమానం 1932 లో ఆర్థిక మరమ్మత్తుకు మించి దెబ్బతింది, ఇది ఇంధనం అయ"&amp;"ిపోయిన తరువాత టెక్సాస్‌లో క్రాష్ అయ్యింది మరియు రద్దు చేయబడింది. ఈ ఫ్లైట్ ఈ భావన యొక్క సైనిక అనువర్తనాన్ని ప్రదర్శించింది, అయితే ఇది మరింత ఎక్కువ ఓర్పు రికార్డులను నెలకొల్పడానికి అనేక ప్రయత్నాలను ప్రేరేపించినప్పటికీ, ఆచరణాత్మక ఇన్-ఫ్లైట్ రీఫ్యూయలింగ్ వ్యవ"&amp;"స్థ అభివృద్ధి రెండవ ప్రపంచ యుద్ధానికి ముందు ప్రపంచ వైమానిక దళాలు ఎక్కువగా విస్మరించాయి. గ్రేట్ బ్రిటన్లో వైమానిక ఇంధనం యొక్క పౌర అభివృద్ధి మరింత విజయవంతమైంది, కానీ చివరికి అది కూడా విస్మరించబడింది. ఏదేమైనా, ప్రశ్న గుర్తు యొక్క విమానంలో రెండు దశాబ్దాల తరువ"&amp;"ాత స్పాట్జ్, అమెరికా వైమానిక దళానికి అధిపతి అయ్యారు మరియు బ్రిటిష్ వ్యవస్థను ప్రారంభ బిందువుగా ఉపయోగించుకున్నాడు, ప్రపంచవ్యాప్త కార్యాచరణ ప్రాతిపదికన విమానంలో ఇంధనం నింపాడు. రెండు విమానాల మధ్య మొట్టమొదటి పూర్తి ఇన్ఫ్లైట్ రీఫ్యూయలింగ్ జూన్ 27, 1923 న జరిగి"&amp;"ంది, [n 1] అమెరికా ఆర్మీ ఆర్మీ ఎయిర్ సర్వీస్ యొక్క రెండు బోయింగ్-నిర్మించిన డి హవిలాండ్ DH-4B లు శాన్ డియాగో యొక్క రాక్వెల్ ఫీల్డ్‌లో ఈ ఘనతను సాధించింది. తదనంతరం, అదే ఎయిర్‌మెన్‌ల సమూహం ఆగస్టు 1923 లో 37 గంటలకు పైగా మిగిలి ఉన్న ఓర్పు రికార్డును ఏర్పాటు చే"&amp;"సింది, తొమ్మిది వైమానిక ఇంధనం నింపారు. జూన్ 1928 లో, బెల్జియంలో 61 గంటలకు పైగా కొత్త ఓర్పు రికార్డును అడ్జూటెంట్ లూయిస్ క్రూయ్ మరియు సార్జంట్ స్థాపించారు. విక్టర్ గ్రోనెన్, వైమానిక రీఫ్యూయలింగ్ కూడా ఉపయోగిస్తున్నారు. [1] 2 వ లెఫ్టినెంట్ ఎల్వుడ్ ఆర్. క్యూస"&amp;"ాడా, యు.ఎస్. ఆర్మీ ఎయిర్ కార్ప్స్ యొక్క ఇంజనీర్ వాషింగ్టన్, డి.సి.లోని బోలింగ్ ఫీల్డ్‌లో ఉన్న బోలింగ్ ఫీల్డ్‌లో ఉంచారు, ఏప్రిల్ 1928 లో ఇంధనం లేకపోవడం వల్ల లాబ్రడార్‌కు సుదూర రెస్క్యూ మిషన్‌లో పాల్గొన్నారు. [2] అనాకోస్టియా నావల్ ఎయిర్ స్టేషన్ నుండి యు.ఎస్"&amp;". మెరైన్ కార్ప్స్ ఏవియేటర్‌తో కలిసి పనిచేస్తూ, అతను వైమానిక ఇంధనం నింపే ఉపయోగించి బెల్జియన్ల రికార్డును బద్దలు కొట్టే ప్రణాళికను రూపొందించాడు. [N 2] క్యూసాడా ఈ ప్రణాళికను కెప్టెన్ ఇరా సి. ఎకర్, సహాయక యుద్ధ కార్యదర్శికి సహాయకుడు ఏప్రిల్ మిషన్‌లో ఉన్న ఎయిర్"&amp;" ఎఫ్. ట్రూబీ డేవిసన్ కోసం. ఎయిర్-టు-ఎయిర్ రీఫ్యూయలింగ్ పట్ల వారి పరస్పర ఆసక్తి EAKER దీనిని ఎయిర్ కార్ప్స్ చీఫ్ మేజర్ జనరల్ జేమ్స్ ఇ. ఫెచెట్ కు పంపింది. ఫెచెట్ మరియు డేవిసన్ ఇద్దరూ ఈ ప్రాజెక్టును సైనిక దరఖాస్తును ప్రదర్శిస్తుందనే షరతుపై ఆమోదించారు, ఇది పబ"&amp;"్లిసిటీ స్టంట్‌గా మాత్రమే కాదు. [1] ఈ ప్రాజెక్ట్ యొక్క మొత్తం ఆదేశం మేజర్ కార్ల్ ఎ. స్పాట్జ్ [n 3] ఫెచెట్ కార్యాలయంలో శిక్షణ మరియు కార్యకలాపాల కోసం అసిస్టెంట్ జి -3 కు ఇవ్వబడింది, అతను రాక్‌వెల్ ఫీల్డ్‌లోని 7 వ బాంబు పాలన సమూహానికి నాయకత్వం వహించాలని ఆదేశ"&amp;"ాలు కలిగి ఉన్నాడు. [3] కొత్త అట్లాంటిక్-ఫోకర్ సి -2 ఎ ట్రాన్స్‌పోర్ట్, సీరియల్ నంబర్ 28-120, ఈ ప్రాజెక్ట్ కోసం ఎంపిక చేయబడింది. బోలింగ్ ఫీల్డ్‌లోని 14 వ బాంబు. సి -2 ఎ అనేది ఫోకర్ ఎఫ్.వియా -3 ఎమ్ ట్రిమోటర్ యొక్క అమెరికన్ నిర్మించిన సైనిక వెర్షన్, ఇది 10,3"&amp;"95 పౌండ్ల స్థూల బరువుతో (4,715 కిలోలు) అధిక-వింగ్ మోనోప్లేన్, 220 ను ఉత్పత్తి చేసే మూడు రైట్ R-790 మోటారులతో తిరిగి ఇంజిన్ చేయబడింది హార్స్‌పవర్ (160 కిలోవాట్). బర్డ్ ఆఫ్ ప్యారడైజ్ అనే మారుపేరుతో ఉన్న సి -2 వేరియంట్ సంవత్సరానికి ముందు హవాయికి మొదటి ట్రాన్"&amp;"స్‌పాసిఫిక్ విమానాన్ని చేసింది మరియు డిజైన్ యొక్క సామర్థ్యాన్ని నిరూపించింది. సి -2 ఎ ఒక జత రెక్కల ట్యాంకులలో 192-యుఎస్-గాలన్ (730 ఎల్) అంతర్గత ఇంధన సామర్థ్యాన్ని కలిగి ఉంది మరియు ఈ ప్రాజెక్ట్ కోసం రెండు 150-యుఎస్-గాలన్ (570 ఎల్) ట్యాంకులను కార్గో క్యాబిన"&amp;"్లో ఏర్పాటు చేశారు. ఇంధన గొట్టం బదిలీ మరియు ట్యాంకర్ నుండి రిసీవర్‌కు సామాగ్రిని ఆమోదించడానికి రెక్క వెనుక సి -2 పైకప్పులో ఒక హాచ్ కత్తిరించబడింది. సుమారు 90 సెకన్ల వ్యవధిలో 100-యుఎస్-గాలన్ (380 ఎల్) ఇంక్రిమెంట్లలో 72-ఆక్టేన్ ఏవియేషన్ గ్యాసోలిన్ అందుతుంది"&amp;". [5] మూడు మోటారులకు ఇంజిన్ ఆయిల్‌ను అందించడానికి 45-యుఎస్-గాలన్ (170 ఎల్) ట్యాంక్ ఉపయోగించబడింది, 5-యుఎస్-గాలన్ (19 ఎల్) డబ్బాల పెన్‌జాయిల్ ట్రిపుల్-ఎక్స్‌ట్రా-హెవీ యొక్క ఇన్‌ఫ్లైట్ డెలివరీల ద్వారా నింపబడింది. [6 ] ఇంజిన్ల ఇన్ఫ్లైట్ యొక్క రాకర్ చేతులను త"&amp;"గినంతగా ద్రవపదార్థం చేసే ప్రయత్నంలో రాగి గొట్టాల వ్యవస్థ వ్యవస్థాపించబడింది. కాక్‌పిట్ యొక్క ప్రతి వైపు తలుపులు మరియు రెక్కలపై నిర్మించిన క్యాట్‌వాక్‌లు మెకానిక్ రాయ్ హూను అత్యవసర నిర్వహణ కోసం ఇంజిన్‌లను యాక్సెస్ చేయడానికి వీలు కల్పించారు. ప్రొపెల్లర్ శబ్"&amp;"దాన్ని తగ్గించడానికి, రెండు వింగ్ ఇంజన్లు వెస్టింగ్‌హౌస్ ట్విన్-బ్లేడ్ మైకరార్టా ప్రొపెల్లర్లతో అమర్చబడ్డాయి, ముక్కు ఇంజిన్ ప్రామాణిక మూడు-బ్లేడ్ స్టీల్ ప్రొపెల్లర్‌ను ఉపయోగించింది. [6] ప్రాజెక్ట్ యొక్క పదం వ్యాప్తి చెందుతున్నప్పుడు, దాని సభ్యులను వారు ఎం"&amp;"తసేపు పైకి లేవాలని expected హించారు. వారి స్పందనలు సాధారణంగా ప్రభావానికి సంబంధించినవి: ""ఇది ప్రశ్న."" ఓర్పు విమానంలో ఆసక్తిని రేకెత్తించడానికి ఫ్యూజ్‌లేజ్ యొక్క ప్రతి వైపున ఒక పెద్ద ప్రశ్న గుర్తు పెయింట్ చేయబడింది, ఇది విమానం యొక్క మారుపేరును ప్రేరేపిస్త"&amp;"ుంది. [7] ఇంధనాన్ని అందించడానికి, రెండు డగ్లస్ సి -1 సింగిల్-ఇంజిన్ రవాణా కూడా సవరించబడింది, S/N 25-428 ""రీఫ్యూయలింగ్ విమానం నం 1"" మరియు S/N 25-432 ""విమానం నం."" బిప్‌లేన్ సి -1 లు డగ్లస్ వరల్డ్ క్రూయిజర్ డిజైన్ నుండి అభివృద్ధి చెందాయి, పైలట్లు పక్కపక్"&amp;"కనే వింగ్ యొక్క ఓపెన్ కాక్‌పిట్‌లో ఉన్నారు. రెండు 150-యుఎస్-గాలన్ (570 ఎల్) ట్యాంకులను వారి కార్గో కంపార్ట్మెంట్లలో వ్యవస్థాపించారు, ఇది సీసపు-వెయిటెడ్ 50-అడుగుల (15 మీ) పొడవు 2.5-అంగుళాల (64 మిమీ) ఫైర్ గొట్టానికి జతచేయబడింది. గొట్టం యొక్క నాజిల్ ట్యాంకర్"&amp;" చివరలో శీఘ్రంగా మూసివేసే వాల్వ్ కలిగి ఉంది మరియు రాగి తీగతో గట్టిగా చుట్టబడి ఉంది, వీటిలో ఒక చివర గొట్టం భూమికి ప్రశ్న గుర్తులో అమర్చిన సంబంధిత రాగి పలకతో జతచేయవచ్చు. [8] సి -1 లు ప్రతి ఒక్కటి కార్గో కంపార్ట్‌మెంట్‌లో మూడవ సిబ్బందిని తీసుకువెళతాయి, గొట్ట"&amp;"ం నుండి బయటపడటానికి, సరఫరా తాడును తగ్గించడానికి మరియు షటాఫ్ వాల్వ్‌ను పని చేయడానికి. ఈ ఆపరేషన్ జనవరి 1, 1929, కాలిఫోర్నియాలోని లాస్ ఏంజిల్స్‌లో, వాతావరణ పరిస్థితులను సద్వినియోగం చేసుకోవడానికి మరియు పసాదేనాలో ఆ రోజు ఆడిన 1929 రోజ్ బౌల్ ఫుట్‌బాల్ ఆటను ఓవర్‌"&amp;"ఫ్లై చేయడం ద్వారా ఇంధనం నింపేటప్పుడు ప్రచారం చేయడానికి ప్రారంభమైంది. ఇంధనం నింపే విమానాలు 110-మైళ్ల (180 కి.మీ) పొడవైన రేస్ట్రాక్ ఓవల్ ఫ్లైట్ పాత్ యొక్క ప్రతి చివరలో ఉన్నాయి, ఒకటి రాక్‌వెల్ ఫీల్డ్‌లో మరియు మరొకటి మెట్రోపాలిటన్ విమానాశ్రయంలో, ఇప్పుడు వాన్ "&amp;"న్యూస్ విమానాశ్రయం. ఏదైనా ఓర్పు రికార్డును ఫెడరేషన్ ఏరోనటిక్ ఇంటర్నేషనల్ చేత అధికారికంగా గుర్తించటానికి ఈ విమానం అక్కడ ఉద్భవించింది మరియు ముగుస్తుంది. [8] ఎల్ సెగుండో వద్ద ఉన్న గనుల క్షేత్రంలో ఇప్పటికే ఉన్న డర్ట్ స్ట్రిప్ ఎయిర్‌ఫీల్డ్, వాన్ న్యూస్ ఎంపిక చ"&amp;"ేయబడింది, ఎందుకంటే వాన్ న్యూస్‌లోని వాతావరణం మరింత నమ్మదగిన మరియు able హించదగినదిగా పరిగణించబడింది, ముఖ్యంగా ఉష్ణోగ్రత విలోమాలు మరియు పొగమంచు విషయంలో. మెట్రోపాలిటన్ కూడా ఒక కార్యాచరణ సౌకర్యం, అయితే గనుల క్షేత్రాన్ని లాస్ ఏంజిల్స్ నగరం వాణిజ్య విమానాశ్రయంగ"&amp;"ా ఉపయోగించుకుంది. ఫ్లైట్ కోసం సన్నాహాలు ప్రారంభించడానికి ఈ ప్రాజెక్ట్ డిసెంబర్ 1928 లో అక్కడికి చేరుకుంది, కెప్టెన్ హ్యూ ఎం. ఎల్మెండోర్ఫ్ లాజిస్టిక్స్ మరియు నిర్వహణ బాధ్యత. [9] [10] బరువు పరిగణనలు మరియు రేడియోల యొక్క విశ్వసనీయత కారణంగా, ప్రశ్న గుర్తులో ఏద"&amp;"ీ వ్యవస్థాపించబడలేదు. విమానం లేదా ప్రశ్న గుర్తు మరియు భూమి మధ్య అన్ని సమాచార మార్పిడి జెండాలు, మంటలు, ఫ్లాష్‌లైట్లు, వెయిటెడ్ మెసేజ్ బ్యాగ్‌లు, సరఫరా పంక్తులతో ముడిపడి ఉన్న గమనికలు లేదా పిడబ్ల్యు -9 డి యోధుల ఫ్యూజ్‌లేజ్‌పై సుద్దలో వ్రాసిన సందేశాలు, నలుపు "&amp;"పెయింట్ చేయవలసి ఉంది. మరియు ""బ్లాక్ బోర్డ్ విమానాలు"" అనే మారుపేరు. [11] . రాయ్ డబ్ల్యూ. హూ. రీఫ్యూయలింగ్ విమానం నంబర్ 1 (రాక్‌వెల్ వద్ద) పైలట్లు కెప్టెన్ రాస్ జి. హోయ్ట్ మరియు 1 వ లెఫ్టినెంట్ ఆబీ సి. స్ట్రిక్‌ల్యాండ్, 2 వ లెఫ్టినెంట్ ఇర్విన్ ఎ. వుడ్రింగ"&amp;"్ గొట్టాన్ని తిప్పికొట్టారు. రీఫ్యూయలింగ్ విమానం నం 2 (వాన్ న్యూస్ వద్ద) పైలట్లు 1 వ లెఫ్టినెంట్ ఒడాస్ మూన్ మరియు 2 వ లెఫ్టినెంట్ జోసెఫ్ జి. రాక్‌వెల్ ఫీల్డ్‌లో ఉన్న 95 వ పర్స్యూట్ స్క్వాడ్రన్ యొక్క నలుగురు పైలట్లు, పిడబ్ల్యు -9 ""బ్లాక్ బోర్డ్ విమానాలు"""&amp;": 1 వ లెఫ్టినెంట్ ఆర్చీ ఎఫ్. రోత్, మరియు 2 వ ఎల్టిఎస్. హోమర్ డబ్ల్యూ. కీఫెర్, నార్మన్ హెచ్. ఇవ్స్, మరియు రోజర్ వి. విలియమ్స్. [11] ప్రశ్న మార్క్ వాన్ న్యూస్ నుండి ఉదయం 7:26 గంటలకు నూతన సంవత్సర దినోత్సవం 1929 న EKER వద్ద నియంత్రణల వద్ద, టేకాఫ్ బరువును ఆదా "&amp;"చేయడానికి 100 US గ్యాలన్ల (380 L) ఇంధనాన్ని మాత్రమే తీసుకువెళ్ళింది. [8] ప్రశ్న గుర్తులో, హాల్వర్సన్ లేదా క్యూసాడా క్రూజింగ్ ఫ్లైట్ సమయంలో చాలా మంది పైలట్ చేసారు, అయితే EAKER సున్నితమైన ఇంజిన్ పనితీరు కోసం థొరెటల్స్ను పర్యవేక్షించాడు. ఒక లాగ్‌ను ఫ్లైట్ ఆఫ"&amp;"ీసర్ (కో-పైలట్) ఉంచారు మరియు రోజూ భూమికి పడిపోయాడు, మరియు బారోగ్రాఫ్‌ను మూసివేసేందుకు ఈకర్ బాధ్యత వహించాడు, ఇది రికార్డులకు డాక్యుమెంటరీ సాక్ష్యంగా ఎత్తు మరియు సమయాన్ని నిరంతరం రికార్డ్ చేసిన ఒక పరికరం. [10] ఒక గంట కంటే తక్కువ తరువాత చంద్రుడు వాన్ న్యూస్‌"&amp;"పై మొదటి ఇంధనం నింపాడు. ఇంధనం నింపేటప్పుడు, EKER మరియు హాల్వర్సన్ నియంత్రణలను నిర్వహించారు, స్పాట్జ్ మరియు క్యూసాడా ఇంధన మార్పిడిని పర్యవేక్షించారు మరియు హూ ""చలనం"" పంపును నిర్వహించారు. సి -1 పై మరియు వెనుక నుండి ప్రశ్న గుర్తుకు చేరుకుంది, 20 నుండి 30 అడ"&amp;"ుగుల (9.1 మీ) నిలువు విభజనను నిర్వహించింది, సి -2 కంటే కొంచెం ముందు ఉన్న స్థితిలో. రెండు విమానాలు 80 mph (130 కిమీ/గం) వద్ద స్థాయి విమానంలో స్థిరీకరించబడ్డాయి మరియు గొట్టం తిరిగి మార్చబడింది. స్పాట్జ్ ఓపెన్ హాచ్ క్రింద ఒక వేదికపైకి ఎక్కి, ఇంధన చిందుల నుండ"&amp;"ి రక్షణ కోసం రెయిన్ గేర్ మరియు గాగుల్స్ ధరించి, గొట్టాన్ని గ్రౌండ్ చేసి, ఆపై ఎగువ ఫ్యూజ్‌లేజ్‌లో అమర్చిన రిసెప్టాకిల్‌లో ఉంచాడు. [13] వాలుగా ఉన్న అంతస్తుతో బకెట్ నుండి తయారైన, రిసెప్టాకిల్ రెండు అదనపు ఇంధన ట్యాంకులకు కనెక్షన్లను కలిగి ఉంది మరియు స్పాట్జ్ "&amp;"యొక్క సిగ్నల్ సోల్టర్ వద్ద వాల్వ్ తెరిచింది. ఇంధనం గురుత్వాకర్షణ ద్వారా నిమిషానికి 75 యుఎస్ గ్యాలన్ల (280 ఎల్) వద్ద బకెట్‌లోకి ప్రవహించింది మరియు తరువాత ట్యాంకుల్లోకి వచ్చింది, అక్కడ దానిని హూ చేత వింగ్ ట్యాంకుల్లోకి చేతితో పంప్ చేశారు. [8] ఆహారం, మెయిల్,"&amp;" సాధనాలు, విడి భాగాలు మరియు ఇతర సామాగ్రి కూడా అదే పద్ధతిలో తాడు ద్వారా పంపబడ్డాయి. [8] ప్రశ్నలో ఉన్న ఐదుగురు వ్యక్తులు మార్క్ విమానానికి ముందు వైద్య పరీక్షలు చేయించుకున్నారు, మరియు వారి ఫ్లైట్ సర్జన్ ప్రత్యేక ఆహారాన్ని ప్లాన్ చేశారు. ఏదేమైనా, బరువును ఆదా "&amp;"చేయడానికి వేడి ఆహారాన్ని వేడి చేయడానికి ఎలక్ట్రిక్ స్టవ్ తొలగించబడింది, మరియు వాన్ న్యూస్లో చర్చి తయారుచేసిన న్యూ ఇయర్స్ డే రోజున టర్కీ విందుతో సహా రిఫ్యూయలర్లచే వేడి భోజనం పైకి పంపబడింది. [6] సిబ్బంది చదవడం, కార్డులు ఆడటం, ఇంధన ట్యాంకులపై అమర్చిన బంక్‌లల"&amp;"ో నిద్రపోవడం మరియు అక్షరాలు రాయడం ద్వారా సిబ్బంది విసుగు చెందారు. ప్రస్తుతం ఉన్న ఓర్పు రికార్డు జనవరి 3, గురువారం సాయంత్రం అధిగమించిన తరువాత, సహాయక బృందం విమానంలో వేడుక కోసం జున్ను, అత్తి పండ్లను, ఆలివ్ మరియు ఐదు జాడి కేవియార్లను పంపారు. [14] [N 5] ఇంధనం "&amp;"నింపేటప్పుడు, [n 6 ] అల్లకల్లోలంగా ఉన్నప్పుడు స్పాట్జ్ ఇంధనంతో తడిసిపోయాడు. 1975 లో ఈవెంట్‌ను గుర్తుచేసుకున్న ఎకర్ ఇలా అన్నాడు: మేము రోజ్ బౌల్ మీదుగా వెళ్ళాము. ఇది చాలా ఎగుడుదిగుడుగా ఉంది, మీరు అభినందించగలిగినట్లుగా, మేము ప్రశంసించబడాలి, జనవరిలో ఆ పర్వతాల"&amp;"కు వ్యతిరేకంగా, మరియు ఇంధనం నింపే విమానం మరియు ప్రశ్న గుర్తును నలిగిపోయాయి. నేను ప్రశ్న గుర్తును పైలట్ చేస్తున్నాను మరియు జనరల్ స్పాట్జ్ బహుశా ఎత్తైన ఆక్టేన్ గ్యాసోలిన్లో తడిసిపోయారని నేను గ్రహించాను. [15] క్యూసాడా నియంత్రణల వద్ద ఉంది మరియు ప్రశాంతమైన గాల"&amp;"ి కోసం సముద్రం మీదుగా విమానాలను ఎగిరింది. [3] గ్యాసోలిన్ నుండి రసాయన కాలిపోతుందనే భయంతో, వైద్య చికిత్స కోసం విమానం నుండి పారాచూట్ చేయమని అతనిని బలవంతం చేస్తాడని, స్పాట్జ్ ఈకర్‌ను సంబంధం లేకుండా విమానాన్ని కొనసాగించమని ఆదేశించాడు. [14] ఏదేమైనా, స్పాట్జ్ తన"&amp;" దుస్తులన్నింటినీ తొలగించాడు మరియు చమురు నానబెట్టిన రాగ్స్‌తో తుడిచిపెట్టుకుపోయాడు. అతను తన దుస్తులు లేకుండా కనీసం ఒక ఇంధనం నింపినప్పటికీ, భర్తీలు త్వరలో పంపిణీ చేయబడ్డాయి. [14] [16] క్యూసాడాను క్లుప్తంగా అదే ప్రమాదంతో అధిగమించారు, కాని త్వరగా పునరుద్ధరిం"&amp;"చబడింది. [13] స్పాట్జ్ గాయం లేకుండా మరో రెండు ఇంధన చిందులను అనుభవించాడు, అతని చర్మం మరియు జింక్ ఆక్సైడ్ను తుడిచిపెట్టడానికి నూనెను ఉపయోగించడం అతని కళ్ళను రక్షించడానికి. [13] పొగమంచు, అల్లకల్లోలం మరియు చీకటి ఇంధనం నింపే షెడ్యూల్‌ను మార్చాయి, కొన్ని పరిచయాల"&amp;"ను తగ్గించడం మరియు ఇతరులను ఆలస్యం చేయడం. ఆరు సందర్భాల్లో, ప్రశ్న మార్క్ దాని ఫ్లైట్ ట్రాక్ నుండి ఇంధనం నింపడానికి బలవంతం చేయబడింది, ఒకసారి ఓసియాన్‌సైడ్ మరియు ఎల్ సెంట్రో కంటే ఐదుసార్లు. [13] బదిలీ సమయంలో విమానాల బరువు మారినందున సంప్రదింపు ఏర్పడటాన్ని నిర్"&amp;"వహించడం మరింత కష్టమైంది, ప్రత్యేకించి ఇంధనం నింపే పైలట్ ప్రశ్న గుర్తును గమనించలేకపోయాడు. జనవరి 4 న, విమానం ఇంపీరియల్ వ్యాలీపై రెండెజౌస్ చేసిన తరువాత, ఇంధనం నింపేటప్పుడు unexpected హించని గాలి జేబును ఎదుర్కొన్నప్పుడు రెండూ భూమిని ప్రభావితం చేశాయి. [14] హోయ"&amp;"్ట్ ఒక వ్యవస్థను అభివృద్ధి చేశాడు ఫ్లైట్ ప్రారంభంలో సి -2 యొక్క క్యాబిన్ నుండి ఒక కిటికీ పేల్చింది, కాని చివరికి ఒక భర్తీ హూ చేత తీసివేయబడింది మరియు వ్యవస్థాపించబడింది. ఎరుపు సీసం, సబ్బు మరియు షెల్లాక్ మిశ్రమాన్ని ఉపయోగించి ఇంధన రేఖలో ఒక లీక్ మరమ్మతులు చే"&amp;"యబడింది. [17] ఇంజిన్లను నర్సు చేయడానికి సిబ్బంది నెమ్మదిగా క్రూజింగ్ వేగంతో విమానం ఎగిరినప్పటికీ, చివరికి వారు విస్తరించిన ఉపయోగం నుండి అధికంగా ఒత్తిడి చేశారు. ఎడమ ఇంజిన్ మూడవ రోజు ప్రారంభంలోనే శక్తిని కోల్పోవడం ప్రారంభించింది. [15] హూయు తన ప్యాంటు కఫ్స్‌"&amp;"ను టేప్ చేశాడు, పారాచూట్ ధరించాడు మరియు తాత్కాలిక క్యాట్‌వాక్‌ల నుండి ఇంజిన్‌లకు సేవ చేయడానికి ఒక లైఫ్‌లైన్‌ను రిగ్గింగ్ చేశాడు, కాని ఇన్‌ఫ్లైట్ కందెన వ్యవస్థలు ఆలస్యం అయ్యాయి మరియు ఇంజిన్ దుస్తులను నిరోధించలేకపోయాయి. సిలిండర్లు తప్పిపోయిన తర్వాత, ప్రశ్న "&amp;"మార్క్ వాన్ న్యూస్ యొక్క గ్లైడింగ్ దూరంలో ఉండటానికి దాని ఉచ్చులను తగ్గించింది. ఎకర్ థొరెటల్స్ పూర్తిగా తెరవడం ద్వారా ఫౌల్డ్ స్పార్క్ ప్లగ్‌లను క్లియర్ చేయగలిగాడు. జనవరి 7, సోమవారం మధ్యాహ్నం, వామపక్ష ఇంజిన్ నిష్క్రమించింది. మరమ్మతు చేయడానికి హూ క్యాట్‌వాక్"&amp;"‌లో బయలుదేరాడు, విండ్‌మిల్లింగ్ ప్రొపెల్లర్‌ను రబ్బరు హుక్‌తో స్థిరంగా చేశాడు. మరమ్మతులు ప్రయత్నించినప్పుడు ఫ్లైట్ నిర్వహించడానికి మిగిలిన రెండు ఇంజిన్లపై ఎకర్ థొరెటల్ పెరిగింది, కాని అవి కూడా వడకట్టడం ప్రారంభించాయి. హూను తిరిగి లోపలికి పిలిచే ముందు మరియు"&amp;" భూమికి తీసుకున్న నిర్ణయం ముందు విమానం 5,000 నుండి 2,550 అడుగుల (780 మీ) ఎత్తును కోల్పోయింది. [15] టేకాఫ్ తర్వాత మధ్యాహ్నం 2:06, 150 గంటలు, 40 నిమిషాలు మరియు 14 సెకన్ల వద్ద మెట్రోపాలిటన్ విమానాశ్రయంలో మార్క్ అధికారంలోకి వచ్చింది. పుష్రోడ్ వైఫల్యం కారణంగా "&amp;"ఎడమ ఇంజిన్ స్వాధీనం చేసుకుంది, మరియు ఇతరులు ఇద్దరూ తీవ్రమైన రాకర్ ఆర్మ్ దుస్తులు ధరించారు. [6] 37 సార్లు ఇంధనం నింపాయి మరియు మరో ఆరుగురిని తిరిగి సరఫరా చేశాయి, 43 లో 43 నింపేటప్పుడు, ప్రశ్న మార్క్ 5,660 యుఎస్ గ్యాలన్ల (21,400 ఎల్) ఇంధనం, 245 యుఎస్ గ్యాలన్"&amp;"లు (930 ఎల్) చమురు మరియు ఆహారం మరియు నీటి సరఫరా దాని ఐదుగురు వ్యక్తుల సిబ్బందికి. హోయ్ట్ మరియు రీఫ్యూయలింగ్ విమానం నంబర్ 1, రాక్వెల్ నుండి ఎగురుతూ మరియు కాలిఫోర్నియాలోని ఇంపీరియల్ వద్ద బ్యాకప్ విమానాశ్రయం, తిరిగి సరఫరా చేయబడిన ప్రశ్న మొత్తం 27 సార్లు (రాత"&amp;"్రి పది), వాన్ న్యూస్ వద్ద మూన్ సిబ్బంది 16 సోర్టీలు, రాత్రి రెండు. [16 ] మొత్తం మీద, ఫ్లైట్ నిరంతర విమానంలో ఉన్న ప్రపంచ రికార్డులను బద్దలు కొట్టింది (ఎయిర్ కంటే భారీగా), ఇంధనం నింపిన విమానాలు, నిరంతర విమానము (గాలి కంటే తేలికైనది) మరియు దూరం. [18] జనవరి 2"&amp;"9 న బోలింగ్ ఫీల్డ్‌లో జరిగిన ఒక కార్యక్రమంలో మొత్తం ఐదుగురు సిబ్బందిని విశిష్ట ఫ్లయింగ్ క్రాస్‌తో అలంకరించారు. [N 7] ట్యాంకర్ల సిబ్బంది, మరోవైపు, గుర్తించబడలేదు. చివరికి ఆరుగురికి పాల్గొన్నందుకు ప్రశంసల లేఖలు వచ్చాయి, కాని ఆపరేషన్‌లో వారి కీలక పాత్ర అలంకర"&amp;"ణలతో గుర్తించడానికి 47 సంవత్సరాల ముందు. అప్పటికి హోయ్ట్ మరియు హాప్కిన్స్ మాత్రమే జీవిస్తున్నారు, కాని ఇద్దరూ వ్యక్తిగతంగా మే 26, 1976 న విశిష్టమైన ఫ్లయింగ్ శిలువలను పొందారు. [15] [16] సెప్టెంబర్ 1929 లో ఏరియల్ రీఫ్యూయలింగ్ వద్ద ఎకెర్ రెండవ ప్రయత్నంలో పాల్"&amp;"గొన్నాడు. బోయింగ్ మోడల్ 95 మెయిల్ విమానం బోయింగ్ హార్నెట్ షటిల్ అనే మారుపేరుతో కాలిఫోర్నియాలోని ఓక్లాండ్ నుండి తూర్పున ఒక ట్రాన్స్‌కాంటినెంటల్ ఓర్పు విమానంలో మారుపేరుతో, అతను సి -1 లు మరియు బోయింగ్ మోడల్ 40 ద్వారా విమానంలో ఇంధనం నింపాడు. విమానాల. ఓహియోలోన"&amp;"ి క్లీవ్‌ల్యాండ్‌లో, బోయింగ్ రీఫ్యూయలింగ్ సిబ్బంది అనుకోకుండా ఐదు గాలన్ డబ్బాను తన రెక్క ద్వారా వదులుకున్నాడు, మొదటి ప్రయత్నాన్ని ముగించాడు. వెస్ట్‌బౌండ్ రెండవ ప్రయత్నంలో, ధూళి ఇంధన రేఖను అడ్డుకున్నప్పుడు అతని ఇంజిన్ ఉటాపై నిష్క్రమించింది, సాల్ట్ లేక్ సిట"&amp;"ీకి సమీపంలో ఉన్న పర్వతాలలో క్రాష్‌ల్యాండ్ చేయమని బలవంతం చేసింది. [15] [19] ప్రశ్న యొక్క ఫ్లైట్ ఓర్పు రికార్డును బద్దలు కొట్టడానికి ప్రాజెక్టుల దద్దుర్లు ప్రేరేపించింది. 1929 లో మాత్రమే 40 విమానాలు ప్రయత్నించారు, అందరూ పౌరులు, మరియు తొమ్మిది మంది ప్రశ్న మా"&amp;"ర్క్ రికార్డును అధిగమించడంలో విజయం సాధించారు. 1929 చివరలో, ఈ రికార్డు 420 గంటలకు పైగా ఉంది, దీనిని డేల్ ""రెడ్"" జాక్సన్ మరియు ఫారెస్ట్ ఇ. ఎయిర్ కార్ప్స్ ప్రశ్న మార్క్ యొక్క విమానాన్ని పోరాటంలో దాని వర్తనీయతను ప్రదర్శించే మిషన్‌తో అనుసరించింది. మే 21, 192"&amp;"9 న, వార్షిక విన్యాసాల సమయంలో, మూన్ చేత పైలట్ చేయబడిన కీస్టోన్ ఎల్బి -7 ఓహియోలోని డేటన్లోని ఫెయిర్‌ఫీల్డ్ ఎయిర్ డిపోట్ నుండి న్యూయార్క్ నగరానికి వాషింగ్టన్, డి.సి. చాలాసార్లు ఫ్లైట్ చేయండి, న్యూయార్క్ నౌకాశ్రయంపై ఫ్లాష్ బాంబును వదలండి, తరువాత డేటన్ నాన్-స"&amp;"్టాప్‌కు తిరిగి, మళ్ళీ వాషింగ్టన్ ద్వారా. మూన్ 1 వ లెఫ్టినెంట్ జాన్ పాల్ రిక్టర్, 1923 లో తన ఐదుగురు వ్యక్తుల సిబ్బందిలో సభ్యుడిగా మొదటి వైమానిక రీఫ్యూయలింగ్ మిషన్‌లో గొట్టం హ్యాండ్లర్. ఎల్బి -7 ను ఇంధనం నింపడానికి పనిచేసే సి -1 ట్యాంకర్ హోయ్ట్ మరియు ఇద్ద"&amp;"రు చేర్చుకున్న పురుషులు ఎగురవేశారు. డేటన్ నుండి వాషింగ్టన్ వెళ్లే మార్గంలో వాయు ఇంధనం నింపడానికి ప్రయత్నిస్తున్నప్పుడు, ఐసింగ్ ట్యాంకర్‌ను పెన్సిల్వేనియాలోని యూనియన్‌టౌన్‌లో దిగవలసి వచ్చింది, అక్కడ అది బురదలో చిక్కుకుంది. న్యూయార్క్ వెళ్లిన తరువాత, LB-7 బ"&amp;"ోలింగ్ ఫీల్డ్ వద్ద దిగవలసి వచ్చింది. [21] మరుసటి రోజు ట్యాంకర్ బాంబర్‌లో చేరాడు మరియు ఇద్దరూ న్యూయార్క్‌కు వెళ్లారు, అక్కడ వారు ఎయిర్ రీఫ్యూయలింగ్ మరియు నాలుగు డ్రై పరుగుల గురించి బహిరంగ ప్రదర్శన ఇచ్చారు. [22] ఈ ప్రాజెక్టులో పాల్గొన్న 16 ఆర్మీ ఏవియేటర్లలో"&amp;", ఆరుగురు తరువాత సాధారణ అధికారులు అయ్యారు. రెండవ ప్రపంచ యుద్ధంలో స్పాట్జ్, ఈకర్ మరియు క్యూసాడా అమెరికా ఆర్మీ ఎయిర్ దళాలలో ముఖ్యమైన పాత్రలు పోషించారు. స్పాట్జ్ ఆర్మీ ఎయిర్ ఫోర్సెస్ కమాండింగ్ జనరల్‌కు ఎదిగారు మరియు అమెరికా వైమానిక దళం యొక్క మొదటి చీఫ్ ఆఫ్ స"&amp;"్టాఫ్ అయ్యాడు. ఎకర్ ఎనిమిదవ మరియు మధ్యధరా అనుబంధ వాయు శక్తులను ఆదేశించాడు. క్యూసాడా ఫ్రాన్స్‌లో IX టాక్టికల్ ఎయిర్ కమాండ్‌ను ఆదేశించింది. స్ట్రిక్‌ల్యాండ్, హోయ్ట్ మరియు హాప్కిన్స్ అందరూ అమెరికా వైమానిక దళంలో బ్రిగేడియర్ జనరల్స్ అయ్యారు మరియు బ్రిగేడియర్ జ"&amp;"నరల్ రాస్ జి. హోయ్ట్ అవార్డు వైమానిక దళంలో ఉత్తమ ఎయిర్ రీఫ్యూయలింగ్ సిబ్బందికి ఏటా జారీ చేయబడుతుంది. హాల్వర్సన్, అతను కల్నల్‌కు మాత్రమే ఎదిగినప్పటికీ, హాల్-ప్రో (""హాల్వర్సన్ ప్రాజెక్ట్"") నిర్లిప్తతకు నాయకత్వం వహించాడు, 1942 లో ప్లోయిటి చమురు శుద్ధి కర్మ"&amp;"ాగారాలపై బాంబు దాడి చేసిన 12 కన్సాలిడేటెడ్ బి -24 లిబరేటర్లు, మరియు పదవ వైమానిక దళానికి మొదటి కమాండర్ అయ్యాడు. బాంబర్ పైలట్ అయిన మూన్, 1933 నుండి 1936 వరకు ఎయిర్ కార్ప్స్ టాక్టికల్ స్కూల్లో ""బాంబర్ మాఫియా"" లో ప్రభావవంతమైన సభ్యుడయ్యాడు, కాని నవంబర్ 19, 1"&amp;"937 న మరణించాడు, 45 సంవత్సరాల వయస్సులో సేవ నుండి పదవీ విరమణ కోసం ఎదురుచూస్తున్నాడు. [[[23] 24] సెప్టెంబర్ 1936 లో టెక్సాస్‌లోని రాండోల్ఫ్ ఫీల్డ్‌లో ఆల్-మెటల్ ట్రైనర్‌గా ఒక ప్రమాదం విమాన పరీక్షలో సోల్టర్, ఒక ముసుగు పైలట్ మరణించాడు. [25] ఎల్మెండోర్ఫ్, ఈ ప్ర"&amp;"ాజెక్టులో ఎగిరే పాత్ర లేనప్పటికీ, నిష్ణాతుడైన టెస్ట్ పైలట్ మరియు జనవరి 13, 1933 న చంపబడ్డాడు, ఒహియోలోని రైట్ ఫీల్డ్‌లో Y1P-25-25 ను పరీక్షించాడు. ఎల్మెండోర్ఫ్ ఎయిర్ ఫోర్స్ బేస్ అతని జ్ఞాపకార్థం పేరు పెట్టారు. [26] 1931 లో 300 హార్స్‌పవర్ (220 కిలోవాట్ల) ర"&amp;"ైట్ R-975 ఇంజిన్‌లతో ప్రశ్న గుర్తును రీఫిట్ చేశారు, మరియు ఆ రోజు ఆచరణలో ""సి -7"" పున es రూపకల్పన చేయబడింది. ఇది నార్త్ కరోలినాలోని పోప్ ఫీల్డ్ వద్ద 22 వ పరిశీలన స్క్వాడ్రన్ కోసం, ఆపై టెక్సాస్‌లోని రాండోల్ఫ్ ఫీల్డ్‌లోని 47 వ పాఠశాల స్క్వాడ్రన్‌తో రవాణా వి"&amp;"మానంగా తన సేవా జీవితాన్ని రవాణా విమానంగా అందించింది. హాస్యాస్పదంగా, నవంబర్ 3, 1932 న విమానంలో ఇంధనం అయిపోయినప్పుడు దాని కార్యాచరణ జీవితం ముగిసింది. బేస్ యొక్క ఉత్తరాన 4 మైళ్ళు (6.4 కి.మీ) డావెన్‌పోర్ట్ సహాయక క్షేత్రంలో దిగడానికి ఈ విమానం తీవ్రంగా దెబ్బతిం"&amp;"ది, [27] . దాని సైనిక సామర్థ్యంలో, చరిత్రకారుడు రిచర్డ్ డేవిస్ స్పాట్జ్ జీవిత చరిత్రలో ఇలా వ్రాశాడు: ""స్పాట్జ్ మరియు అతని సిబ్బంది చాలా కాలం పాటు ఒక హస్తకళను తయారు చేయగలిగితే,"" [3] ఫెచెట్‌కు తన నివేదికలో, స్పాట్జ్ దానిని ముగించారు వైమానిక రీఫ్యూయలింగ్ స"&amp;"ురక్షితమైనది మరియు ఆచరణాత్మకమైనది, మరియు బాంబు దాడుల కార్యకలాపాల కోసం ఇది బాంబర్ యొక్క చర్య యొక్క వ్యాసార్థాన్ని దాదాపు అపరిమితంగా చేసింది, అయితే ఇది భారీ బాంబు లోడ్లను తీసుకెళ్లడానికి అనుమతిస్తుంది, ఎందుకంటే టేకాఫ్ వద్ద ఇంధనం బరువు తగ్గవచ్చు. [29] ఏదేమైన"&amp;"ా, యుద్ధ విభాగం లేదా ఎయిర్ కార్ప్స్ ఈ భావనపై మరింత ఆసక్తి చూపలేదు. తత్ఫలితంగా, ఫ్లైట్ యొక్క ఏకైక ప్రభావం ఏమిటంటే, ఒక అధికారిక USAF చరిత్ర ""ఏరోనాటికల్ ఫ్లాగ్‌పోల్ సిట్టింగ్"" గా వర్గీకరించబడింది. [21] [N 9] ప్రశ్న గుర్తు యొక్క ఫ్లైట్ వైమానిక పట్ల ఆసక్తిని"&amp;" కలిగించింది రాయల్ వైమానిక దళం ద్వారా ఇంధనం నింపడం, దాని బాంబర్ల టేకాఫ్ బరువులను తగ్గించడానికి మరియు దాని గడ్డి వైమానిక క్షేత్రాలలో దుస్తులు మరియు కన్నీటిని తగ్గించడానికి ప్రయత్నిస్తుంది, కాని 1930 మరియు 1937 మధ్య వరుస ప్రయోగాల తరువాత వారు పరీక్షను వదిలివ"&amp;"ేసారు. [30] మెరుగైన ఇంజిన్ల అభివృద్ధి, [31] వేరియబుల్-పిచ్ ప్రొపెల్లర్లు మరియు ఆల్-మెటల్ లో-వింగ్ మోనోప్లేన్స్ ఎక్కువ శ్రేణికి సామర్థ్యం ఉన్న వైమానిక ఇంధనం నింపేటప్పుడు మరింత సైనిక ఆసక్తిని వాయిదా వేసింది, [32] అనేక ఫెర్రింగ్, యాంటిసబ్మరైన్ మరియు బాంబు దా"&amp;"డుల కార్యకలాపాలకు సామర్థ్యం లేకపోవడం వల్ల విస్తరించిన పరిధి అవసరం. [33] [34] 1934 లో, సర్ అలాన్ కోభం ఫ్లైట్ డిఫ్యూయలింగ్ లిమిటెడ్ (FRL) ను స్థాపించారు మరియు 1938 నాటికి డిజైన్ సూత్రంతో సమానమైన ""లూప్డ్-హోస్"" వ్యవస్థను ఉపయోగించారు, పెద్ద విమానాలను ఇంధనం న"&amp;"ింపడానికి ప్రశ్న గుర్తుకు. 1939 లో, చిన్న సామ్రాజ్యం ఫ్లయింగ్ బోట్ల వైమానిక రీఫ్యూయలింగ్ చేయడానికి ట్రయల్స్ ప్రారంభమయ్యాయి, కాని రెండవ ప్రపంచ యుద్ధం ప్రారంభమైన తరువాత 16 విమానాల తరువాత సస్పెండ్ చేయబడ్డాయి. [35] [36] యుద్ధం ముగిసే సమయానికి, జపాన్‌కు వ్యతిర"&amp;"ేకంగా సుదూర బాంబు కార్యకలాపాల కోసం లూప్డ్-హోస్ సిస్టమ్‌లతో అమర్చిన అవ్రో లాంకాస్టర్‌లచే RAF టైగర్ ఫోర్స్ యొక్క అవ్రో లింకన్స్ విమానంలో ఇంధనం నింపారు, కాని ఒకినావాను స్వాధీనం చేసుకోవడం ట్యాంకర్ ఫోర్స్ యొక్క ఫీల్డింగ్ను తొలగించింది. [[[[ 37] బ్రిటిష్ ఓవర్సీ"&amp;"స్ ఎయిర్‌వేస్ కార్పొరేషన్ యుద్ధం ముగిసిన తరువాత కోభం యొక్క భావనను పునరుద్ధరించడానికి ప్రయత్నించింది, కాని ఈ ప్రక్రియతో నిరాశకు గురైంది. [38] [n 10] జనవరి 1948 లో, అతను ప్రశ్న మార్క్ ప్రాజెక్ట్ను ఆదేశించిన 19 సంవత్సరాల తరువాత, USAF చీఫ్ ఆఫ్ స్టాఫ్ స్పాట్జ్"&amp;" ఏరియల్ చేసారు వైమానిక దళం యొక్క అగ్ర వ్యూహాత్మక ప్రాధాన్యతను ఇంధనం నింపడం. మార్చిలో ఈ సేవ రెండు సెట్ల FRL లూప్డ్-హోస్ పరికరాలు మరియు వ్యవస్థకు తయారీ హక్కులను కొనుగోలు చేసింది. రెండు బోయింగ్ బి -29 సూపర్‌ఫోర్ట్రెస్‌లలో పరికరాల విమాన పరీక్ష మేలో అటువంటి వి"&amp;"జయంతో ప్రారంభమైంది, జూన్లో తన మొదటి-లైన్ బి -50 బాంబర్లన్నింటినీ వైమానిక రీఫ్యూయలింగ్ పరికరాలతో రెట్రోఫిట్ చేయాలని నిర్ణయం తీసుకున్నారు. ప్రపంచంలోని మొట్టమొదటి రెండు అంకితమైన ఎయిర్ రీఫ్యూయలింగ్ యూనిట్లు, 43 వ మరియు 509 వ ఎయిర్ రీఫ్యూయలింగ్ స్క్వాడ్రన్లు జ"&amp;"ూన్ 30 న ఏర్పడ్డాయి మరియు జనవరి 1949 లో పనిచేశాయి. [39] 1948 లో ""ఫ్లయింగ్ బూమ్"" డెలివరీ సిస్టమ్ యొక్క అభివృద్ధితో, 1949 లో ""ప్రోబ్-అండ్-డ్రాగ్"" సిస్టమ్ చేత, సింగిల్-పాయింట్ స్వీకరించే పరికరాలను ఉపయోగించి ఫైటర్ విమానాల విమానంలో ఇంధనం నింపడం కూడా ఆచరణాత"&amp;"్మకంగా మారింది మరియు USAF తనకు తానుగా కట్టుబడి ఉంది దాని భవిష్యత్ పోరాట విమానాలలో ఎక్కువ భాగం కాన్సెప్ట్. [40]")</f>
        <v>ప్రశ్న మార్క్ ("?") అమెరికా ఆర్మీ ఎయిర్ కార్ప్స్ యొక్క సవరించిన అట్లాంటిక్-ఫోకర్ సి -2 ఎ రవాణా విమానం. 1929 లో, మేజర్ కార్ల్ ఎ. స్పాట్జ్ నేతృత్వంలో, వైమానిక ఇంధనం కలిగిన ప్రయోగంలో భాగంగా దీనిని ఫ్లైట్ ఎండ్యూరెన్స్ రికార్డ్ కోసం ఎగురవేయారు. ప్రశ్న మార్క్ నిరంతర విమానంలో విమానయానంలో కొత్త ప్రపంచ రికార్డులను స్థాపించింది (గాలి కంటే భారీగా), ఫ్లైట్, ఫ్లైట్ (ఎయిర్ కంటే తేలికైనది) మరియు జనవరి 1 మరియు జనవరి 7, 1929 మధ్య దూరం, నాన్-స్టాప్ విమానంలో కాలిఫోర్నియాలోని లాస్ ఏంజిల్స్ సమీపంలో 151 గంటలు. రికార్డ్-సెట్టింగ్ ప్రదర్శన తరువాత, సి -2 ఎ రవాణా విధులకు తిరిగి ఇవ్వబడింది. 1931 లో మరింత శక్తివంతమైన ఇంజన్లు ఓర్పు విమానంలో ఉపయోగించిన వాటిని భర్తీ చేశాయి మరియు దీనిని సి -7 రవాణాగా తిరిగి నియమించారు. ఈ విమానం 1932 లో ఆర్థిక మరమ్మత్తుకు మించి దెబ్బతింది, ఇది ఇంధనం అయిపోయిన తరువాత టెక్సాస్‌లో క్రాష్ అయ్యింది మరియు రద్దు చేయబడింది. ఈ ఫ్లైట్ ఈ భావన యొక్క సైనిక అనువర్తనాన్ని ప్రదర్శించింది, అయితే ఇది మరింత ఎక్కువ ఓర్పు రికార్డులను నెలకొల్పడానికి అనేక ప్రయత్నాలను ప్రేరేపించినప్పటికీ, ఆచరణాత్మక ఇన్-ఫ్లైట్ రీఫ్యూయలింగ్ వ్యవస్థ అభివృద్ధి రెండవ ప్రపంచ యుద్ధానికి ముందు ప్రపంచ వైమానిక దళాలు ఎక్కువగా విస్మరించాయి. గ్రేట్ బ్రిటన్లో వైమానిక ఇంధనం యొక్క పౌర అభివృద్ధి మరింత విజయవంతమైంది, కానీ చివరికి అది కూడా విస్మరించబడింది. ఏదేమైనా, ప్రశ్న గుర్తు యొక్క విమానంలో రెండు దశాబ్దాల తరువాత స్పాట్జ్, అమెరికా వైమానిక దళానికి అధిపతి అయ్యారు మరియు బ్రిటిష్ వ్యవస్థను ప్రారంభ బిందువుగా ఉపయోగించుకున్నాడు, ప్రపంచవ్యాప్త కార్యాచరణ ప్రాతిపదికన విమానంలో ఇంధనం నింపాడు. రెండు విమానాల మధ్య మొట్టమొదటి పూర్తి ఇన్ఫ్లైట్ రీఫ్యూయలింగ్ జూన్ 27, 1923 న జరిగింది, [n 1] అమెరికా ఆర్మీ ఆర్మీ ఎయిర్ సర్వీస్ యొక్క రెండు బోయింగ్-నిర్మించిన డి హవిలాండ్ DH-4B లు శాన్ డియాగో యొక్క రాక్వెల్ ఫీల్డ్‌లో ఈ ఘనతను సాధించింది. తదనంతరం, అదే ఎయిర్‌మెన్‌ల సమూహం ఆగస్టు 1923 లో 37 గంటలకు పైగా మిగిలి ఉన్న ఓర్పు రికార్డును ఏర్పాటు చేసింది, తొమ్మిది వైమానిక ఇంధనం నింపారు. జూన్ 1928 లో, బెల్జియంలో 61 గంటలకు పైగా కొత్త ఓర్పు రికార్డును అడ్జూటెంట్ లూయిస్ క్రూయ్ మరియు సార్జంట్ స్థాపించారు. విక్టర్ గ్రోనెన్, వైమానిక రీఫ్యూయలింగ్ కూడా ఉపయోగిస్తున్నారు. [1] 2 వ లెఫ్టినెంట్ ఎల్వుడ్ ఆర్. క్యూసాడా, యు.ఎస్. ఆర్మీ ఎయిర్ కార్ప్స్ యొక్క ఇంజనీర్ వాషింగ్టన్, డి.సి.లోని బోలింగ్ ఫీల్డ్‌లో ఉన్న బోలింగ్ ఫీల్డ్‌లో ఉంచారు, ఏప్రిల్ 1928 లో ఇంధనం లేకపోవడం వల్ల లాబ్రడార్‌కు సుదూర రెస్క్యూ మిషన్‌లో పాల్గొన్నారు. [2] అనాకోస్టియా నావల్ ఎయిర్ స్టేషన్ నుండి యు.ఎస్. మెరైన్ కార్ప్స్ ఏవియేటర్‌తో కలిసి పనిచేస్తూ, అతను వైమానిక ఇంధనం నింపే ఉపయోగించి బెల్జియన్ల రికార్డును బద్దలు కొట్టే ప్రణాళికను రూపొందించాడు. [N 2] క్యూసాడా ఈ ప్రణాళికను కెప్టెన్ ఇరా సి. ఎకర్, సహాయక యుద్ధ కార్యదర్శికి సహాయకుడు ఏప్రిల్ మిషన్‌లో ఉన్న ఎయిర్ ఎఫ్. ట్రూబీ డేవిసన్ కోసం. ఎయిర్-టు-ఎయిర్ రీఫ్యూయలింగ్ పట్ల వారి పరస్పర ఆసక్తి EAKER దీనిని ఎయిర్ కార్ప్స్ చీఫ్ మేజర్ జనరల్ జేమ్స్ ఇ. ఫెచెట్ కు పంపింది. ఫెచెట్ మరియు డేవిసన్ ఇద్దరూ ఈ ప్రాజెక్టును సైనిక దరఖాస్తును ప్రదర్శిస్తుందనే షరతుపై ఆమోదించారు, ఇది పబ్లిసిటీ స్టంట్‌గా మాత్రమే కాదు. [1] ఈ ప్రాజెక్ట్ యొక్క మొత్తం ఆదేశం మేజర్ కార్ల్ ఎ. స్పాట్జ్ [n 3] ఫెచెట్ కార్యాలయంలో శిక్షణ మరియు కార్యకలాపాల కోసం అసిస్టెంట్ జి -3 కు ఇవ్వబడింది, అతను రాక్‌వెల్ ఫీల్డ్‌లోని 7 వ బాంబు పాలన సమూహానికి నాయకత్వం వహించాలని ఆదేశాలు కలిగి ఉన్నాడు. [3] కొత్త అట్లాంటిక్-ఫోకర్ సి -2 ఎ ట్రాన్స్‌పోర్ట్, సీరియల్ నంబర్ 28-120, ఈ ప్రాజెక్ట్ కోసం ఎంపిక చేయబడింది. బోలింగ్ ఫీల్డ్‌లోని 14 వ బాంబు. సి -2 ఎ అనేది ఫోకర్ ఎఫ్.వియా -3 ఎమ్ ట్రిమోటర్ యొక్క అమెరికన్ నిర్మించిన సైనిక వెర్షన్, ఇది 10,395 పౌండ్ల స్థూల బరువుతో (4,715 కిలోలు) అధిక-వింగ్ మోనోప్లేన్, 220 ను ఉత్పత్తి చేసే మూడు రైట్ R-790 మోటారులతో తిరిగి ఇంజిన్ చేయబడింది హార్స్‌పవర్ (160 కిలోవాట్). బర్డ్ ఆఫ్ ప్యారడైజ్ అనే మారుపేరుతో ఉన్న సి -2 వేరియంట్ సంవత్సరానికి ముందు హవాయికి మొదటి ట్రాన్స్‌పాసిఫిక్ విమానాన్ని చేసింది మరియు డిజైన్ యొక్క సామర్థ్యాన్ని నిరూపించింది. సి -2 ఎ ఒక జత రెక్కల ట్యాంకులలో 192-యుఎస్-గాలన్ (730 ఎల్) అంతర్గత ఇంధన సామర్థ్యాన్ని కలిగి ఉంది మరియు ఈ ప్రాజెక్ట్ కోసం రెండు 150-యుఎస్-గాలన్ (570 ఎల్) ట్యాంకులను కార్గో క్యాబిన్లో ఏర్పాటు చేశారు. ఇంధన గొట్టం బదిలీ మరియు ట్యాంకర్ నుండి రిసీవర్‌కు సామాగ్రిని ఆమోదించడానికి రెక్క వెనుక సి -2 పైకప్పులో ఒక హాచ్ కత్తిరించబడింది. సుమారు 90 సెకన్ల వ్యవధిలో 100-యుఎస్-గాలన్ (380 ఎల్) ఇంక్రిమెంట్లలో 72-ఆక్టేన్ ఏవియేషన్ గ్యాసోలిన్ అందుతుంది. [5] మూడు మోటారులకు ఇంజిన్ ఆయిల్‌ను అందించడానికి 45-యుఎస్-గాలన్ (170 ఎల్) ట్యాంక్ ఉపయోగించబడింది, 5-యుఎస్-గాలన్ (19 ఎల్) డబ్బాల పెన్‌జాయిల్ ట్రిపుల్-ఎక్స్‌ట్రా-హెవీ యొక్క ఇన్‌ఫ్లైట్ డెలివరీల ద్వారా నింపబడింది. [6 ] ఇంజిన్ల ఇన్ఫ్లైట్ యొక్క రాకర్ చేతులను తగినంతగా ద్రవపదార్థం చేసే ప్రయత్నంలో రాగి గొట్టాల వ్యవస్థ వ్యవస్థాపించబడింది. కాక్‌పిట్ యొక్క ప్రతి వైపు తలుపులు మరియు రెక్కలపై నిర్మించిన క్యాట్‌వాక్‌లు మెకానిక్ రాయ్ హూను అత్యవసర నిర్వహణ కోసం ఇంజిన్‌లను యాక్సెస్ చేయడానికి వీలు కల్పించారు. ప్రొపెల్లర్ శబ్దాన్ని తగ్గించడానికి, రెండు వింగ్ ఇంజన్లు వెస్టింగ్‌హౌస్ ట్విన్-బ్లేడ్ మైకరార్టా ప్రొపెల్లర్లతో అమర్చబడ్డాయి, ముక్కు ఇంజిన్ ప్రామాణిక మూడు-బ్లేడ్ స్టీల్ ప్రొపెల్లర్‌ను ఉపయోగించింది. [6] ప్రాజెక్ట్ యొక్క పదం వ్యాప్తి చెందుతున్నప్పుడు, దాని సభ్యులను వారు ఎంతసేపు పైకి లేవాలని expected హించారు. వారి స్పందనలు సాధారణంగా ప్రభావానికి సంబంధించినవి: "ఇది ప్రశ్న." ఓర్పు విమానంలో ఆసక్తిని రేకెత్తించడానికి ఫ్యూజ్‌లేజ్ యొక్క ప్రతి వైపున ఒక పెద్ద ప్రశ్న గుర్తు పెయింట్ చేయబడింది, ఇది విమానం యొక్క మారుపేరును ప్రేరేపిస్తుంది. [7] ఇంధనాన్ని అందించడానికి, రెండు డగ్లస్ సి -1 సింగిల్-ఇంజిన్ రవాణా కూడా సవరించబడింది, S/N 25-428 "రీఫ్యూయలింగ్ విమానం నం 1" మరియు S/N 25-432 "విమానం నం." బిప్‌లేన్ సి -1 లు డగ్లస్ వరల్డ్ క్రూయిజర్ డిజైన్ నుండి అభివృద్ధి చెందాయి, పైలట్లు పక్కపక్కనే వింగ్ యొక్క ఓపెన్ కాక్‌పిట్‌లో ఉన్నారు. రెండు 150-యుఎస్-గాలన్ (570 ఎల్) ట్యాంకులను వారి కార్గో కంపార్ట్మెంట్లలో వ్యవస్థాపించారు, ఇది సీసపు-వెయిటెడ్ 50-అడుగుల (15 మీ) పొడవు 2.5-అంగుళాల (64 మిమీ) ఫైర్ గొట్టానికి జతచేయబడింది. గొట్టం యొక్క నాజిల్ ట్యాంకర్ చివరలో శీఘ్రంగా మూసివేసే వాల్వ్ కలిగి ఉంది మరియు రాగి తీగతో గట్టిగా చుట్టబడి ఉంది, వీటిలో ఒక చివర గొట్టం భూమికి ప్రశ్న గుర్తులో అమర్చిన సంబంధిత రాగి పలకతో జతచేయవచ్చు. [8] సి -1 లు ప్రతి ఒక్కటి కార్గో కంపార్ట్‌మెంట్‌లో మూడవ సిబ్బందిని తీసుకువెళతాయి, గొట్టం నుండి బయటపడటానికి, సరఫరా తాడును తగ్గించడానికి మరియు షటాఫ్ వాల్వ్‌ను పని చేయడానికి. ఈ ఆపరేషన్ జనవరి 1, 1929, కాలిఫోర్నియాలోని లాస్ ఏంజిల్స్‌లో, వాతావరణ పరిస్థితులను సద్వినియోగం చేసుకోవడానికి మరియు పసాదేనాలో ఆ రోజు ఆడిన 1929 రోజ్ బౌల్ ఫుట్‌బాల్ ఆటను ఓవర్‌ఫ్లై చేయడం ద్వారా ఇంధనం నింపేటప్పుడు ప్రచారం చేయడానికి ప్రారంభమైంది. ఇంధనం నింపే విమానాలు 110-మైళ్ల (180 కి.మీ) పొడవైన రేస్ట్రాక్ ఓవల్ ఫ్లైట్ పాత్ యొక్క ప్రతి చివరలో ఉన్నాయి, ఒకటి రాక్‌వెల్ ఫీల్డ్‌లో మరియు మరొకటి మెట్రోపాలిటన్ విమానాశ్రయంలో, ఇప్పుడు వాన్ న్యూస్ విమానాశ్రయం. ఏదైనా ఓర్పు రికార్డును ఫెడరేషన్ ఏరోనటిక్ ఇంటర్నేషనల్ చేత అధికారికంగా గుర్తించటానికి ఈ విమానం అక్కడ ఉద్భవించింది మరియు ముగుస్తుంది. [8] ఎల్ సెగుండో వద్ద ఉన్న గనుల క్షేత్రంలో ఇప్పటికే ఉన్న డర్ట్ స్ట్రిప్ ఎయిర్‌ఫీల్డ్, వాన్ న్యూస్ ఎంపిక చేయబడింది, ఎందుకంటే వాన్ న్యూస్‌లోని వాతావరణం మరింత నమ్మదగిన మరియు able హించదగినదిగా పరిగణించబడింది, ముఖ్యంగా ఉష్ణోగ్రత విలోమాలు మరియు పొగమంచు విషయంలో. మెట్రోపాలిటన్ కూడా ఒక కార్యాచరణ సౌకర్యం, అయితే గనుల క్షేత్రాన్ని లాస్ ఏంజిల్స్ నగరం వాణిజ్య విమానాశ్రయంగా ఉపయోగించుకుంది. ఫ్లైట్ కోసం సన్నాహాలు ప్రారంభించడానికి ఈ ప్రాజెక్ట్ డిసెంబర్ 1928 లో అక్కడికి చేరుకుంది, కెప్టెన్ హ్యూ ఎం. ఎల్మెండోర్ఫ్ లాజిస్టిక్స్ మరియు నిర్వహణ బాధ్యత. [9] [10] బరువు పరిగణనలు మరియు రేడియోల యొక్క విశ్వసనీయత కారణంగా, ప్రశ్న గుర్తులో ఏదీ వ్యవస్థాపించబడలేదు. విమానం లేదా ప్రశ్న గుర్తు మరియు భూమి మధ్య అన్ని సమాచార మార్పిడి జెండాలు, మంటలు, ఫ్లాష్‌లైట్లు, వెయిటెడ్ మెసేజ్ బ్యాగ్‌లు, సరఫరా పంక్తులతో ముడిపడి ఉన్న గమనికలు లేదా పిడబ్ల్యు -9 డి యోధుల ఫ్యూజ్‌లేజ్‌పై సుద్దలో వ్రాసిన సందేశాలు, నలుపు పెయింట్ చేయవలసి ఉంది. మరియు "బ్లాక్ బోర్డ్ విమానాలు" అనే మారుపేరు. [11] . రాయ్ డబ్ల్యూ. హూ. రీఫ్యూయలింగ్ విమానం నంబర్ 1 (రాక్‌వెల్ వద్ద) పైలట్లు కెప్టెన్ రాస్ జి. హోయ్ట్ మరియు 1 వ లెఫ్టినెంట్ ఆబీ సి. స్ట్రిక్‌ల్యాండ్, 2 వ లెఫ్టినెంట్ ఇర్విన్ ఎ. వుడ్రింగ్ గొట్టాన్ని తిప్పికొట్టారు. రీఫ్యూయలింగ్ విమానం నం 2 (వాన్ న్యూస్ వద్ద) పైలట్లు 1 వ లెఫ్టినెంట్ ఒడాస్ మూన్ మరియు 2 వ లెఫ్టినెంట్ జోసెఫ్ జి. రాక్‌వెల్ ఫీల్డ్‌లో ఉన్న 95 వ పర్స్యూట్ స్క్వాడ్రన్ యొక్క నలుగురు పైలట్లు, పిడబ్ల్యు -9 "బ్లాక్ బోర్డ్ విమానాలు": 1 వ లెఫ్టినెంట్ ఆర్చీ ఎఫ్. రోత్, మరియు 2 వ ఎల్టిఎస్. హోమర్ డబ్ల్యూ. కీఫెర్, నార్మన్ హెచ్. ఇవ్స్, మరియు రోజర్ వి. విలియమ్స్. [11] ప్రశ్న మార్క్ వాన్ న్యూస్ నుండి ఉదయం 7:26 గంటలకు నూతన సంవత్సర దినోత్సవం 1929 న EKER వద్ద నియంత్రణల వద్ద, టేకాఫ్ బరువును ఆదా చేయడానికి 100 US గ్యాలన్ల (380 L) ఇంధనాన్ని మాత్రమే తీసుకువెళ్ళింది. [8] ప్రశ్న గుర్తులో, హాల్వర్సన్ లేదా క్యూసాడా క్రూజింగ్ ఫ్లైట్ సమయంలో చాలా మంది పైలట్ చేసారు, అయితే EAKER సున్నితమైన ఇంజిన్ పనితీరు కోసం థొరెటల్స్ను పర్యవేక్షించాడు. ఒక లాగ్‌ను ఫ్లైట్ ఆఫీసర్ (కో-పైలట్) ఉంచారు మరియు రోజూ భూమికి పడిపోయాడు, మరియు బారోగ్రాఫ్‌ను మూసివేసేందుకు ఈకర్ బాధ్యత వహించాడు, ఇది రికార్డులకు డాక్యుమెంటరీ సాక్ష్యంగా ఎత్తు మరియు సమయాన్ని నిరంతరం రికార్డ్ చేసిన ఒక పరికరం. [10] ఒక గంట కంటే తక్కువ తరువాత చంద్రుడు వాన్ న్యూస్‌పై మొదటి ఇంధనం నింపాడు. ఇంధనం నింపేటప్పుడు, EKER మరియు హాల్వర్సన్ నియంత్రణలను నిర్వహించారు, స్పాట్జ్ మరియు క్యూసాడా ఇంధన మార్పిడిని పర్యవేక్షించారు మరియు హూ "చలనం" పంపును నిర్వహించారు. సి -1 పై మరియు వెనుక నుండి ప్రశ్న గుర్తుకు చేరుకుంది, 20 నుండి 30 అడుగుల (9.1 మీ) నిలువు విభజనను నిర్వహించింది, సి -2 కంటే కొంచెం ముందు ఉన్న స్థితిలో. రెండు విమానాలు 80 mph (130 కిమీ/గం) వద్ద స్థాయి విమానంలో స్థిరీకరించబడ్డాయి మరియు గొట్టం తిరిగి మార్చబడింది. స్పాట్జ్ ఓపెన్ హాచ్ క్రింద ఒక వేదికపైకి ఎక్కి, ఇంధన చిందుల నుండి రక్షణ కోసం రెయిన్ గేర్ మరియు గాగుల్స్ ధరించి, గొట్టాన్ని గ్రౌండ్ చేసి, ఆపై ఎగువ ఫ్యూజ్‌లేజ్‌లో అమర్చిన రిసెప్టాకిల్‌లో ఉంచాడు. [13] వాలుగా ఉన్న అంతస్తుతో బకెట్ నుండి తయారైన, రిసెప్టాకిల్ రెండు అదనపు ఇంధన ట్యాంకులకు కనెక్షన్లను కలిగి ఉంది మరియు స్పాట్జ్ యొక్క సిగ్నల్ సోల్టర్ వద్ద వాల్వ్ తెరిచింది. ఇంధనం గురుత్వాకర్షణ ద్వారా నిమిషానికి 75 యుఎస్ గ్యాలన్ల (280 ఎల్) వద్ద బకెట్‌లోకి ప్రవహించింది మరియు తరువాత ట్యాంకుల్లోకి వచ్చింది, అక్కడ దానిని హూ చేత వింగ్ ట్యాంకుల్లోకి చేతితో పంప్ చేశారు. [8] ఆహారం, మెయిల్, సాధనాలు, విడి భాగాలు మరియు ఇతర సామాగ్రి కూడా అదే పద్ధతిలో తాడు ద్వారా పంపబడ్డాయి. [8] ప్రశ్నలో ఉన్న ఐదుగురు వ్యక్తులు మార్క్ విమానానికి ముందు వైద్య పరీక్షలు చేయించుకున్నారు, మరియు వారి ఫ్లైట్ సర్జన్ ప్రత్యేక ఆహారాన్ని ప్లాన్ చేశారు. ఏదేమైనా, బరువును ఆదా చేయడానికి వేడి ఆహారాన్ని వేడి చేయడానికి ఎలక్ట్రిక్ స్టవ్ తొలగించబడింది, మరియు వాన్ న్యూస్లో చర్చి తయారుచేసిన న్యూ ఇయర్స్ డే రోజున టర్కీ విందుతో సహా రిఫ్యూయలర్లచే వేడి భోజనం పైకి పంపబడింది. [6] సిబ్బంది చదవడం, కార్డులు ఆడటం, ఇంధన ట్యాంకులపై అమర్చిన బంక్‌లలో నిద్రపోవడం మరియు అక్షరాలు రాయడం ద్వారా సిబ్బంది విసుగు చెందారు. ప్రస్తుతం ఉన్న ఓర్పు రికార్డు జనవరి 3, గురువారం సాయంత్రం అధిగమించిన తరువాత, సహాయక బృందం విమానంలో వేడుక కోసం జున్ను, అత్తి పండ్లను, ఆలివ్ మరియు ఐదు జాడి కేవియార్లను పంపారు. [14] [N 5] ఇంధనం నింపేటప్పుడు, [n 6 ] అల్లకల్లోలంగా ఉన్నప్పుడు స్పాట్జ్ ఇంధనంతో తడిసిపోయాడు. 1975 లో ఈవెంట్‌ను గుర్తుచేసుకున్న ఎకర్ ఇలా అన్నాడు: మేము రోజ్ బౌల్ మీదుగా వెళ్ళాము. ఇది చాలా ఎగుడుదిగుడుగా ఉంది, మీరు అభినందించగలిగినట్లుగా, మేము ప్రశంసించబడాలి, జనవరిలో ఆ పర్వతాలకు వ్యతిరేకంగా, మరియు ఇంధనం నింపే విమానం మరియు ప్రశ్న గుర్తును నలిగిపోయాయి. నేను ప్రశ్న గుర్తును పైలట్ చేస్తున్నాను మరియు జనరల్ స్పాట్జ్ బహుశా ఎత్తైన ఆక్టేన్ గ్యాసోలిన్లో తడిసిపోయారని నేను గ్రహించాను. [15] క్యూసాడా నియంత్రణల వద్ద ఉంది మరియు ప్రశాంతమైన గాలి కోసం సముద్రం మీదుగా విమానాలను ఎగిరింది. [3] గ్యాసోలిన్ నుండి రసాయన కాలిపోతుందనే భయంతో, వైద్య చికిత్స కోసం విమానం నుండి పారాచూట్ చేయమని అతనిని బలవంతం చేస్తాడని, స్పాట్జ్ ఈకర్‌ను సంబంధం లేకుండా విమానాన్ని కొనసాగించమని ఆదేశించాడు. [14] ఏదేమైనా, స్పాట్జ్ తన దుస్తులన్నింటినీ తొలగించాడు మరియు చమురు నానబెట్టిన రాగ్స్‌తో తుడిచిపెట్టుకుపోయాడు. అతను తన దుస్తులు లేకుండా కనీసం ఒక ఇంధనం నింపినప్పటికీ, భర్తీలు త్వరలో పంపిణీ చేయబడ్డాయి. [14] [16] క్యూసాడాను క్లుప్తంగా అదే ప్రమాదంతో అధిగమించారు, కాని త్వరగా పునరుద్ధరించబడింది. [13] స్పాట్జ్ గాయం లేకుండా మరో రెండు ఇంధన చిందులను అనుభవించాడు, అతని చర్మం మరియు జింక్ ఆక్సైడ్ను తుడిచిపెట్టడానికి నూనెను ఉపయోగించడం అతని కళ్ళను రక్షించడానికి. [13] పొగమంచు, అల్లకల్లోలం మరియు చీకటి ఇంధనం నింపే షెడ్యూల్‌ను మార్చాయి, కొన్ని పరిచయాలను తగ్గించడం మరియు ఇతరులను ఆలస్యం చేయడం. ఆరు సందర్భాల్లో, ప్రశ్న మార్క్ దాని ఫ్లైట్ ట్రాక్ నుండి ఇంధనం నింపడానికి బలవంతం చేయబడింది, ఒకసారి ఓసియాన్‌సైడ్ మరియు ఎల్ సెంట్రో కంటే ఐదుసార్లు. [13] బదిలీ సమయంలో విమానాల బరువు మారినందున సంప్రదింపు ఏర్పడటాన్ని నిర్వహించడం మరింత కష్టమైంది, ప్రత్యేకించి ఇంధనం నింపే పైలట్ ప్రశ్న గుర్తును గమనించలేకపోయాడు. జనవరి 4 న, విమానం ఇంపీరియల్ వ్యాలీపై రెండెజౌస్ చేసిన తరువాత, ఇంధనం నింపేటప్పుడు unexpected హించని గాలి జేబును ఎదుర్కొన్నప్పుడు రెండూ భూమిని ప్రభావితం చేశాయి. [14] హోయ్ట్ ఒక వ్యవస్థను అభివృద్ధి చేశాడు ఫ్లైట్ ప్రారంభంలో సి -2 యొక్క క్యాబిన్ నుండి ఒక కిటికీ పేల్చింది, కాని చివరికి ఒక భర్తీ హూ చేత తీసివేయబడింది మరియు వ్యవస్థాపించబడింది. ఎరుపు సీసం, సబ్బు మరియు షెల్లాక్ మిశ్రమాన్ని ఉపయోగించి ఇంధన రేఖలో ఒక లీక్ మరమ్మతులు చేయబడింది. [17] ఇంజిన్లను నర్సు చేయడానికి సిబ్బంది నెమ్మదిగా క్రూజింగ్ వేగంతో విమానం ఎగిరినప్పటికీ, చివరికి వారు విస్తరించిన ఉపయోగం నుండి అధికంగా ఒత్తిడి చేశారు. ఎడమ ఇంజిన్ మూడవ రోజు ప్రారంభంలోనే శక్తిని కోల్పోవడం ప్రారంభించింది. [15] హూయు తన ప్యాంటు కఫ్స్‌ను టేప్ చేశాడు, పారాచూట్ ధరించాడు మరియు తాత్కాలిక క్యాట్‌వాక్‌ల నుండి ఇంజిన్‌లకు సేవ చేయడానికి ఒక లైఫ్‌లైన్‌ను రిగ్గింగ్ చేశాడు, కాని ఇన్‌ఫ్లైట్ కందెన వ్యవస్థలు ఆలస్యం అయ్యాయి మరియు ఇంజిన్ దుస్తులను నిరోధించలేకపోయాయి. సిలిండర్లు తప్పిపోయిన తర్వాత, ప్రశ్న మార్క్ వాన్ న్యూస్ యొక్క గ్లైడింగ్ దూరంలో ఉండటానికి దాని ఉచ్చులను తగ్గించింది. ఎకర్ థొరెటల్స్ పూర్తిగా తెరవడం ద్వారా ఫౌల్డ్ స్పార్క్ ప్లగ్‌లను క్లియర్ చేయగలిగాడు. జనవరి 7, సోమవారం మధ్యాహ్నం, వామపక్ష ఇంజిన్ నిష్క్రమించింది. మరమ్మతు చేయడానికి హూ క్యాట్‌వాక్‌లో బయలుదేరాడు, విండ్‌మిల్లింగ్ ప్రొపెల్లర్‌ను రబ్బరు హుక్‌తో స్థిరంగా చేశాడు. మరమ్మతులు ప్రయత్నించినప్పుడు ఫ్లైట్ నిర్వహించడానికి మిగిలిన రెండు ఇంజిన్లపై ఎకర్ థొరెటల్ పెరిగింది, కాని అవి కూడా వడకట్టడం ప్రారంభించాయి. హూను తిరిగి లోపలికి పిలిచే ముందు మరియు భూమికి తీసుకున్న నిర్ణయం ముందు విమానం 5,000 నుండి 2,550 అడుగుల (780 మీ) ఎత్తును కోల్పోయింది. [15] టేకాఫ్ తర్వాత మధ్యాహ్నం 2:06, 150 గంటలు, 40 నిమిషాలు మరియు 14 సెకన్ల వద్ద మెట్రోపాలిటన్ విమానాశ్రయంలో మార్క్ అధికారంలోకి వచ్చింది. పుష్రోడ్ వైఫల్యం కారణంగా ఎడమ ఇంజిన్ స్వాధీనం చేసుకుంది, మరియు ఇతరులు ఇద్దరూ తీవ్రమైన రాకర్ ఆర్మ్ దుస్తులు ధరించారు. [6] 37 సార్లు ఇంధనం నింపాయి మరియు మరో ఆరుగురిని తిరిగి సరఫరా చేశాయి, 43 లో 43 నింపేటప్పుడు, ప్రశ్న మార్క్ 5,660 యుఎస్ గ్యాలన్ల (21,400 ఎల్) ఇంధనం, 245 యుఎస్ గ్యాలన్లు (930 ఎల్) చమురు మరియు ఆహారం మరియు నీటి సరఫరా దాని ఐదుగురు వ్యక్తుల సిబ్బందికి. హోయ్ట్ మరియు రీఫ్యూయలింగ్ విమానం నంబర్ 1, రాక్వెల్ నుండి ఎగురుతూ మరియు కాలిఫోర్నియాలోని ఇంపీరియల్ వద్ద బ్యాకప్ విమానాశ్రయం, తిరిగి సరఫరా చేయబడిన ప్రశ్న మొత్తం 27 సార్లు (రాత్రి పది), వాన్ న్యూస్ వద్ద మూన్ సిబ్బంది 16 సోర్టీలు, రాత్రి రెండు. [16 ] మొత్తం మీద, ఫ్లైట్ నిరంతర విమానంలో ఉన్న ప్రపంచ రికార్డులను బద్దలు కొట్టింది (ఎయిర్ కంటే భారీగా), ఇంధనం నింపిన విమానాలు, నిరంతర విమానము (గాలి కంటే తేలికైనది) మరియు దూరం. [18] జనవరి 29 న బోలింగ్ ఫీల్డ్‌లో జరిగిన ఒక కార్యక్రమంలో మొత్తం ఐదుగురు సిబ్బందిని విశిష్ట ఫ్లయింగ్ క్రాస్‌తో అలంకరించారు. [N 7] ట్యాంకర్ల సిబ్బంది, మరోవైపు, గుర్తించబడలేదు. చివరికి ఆరుగురికి పాల్గొన్నందుకు ప్రశంసల లేఖలు వచ్చాయి, కాని ఆపరేషన్‌లో వారి కీలక పాత్ర అలంకరణలతో గుర్తించడానికి 47 సంవత్సరాల ముందు. అప్పటికి హోయ్ట్ మరియు హాప్కిన్స్ మాత్రమే జీవిస్తున్నారు, కాని ఇద్దరూ వ్యక్తిగతంగా మే 26, 1976 న విశిష్టమైన ఫ్లయింగ్ శిలువలను పొందారు. [15] [16] సెప్టెంబర్ 1929 లో ఏరియల్ రీఫ్యూయలింగ్ వద్ద ఎకెర్ రెండవ ప్రయత్నంలో పాల్గొన్నాడు. బోయింగ్ మోడల్ 95 మెయిల్ విమానం బోయింగ్ హార్నెట్ షటిల్ అనే మారుపేరుతో కాలిఫోర్నియాలోని ఓక్లాండ్ నుండి తూర్పున ఒక ట్రాన్స్‌కాంటినెంటల్ ఓర్పు విమానంలో మారుపేరుతో, అతను సి -1 లు మరియు బోయింగ్ మోడల్ 40 ద్వారా విమానంలో ఇంధనం నింపాడు. విమానాల. ఓహియోలోని క్లీవ్‌ల్యాండ్‌లో, బోయింగ్ రీఫ్యూయలింగ్ సిబ్బంది అనుకోకుండా ఐదు గాలన్ డబ్బాను తన రెక్క ద్వారా వదులుకున్నాడు, మొదటి ప్రయత్నాన్ని ముగించాడు. వెస్ట్‌బౌండ్ రెండవ ప్రయత్నంలో, ధూళి ఇంధన రేఖను అడ్డుకున్నప్పుడు అతని ఇంజిన్ ఉటాపై నిష్క్రమించింది, సాల్ట్ లేక్ సిటీకి సమీపంలో ఉన్న పర్వతాలలో క్రాష్‌ల్యాండ్ చేయమని బలవంతం చేసింది. [15] [19] ప్రశ్న యొక్క ఫ్లైట్ ఓర్పు రికార్డును బద్దలు కొట్టడానికి ప్రాజెక్టుల దద్దుర్లు ప్రేరేపించింది. 1929 లో మాత్రమే 40 విమానాలు ప్రయత్నించారు, అందరూ పౌరులు, మరియు తొమ్మిది మంది ప్రశ్న మార్క్ రికార్డును అధిగమించడంలో విజయం సాధించారు. 1929 చివరలో, ఈ రికార్డు 420 గంటలకు పైగా ఉంది, దీనిని డేల్ "రెడ్" జాక్సన్ మరియు ఫారెస్ట్ ఇ. ఎయిర్ కార్ప్స్ ప్రశ్న మార్క్ యొక్క విమానాన్ని పోరాటంలో దాని వర్తనీయతను ప్రదర్శించే మిషన్‌తో అనుసరించింది. మే 21, 1929 న, వార్షిక విన్యాసాల సమయంలో, మూన్ చేత పైలట్ చేయబడిన కీస్టోన్ ఎల్బి -7 ఓహియోలోని డేటన్లోని ఫెయిర్‌ఫీల్డ్ ఎయిర్ డిపోట్ నుండి న్యూయార్క్ నగరానికి వాషింగ్టన్, డి.సి. చాలాసార్లు ఫ్లైట్ చేయండి, న్యూయార్క్ నౌకాశ్రయంపై ఫ్లాష్ బాంబును వదలండి, తరువాత డేటన్ నాన్-స్టాప్‌కు తిరిగి, మళ్ళీ వాషింగ్టన్ ద్వారా. మూన్ 1 వ లెఫ్టినెంట్ జాన్ పాల్ రిక్టర్, 1923 లో తన ఐదుగురు వ్యక్తుల సిబ్బందిలో సభ్యుడిగా మొదటి వైమానిక రీఫ్యూయలింగ్ మిషన్‌లో గొట్టం హ్యాండ్లర్. ఎల్బి -7 ను ఇంధనం నింపడానికి పనిచేసే సి -1 ట్యాంకర్ హోయ్ట్ మరియు ఇద్దరు చేర్చుకున్న పురుషులు ఎగురవేశారు. డేటన్ నుండి వాషింగ్టన్ వెళ్లే మార్గంలో వాయు ఇంధనం నింపడానికి ప్రయత్నిస్తున్నప్పుడు, ఐసింగ్ ట్యాంకర్‌ను పెన్సిల్వేనియాలోని యూనియన్‌టౌన్‌లో దిగవలసి వచ్చింది, అక్కడ అది బురదలో చిక్కుకుంది. న్యూయార్క్ వెళ్లిన తరువాత, LB-7 బోలింగ్ ఫీల్డ్ వద్ద దిగవలసి వచ్చింది. [21] మరుసటి రోజు ట్యాంకర్ బాంబర్‌లో చేరాడు మరియు ఇద్దరూ న్యూయార్క్‌కు వెళ్లారు, అక్కడ వారు ఎయిర్ రీఫ్యూయలింగ్ మరియు నాలుగు డ్రై పరుగుల గురించి బహిరంగ ప్రదర్శన ఇచ్చారు. [22] ఈ ప్రాజెక్టులో పాల్గొన్న 16 ఆర్మీ ఏవియేటర్లలో, ఆరుగురు తరువాత సాధారణ అధికారులు అయ్యారు. రెండవ ప్రపంచ యుద్ధంలో స్పాట్జ్, ఈకర్ మరియు క్యూసాడా అమెరికా ఆర్మీ ఎయిర్ దళాలలో ముఖ్యమైన పాత్రలు పోషించారు. స్పాట్జ్ ఆర్మీ ఎయిర్ ఫోర్సెస్ కమాండింగ్ జనరల్‌కు ఎదిగారు మరియు అమెరికా వైమానిక దళం యొక్క మొదటి చీఫ్ ఆఫ్ స్టాఫ్ అయ్యాడు. ఎకర్ ఎనిమిదవ మరియు మధ్యధరా అనుబంధ వాయు శక్తులను ఆదేశించాడు. క్యూసాడా ఫ్రాన్స్‌లో IX టాక్టికల్ ఎయిర్ కమాండ్‌ను ఆదేశించింది. స్ట్రిక్‌ల్యాండ్, హోయ్ట్ మరియు హాప్కిన్స్ అందరూ అమెరికా వైమానిక దళంలో బ్రిగేడియర్ జనరల్స్ అయ్యారు మరియు బ్రిగేడియర్ జనరల్ రాస్ జి. హోయ్ట్ అవార్డు వైమానిక దళంలో ఉత్తమ ఎయిర్ రీఫ్యూయలింగ్ సిబ్బందికి ఏటా జారీ చేయబడుతుంది. హాల్వర్సన్, అతను కల్నల్‌కు మాత్రమే ఎదిగినప్పటికీ, హాల్-ప్రో ("హాల్వర్సన్ ప్రాజెక్ట్") నిర్లిప్తతకు నాయకత్వం వహించాడు, 1942 లో ప్లోయిటి చమురు శుద్ధి కర్మాగారాలపై బాంబు దాడి చేసిన 12 కన్సాలిడేటెడ్ బి -24 లిబరేటర్లు, మరియు పదవ వైమానిక దళానికి మొదటి కమాండర్ అయ్యాడు. బాంబర్ పైలట్ అయిన మూన్, 1933 నుండి 1936 వరకు ఎయిర్ కార్ప్స్ టాక్టికల్ స్కూల్లో "బాంబర్ మాఫియా" లో ప్రభావవంతమైన సభ్యుడయ్యాడు, కాని నవంబర్ 19, 1937 న మరణించాడు, 45 సంవత్సరాల వయస్సులో సేవ నుండి పదవీ విరమణ కోసం ఎదురుచూస్తున్నాడు. [[[23] 24] సెప్టెంబర్ 1936 లో టెక్సాస్‌లోని రాండోల్ఫ్ ఫీల్డ్‌లో ఆల్-మెటల్ ట్రైనర్‌గా ఒక ప్రమాదం విమాన పరీక్షలో సోల్టర్, ఒక ముసుగు పైలట్ మరణించాడు. [25] ఎల్మెండోర్ఫ్, ఈ ప్రాజెక్టులో ఎగిరే పాత్ర లేనప్పటికీ, నిష్ణాతుడైన టెస్ట్ పైలట్ మరియు జనవరి 13, 1933 న చంపబడ్డాడు, ఒహియోలోని రైట్ ఫీల్డ్‌లో Y1P-25-25 ను పరీక్షించాడు. ఎల్మెండోర్ఫ్ ఎయిర్ ఫోర్స్ బేస్ అతని జ్ఞాపకార్థం పేరు పెట్టారు. [26] 1931 లో 300 హార్స్‌పవర్ (220 కిలోవాట్ల) రైట్ R-975 ఇంజిన్‌లతో ప్రశ్న గుర్తును రీఫిట్ చేశారు, మరియు ఆ రోజు ఆచరణలో "సి -7" పున es రూపకల్పన చేయబడింది. ఇది నార్త్ కరోలినాలోని పోప్ ఫీల్డ్ వద్ద 22 వ పరిశీలన స్క్వాడ్రన్ కోసం, ఆపై టెక్సాస్‌లోని రాండోల్ఫ్ ఫీల్డ్‌లోని 47 వ పాఠశాల స్క్వాడ్రన్‌తో రవాణా విమానంగా తన సేవా జీవితాన్ని రవాణా విమానంగా అందించింది. హాస్యాస్పదంగా, నవంబర్ 3, 1932 న విమానంలో ఇంధనం అయిపోయినప్పుడు దాని కార్యాచరణ జీవితం ముగిసింది. బేస్ యొక్క ఉత్తరాన 4 మైళ్ళు (6.4 కి.మీ) డావెన్‌పోర్ట్ సహాయక క్షేత్రంలో దిగడానికి ఈ విమానం తీవ్రంగా దెబ్బతింది, [27] . దాని సైనిక సామర్థ్యంలో, చరిత్రకారుడు రిచర్డ్ డేవిస్ స్పాట్జ్ జీవిత చరిత్రలో ఇలా వ్రాశాడు: "స్పాట్జ్ మరియు అతని సిబ్బంది చాలా కాలం పాటు ఒక హస్తకళను తయారు చేయగలిగితే," [3] ఫెచెట్‌కు తన నివేదికలో, స్పాట్జ్ దానిని ముగించారు వైమానిక రీఫ్యూయలింగ్ సురక్షితమైనది మరియు ఆచరణాత్మకమైనది, మరియు బాంబు దాడుల కార్యకలాపాల కోసం ఇది బాంబర్ యొక్క చర్య యొక్క వ్యాసార్థాన్ని దాదాపు అపరిమితంగా చేసింది, అయితే ఇది భారీ బాంబు లోడ్లను తీసుకెళ్లడానికి అనుమతిస్తుంది, ఎందుకంటే టేకాఫ్ వద్ద ఇంధనం బరువు తగ్గవచ్చు. [29] ఏదేమైనా, యుద్ధ విభాగం లేదా ఎయిర్ కార్ప్స్ ఈ భావనపై మరింత ఆసక్తి చూపలేదు. తత్ఫలితంగా, ఫ్లైట్ యొక్క ఏకైక ప్రభావం ఏమిటంటే, ఒక అధికారిక USAF చరిత్ర "ఏరోనాటికల్ ఫ్లాగ్‌పోల్ సిట్టింగ్" గా వర్గీకరించబడింది. [21] [N 9] ప్రశ్న గుర్తు యొక్క ఫ్లైట్ వైమానిక పట్ల ఆసక్తిని కలిగించింది రాయల్ వైమానిక దళం ద్వారా ఇంధనం నింపడం, దాని బాంబర్ల టేకాఫ్ బరువులను తగ్గించడానికి మరియు దాని గడ్డి వైమానిక క్షేత్రాలలో దుస్తులు మరియు కన్నీటిని తగ్గించడానికి ప్రయత్నిస్తుంది, కాని 1930 మరియు 1937 మధ్య వరుస ప్రయోగాల తరువాత వారు పరీక్షను వదిలివేసారు. [30] మెరుగైన ఇంజిన్ల అభివృద్ధి, [31] వేరియబుల్-పిచ్ ప్రొపెల్లర్లు మరియు ఆల్-మెటల్ లో-వింగ్ మోనోప్లేన్స్ ఎక్కువ శ్రేణికి సామర్థ్యం ఉన్న వైమానిక ఇంధనం నింపేటప్పుడు మరింత సైనిక ఆసక్తిని వాయిదా వేసింది, [32] అనేక ఫెర్రింగ్, యాంటిసబ్మరైన్ మరియు బాంబు దాడుల కార్యకలాపాలకు సామర్థ్యం లేకపోవడం వల్ల విస్తరించిన పరిధి అవసరం. [33] [34] 1934 లో, సర్ అలాన్ కోభం ఫ్లైట్ డిఫ్యూయలింగ్ లిమిటెడ్ (FRL) ను స్థాపించారు మరియు 1938 నాటికి డిజైన్ సూత్రంతో సమానమైన "లూప్డ్-హోస్" వ్యవస్థను ఉపయోగించారు, పెద్ద విమానాలను ఇంధనం నింపడానికి ప్రశ్న గుర్తుకు. 1939 లో, చిన్న సామ్రాజ్యం ఫ్లయింగ్ బోట్ల వైమానిక రీఫ్యూయలింగ్ చేయడానికి ట్రయల్స్ ప్రారంభమయ్యాయి, కాని రెండవ ప్రపంచ యుద్ధం ప్రారంభమైన తరువాత 16 విమానాల తరువాత సస్పెండ్ చేయబడ్డాయి. [35] [36] యుద్ధం ముగిసే సమయానికి, జపాన్‌కు వ్యతిరేకంగా సుదూర బాంబు కార్యకలాపాల కోసం లూప్డ్-హోస్ సిస్టమ్‌లతో అమర్చిన అవ్రో లాంకాస్టర్‌లచే RAF టైగర్ ఫోర్స్ యొక్క అవ్రో లింకన్స్ విమానంలో ఇంధనం నింపారు, కాని ఒకినావాను స్వాధీనం చేసుకోవడం ట్యాంకర్ ఫోర్స్ యొక్క ఫీల్డింగ్ను తొలగించింది. [[[[ 37] బ్రిటిష్ ఓవర్సీస్ ఎయిర్‌వేస్ కార్పొరేషన్ యుద్ధం ముగిసిన తరువాత కోభం యొక్క భావనను పునరుద్ధరించడానికి ప్రయత్నించింది, కాని ఈ ప్రక్రియతో నిరాశకు గురైంది. [38] [n 10] జనవరి 1948 లో, అతను ప్రశ్న మార్క్ ప్రాజెక్ట్ను ఆదేశించిన 19 సంవత్సరాల తరువాత, USAF చీఫ్ ఆఫ్ స్టాఫ్ స్పాట్జ్ ఏరియల్ చేసారు వైమానిక దళం యొక్క అగ్ర వ్యూహాత్మక ప్రాధాన్యతను ఇంధనం నింపడం. మార్చిలో ఈ సేవ రెండు సెట్ల FRL లూప్డ్-హోస్ పరికరాలు మరియు వ్యవస్థకు తయారీ హక్కులను కొనుగోలు చేసింది. రెండు బోయింగ్ బి -29 సూపర్‌ఫోర్ట్రెస్‌లలో పరికరాల విమాన పరీక్ష మేలో అటువంటి విజయంతో ప్రారంభమైంది, జూన్లో తన మొదటి-లైన్ బి -50 బాంబర్లన్నింటినీ వైమానిక రీఫ్యూయలింగ్ పరికరాలతో రెట్రోఫిట్ చేయాలని నిర్ణయం తీసుకున్నారు. ప్రపంచంలోని మొట్టమొదటి రెండు అంకితమైన ఎయిర్ రీఫ్యూయలింగ్ యూనిట్లు, 43 వ మరియు 509 వ ఎయిర్ రీఫ్యూయలింగ్ స్క్వాడ్రన్లు జూన్ 30 న ఏర్పడ్డాయి మరియు జనవరి 1949 లో పనిచేశాయి. [39] 1948 లో "ఫ్లయింగ్ బూమ్" డెలివరీ సిస్టమ్ యొక్క అభివృద్ధితో, 1949 లో "ప్రోబ్-అండ్-డ్రాగ్" సిస్టమ్ చేత, సింగిల్-పాయింట్ స్వీకరించే పరికరాలను ఉపయోగించి ఫైటర్ విమానాల విమానంలో ఇంధనం నింపడం కూడా ఆచరణాత్మకంగా మారింది మరియు USAF తనకు తానుగా కట్టుబడి ఉంది దాని భవిష్యత్ పోరాట విమానాలలో ఎక్కువ భాగం కాన్సెప్ట్. [40]</v>
      </c>
      <c r="I28" s="1" t="s">
        <v>610</v>
      </c>
      <c r="J28" s="1" t="str">
        <f>IFERROR(__xludf.DUMMYFUNCTION("GOOGLETRANSLATE(I:I, ""en"", ""te"")"),"అట్లాంటిక్ ఎయిర్క్రాఫ్ట్ కార్పొరేషన్")</f>
        <v>అట్లాంటిక్ ఎయిర్క్రాఫ్ట్ కార్పొరేషన్</v>
      </c>
      <c r="K28" s="1" t="s">
        <v>611</v>
      </c>
      <c r="N28" s="1">
        <v>1928.0</v>
      </c>
      <c r="AA28" s="1" t="s">
        <v>612</v>
      </c>
      <c r="AL28" s="1" t="s">
        <v>613</v>
      </c>
      <c r="AO28" s="1" t="s">
        <v>614</v>
      </c>
      <c r="BK28" s="1" t="s">
        <v>615</v>
      </c>
      <c r="BU28" s="1" t="s">
        <v>616</v>
      </c>
      <c r="BV28" s="1" t="s">
        <v>458</v>
      </c>
      <c r="BW28" s="1" t="s">
        <v>459</v>
      </c>
      <c r="BX28" s="1" t="s">
        <v>617</v>
      </c>
      <c r="BY28" s="1" t="s">
        <v>618</v>
      </c>
    </row>
    <row r="29">
      <c r="A29" s="1" t="s">
        <v>619</v>
      </c>
      <c r="B29" s="1" t="str">
        <f>IFERROR(__xludf.DUMMYFUNCTION("GOOGLETRANSLATE(A:A, ""en"", ""te"")"),"క్విక్సిల్వర్ GT500")</f>
        <v>క్విక్సిల్వర్ GT500</v>
      </c>
      <c r="C29" s="1" t="s">
        <v>620</v>
      </c>
      <c r="D29" s="1" t="str">
        <f>IFERROR(__xludf.DUMMYFUNCTION("GOOGLETRANSLATE(C:C, ""en"", ""te"")"),"క్విక్సిల్వర్ GT500 అనేది అమెరికన్ స్ట్రట్-బ్రేస్డ్, హై-వింగ్, పషర్ కాన్ఫిగరేషన్, కాలిఫోర్నియాలోని టెమెకులా యొక్క క్విక్సిల్వర్ ఏరోనాటిక్స్ నిర్మించిన ట్రైసైకిల్ గేర్ విమానం. ఈ విమానం te త్సాహిక నిర్మాణానికి కిట్‌గా లేదా పూర్తి చేసిన రెడీ-టు-ఫ్లై విమానం వ"&amp;"లె లభిస్తుంది. [1] [2] GT500 ప్రత్యేకంగా ప్రాధమిక విమాన వర్గం (ఫెడరల్ ఏవియేషన్ రెగ్యులేషన్స్ యొక్క పార్ట్ 21.24) యొక్క స్పోర్ట్‌ప్లేన్ తరగతి కోసం అభివృద్ధి చేయబడింది మరియు 26 జూలై 1994 న, ఆ వర్గంలో ధృవీకరించబడిన మొదటి విమానంగా మారింది. సమీక్షకుడు నోయెల్ బ"&amp;"ెర్ట్రాండ్ ఇలా వ్రాశాడు, ""[ఇది] చాలా పొడి సాధించినట్లు అనిపించవచ్చు, కానీ వాస్తవానికి దాని రూపకల్పన సమగ్రత కోసం వాల్యూమ్‌లను మాట్లాడుతుంది. ఆశ్చర్యకరంగా దాని విమాన ప్రవర్తన అద్భుతమైనది కాదు."" [3] [4] [5] [6] విమానం నామకరణం తయారీదారు దీనిని GT500, GT 500"&amp;" మరియు GT-500 గా సూచించినందున అస్పష్టంగా ఉంది. FAA ధృవీకరణ అధికారికంగా దీనిని GT500 అని పిలుస్తుంది. [3] [4] [7] GT500 అల్యూమినియం గొట్టాల నుండి నిర్మించబడింది, ఇది కలిసి బోల్ట్ అవుతుంది. ఈ విమానం ఫైబర్గ్లాస్ నుండి తయారైన ఫార్వర్డ్ ఫ్యూజ్‌లేజ్‌తో, ప్రీ-సీ"&amp;"న్ డాక్రాన్ ఎన్వలప్‌లలో కప్పబడి ఉంటుంది. రెక్కలో సగం-స్పాన్ ఐలెరాన్లు మరియు సగం-స్పాన్ ఫ్లాప్‌లు ఉన్నాయి. GT500 లో రెండు సీట్లు ఉన్నాయి, డ్యూయల్ కంట్రోల్స్ తో నియంత్రణ నిలువు వరుసలను యోక్స్. [3] [8] [1] 1991 అప్‌గ్రేడ్‌లో ఐచ్ఛిక తలుపులు ఉన్నాయి, అవి 10 kn"&amp;" (19 కిమీ/గం) క్రూయిజ్ స్పీడ్, స్టీల్ ల్యాండింగ్ గేర్ కాళ్ళు డ్యూయల్ బ్రేక్‌లు మరియు ఎలక్ట్రిక్ స్టార్టర్‌తో జతచేయబడతాయి. [9] తయారీదారు [7] మరియు టైప్ సర్టిఫికేట్ [6] నుండి డేటా పోల్చదగిన పాత్ర, కాన్ఫిగరేషన్ మరియు ERA యొక్క సాధారణ లక్షణాల పనితీరు విమానం")</f>
        <v>క్విక్సిల్వర్ GT500 అనేది అమెరికన్ స్ట్రట్-బ్రేస్డ్, హై-వింగ్, పషర్ కాన్ఫిగరేషన్, కాలిఫోర్నియాలోని టెమెకులా యొక్క క్విక్సిల్వర్ ఏరోనాటిక్స్ నిర్మించిన ట్రైసైకిల్ గేర్ విమానం. ఈ విమానం te త్సాహిక నిర్మాణానికి కిట్‌గా లేదా పూర్తి చేసిన రెడీ-టు-ఫ్లై విమానం వలె లభిస్తుంది. [1] [2] GT500 ప్రత్యేకంగా ప్రాధమిక విమాన వర్గం (ఫెడరల్ ఏవియేషన్ రెగ్యులేషన్స్ యొక్క పార్ట్ 21.24) యొక్క స్పోర్ట్‌ప్లేన్ తరగతి కోసం అభివృద్ధి చేయబడింది మరియు 26 జూలై 1994 న, ఆ వర్గంలో ధృవీకరించబడిన మొదటి విమానంగా మారింది. సమీక్షకుడు నోయెల్ బెర్ట్రాండ్ ఇలా వ్రాశాడు, "[ఇది] చాలా పొడి సాధించినట్లు అనిపించవచ్చు, కానీ వాస్తవానికి దాని రూపకల్పన సమగ్రత కోసం వాల్యూమ్‌లను మాట్లాడుతుంది. ఆశ్చర్యకరంగా దాని విమాన ప్రవర్తన అద్భుతమైనది కాదు." [3] [4] [5] [6] విమానం నామకరణం తయారీదారు దీనిని GT500, GT 500 మరియు GT-500 గా సూచించినందున అస్పష్టంగా ఉంది. FAA ధృవీకరణ అధికారికంగా దీనిని GT500 అని పిలుస్తుంది. [3] [4] [7] GT500 అల్యూమినియం గొట్టాల నుండి నిర్మించబడింది, ఇది కలిసి బోల్ట్ అవుతుంది. ఈ విమానం ఫైబర్గ్లాస్ నుండి తయారైన ఫార్వర్డ్ ఫ్యూజ్‌లేజ్‌తో, ప్రీ-సీన్ డాక్రాన్ ఎన్వలప్‌లలో కప్పబడి ఉంటుంది. రెక్కలో సగం-స్పాన్ ఐలెరాన్లు మరియు సగం-స్పాన్ ఫ్లాప్‌లు ఉన్నాయి. GT500 లో రెండు సీట్లు ఉన్నాయి, డ్యూయల్ కంట్రోల్స్ తో నియంత్రణ నిలువు వరుసలను యోక్స్. [3] [8] [1] 1991 అప్‌గ్రేడ్‌లో ఐచ్ఛిక తలుపులు ఉన్నాయి, అవి 10 kn (19 కిమీ/గం) క్రూయిజ్ స్పీడ్, స్టీల్ ల్యాండింగ్ గేర్ కాళ్ళు డ్యూయల్ బ్రేక్‌లు మరియు ఎలక్ట్రిక్ స్టార్టర్‌తో జతచేయబడతాయి. [9] తయారీదారు [7] మరియు టైప్ సర్టిఫికేట్ [6] నుండి డేటా పోల్చదగిన పాత్ర, కాన్ఫిగరేషన్ మరియు ERA యొక్క సాధారణ లక్షణాల పనితీరు విమానం</v>
      </c>
      <c r="E29" s="1" t="s">
        <v>621</v>
      </c>
      <c r="F29" s="1" t="str">
        <f>IFERROR(__xludf.DUMMYFUNCTION("GOOGLETRANSLATE(E:E, ""en"", ""te"")"),"కిట్ విమానం")</f>
        <v>కిట్ విమానం</v>
      </c>
      <c r="G29" s="1" t="s">
        <v>155</v>
      </c>
      <c r="H29" s="1" t="str">
        <f>IFERROR(__xludf.DUMMYFUNCTION("GOOGLETRANSLATE(G:G, ""en"", ""te"")"),"అమెరికా")</f>
        <v>అమెరికా</v>
      </c>
      <c r="I29" s="1" t="s">
        <v>622</v>
      </c>
      <c r="J29" s="1" t="str">
        <f>IFERROR(__xludf.DUMMYFUNCTION("GOOGLETRANSLATE(I:I, ""en"", ""te"")"),"క్విక్సిల్వర్ తయారీ")</f>
        <v>క్విక్సిల్వర్ తయారీ</v>
      </c>
      <c r="K29" s="1" t="s">
        <v>623</v>
      </c>
      <c r="L29" s="1" t="s">
        <v>624</v>
      </c>
      <c r="O29" s="1" t="s">
        <v>135</v>
      </c>
      <c r="P29" s="1" t="s">
        <v>625</v>
      </c>
      <c r="Q29" s="1" t="s">
        <v>626</v>
      </c>
      <c r="R29" s="1" t="s">
        <v>334</v>
      </c>
      <c r="S29" s="1" t="s">
        <v>468</v>
      </c>
      <c r="T29" s="1" t="s">
        <v>627</v>
      </c>
      <c r="U29" s="1" t="s">
        <v>628</v>
      </c>
      <c r="V29" s="1" t="s">
        <v>629</v>
      </c>
      <c r="W29" s="1" t="s">
        <v>630</v>
      </c>
      <c r="X29" s="1" t="s">
        <v>631</v>
      </c>
      <c r="Y29" s="1" t="s">
        <v>632</v>
      </c>
      <c r="Z29" s="1" t="s">
        <v>633</v>
      </c>
      <c r="AA29" s="1" t="s">
        <v>634</v>
      </c>
      <c r="AB29" s="1" t="s">
        <v>635</v>
      </c>
      <c r="AC29" s="2" t="s">
        <v>167</v>
      </c>
      <c r="AD29" s="1" t="s">
        <v>426</v>
      </c>
      <c r="AE29" s="1" t="s">
        <v>636</v>
      </c>
      <c r="AF29" s="1" t="s">
        <v>637</v>
      </c>
      <c r="AG29" s="1" t="s">
        <v>638</v>
      </c>
      <c r="AH29" s="1" t="s">
        <v>639</v>
      </c>
      <c r="AI29" s="1" t="s">
        <v>640</v>
      </c>
      <c r="AJ29" s="1" t="s">
        <v>641</v>
      </c>
      <c r="AK29" s="1" t="s">
        <v>195</v>
      </c>
      <c r="AR29" s="1" t="s">
        <v>253</v>
      </c>
      <c r="AX29" s="1" t="s">
        <v>642</v>
      </c>
      <c r="AY29" s="1" t="s">
        <v>643</v>
      </c>
      <c r="BA29" s="1" t="s">
        <v>644</v>
      </c>
      <c r="BB29" s="1">
        <v>7.5</v>
      </c>
      <c r="BN29" s="1">
        <v>1990.0</v>
      </c>
    </row>
    <row r="30">
      <c r="A30" s="1" t="s">
        <v>645</v>
      </c>
      <c r="B30" s="1" t="str">
        <f>IFERROR(__xludf.DUMMYFUNCTION("GOOGLETRANSLATE(A:A, ""en"", ""te"")"),"పిపిస్ట్రెల్ అపిస్-బీ")</f>
        <v>పిపిస్ట్రెల్ అపిస్-బీ</v>
      </c>
      <c r="C30" s="1" t="s">
        <v>646</v>
      </c>
      <c r="D30" s="1" t="str">
        <f>IFERROR(__xludf.DUMMYFUNCTION("GOOGLETRANSLATE(C:C, ""en"", ""te"")"),"పిపిస్ట్రెల్ అపిస్-బీ, అపిస్/బీ అని కూడా పిలుస్తారు, (లాటిన్లో API లు అంటే బీ) ఒక స్లోవేనియన్ మిడ్-వింగ్, సింగిల్-సీట్ గ్లైడర్ మరియు మోటార్ గ్లైడర్, దీనిని పిపిస్ట్రెల్ రూపొందించారు మరియు ఉత్పత్తి చేశారు. [1] అక్టోబర్ 2018 నాటికి ఇది ""లెగసీ"" ఉత్పత్తిగా "&amp;"జాబితా చేయబడింది మరియు ఉత్పత్తి ముగిసింది. [2] APIS-BEE అనేది అసలు పిపిస్ట్రెల్ APIS డిజైన్ యొక్క రెండవ తరం ఉత్పన్నం. ఈ సంస్కరణ పేరును కంపెనీ వివరిస్తుంది, ""కొన్ని దేశాలలో, 'API లు' అనే పేరు ట్రేడ్‌మార్క్ చేయబడింది, కాబట్టి మేము దీనిని ఉపయోగించలేము. ఈ దే"&amp;"శాలు మనకు తెలిసినంతవరకు, ఈ క్రిందివి: జర్మనీ, ఆస్ట్రియా, స్విట్జర్లాండ్ మరియు కొన్ని స్కాండినేవియన్ దేశాలు. అక్కడ, విమానం 'తేనెటీగ' గా విక్రయించబడింది. లాటిన్లో 'అపిస్' అంటే తేనెటీగ అని మేము ఎంచుకున్నాము. ""[1] [3] ఈ విమానం మిశ్రమాలతో తయారు చేయబడింది, ప్ర"&amp;"ధానంగా కార్బన్ ఫైబర్ మరియు ఫైబర్గ్లాస్ కొన్ని భాగాలతో ఉంటుంది శాండ్‌విచ్ కాన్ఫిగరేషన్ మరియు కొన్ని షెల్స్‌గా. టెయిల్‌ప్లేన్ టి-టెయిల్ కాన్ఫిగరేషన్. రెక్కలు పిపిస్ట్రెల్ సైనస్ మరియు వృషభం మీద ఉపయోగించిన రెక్కల మాదిరిగానే ఉంటుంది. దీని 14.97 మీ (49.1 అడుగుల"&amp;"ు) స్పాన్ వింగ్ 17.01% IMD 029 ఎయిర్‌ఫాయిల్‌ను ఉపయోగిస్తుంది, ఇది 12.24 m2 (131.8 చదరపు అడుగులు), ఒక కారక నిష్పత్తి 18.33 మరియు ఫ్లాట్ ఫ్లాపెరాన్లతో పాటు స్కీంప్ప్-హిర్త్ ఎయిర్‌బ్రేక్‌లను కలిగి ఉంది. శక్తితో కూడిన సంస్కరణలో పైలాన్-మౌంటెడ్, ముడుచుకునే హిర్"&amp;"త్ ఎఫ్ 33 బిఎస్ టూ-స్ట్రోక్ సింగిల్ సిలిండర్ ఇంజన్ ఉంది. [1] [4] 133 మెరుగుదలలను విలీనం చేయడం ద్వారా APIS-BEE ప్రారంభ API ల నుండి భిన్నంగా ఉంటుంది: వీటిలో: ముడుచుకునే ల్యాండింగ్ గేర్, స్టీరబుల్ టెయిల్‌వీల్, బాలిస్టిక్ పారాచూట్, విస్తరించిన కాక్‌పిట్, కొత్"&amp;"త లైటర్ హిర్త్ ఎఫ్ 33 బిఎస్‌ల ఇంజిన్ త్వరగా తొలగించవచ్చు మరియు వేగంగా ఇంజిన్ పొడిగింపు మరియు ఉపసంహరణను కలిగి ఉంటుంది, a పున es రూపకల్పన చేసిన ప్రొపెల్లర్, తక్కువ వైబ్రేషన్ స్థాయిలు మరియు మెరుగైన శీతలీకరణ, ప్రామాణిక వింగ్-మౌంటెడ్ 20 లీటర్లు (4.4 ఇంప్ గల్; "&amp;"5.3 యుఎస్ గాల్) ఇంధన ట్యాంక్ మాజీ 8 లీటర్లు (1.8 ఇంప్ గల్; 2.1 యుఎస్ గాల్) ట్యాంక్, కొత్త ఇన్స్ట్రుమెంట్ ప్యానెల్, కాక్‌పిట్ కంట్రోల్ ఎర్గోనామిక్స్ . కాక్‌పిట్ మరియు ఇంజిన్ కంపార్ట్మెంట్. [3] అపిస్-బీ 300 కిలోల (661 ఎల్బి) తరగతిలో అనేక ఫెడరేషన్ అరోన్యుటిక"&amp;"్ ఇంటర్నేషనల్ వరల్డ్ రికార్డులను కలిగి ఉంది: [1] [3] ప్రపంచ డైరెక్టరీ ఆఫ్ లీజర్ ఏవియేషన్ 2011-12 మరియు తయారీదారు [1] [4] సాధారణ లక్షణాల పనితీరు నుండి డేటా")</f>
        <v>పిపిస్ట్రెల్ అపిస్-బీ, అపిస్/బీ అని కూడా పిలుస్తారు, (లాటిన్లో API లు అంటే బీ) ఒక స్లోవేనియన్ మిడ్-వింగ్, సింగిల్-సీట్ గ్లైడర్ మరియు మోటార్ గ్లైడర్, దీనిని పిపిస్ట్రెల్ రూపొందించారు మరియు ఉత్పత్తి చేశారు. [1] అక్టోబర్ 2018 నాటికి ఇది "లెగసీ" ఉత్పత్తిగా జాబితా చేయబడింది మరియు ఉత్పత్తి ముగిసింది. [2] APIS-BEE అనేది అసలు పిపిస్ట్రెల్ APIS డిజైన్ యొక్క రెండవ తరం ఉత్పన్నం. ఈ సంస్కరణ పేరును కంపెనీ వివరిస్తుంది, "కొన్ని దేశాలలో, 'API లు' అనే పేరు ట్రేడ్‌మార్క్ చేయబడింది, కాబట్టి మేము దీనిని ఉపయోగించలేము. ఈ దేశాలు మనకు తెలిసినంతవరకు, ఈ క్రిందివి: జర్మనీ, ఆస్ట్రియా, స్విట్జర్లాండ్ మరియు కొన్ని స్కాండినేవియన్ దేశాలు. అక్కడ, విమానం 'తేనెటీగ' గా విక్రయించబడింది. లాటిన్లో 'అపిస్' అంటే తేనెటీగ అని మేము ఎంచుకున్నాము. "[1] [3] ఈ విమానం మిశ్రమాలతో తయారు చేయబడింది, ప్రధానంగా కార్బన్ ఫైబర్ మరియు ఫైబర్గ్లాస్ కొన్ని భాగాలతో ఉంటుంది శాండ్‌విచ్ కాన్ఫిగరేషన్ మరియు కొన్ని షెల్స్‌గా. టెయిల్‌ప్లేన్ టి-టెయిల్ కాన్ఫిగరేషన్. రెక్కలు పిపిస్ట్రెల్ సైనస్ మరియు వృషభం మీద ఉపయోగించిన రెక్కల మాదిరిగానే ఉంటుంది. దీని 14.97 మీ (49.1 అడుగులు) స్పాన్ వింగ్ 17.01% IMD 029 ఎయిర్‌ఫాయిల్‌ను ఉపయోగిస్తుంది, ఇది 12.24 m2 (131.8 చదరపు అడుగులు), ఒక కారక నిష్పత్తి 18.33 మరియు ఫ్లాట్ ఫ్లాపెరాన్లతో పాటు స్కీంప్ప్-హిర్త్ ఎయిర్‌బ్రేక్‌లను కలిగి ఉంది. శక్తితో కూడిన సంస్కరణలో పైలాన్-మౌంటెడ్, ముడుచుకునే హిర్త్ ఎఫ్ 33 బిఎస్ టూ-స్ట్రోక్ సింగిల్ సిలిండర్ ఇంజన్ ఉంది. [1] [4] 133 మెరుగుదలలను విలీనం చేయడం ద్వారా APIS-BEE ప్రారంభ API ల నుండి భిన్నంగా ఉంటుంది: వీటిలో: ముడుచుకునే ల్యాండింగ్ గేర్, స్టీరబుల్ టెయిల్‌వీల్, బాలిస్టిక్ పారాచూట్, విస్తరించిన కాక్‌పిట్, కొత్త లైటర్ హిర్త్ ఎఫ్ 33 బిఎస్‌ల ఇంజిన్ త్వరగా తొలగించవచ్చు మరియు వేగంగా ఇంజిన్ పొడిగింపు మరియు ఉపసంహరణను కలిగి ఉంటుంది, a పున es రూపకల్పన చేసిన ప్రొపెల్లర్, తక్కువ వైబ్రేషన్ స్థాయిలు మరియు మెరుగైన శీతలీకరణ, ప్రామాణిక వింగ్-మౌంటెడ్ 20 లీటర్లు (4.4 ఇంప్ గల్; 5.3 యుఎస్ గాల్) ఇంధన ట్యాంక్ మాజీ 8 లీటర్లు (1.8 ఇంప్ గల్; 2.1 యుఎస్ గాల్) ట్యాంక్, కొత్త ఇన్స్ట్రుమెంట్ ప్యానెల్, కాక్‌పిట్ కంట్రోల్ ఎర్గోనామిక్స్ . కాక్‌పిట్ మరియు ఇంజిన్ కంపార్ట్మెంట్. [3] అపిస్-బీ 300 కిలోల (661 ఎల్బి) తరగతిలో అనేక ఫెడరేషన్ అరోన్యుటిక్ ఇంటర్నేషనల్ వరల్డ్ రికార్డులను కలిగి ఉంది: [1] [3] ప్రపంచ డైరెక్టరీ ఆఫ్ లీజర్ ఏవియేషన్ 2011-12 మరియు తయారీదారు [1] [4] సాధారణ లక్షణాల పనితీరు నుండి డేటా</v>
      </c>
      <c r="E30" s="1" t="s">
        <v>567</v>
      </c>
      <c r="F30" s="1" t="str">
        <f>IFERROR(__xludf.DUMMYFUNCTION("GOOGLETRANSLATE(E:E, ""en"", ""te"")"),"మోటార్ గ్లైడర్")</f>
        <v>మోటార్ గ్లైడర్</v>
      </c>
      <c r="G30" s="1" t="s">
        <v>647</v>
      </c>
      <c r="H30" s="1" t="str">
        <f>IFERROR(__xludf.DUMMYFUNCTION("GOOGLETRANSLATE(G:G, ""en"", ""te"")"),"స్లోవేనియా")</f>
        <v>స్లోవేనియా</v>
      </c>
      <c r="I30" s="1" t="s">
        <v>648</v>
      </c>
      <c r="J30" s="1" t="str">
        <f>IFERROR(__xludf.DUMMYFUNCTION("GOOGLETRANSLATE(I:I, ""en"", ""te"")"),"పిపిస్ట్రెల్")</f>
        <v>పిపిస్ట్రెల్</v>
      </c>
      <c r="K30" s="2" t="s">
        <v>649</v>
      </c>
      <c r="O30" s="1" t="s">
        <v>135</v>
      </c>
      <c r="P30" s="1" t="s">
        <v>650</v>
      </c>
      <c r="Q30" s="1" t="s">
        <v>651</v>
      </c>
      <c r="R30" s="1" t="s">
        <v>652</v>
      </c>
      <c r="S30" s="1" t="s">
        <v>653</v>
      </c>
      <c r="T30" s="1" t="s">
        <v>654</v>
      </c>
      <c r="U30" s="1" t="s">
        <v>655</v>
      </c>
      <c r="V30" s="1" t="s">
        <v>656</v>
      </c>
      <c r="Z30" s="1" t="s">
        <v>657</v>
      </c>
      <c r="AB30" s="1" t="s">
        <v>579</v>
      </c>
      <c r="AC30" s="2" t="s">
        <v>658</v>
      </c>
      <c r="AD30" s="1" t="s">
        <v>659</v>
      </c>
      <c r="AE30" s="1" t="s">
        <v>660</v>
      </c>
      <c r="AF30" s="1" t="s">
        <v>661</v>
      </c>
      <c r="AH30" s="1" t="s">
        <v>662</v>
      </c>
      <c r="AI30" s="1" t="s">
        <v>663</v>
      </c>
      <c r="AS30" s="1">
        <v>18.33</v>
      </c>
      <c r="AT30" s="1" t="s">
        <v>664</v>
      </c>
      <c r="AY30" s="1" t="s">
        <v>665</v>
      </c>
      <c r="BA30" s="1" t="s">
        <v>666</v>
      </c>
      <c r="BB30" s="1">
        <v>40.0</v>
      </c>
      <c r="BD30" s="1" t="s">
        <v>667</v>
      </c>
      <c r="BF30" s="1" t="s">
        <v>668</v>
      </c>
      <c r="BG30" s="1" t="s">
        <v>669</v>
      </c>
    </row>
    <row r="31">
      <c r="A31" s="1" t="s">
        <v>670</v>
      </c>
      <c r="B31" s="1" t="str">
        <f>IFERROR(__xludf.DUMMYFUNCTION("GOOGLETRANSLATE(A:A, ""en"", ""te"")"),"విమానం నడిచే పిడి -1")</f>
        <v>విమానం నడిచే పిడి -1</v>
      </c>
      <c r="C31" s="1" t="s">
        <v>671</v>
      </c>
      <c r="D31" s="1" t="str">
        <f>IFERROR(__xludf.DUMMYFUNCTION("GOOGLETRANSLATE(C:C, ""en"", ""te"")"),"విమానం నడిచే పిడి -1 గ్లాసెయిర్ స్పోర్ట్స్ మాన్ 2+2 కు సవరణ, దీనిని ప్రాక్టికల్ రోడబుల్ విమానంగా మార్చడానికి. ఈ విధానం నవల, ఇది రోడ్ ప్రొపల్షన్ కోసం ప్రత్యేక ఇంజిన్‌ను కలిగి ఉన్న సవరించిన ల్యాండింగ్ గేర్ ""పాడ్"" తో ఎక్కువగా స్టాక్ విమానాన్ని ఉపయోగిస్తుంద"&amp;"ి. PD-1 యొక్క రెక్కలు దాని వైపులా మడవబడ్డాయి, మరియు ప్రధాన ల్యాండింగ్ గేర్ మరియు రోడ్ ఇంజిన్ పాడ్ స్లైడ్ అవరోధంగా ప్రత్యేక పట్టాల వెంట, డ్రైవింగ్ కాన్ఫిగరేషన్‌ను సృష్టిస్తాయి. డ్రైవింగ్ కాన్ఫిగరేషన్ మడతపెట్టిన రెక్కలచే సృష్టించబడిన వెనుక వైపు గురుత్వాకర్ష"&amp;"ణ కేంద్రానికి పరిహారం ఇస్తుంది మరియు రహదారి ప్రయాణానికి అదనపు స్థిరత్వాన్ని అందిస్తుంది. [1] ట్రే జాన్సన్, అవార్డు గెలుచుకున్న హోమ్‌బిల్ట్ ఎయిర్‌క్రాఫ్ట్ బిల్డర్ రోడ్ చేయగల విమానాన్ని తయారు చేయాలనే సవాలును చేపట్టాడు. PD-1 మొదట విమానం, మరియు కారు రెండవది. "&amp;"రోడ్ ఇంజిన్ చనిపోయిన బరువుగా కూర్చున్నప్పటికీ, వాహనం సాధారణ విమానంలో 140 mph వేగంతో ప్రయాణించవచ్చు. ఇంజిన్ పాడ్ దాని స్వంత ఇంధన ట్యాంక్‌తో రహదారి ప్రయాణానికి ప్రత్యేక ఇంజిన్‌ను కలిగి ఉంది. చక్రాలు రివర్స్ గేర్‌తో ఆటోమేటిక్ ట్రాన్స్మిషన్ ద్వారా నడపబడతాయి. "&amp;"తక్కువ పవర్ ఇంజిన్‌తో పాటు తేలికపాటి ఫ్యూజ్‌లేజ్ యుఎస్ గాలన్‌కు 25 మైళ్ళు (9.4 ఎల్/100 కిమీ; 30 ఎమ్‌పిజి - ఇంప్) ఇంధన ఆర్థిక వ్యవస్థ 5 యుఎస్ గ్యాలన్లు (19 ఎల్) ఉపయోగపడే ఇంధనంతో అనుమతిస్తుంది. [2] ఈ విమానం దాని 3-వీల్ కాన్ఫిగరేషన్ కారణంగా వాషింగ్టన్ స్టేట్"&amp;"‌లో మోటారుసైకిల్‌గా నమోదు చేయబడింది. విమానం వెనుక ఫ్యూజ్‌లేజ్‌కు వ్యతిరేకంగా తిప్పడానికి మరియు వెనక్కి మడవటానికి రెక్కలు అతుక్కుంటాయి. రోడ్ ట్రావెల్ మోడ్‌లో వాహనం యొక్క వెడల్పును తగ్గించడానికి క్షితిజ సమాంతర స్టెబిలైజర్ కూడా అతుక్కొని ఉంది. టాక్సీ కార్యక్"&amp;"రమానికి గ్లాసెయిర్ యొక్క రెండు వారాల ఉపయోగించి ప్రోటోటైప్ నిర్మించబడింది. ఇది మార్చి 29, 2010 న ప్రారంభించబడింది మరియు సవరించిన ప్రోటోటైప్ జూలై 21, 2010 నాటికి పరీక్ష చేయబడింది. ఈ నమూనా 2010 లో ప్రయోగాత్మక విమాన సంఘం ఎయిర్‌వెంచర్ ఎయిర్‌షోలో ప్రదర్శించబడిం"&amp;"ది. సంస్థ యొక్క రెండవ తరం శుద్ధీకరణకు పిడి-ఎక్స్ అని పేరు పెట్టారు. PD-X పరీక్ష ఫలితాల ఆధారంగా విక్రయించదగిన విమానాన్ని నిర్మించాలనే ఉద్దేశం. [3] స్పోర్ట్ ఏవియేషన్ జనరల్ లక్షణాల పనితీరు నుండి డేటా")</f>
        <v>విమానం నడిచే పిడి -1 గ్లాసెయిర్ స్పోర్ట్స్ మాన్ 2+2 కు సవరణ, దీనిని ప్రాక్టికల్ రోడబుల్ విమానంగా మార్చడానికి. ఈ విధానం నవల, ఇది రోడ్ ప్రొపల్షన్ కోసం ప్రత్యేక ఇంజిన్‌ను కలిగి ఉన్న సవరించిన ల్యాండింగ్ గేర్ "పాడ్" తో ఎక్కువగా స్టాక్ విమానాన్ని ఉపయోగిస్తుంది. PD-1 యొక్క రెక్కలు దాని వైపులా మడవబడ్డాయి, మరియు ప్రధాన ల్యాండింగ్ గేర్ మరియు రోడ్ ఇంజిన్ పాడ్ స్లైడ్ అవరోధంగా ప్రత్యేక పట్టాల వెంట, డ్రైవింగ్ కాన్ఫిగరేషన్‌ను సృష్టిస్తాయి. డ్రైవింగ్ కాన్ఫిగరేషన్ మడతపెట్టిన రెక్కలచే సృష్టించబడిన వెనుక వైపు గురుత్వాకర్షణ కేంద్రానికి పరిహారం ఇస్తుంది మరియు రహదారి ప్రయాణానికి అదనపు స్థిరత్వాన్ని అందిస్తుంది. [1] ట్రే జాన్సన్, అవార్డు గెలుచుకున్న హోమ్‌బిల్ట్ ఎయిర్‌క్రాఫ్ట్ బిల్డర్ రోడ్ చేయగల విమానాన్ని తయారు చేయాలనే సవాలును చేపట్టాడు. PD-1 మొదట విమానం, మరియు కారు రెండవది. రోడ్ ఇంజిన్ చనిపోయిన బరువుగా కూర్చున్నప్పటికీ, వాహనం సాధారణ విమానంలో 140 mph వేగంతో ప్రయాణించవచ్చు. ఇంజిన్ పాడ్ దాని స్వంత ఇంధన ట్యాంక్‌తో రహదారి ప్రయాణానికి ప్రత్యేక ఇంజిన్‌ను కలిగి ఉంది. చక్రాలు రివర్స్ గేర్‌తో ఆటోమేటిక్ ట్రాన్స్మిషన్ ద్వారా నడపబడతాయి. తక్కువ పవర్ ఇంజిన్‌తో పాటు తేలికపాటి ఫ్యూజ్‌లేజ్ యుఎస్ గాలన్‌కు 25 మైళ్ళు (9.4 ఎల్/100 కిమీ; 30 ఎమ్‌పిజి - ఇంప్) ఇంధన ఆర్థిక వ్యవస్థ 5 యుఎస్ గ్యాలన్లు (19 ఎల్) ఉపయోగపడే ఇంధనంతో అనుమతిస్తుంది. [2] ఈ విమానం దాని 3-వీల్ కాన్ఫిగరేషన్ కారణంగా వాషింగ్టన్ స్టేట్‌లో మోటారుసైకిల్‌గా నమోదు చేయబడింది. విమానం వెనుక ఫ్యూజ్‌లేజ్‌కు వ్యతిరేకంగా తిప్పడానికి మరియు వెనక్కి మడవటానికి రెక్కలు అతుక్కుంటాయి. రోడ్ ట్రావెల్ మోడ్‌లో వాహనం యొక్క వెడల్పును తగ్గించడానికి క్షితిజ సమాంతర స్టెబిలైజర్ కూడా అతుక్కొని ఉంది. టాక్సీ కార్యక్రమానికి గ్లాసెయిర్ యొక్క రెండు వారాల ఉపయోగించి ప్రోటోటైప్ నిర్మించబడింది. ఇది మార్చి 29, 2010 న ప్రారంభించబడింది మరియు సవరించిన ప్రోటోటైప్ జూలై 21, 2010 నాటికి పరీక్ష చేయబడింది. ఈ నమూనా 2010 లో ప్రయోగాత్మక విమాన సంఘం ఎయిర్‌వెంచర్ ఎయిర్‌షోలో ప్రదర్శించబడింది. సంస్థ యొక్క రెండవ తరం శుద్ధీకరణకు పిడి-ఎక్స్ అని పేరు పెట్టారు. PD-X పరీక్ష ఫలితాల ఆధారంగా విక్రయించదగిన విమానాన్ని నిర్మించాలనే ఉద్దేశం. [3] స్పోర్ట్ ఏవియేషన్ జనరల్ లక్షణాల పనితీరు నుండి డేటా</v>
      </c>
      <c r="E31" s="1" t="s">
        <v>672</v>
      </c>
      <c r="F31" s="1" t="str">
        <f>IFERROR(__xludf.DUMMYFUNCTION("GOOGLETRANSLATE(E:E, ""en"", ""te"")"),"రోడ్ చేయగల విమానం")</f>
        <v>రోడ్ చేయగల విమానం</v>
      </c>
      <c r="G31" s="1" t="s">
        <v>155</v>
      </c>
      <c r="H31" s="1" t="str">
        <f>IFERROR(__xludf.DUMMYFUNCTION("GOOGLETRANSLATE(G:G, ""en"", ""te"")"),"అమెరికా")</f>
        <v>అమెరికా</v>
      </c>
      <c r="I31" s="1" t="s">
        <v>673</v>
      </c>
      <c r="J31" s="1" t="str">
        <f>IFERROR(__xludf.DUMMYFUNCTION("GOOGLETRANSLATE(I:I, ""en"", ""te"")"),"విమానం నడిచే, స్టోడార్డ్-హామిల్టన్ విమానం")</f>
        <v>విమానం నడిచే, స్టోడార్డ్-హామిల్టన్ విమానం</v>
      </c>
      <c r="K31" s="1" t="s">
        <v>674</v>
      </c>
      <c r="L31" s="1" t="s">
        <v>675</v>
      </c>
      <c r="N31" s="5">
        <v>40380.0</v>
      </c>
      <c r="P31" s="1" t="s">
        <v>676</v>
      </c>
      <c r="Q31" s="1" t="s">
        <v>677</v>
      </c>
      <c r="S31" s="1" t="s">
        <v>678</v>
      </c>
      <c r="V31" s="1" t="s">
        <v>679</v>
      </c>
      <c r="AA31" s="1" t="s">
        <v>680</v>
      </c>
      <c r="AB31" s="1" t="s">
        <v>681</v>
      </c>
      <c r="AD31" s="1" t="s">
        <v>682</v>
      </c>
      <c r="AE31" s="1" t="s">
        <v>683</v>
      </c>
      <c r="AG31" s="1" t="s">
        <v>684</v>
      </c>
      <c r="AK31" s="1" t="s">
        <v>685</v>
      </c>
      <c r="AR31" s="1" t="s">
        <v>253</v>
      </c>
      <c r="AS31" s="1">
        <v>9.1</v>
      </c>
      <c r="BF31" s="1" t="s">
        <v>686</v>
      </c>
      <c r="BG31" s="1" t="s">
        <v>687</v>
      </c>
      <c r="BN31" s="1">
        <v>2010.0</v>
      </c>
    </row>
    <row r="32">
      <c r="A32" s="1" t="s">
        <v>688</v>
      </c>
      <c r="B32" s="1" t="str">
        <f>IFERROR(__xludf.DUMMYFUNCTION("GOOGLETRANSLATE(A:A, ""en"", ""te"")"),"పోడెస్వా ట్రెనర్")</f>
        <v>పోడెస్వా ట్రెనర్</v>
      </c>
      <c r="C32" s="1" t="s">
        <v>689</v>
      </c>
      <c r="D32" s="1" t="str">
        <f>IFERROR(__xludf.DUMMYFUNCTION("GOOGLETRANSLATE(C:C, ""en"", ""te"")"),"ట్రెనర్ బేబీ అని కూడా పిలువబడే పోడెస్సా టెనర్ (ఇంగ్లీష్: ట్రైనర్) చెక్ అల్ట్రాలైట్ విమానం, దీనిని టోమస్ పోడెస్వా రూపొందించారు మరియు యునియోవ్ యొక్క పోడెస్వా ఎయిర్ నిర్మించింది. ఈ విమానం Zlin 126 యొక్క నమ్మకమైన 80% స్కేల్ పునరుత్పత్తి మరియు ప్రణాళికలుగా, te"&amp;" త్సాహిక నిర్మాణానికి కిట్‌గా లేదా పూర్తి రెడీ-టు-ఫ్లై-ఎయిర్‌క్రాఫ్ట్‌గా సరఫరా చేయబడుతుంది. [1] [2] ఏప్రిల్ 2018 నాటికి కంపెనీ వెబ్‌సైట్ తీసివేయబడింది మరియు విమానం ఉత్పత్తికి దూరంగా ఉన్నట్లు అనిపిస్తుంది. [3] పోడెస్వా వినియోగదారులకు అనుకూల ప్రాతిపదికన ప్ర"&amp;"సిద్ధ విమానాల పునరుత్పత్తిని డిజైన్ చేస్తుంది మరియు నిర్మిస్తుంది. ఈ ట్రెనర్ ఫెడెరేషన్ ఏరోనటిక్ ఇంటర్నేషనల్ మైక్రోలైట్ నిబంధనలకు అనుగుణంగా రూపొందించబడింది. ఇది ఒక కాంటిలివర్ లో-వింగ్, ఫ్రేమ్డ్ పందిరి కింద రెండు-సీట్ల-రుచిగల పరివేష్టిత కాక్‌పిట్, స్థిర సాం"&amp;"ప్రదాయ ల్యాండింగ్ గేర్ మరియు ట్రాక్టర్ కాన్ఫిగరేషన్‌లో ఒకే ఇంజిన్ కలిగి ఉంది. [1] [2] విమానం ఫ్యూజ్‌లేజ్ వెల్డెడ్ స్టీల్ గొట్టాల నుండి తయారవుతుంది, అల్యూమినియం షీట్ నుండి రెక్కలు తయారు చేయబడతాయి. దాని 8.68 మీ (28.5 అడుగులు) స్పాన్ వింగ్ 10.8 మీ 2 (116 చదర"&amp;"పు అడుగులు) మరియు ఫ్లాప్‌లను కలిగి ఉంది. అందుబాటులో ఉన్న ప్రామాణిక ఇంజిన్ 75 HP (56 kW) వాల్టర్ మిక్రోన్ IIIB ఫోర్ సిలిండర్, ఫోర్-స్ట్రోక్ పవర్‌ప్లాంట్. [1] [2] సమీక్షకుడు మారినో బోరిక్ 2015 సమీక్షలో డిజైన్‌ను ""క్లాసిక్ ఏరోబాటిక్ Zlin 126 విమానం యొక్క నమ"&amp;"్మకమైన పునరుత్పత్తి, చివరి వివరాల వరకు ... ఈ రెండు-సీట్ల నిర్వహణ ఆకట్టుకుంటుంది."" [2] బేయర్ల్ నుండి డేటా [1] ] సాధారణ లక్షణాల పనితీరు")</f>
        <v>ట్రెనర్ బేబీ అని కూడా పిలువబడే పోడెస్సా టెనర్ (ఇంగ్లీష్: ట్రైనర్) చెక్ అల్ట్రాలైట్ విమానం, దీనిని టోమస్ పోడెస్వా రూపొందించారు మరియు యునియోవ్ యొక్క పోడెస్వా ఎయిర్ నిర్మించింది. ఈ విమానం Zlin 126 యొక్క నమ్మకమైన 80% స్కేల్ పునరుత్పత్తి మరియు ప్రణాళికలుగా, te త్సాహిక నిర్మాణానికి కిట్‌గా లేదా పూర్తి రెడీ-టు-ఫ్లై-ఎయిర్‌క్రాఫ్ట్‌గా సరఫరా చేయబడుతుంది. [1] [2] ఏప్రిల్ 2018 నాటికి కంపెనీ వెబ్‌సైట్ తీసివేయబడింది మరియు విమానం ఉత్పత్తికి దూరంగా ఉన్నట్లు అనిపిస్తుంది. [3] పోడెస్వా వినియోగదారులకు అనుకూల ప్రాతిపదికన ప్రసిద్ధ విమానాల పునరుత్పత్తిని డిజైన్ చేస్తుంది మరియు నిర్మిస్తుంది. ఈ ట్రెనర్ ఫెడెరేషన్ ఏరోనటిక్ ఇంటర్నేషనల్ మైక్రోలైట్ నిబంధనలకు అనుగుణంగా రూపొందించబడింది. ఇది ఒక కాంటిలివర్ లో-వింగ్, ఫ్రేమ్డ్ పందిరి కింద రెండు-సీట్ల-రుచిగల పరివేష్టిత కాక్‌పిట్, స్థిర సాంప్రదాయ ల్యాండింగ్ గేర్ మరియు ట్రాక్టర్ కాన్ఫిగరేషన్‌లో ఒకే ఇంజిన్ కలిగి ఉంది. [1] [2] విమానం ఫ్యూజ్‌లేజ్ వెల్డెడ్ స్టీల్ గొట్టాల నుండి తయారవుతుంది, అల్యూమినియం షీట్ నుండి రెక్కలు తయారు చేయబడతాయి. దాని 8.68 మీ (28.5 అడుగులు) స్పాన్ వింగ్ 10.8 మీ 2 (116 చదరపు అడుగులు) మరియు ఫ్లాప్‌లను కలిగి ఉంది. అందుబాటులో ఉన్న ప్రామాణిక ఇంజిన్ 75 HP (56 kW) వాల్టర్ మిక్రోన్ IIIB ఫోర్ సిలిండర్, ఫోర్-స్ట్రోక్ పవర్‌ప్లాంట్. [1] [2] సమీక్షకుడు మారినో బోరిక్ 2015 సమీక్షలో డిజైన్‌ను "క్లాసిక్ ఏరోబాటిక్ Zlin 126 విమానం యొక్క నమ్మకమైన పునరుత్పత్తి, చివరి వివరాల వరకు ... ఈ రెండు-సీట్ల నిర్వహణ ఆకట్టుకుంటుంది." [2] బేయర్ల్ నుండి డేటా [1] ] సాధారణ లక్షణాల పనితీరు</v>
      </c>
      <c r="E32" s="1" t="s">
        <v>383</v>
      </c>
      <c r="F32" s="1" t="str">
        <f>IFERROR(__xludf.DUMMYFUNCTION("GOOGLETRANSLATE(E:E, ""en"", ""te"")"),"అల్ట్రాలైట్ విమానం")</f>
        <v>అల్ట్రాలైట్ విమానం</v>
      </c>
      <c r="G32" s="1" t="s">
        <v>568</v>
      </c>
      <c r="H32" s="1" t="str">
        <f>IFERROR(__xludf.DUMMYFUNCTION("GOOGLETRANSLATE(G:G, ""en"", ""te"")"),"చెక్ రిపబ్లిక్")</f>
        <v>చెక్ రిపబ్లిక్</v>
      </c>
      <c r="I32" s="1" t="s">
        <v>690</v>
      </c>
      <c r="J32" s="1" t="str">
        <f>IFERROR(__xludf.DUMMYFUNCTION("GOOGLETRANSLATE(I:I, ""en"", ""te"")"),"పోడెస్వా ఎయిర్")</f>
        <v>పోడెస్వా ఎయిర్</v>
      </c>
      <c r="K32" s="1" t="s">
        <v>691</v>
      </c>
      <c r="L32" s="1" t="s">
        <v>692</v>
      </c>
      <c r="O32" s="1" t="s">
        <v>135</v>
      </c>
      <c r="Q32" s="1" t="s">
        <v>693</v>
      </c>
      <c r="S32" s="1" t="s">
        <v>694</v>
      </c>
      <c r="T32" s="1" t="s">
        <v>695</v>
      </c>
      <c r="U32" s="1" t="s">
        <v>388</v>
      </c>
      <c r="V32" s="1" t="s">
        <v>696</v>
      </c>
      <c r="W32" s="1" t="s">
        <v>665</v>
      </c>
      <c r="Z32" s="1" t="s">
        <v>142</v>
      </c>
      <c r="AB32" s="1" t="s">
        <v>392</v>
      </c>
      <c r="AC32" s="1" t="s">
        <v>580</v>
      </c>
      <c r="AD32" s="1" t="s">
        <v>581</v>
      </c>
      <c r="AE32" s="1" t="s">
        <v>697</v>
      </c>
      <c r="AF32" s="1" t="s">
        <v>583</v>
      </c>
      <c r="AG32" s="1" t="s">
        <v>698</v>
      </c>
      <c r="AH32" s="1" t="s">
        <v>193</v>
      </c>
      <c r="AI32" s="1" t="s">
        <v>699</v>
      </c>
      <c r="AK32" s="1" t="s">
        <v>195</v>
      </c>
      <c r="BF32" s="1" t="s">
        <v>700</v>
      </c>
      <c r="BG32" s="1" t="s">
        <v>701</v>
      </c>
    </row>
    <row r="33">
      <c r="A33" s="1" t="s">
        <v>702</v>
      </c>
      <c r="B33" s="1" t="str">
        <f>IFERROR(__xludf.DUMMYFUNCTION("GOOGLETRANSLATE(A:A, ""en"", ""te"")"),"ప్రోటోప్లేన్ అల్ట్రా")</f>
        <v>ప్రోటోప్లేన్ అల్ట్రా</v>
      </c>
      <c r="C33" s="1" t="s">
        <v>703</v>
      </c>
      <c r="D33" s="1" t="str">
        <f>IFERROR(__xludf.DUMMYFUNCTION("GOOGLETRANSLATE(C:C, ""en"", ""te"")"),"ప్రోటోప్లేన్ అల్ట్రా ఒక ఫ్రెంచ్ అల్ట్రాలైట్ విమానం, ఇది బాగ్నెరెస్-డి-బిగోరే యొక్క ప్రోటోప్లేన్ చేత రూపొందించబడింది మరియు ఉత్పత్తి చేయబడింది. విమానం పూర్తి రెడీ-టు-ఫ్లై విమానంగా సరఫరా చేయబడుతుంది. [1] [2] ఫెడరేషన్ ఏరోనటిక్ ఇంటర్నేషనల్ మైక్రోలైట్ నిబంధనలకు"&amp;" అనుగుణంగా అల్ట్రా అత్యంత సమర్థవంతమైన విమానంగా రూపొందించబడింది. ఇది కాంటిలివర్ లో-వింగ్, బబుల్ పందిరి కింద రెండు-సైడ్-సైడ్-సైడ్ కాన్ఫిగరేషన్ పరివేష్టిత కాక్‌పిట్, వీల్ ప్యాంటుతో స్థిర ట్రైసైకిల్ ల్యాండింగ్ గేర్ మరియు ట్రాక్టర్ కాన్ఫిగరేషన్‌లో ఒకే ఇంజిన్ క"&amp;"లిగి ఉంది. [1] [2] విమానం మిశ్రమాల నుండి తయారవుతుంది. దాని 11 మీ (36.1 అడుగులు) స్పాన్ వింగ్ వోర్ట్‌మన్ ఎఫ్ఎక్స్ 66-17ALL-172/26 ఎయిర్‌ఫాయిల్‌ను ఉపయోగిస్తుంది, ఇది 12.10 m2 (130.2 చదరపు అడుగులు) మరియు 0 °, 15 ° మరియు 35 ° యొక్క ప్రతిష్టంభనలను కలిగి ఉన్న ఫ"&amp;"్లాప్‌లను కలిగి ఉంది. అందించిన ప్రామాణిక ఇంజిన్ 85 హెచ్‌పి (63 కిలోవాట్) జబీరు 2200 ఫోర్-స్ట్రోక్ పవర్‌ప్లాంట్. [1] [2] [3] అల్ట్రా ఏరోడైనమిక్ శుద్ధీకరణలు మరియు మిశ్రమాల ఉపయోగం ద్వారా 220 కిమీ/గం (137 mph) వద్ద 12L/h (43 mpg) ఇంధన వ్యవస్థను సాధిస్తుంది. ["&amp;"1] [2] [4] బేయర్ల్ మరియు ప్రోటోప్లేన్ నుండి డేటా [1] [3] సాధారణ లక్షణాల పనితీరు")</f>
        <v>ప్రోటోప్లేన్ అల్ట్రా ఒక ఫ్రెంచ్ అల్ట్రాలైట్ విమానం, ఇది బాగ్నెరెస్-డి-బిగోరే యొక్క ప్రోటోప్లేన్ చేత రూపొందించబడింది మరియు ఉత్పత్తి చేయబడింది. విమానం పూర్తి రెడీ-టు-ఫ్లై విమానంగా సరఫరా చేయబడుతుంది. [1] [2] ఫెడరేషన్ ఏరోనటిక్ ఇంటర్నేషనల్ మైక్రోలైట్ నిబంధనలకు అనుగుణంగా అల్ట్రా అత్యంత సమర్థవంతమైన విమానంగా రూపొందించబడింది. ఇది కాంటిలివర్ లో-వింగ్, బబుల్ పందిరి కింద రెండు-సైడ్-సైడ్-సైడ్ కాన్ఫిగరేషన్ పరివేష్టిత కాక్‌పిట్, వీల్ ప్యాంటుతో స్థిర ట్రైసైకిల్ ల్యాండింగ్ గేర్ మరియు ట్రాక్టర్ కాన్ఫిగరేషన్‌లో ఒకే ఇంజిన్ కలిగి ఉంది. [1] [2] విమానం మిశ్రమాల నుండి తయారవుతుంది. దాని 11 మీ (36.1 అడుగులు) స్పాన్ వింగ్ వోర్ట్‌మన్ ఎఫ్ఎక్స్ 66-17ALL-172/26 ఎయిర్‌ఫాయిల్‌ను ఉపయోగిస్తుంది, ఇది 12.10 m2 (130.2 చదరపు అడుగులు) మరియు 0 °, 15 ° మరియు 35 ° యొక్క ప్రతిష్టంభనలను కలిగి ఉన్న ఫ్లాప్‌లను కలిగి ఉంది. అందించిన ప్రామాణిక ఇంజిన్ 85 హెచ్‌పి (63 కిలోవాట్) జబీరు 2200 ఫోర్-స్ట్రోక్ పవర్‌ప్లాంట్. [1] [2] [3] అల్ట్రా ఏరోడైనమిక్ శుద్ధీకరణలు మరియు మిశ్రమాల ఉపయోగం ద్వారా 220 కిమీ/గం (137 mph) వద్ద 12L/h (43 mpg) ఇంధన వ్యవస్థను సాధిస్తుంది. [1] [2] [4] బేయర్ల్ మరియు ప్రోటోప్లేన్ నుండి డేటా [1] [3] సాధారణ లక్షణాల పనితీరు</v>
      </c>
      <c r="E33" s="1" t="s">
        <v>383</v>
      </c>
      <c r="F33" s="1" t="str">
        <f>IFERROR(__xludf.DUMMYFUNCTION("GOOGLETRANSLATE(E:E, ""en"", ""te"")"),"అల్ట్రాలైట్ విమానం")</f>
        <v>అల్ట్రాలైట్ విమానం</v>
      </c>
      <c r="G33" s="1" t="s">
        <v>113</v>
      </c>
      <c r="H33" s="1" t="str">
        <f>IFERROR(__xludf.DUMMYFUNCTION("GOOGLETRANSLATE(G:G, ""en"", ""te"")"),"ఫ్రాన్స్")</f>
        <v>ఫ్రాన్స్</v>
      </c>
      <c r="I33" s="1" t="s">
        <v>704</v>
      </c>
      <c r="J33" s="1" t="str">
        <f>IFERROR(__xludf.DUMMYFUNCTION("GOOGLETRANSLATE(I:I, ""en"", ""te"")"),"ప్రోటోప్లేన్")</f>
        <v>ప్రోటోప్లేన్</v>
      </c>
      <c r="K33" s="2" t="s">
        <v>705</v>
      </c>
      <c r="O33" s="1" t="s">
        <v>135</v>
      </c>
      <c r="P33" s="1" t="s">
        <v>706</v>
      </c>
      <c r="Q33" s="1" t="s">
        <v>707</v>
      </c>
      <c r="R33" s="1" t="s">
        <v>708</v>
      </c>
      <c r="S33" s="1" t="s">
        <v>709</v>
      </c>
      <c r="T33" s="1" t="s">
        <v>184</v>
      </c>
      <c r="U33" s="1" t="s">
        <v>185</v>
      </c>
      <c r="V33" s="1" t="s">
        <v>710</v>
      </c>
      <c r="W33" s="1" t="s">
        <v>711</v>
      </c>
      <c r="Z33" s="1" t="s">
        <v>499</v>
      </c>
      <c r="AA33" s="1" t="s">
        <v>712</v>
      </c>
      <c r="AB33" s="1" t="s">
        <v>392</v>
      </c>
      <c r="AC33" s="2" t="s">
        <v>713</v>
      </c>
      <c r="AD33" s="1" t="s">
        <v>190</v>
      </c>
      <c r="AE33" s="1" t="s">
        <v>394</v>
      </c>
      <c r="AF33" s="1" t="s">
        <v>714</v>
      </c>
      <c r="AG33" s="1" t="s">
        <v>665</v>
      </c>
      <c r="AH33" s="1" t="s">
        <v>715</v>
      </c>
      <c r="AI33" s="1" t="s">
        <v>716</v>
      </c>
      <c r="AK33" s="1" t="s">
        <v>195</v>
      </c>
      <c r="AR33" s="1" t="s">
        <v>253</v>
      </c>
      <c r="AT33" s="1" t="s">
        <v>717</v>
      </c>
      <c r="AY33" s="1" t="s">
        <v>718</v>
      </c>
      <c r="BA33" s="1" t="s">
        <v>719</v>
      </c>
      <c r="BB33" s="1">
        <v>22.0</v>
      </c>
      <c r="BD33" s="1" t="s">
        <v>720</v>
      </c>
    </row>
    <row r="34">
      <c r="A34" s="1" t="s">
        <v>721</v>
      </c>
      <c r="B34" s="1" t="str">
        <f>IFERROR(__xludf.DUMMYFUNCTION("GOOGLETRANSLATE(A:A, ""en"", ""te"")"),"అరోరా ఫ్లైట్ సైన్సెస్ ఓరియన్")</f>
        <v>అరోరా ఫ్లైట్ సైన్సెస్ ఓరియన్</v>
      </c>
      <c r="C34" s="1" t="s">
        <v>722</v>
      </c>
      <c r="D34" s="1" t="str">
        <f>IFERROR(__xludf.DUMMYFUNCTION("GOOGLETRANSLATE(C:C, ""en"", ""te"")"),"ఓరియన్ అనేది అరోరా ఫ్లైట్ సైన్సెస్ అభివృద్ధి చేసిన మీడియం-ఎలిట్యూడ్ లాంగ్-ఎండ్యూరెన్స్ మానవరహిత వైమానిక వాహనం (యుఎవి). ఓరియన్‌పై పని 2006 లో ప్రారంభమైంది, యు.ఎస్. ఆర్మీ దీనిని హైడ్రోజన్-ఇంధన “అధిక-ఎత్తు, లాంగ్-లూయిటర్” (హాల్) యుఎవిగా నిధులు సమకూర్చింది. వ"&amp;"ాస్తవానికి, ఇది సింగిల్-ఇంజిన్, హైడ్రోజన్-ఇంధన, అధిక-ఎత్తులో ఉన్న మానవరహిత విమానంగా భావించబడింది, ఇది 7,000 lb (3,200 kg) స్థూల బరువు కలిగిన 400 lb (180 kg) పేలోడ్‌ను 65,000 అడుగుల (20,000 మీ) కు తీసుకెళ్లడానికి ఉద్దేశించబడింది; ఇలాంటి విమానంలో ఏరోవైరోన్మ"&amp;"ెంట్ గ్లోబల్ అబ్జర్వర్ మరియు బోయింగ్ ఫాంటమ్ ఐ ​​ఉన్నాయి. అరోరాను వైమానిక దళం పరిశోధన ప్రయోగశాల (AFRL) 2007 లో అల్ట్రా లాంగ్ ఎండ్యూరెన్స్ స్టడీ కాంట్రాక్ట్ కోసం బ్లూ డెవిల్ 2 మరియు లాంగ్ ఎండ్యూరెన్స్ మల్టీ-ఇంటెలిజెన్స్ వెహికల్ (LEMV) నిఘా ఎయిర్‌షిప్‌లను చూ"&amp;"డటానికి స్థిర-వింగ్ ప్రత్యామ్నాయాలను చూడటానికి ఎంపిక చేసింది (రెండూ అన్వేషించబడ్డాయి (రెండూ అన్వేషించబడ్డాయి అంతిమంగా రద్దు చేయబడింది) మరియు MQ-1 ప్రెడేటర్ మరియు RQ-4 గ్లోబల్ హాక్ యొక్క ఓర్పు పరిమితులకు మించి నెట్టండి; వారు 2008 లో సాంప్రదాయిక ఇంజిన్లచే న"&amp;"డిచే ఓరియన్ కోసం AFRL కి అయాచిత ప్రతిపాదనను సమర్పించారు. 2009 లో ఓరియన్‌ను నిర్మించడానికి కంపెనీ ఉమ్మడి-సామర్థ్యం గల సాంకేతిక ప్రదర్శన ఒప్పందాన్ని గెలుచుకుంది, ఇది మధ్యస్థ-ఎత్తులో ఉన్న ప్రపంచ మేధస్సు కోసం ఒక ఒప్పందానికి దారితీసింది, 2010 లో నిఘా, నిఘా మరి"&amp;"యు కమ్యూనికేషన్స్ రిలే (మ్యాజిక్) జాయింట్ కాన్సెప్ట్ టెక్నాలజీ ప్రదర్శన (జెసిటిడి). 1,000 ఎల్బి (450 కిలోల) పేలోడ్ మరియు 11,000 ఎల్బి (5,000 కిలోల) స్థూల బరువు పెరిగిన 20,000 అడుగులు (6,100 మీ) వద్ద. మొదటి ప్రదర్శనకారుడు కాంట్రాక్ట్ అవార్డు తర్వాత 88 రోజు"&amp;"ల తరువాత 22 నవంబర్ 2010 న విడుదలయ్యాడు. 2011 లో, ఈ కార్యక్రమం వైమానిక దళం యొక్క పెద్ద సఫారి కార్యాలయానికి బదిలీ చేయబడింది. [1] [2] [3] [4] విమానం యొక్క విప్లవాత్మక అంశం స్టేషన్ ఖర్చులో దాని సమయం, ప్రెడేటర్, MQ-9 రీపర్ మరియు MC-12W లిబర్టీ వంటి ప్రస్తుత వై"&amp;"మానిక నిఘా విమానాలతో పోలిస్తే గంటకు 20 శాతం మాత్రమే ఖర్చు అవుతుంది. ప్రొపల్షన్, తేలికపాటి ఎయిర్‌ఫ్రేమ్, నమ్మకమైన వ్యవస్థలు, స్వయంప్రతిపత్తమైన ఆపరేషన్ మరియు తక్కువ టేకాఫ్‌లు మరియు ల్యాండింగ్‌లు అవసరం. దీని ఫెర్రీ పరిధి 13,000 ఎన్ఎమ్ఐ (15,000 మైళ్ళు; 24,000"&amp;" కిమీ) గా అంచనా వేయబడింది, ఇది గ్లోబల్ హాక్ కంటే ఎక్కువ, ఇది 113 గంటల నుండి 550 ఎన్ఎమ్ఐ (630 మైళ్ళు; 1,020 కిమీ) నుండి 47 గంటల వరకు సమయం ఆన్-స్టేషన్ సామర్థ్యాన్ని అనుమతిస్తుంది 3,000 NMI (3,500 MI; 5,600 కిమీ) వద్ద. 9,500 ఎన్ఎమ్ఐ (10,900 మైళ్ళు; 17,600 కి"&amp;".మీ) మిషన్ పరిధిని కలిగి ఉండటంతో, ఓరియన్ పెట్రోలింగ్ ప్రాంతం నుండి చాలా ఎక్కువ ఉంచవచ్చు, ఒక విమానాన్ని దగ్గరి ప్రధాన ఆపరేటింగ్ స్థావరానికి రవాణా చేయడానికి అవసరమయ్యే ఖర్చులను తగ్గిస్తుంది; యూనిట్ ధర రీపర్ కంటే తక్కువగా ఉంటుందని భావిస్తున్నారు. ఈ విమానం ఖాళ"&amp;"ీ బరువు 5,170 పౌండ్లు (2,350 కిలోలు) మరియు 5,000 పౌండ్ల (2,300 కిలోల) ఇంధనాన్ని కలిగి ఉంటుంది. ఇది 2,500 ఎల్బి (1,100 కిలోల) సెన్సార్లు మరియు ఆయుధాలను ఎయిర్ఫ్రేమ్ ద్వారా విస్తరించి, ముక్కులో 950 ఎల్బి (430 కిలోలు), AFT ఫ్యూజ్‌లేజ్‌లో 850 lb (390 kg), మరియ"&amp;"ు 1,200 lb (540 kg) రెక్కల క్రింద. బేస్ సెన్సార్ రేథియాన్ MTS-B ఎలక్ట్రో-ఆప్టికల్/ఇన్ఫ్రారెడ్ టరెట్, కానీ ఎంపికలు ముక్కు కింద గ్రౌండ్ కదిలే లక్ష్య సూచన (GMTI) రాడార్, AFT బేలో బహుళ-కెమెరా వైడ్-ఏరియా నిఘా సెన్సార్ మరియు బాహ్య ఇంధనాన్ని కలిగి ఉంటాయి రెక్కల "&amp;"క్రింద ట్యాంకులు మరియు హెల్ఫైర్ క్షిపణులు. దీని రెక్కలు గ్లోబల్ హాక్ కంటే కొంచెం పొడవుగా ఉంటాయి, ఇది పొడవైన, ఒక-ముక్క, తక్కువ-డ్రాగ్, చిట్కా నుండి చిట్కా నుండి తక్కువ బరువు మిశ్రమ రెక్కతో తయారు చేయబడింది, ఇది బరువు మరియు ఖర్చును తగ్గిస్తుంది, కానీ దానిని "&amp;"విడదీయకుండా మరియు విమానయానంతో నిరోధిస్తుంది మరొక ప్రదేశానికి. వాతావరణ సహనంతో ఇంధన సామర్థ్యాన్ని మరియు విద్యుత్ వినియోగాన్ని సమతుల్యం చేయడానికి డిజైన్ ద్వారా టాప్ స్పీడ్ 90 నాట్ల (100 mph; 170 కిమీ/గం) వద్ద నెమ్మదిగా ఉంటుంది. ప్రొపల్షన్ ఒక జత ఆస్ట్రో ఇంజిన"&amp;"్ నుండి వస్తుంది, ఇది ఖరీదైన మరియు తక్కువ ఇంధన సమర్థవంతమైన గ్యాస్ టర్బైన్ల కంటే AE300 డీజిల్ ఇంజన్లు. [1] [2] ఇది ప్రామాణిక పేలోడ్ బరువును కలిగి ఉన్న ఐదు రోజులు ప్రయాణించేలా రూపొందించబడినప్పటికీ, ఇది తేలికైన పేలోడ్‌తో ఒక వారం పాటు ఎగురుతుంది. [3] మొదటి ఫ్"&amp;"లైట్ ఆగస్టు 2011 నాటికి expected హించబడింది, కాని నిధుల ద్వారా పురోగతి పరిమితం చేయబడింది. ఓరియన్ యొక్క మొదటి ఫ్లైట్ 24 ఆగస్టు 2013 న సంభవించింది, 60 నాట్ల ఎయిర్‌స్పీడ్ (69 mph; 110 కిమీ/గం) ఎయిర్‌స్పీడ్ వద్ద 8,000 అడుగుల (2,400 మీ) వద్ద 3.5 గంటలు ఎగురుతుం"&amp;"ది. [2] 5-8 డిసెంబర్ 2014 నుండి, ఓరియన్ నావల్ ఎయిర్ వెపన్స్ స్టేషన్ చైనా సరస్సు వద్ద నేషనల్ ఏరోనాటిక్ అసోసియేషన్ సాక్ష్యమిచ్చింది, 2001 లో గ్లోబల్ హాక్ నిర్దేశించిన 30.4 గంటల ఓర్పు రికార్డును బద్దలు కొట్టింది; ఈ విమానం 4,500–10,000 అడుగుల (1,400–3,000 మీ)"&amp;" మధ్య 1,000 పౌండ్లు (450 కిలోల) బ్యాలస్ట్‌తో పేలోడ్‌ను అనుకరించటానికి ప్రయాణించింది. ల్యాండింగ్ తరువాత, ఇది 1,700 ఎల్బి (770 కిలోల) ఇంధనాన్ని కలిగి ఉంది, అదనంగా 37 గంటలు ప్రయాణించడానికి సరిపోతుంది, కాని పరీక్ష కోసం పరిధి లభ్యత యొక్క కిటికీ ద్వారా ఓర్పు పర"&amp;"ిమితం చేయబడింది; నలుగురు పైలట్లు విమానంలో తిరిగారు. డిసెంబర్ ఫ్లైట్ ఓరియన్‌కు 18 వ స్థానంలో ఉంది, మొత్తం విమాన గంటలను లాగిన్ చేసింది. నిరంతర నిఘా కోసం ఓరియన్‌ను సేకరించడానికి ఫ్లైట్ వైమానిక దళాన్ని ఒప్పించగలదని అరోరా భావించింది, మరియు కంపెనీ కమ్యూనికేషన్స"&amp;"్ రిలేతో సహా అనేక ఇతర పాత్రలను చూసింది మరియు MQ-4C ట్రిటాన్ నావల్ రీకాన్ UAV కి వ్యతిరేకంగా పోటీ పడటానికి. [3] [6] [6] [6] నటించు ఐదేళ్ల అభివృద్ధి మరియు దాని విమాన ప్రదర్శన కార్యక్రమాన్ని పూర్తి చేసిన తరువాత, సెప్టెంబర్ 2015 నాటికి ఈ విమానం ఒక కంపెనీ హ్యా"&amp;"ంగర్‌కు పంపబడింది, వైమానిక దళం దానిని కొనకూడదని నిర్ణయించుకుంది. బడ్జెట్ సమస్యలు, 40 మీ (132 అడుగులు) వింగ్స్పాన్ సహా అనేక కారణాలు ఇవ్వబడ్డాయి, ఇది ఇప్పటికే ఉన్న అనేక ఎయిర్ ఫోర్స్ హాంగర్లలో సరిపోదు, MQ-9 రీపర్‌తో పోలిస్తే తక్కువ వేగం, పేలోడ్ మరియు ఆయుధాల "&amp;"సామర్థ్యం మరియు ప్రధానంగా లోపం బహుళ-రోజు, సుదూర-భూమి మానవరహిత విమానం కోసం కార్యాచరణ అవసరం. సుదూర నిఘా మరియు సముద్ర పెట్రోల్ వంటి మిషన్ల కోసం ఓరియన్‌ను సేవలోకి తీసుకురావడానికి అరోరా అంతర్జాతీయంగా చూస్తోంది. [4] వినియోగదారులకు లీజుకు ఇవ్వడానికి మూడు ఓరియన్స"&amp;"్ వ్యవస్థను నిర్మించడానికి ప్రైవేట్ ఈక్విటీ వనరుల నుండి డబ్బును సేకరించడానికి కంపెనీ ప్రయత్నిస్తోంది. వాటిని కొనుగోలు చేయడంలో వడ్డీ లేనప్పటికీ, విమాన సమయాన్ని వినియోగదారులకు మరియు పోరాట కమాండర్లకు అద్దెకు అద్దెకు అందుబాటులో ఉంచవచ్చు, అందించిన సేవలతో సేవ ప"&amp;"్రాతిపదికన; ఇది యు.ఎస్. స్పెషల్ ఆపరేషన్స్ కమాండ్ (SOCOM) చేత జరిగింది, కాంట్రాక్టర్లు ఎగురవేసిన చాలా చిన్న స్కానేగిల్ డ్రోన్‌ల కోసం ఇన్సిటు నుండి ISR సేవలను కొనుగోలు చేయడం. [8] సెప్టెంబర్ 2016 నాటికి, ఓరియన్ మళ్లీ ఎగరడానికి నిల్వ నుండి బయటకు తీస్తున్నారు."&amp;" [9] ఒక మూడు వాహనాల వ్యవస్థను నిర్మించడానికి మరియు కాంట్రాక్టర్ యాజమాన్యంలోని లేదా ఆపరేటెడ్ ISR సేవగా మిలటరీకి సామర్థ్యాన్ని అందించడానికి సంస్థ ఒక ప్రణాళికను ఆమోదించింది. కొత్త బ్లాక్ 1 డిజైన్ కొంచెం చిన్న టెయిల్ ప్లేన్ ఉపరితలం వంటి కొన్ని బాహ్య మార్పులను"&amp;" కలిగి ఉంది, అలాగే 2019 చివరి నాటికి అందించే ఇతర నిర్మాణాలు మరియు వ్యవస్థలలో మార్పులు. నిఘా మిషన్లతో ప్రయోగాలు చేయడానికి యు.ఎస్. కోస్ట్ గార్డ్‌తో వరుస ప్రదర్శనలు ప్రణాళిక చేయబడ్డాయి సముద్ర సరిహద్దులపై. [10]")</f>
        <v>ఓరియన్ అనేది అరోరా ఫ్లైట్ సైన్సెస్ అభివృద్ధి చేసిన మీడియం-ఎలిట్యూడ్ లాంగ్-ఎండ్యూరెన్స్ మానవరహిత వైమానిక వాహనం (యుఎవి). ఓరియన్‌పై పని 2006 లో ప్రారంభమైంది, యు.ఎస్. ఆర్మీ దీనిని హైడ్రోజన్-ఇంధన “అధిక-ఎత్తు, లాంగ్-లూయిటర్” (హాల్) యుఎవిగా నిధులు సమకూర్చింది. వాస్తవానికి, ఇది సింగిల్-ఇంజిన్, హైడ్రోజన్-ఇంధన, అధిక-ఎత్తులో ఉన్న మానవరహిత విమానంగా భావించబడింది, ఇది 7,000 lb (3,200 kg) స్థూల బరువు కలిగిన 400 lb (180 kg) పేలోడ్‌ను 65,000 అడుగుల (20,000 మీ) కు తీసుకెళ్లడానికి ఉద్దేశించబడింది; ఇలాంటి విమానంలో ఏరోవైరోన్మెంట్ గ్లోబల్ అబ్జర్వర్ మరియు బోయింగ్ ఫాంటమ్ ఐ ​​ఉన్నాయి. అరోరాను వైమానిక దళం పరిశోధన ప్రయోగశాల (AFRL) 2007 లో అల్ట్రా లాంగ్ ఎండ్యూరెన్స్ స్టడీ కాంట్రాక్ట్ కోసం బ్లూ డెవిల్ 2 మరియు లాంగ్ ఎండ్యూరెన్స్ మల్టీ-ఇంటెలిజెన్స్ వెహికల్ (LEMV) నిఘా ఎయిర్‌షిప్‌లను చూడటానికి స్థిర-వింగ్ ప్రత్యామ్నాయాలను చూడటానికి ఎంపిక చేసింది (రెండూ అన్వేషించబడ్డాయి (రెండూ అన్వేషించబడ్డాయి అంతిమంగా రద్దు చేయబడింది) మరియు MQ-1 ప్రెడేటర్ మరియు RQ-4 గ్లోబల్ హాక్ యొక్క ఓర్పు పరిమితులకు మించి నెట్టండి; వారు 2008 లో సాంప్రదాయిక ఇంజిన్లచే నడిచే ఓరియన్ కోసం AFRL కి అయాచిత ప్రతిపాదనను సమర్పించారు. 2009 లో ఓరియన్‌ను నిర్మించడానికి కంపెనీ ఉమ్మడి-సామర్థ్యం గల సాంకేతిక ప్రదర్శన ఒప్పందాన్ని గెలుచుకుంది, ఇది మధ్యస్థ-ఎత్తులో ఉన్న ప్రపంచ మేధస్సు కోసం ఒక ఒప్పందానికి దారితీసింది, 2010 లో నిఘా, నిఘా మరియు కమ్యూనికేషన్స్ రిలే (మ్యాజిక్) జాయింట్ కాన్సెప్ట్ టెక్నాలజీ ప్రదర్శన (జెసిటిడి). 1,000 ఎల్బి (450 కిలోల) పేలోడ్ మరియు 11,000 ఎల్బి (5,000 కిలోల) స్థూల బరువు పెరిగిన 20,000 అడుగులు (6,100 మీ) వద్ద. మొదటి ప్రదర్శనకారుడు కాంట్రాక్ట్ అవార్డు తర్వాత 88 రోజుల తరువాత 22 నవంబర్ 2010 న విడుదలయ్యాడు. 2011 లో, ఈ కార్యక్రమం వైమానిక దళం యొక్క పెద్ద సఫారి కార్యాలయానికి బదిలీ చేయబడింది. [1] [2] [3] [4] విమానం యొక్క విప్లవాత్మక అంశం స్టేషన్ ఖర్చులో దాని సమయం, ప్రెడేటర్, MQ-9 రీపర్ మరియు MC-12W లిబర్టీ వంటి ప్రస్తుత వైమానిక నిఘా విమానాలతో పోలిస్తే గంటకు 20 శాతం మాత్రమే ఖర్చు అవుతుంది. ప్రొపల్షన్, తేలికపాటి ఎయిర్‌ఫ్రేమ్, నమ్మకమైన వ్యవస్థలు, స్వయంప్రతిపత్తమైన ఆపరేషన్ మరియు తక్కువ టేకాఫ్‌లు మరియు ల్యాండింగ్‌లు అవసరం. దీని ఫెర్రీ పరిధి 13,000 ఎన్ఎమ్ఐ (15,000 మైళ్ళు; 24,000 కిమీ) గా అంచనా వేయబడింది, ఇది గ్లోబల్ హాక్ కంటే ఎక్కువ, ఇది 113 గంటల నుండి 550 ఎన్ఎమ్ఐ (630 మైళ్ళు; 1,020 కిమీ) నుండి 47 గంటల వరకు సమయం ఆన్-స్టేషన్ సామర్థ్యాన్ని అనుమతిస్తుంది 3,000 NMI (3,500 MI; 5,600 కిమీ) వద్ద. 9,500 ఎన్ఎమ్ఐ (10,900 మైళ్ళు; 17,600 కి.మీ) మిషన్ పరిధిని కలిగి ఉండటంతో, ఓరియన్ పెట్రోలింగ్ ప్రాంతం నుండి చాలా ఎక్కువ ఉంచవచ్చు, ఒక విమానాన్ని దగ్గరి ప్రధాన ఆపరేటింగ్ స్థావరానికి రవాణా చేయడానికి అవసరమయ్యే ఖర్చులను తగ్గిస్తుంది; యూనిట్ ధర రీపర్ కంటే తక్కువగా ఉంటుందని భావిస్తున్నారు. ఈ విమానం ఖాళీ బరువు 5,170 పౌండ్లు (2,350 కిలోలు) మరియు 5,000 పౌండ్ల (2,300 కిలోల) ఇంధనాన్ని కలిగి ఉంటుంది. ఇది 2,500 ఎల్బి (1,100 కిలోల) సెన్సార్లు మరియు ఆయుధాలను ఎయిర్ఫ్రేమ్ ద్వారా విస్తరించి, ముక్కులో 950 ఎల్బి (430 కిలోలు), AFT ఫ్యూజ్‌లేజ్‌లో 850 lb (390 kg), మరియు 1,200 lb (540 kg) రెక్కల క్రింద. బేస్ సెన్సార్ రేథియాన్ MTS-B ఎలక్ట్రో-ఆప్టికల్/ఇన్ఫ్రారెడ్ టరెట్, కానీ ఎంపికలు ముక్కు కింద గ్రౌండ్ కదిలే లక్ష్య సూచన (GMTI) రాడార్, AFT బేలో బహుళ-కెమెరా వైడ్-ఏరియా నిఘా సెన్సార్ మరియు బాహ్య ఇంధనాన్ని కలిగి ఉంటాయి రెక్కల క్రింద ట్యాంకులు మరియు హెల్ఫైర్ క్షిపణులు. దీని రెక్కలు గ్లోబల్ హాక్ కంటే కొంచెం పొడవుగా ఉంటాయి, ఇది పొడవైన, ఒక-ముక్క, తక్కువ-డ్రాగ్, చిట్కా నుండి చిట్కా నుండి తక్కువ బరువు మిశ్రమ రెక్కతో తయారు చేయబడింది, ఇది బరువు మరియు ఖర్చును తగ్గిస్తుంది, కానీ దానిని విడదీయకుండా మరియు విమానయానంతో నిరోధిస్తుంది మరొక ప్రదేశానికి. వాతావరణ సహనంతో ఇంధన సామర్థ్యాన్ని మరియు విద్యుత్ వినియోగాన్ని సమతుల్యం చేయడానికి డిజైన్ ద్వారా టాప్ స్పీడ్ 90 నాట్ల (100 mph; 170 కిమీ/గం) వద్ద నెమ్మదిగా ఉంటుంది. ప్రొపల్షన్ ఒక జత ఆస్ట్రో ఇంజిన్ నుండి వస్తుంది, ఇది ఖరీదైన మరియు తక్కువ ఇంధన సమర్థవంతమైన గ్యాస్ టర్బైన్ల కంటే AE300 డీజిల్ ఇంజన్లు. [1] [2] ఇది ప్రామాణిక పేలోడ్ బరువును కలిగి ఉన్న ఐదు రోజులు ప్రయాణించేలా రూపొందించబడినప్పటికీ, ఇది తేలికైన పేలోడ్‌తో ఒక వారం పాటు ఎగురుతుంది. [3] మొదటి ఫ్లైట్ ఆగస్టు 2011 నాటికి expected హించబడింది, కాని నిధుల ద్వారా పురోగతి పరిమితం చేయబడింది. ఓరియన్ యొక్క మొదటి ఫ్లైట్ 24 ఆగస్టు 2013 న సంభవించింది, 60 నాట్ల ఎయిర్‌స్పీడ్ (69 mph; 110 కిమీ/గం) ఎయిర్‌స్పీడ్ వద్ద 8,000 అడుగుల (2,400 మీ) వద్ద 3.5 గంటలు ఎగురుతుంది. [2] 5-8 డిసెంబర్ 2014 నుండి, ఓరియన్ నావల్ ఎయిర్ వెపన్స్ స్టేషన్ చైనా సరస్సు వద్ద నేషనల్ ఏరోనాటిక్ అసోసియేషన్ సాక్ష్యమిచ్చింది, 2001 లో గ్లోబల్ హాక్ నిర్దేశించిన 30.4 గంటల ఓర్పు రికార్డును బద్దలు కొట్టింది; ఈ విమానం 4,500–10,000 అడుగుల (1,400–3,000 మీ) మధ్య 1,000 పౌండ్లు (450 కిలోల) బ్యాలస్ట్‌తో పేలోడ్‌ను అనుకరించటానికి ప్రయాణించింది. ల్యాండింగ్ తరువాత, ఇది 1,700 ఎల్బి (770 కిలోల) ఇంధనాన్ని కలిగి ఉంది, అదనంగా 37 గంటలు ప్రయాణించడానికి సరిపోతుంది, కాని పరీక్ష కోసం పరిధి లభ్యత యొక్క కిటికీ ద్వారా ఓర్పు పరిమితం చేయబడింది; నలుగురు పైలట్లు విమానంలో తిరిగారు. డిసెంబర్ ఫ్లైట్ ఓరియన్‌కు 18 వ స్థానంలో ఉంది, మొత్తం విమాన గంటలను లాగిన్ చేసింది. నిరంతర నిఘా కోసం ఓరియన్‌ను సేకరించడానికి ఫ్లైట్ వైమానిక దళాన్ని ఒప్పించగలదని అరోరా భావించింది, మరియు కంపెనీ కమ్యూనికేషన్స్ రిలేతో సహా అనేక ఇతర పాత్రలను చూసింది మరియు MQ-4C ట్రిటాన్ నావల్ రీకాన్ UAV కి వ్యతిరేకంగా పోటీ పడటానికి. [3] [6] [6] [6] నటించు ఐదేళ్ల అభివృద్ధి మరియు దాని విమాన ప్రదర్శన కార్యక్రమాన్ని పూర్తి చేసిన తరువాత, సెప్టెంబర్ 2015 నాటికి ఈ విమానం ఒక కంపెనీ హ్యాంగర్‌కు పంపబడింది, వైమానిక దళం దానిని కొనకూడదని నిర్ణయించుకుంది. బడ్జెట్ సమస్యలు, 40 మీ (132 అడుగులు) వింగ్స్పాన్ సహా అనేక కారణాలు ఇవ్వబడ్డాయి, ఇది ఇప్పటికే ఉన్న అనేక ఎయిర్ ఫోర్స్ హాంగర్లలో సరిపోదు, MQ-9 రీపర్‌తో పోలిస్తే తక్కువ వేగం, పేలోడ్ మరియు ఆయుధాల సామర్థ్యం మరియు ప్రధానంగా లోపం బహుళ-రోజు, సుదూర-భూమి మానవరహిత విమానం కోసం కార్యాచరణ అవసరం. సుదూర నిఘా మరియు సముద్ర పెట్రోల్ వంటి మిషన్ల కోసం ఓరియన్‌ను సేవలోకి తీసుకురావడానికి అరోరా అంతర్జాతీయంగా చూస్తోంది. [4] వినియోగదారులకు లీజుకు ఇవ్వడానికి మూడు ఓరియన్స్ వ్యవస్థను నిర్మించడానికి ప్రైవేట్ ఈక్విటీ వనరుల నుండి డబ్బును సేకరించడానికి కంపెనీ ప్రయత్నిస్తోంది. వాటిని కొనుగోలు చేయడంలో వడ్డీ లేనప్పటికీ, విమాన సమయాన్ని వినియోగదారులకు మరియు పోరాట కమాండర్లకు అద్దెకు అద్దెకు అందుబాటులో ఉంచవచ్చు, అందించిన సేవలతో సేవ ప్రాతిపదికన; ఇది యు.ఎస్. స్పెషల్ ఆపరేషన్స్ కమాండ్ (SOCOM) చేత జరిగింది, కాంట్రాక్టర్లు ఎగురవేసిన చాలా చిన్న స్కానేగిల్ డ్రోన్‌ల కోసం ఇన్సిటు నుండి ISR సేవలను కొనుగోలు చేయడం. [8] సెప్టెంబర్ 2016 నాటికి, ఓరియన్ మళ్లీ ఎగరడానికి నిల్వ నుండి బయటకు తీస్తున్నారు. [9] ఒక మూడు వాహనాల వ్యవస్థను నిర్మించడానికి మరియు కాంట్రాక్టర్ యాజమాన్యంలోని లేదా ఆపరేటెడ్ ISR సేవగా మిలటరీకి సామర్థ్యాన్ని అందించడానికి సంస్థ ఒక ప్రణాళికను ఆమోదించింది. కొత్త బ్లాక్ 1 డిజైన్ కొంచెం చిన్న టెయిల్ ప్లేన్ ఉపరితలం వంటి కొన్ని బాహ్య మార్పులను కలిగి ఉంది, అలాగే 2019 చివరి నాటికి అందించే ఇతర నిర్మాణాలు మరియు వ్యవస్థలలో మార్పులు. నిఘా మిషన్లతో ప్రయోగాలు చేయడానికి యు.ఎస్. కోస్ట్ గార్డ్‌తో వరుస ప్రదర్శనలు ప్రణాళిక చేయబడ్డాయి సముద్ర సరిహద్దులపై. [10]</v>
      </c>
      <c r="E34" s="1" t="s">
        <v>723</v>
      </c>
      <c r="F34" s="1" t="str">
        <f>IFERROR(__xludf.DUMMYFUNCTION("GOOGLETRANSLATE(E:E, ""en"", ""te"")"),"Isr ucav")</f>
        <v>Isr ucav</v>
      </c>
      <c r="G34" s="1" t="s">
        <v>155</v>
      </c>
      <c r="H34" s="1" t="str">
        <f>IFERROR(__xludf.DUMMYFUNCTION("GOOGLETRANSLATE(G:G, ""en"", ""te"")"),"అమెరికా")</f>
        <v>అమెరికా</v>
      </c>
      <c r="I34" s="1" t="s">
        <v>724</v>
      </c>
      <c r="J34" s="1" t="str">
        <f>IFERROR(__xludf.DUMMYFUNCTION("GOOGLETRANSLATE(I:I, ""en"", ""te"")"),"అరోరా ఫ్లైట్ సైన్సెస్")</f>
        <v>అరోరా ఫ్లైట్ సైన్సెస్</v>
      </c>
      <c r="K34" s="1" t="s">
        <v>725</v>
      </c>
      <c r="N34" s="3">
        <v>41510.0</v>
      </c>
      <c r="AB34" s="1" t="s">
        <v>726</v>
      </c>
      <c r="AC34" s="2" t="s">
        <v>167</v>
      </c>
      <c r="AD34" s="1" t="s">
        <v>727</v>
      </c>
      <c r="AJ34" s="1">
        <v>1.0</v>
      </c>
    </row>
    <row r="35">
      <c r="A35" s="1" t="s">
        <v>728</v>
      </c>
      <c r="B35" s="1" t="str">
        <f>IFERROR(__xludf.DUMMYFUNCTION("GOOGLETRANSLATE(A:A, ""en"", ""te"")"),"JSSG UAV")</f>
        <v>JSSG UAV</v>
      </c>
      <c r="C35" s="1" t="s">
        <v>729</v>
      </c>
      <c r="D35" s="1" t="str">
        <f>IFERROR(__xludf.DUMMYFUNCTION("GOOGLETRANSLATE(C:C, ""en"", ""te"")"),"JSSG UAV లు జియాంగ్సు షెంగూ మానవరహిత వైమానిక వాహన సాంకేతిక కో. UAV ఇంతకు ముందు అభివృద్ధి చెందింది. HT PS UAV యొక్క విజయవంతమైన అభివృద్ధి మరియు విస్తరణ తరువాత చట్ట అమలు UAV లకు స్థానిక డిమాండ్ పెరిగింది, కాని UAV లను ఉత్పత్తి చేయడానికి వారి ఖాళీ సమయంలో పనిచ"&amp;"ేసే అనేక మంది పోలీసు అధికారుల వ్యాపార నమూనా స్పష్టంగా తగినది కాదు లేదా ఆధునికలో మార్కెట్ డిమాండ్‌ను తీర్చలేకపోయింది ఆర్థిక వ్యవస్థ. తత్ఫలితంగా, చట్ట అమలు అనువర్తనాల కోసం యుఎవిఎస్ యొక్క అభివృద్ధి, ఉత్పత్తి మరియు అమ్మకపు సేవలను నిర్వహించడానికి ఒక సంస్థ JSSG"&amp;" ఏర్పడింది, మరియు 2015 నాటికి, అభివృద్ధి చేసిన అన్ని UAV లు మల్టీరోటర్లు. చైనా యొక్క మానవరహిత వైమానిక వాహనాల జాబితా మానవరహిత వైమానిక వాహనంపై ఈ వ్యాసం ఒక స్టబ్. వికీపీడియా విస్తరించడం ద్వారా మీరు సహాయపడవచ్చు.")</f>
        <v>JSSG UAV లు జియాంగ్సు షెంగూ మానవరహిత వైమానిక వాహన సాంకేతిక కో. UAV ఇంతకు ముందు అభివృద్ధి చెందింది. HT PS UAV యొక్క విజయవంతమైన అభివృద్ధి మరియు విస్తరణ తరువాత చట్ట అమలు UAV లకు స్థానిక డిమాండ్ పెరిగింది, కాని UAV లను ఉత్పత్తి చేయడానికి వారి ఖాళీ సమయంలో పనిచేసే అనేక మంది పోలీసు అధికారుల వ్యాపార నమూనా స్పష్టంగా తగినది కాదు లేదా ఆధునికలో మార్కెట్ డిమాండ్‌ను తీర్చలేకపోయింది ఆర్థిక వ్యవస్థ. తత్ఫలితంగా, చట్ట అమలు అనువర్తనాల కోసం యుఎవిఎస్ యొక్క అభివృద్ధి, ఉత్పత్తి మరియు అమ్మకపు సేవలను నిర్వహించడానికి ఒక సంస్థ JSSG ఏర్పడింది, మరియు 2015 నాటికి, అభివృద్ధి చేసిన అన్ని UAV లు మల్టీరోటర్లు. చైనా యొక్క మానవరహిత వైమానిక వాహనాల జాబితా మానవరహిత వైమానిక వాహనంపై ఈ వ్యాసం ఒక స్టబ్. వికీపీడియా విస్తరించడం ద్వారా మీరు సహాయపడవచ్చు.</v>
      </c>
      <c r="E35" s="1" t="s">
        <v>730</v>
      </c>
      <c r="F35" s="1" t="str">
        <f>IFERROR(__xludf.DUMMYFUNCTION("GOOGLETRANSLATE(E:E, ""en"", ""te"")"),"ఉవ్")</f>
        <v>ఉవ్</v>
      </c>
      <c r="G35" s="1" t="s">
        <v>731</v>
      </c>
      <c r="H35" s="1" t="str">
        <f>IFERROR(__xludf.DUMMYFUNCTION("GOOGLETRANSLATE(G:G, ""en"", ""te"")"),"చైనా")</f>
        <v>చైనా</v>
      </c>
      <c r="I35" s="1" t="s">
        <v>732</v>
      </c>
      <c r="J35" s="1" t="str">
        <f>IFERROR(__xludf.DUMMYFUNCTION("GOOGLETRANSLATE(I:I, ""en"", ""te"")"),"JSSG")</f>
        <v>JSSG</v>
      </c>
      <c r="K35" s="2" t="s">
        <v>733</v>
      </c>
      <c r="L35" s="1" t="s">
        <v>732</v>
      </c>
      <c r="M35" s="2" t="s">
        <v>733</v>
      </c>
      <c r="N35" s="1">
        <v>2015.0</v>
      </c>
      <c r="AC35" s="2" t="s">
        <v>734</v>
      </c>
      <c r="AD35" s="1" t="s">
        <v>70</v>
      </c>
      <c r="AQ35" s="1" t="s">
        <v>731</v>
      </c>
      <c r="BN35" s="1">
        <v>2015.0</v>
      </c>
      <c r="BP35" s="2" t="s">
        <v>734</v>
      </c>
    </row>
    <row r="36">
      <c r="A36" s="1" t="s">
        <v>735</v>
      </c>
      <c r="B36" s="1" t="str">
        <f>IFERROR(__xludf.DUMMYFUNCTION("GOOGLETRANSLATE(A:A, ""en"", ""te"")"),"విల్లియర్స్ వి")</f>
        <v>విల్లియర్స్ వి</v>
      </c>
      <c r="C36" s="1" t="s">
        <v>736</v>
      </c>
      <c r="D36" s="1" t="str">
        <f>IFERROR(__xludf.DUMMYFUNCTION("GOOGLETRANSLATE(C:C, ""en"", ""te"")"),"విల్లియర్స్ వి, విల్లియర్స్ 5 లేదా విల్లియర్స్ 5 సిఎన్ 2 1920 ల మధ్యలో నిర్మించిన ఫ్రెంచ్ నైట్ ఫైటర్. ఇది ఉత్పత్తిలోకి వెళ్ళలేదు. విల్లియర్స్ V 1926 పారిస్ ఏరో షోలో మొదటిసారి బహిరంగంగా కనిపించింది, బహుశా దాని మొదటి విమానానికి ముందు. సైనిక హోదా CN2 సూచించి"&amp;"నట్లుగా, ఇది రెండు-సీట్ల చాస్సర్ డి న్యూట్ లేదా నైట్ ఫైటర్, ఇది విమానయాన మిలిటైర్ స్పెసిఫికేషన్‌కు రూపొందించబడింది మరియు నిర్మించబడింది. ఇది ఎగువ నుండి వింగ్ స్పాన్ రేషియో సుమారు 1.4 మరియు దిగువ వింగ్ యొక్క తీగ కూడా చిన్నది కాబట్టి ఇది సుమారు 2.2 యొక్క ప్"&amp;"రాంత నిష్పత్తి కలిగిన సెస్క్విప్లేన్. దిగువ రెక్కపై కాక్‌పిట్స్ మరియు చిన్న రూట్ పొడిగింపుల నుండి దృశ్యమానతను పెంచడానికి ఎగువ వింగ్‌లో కటౌట్ చేయడమే కాకుండా, రెండు రెక్కలు ప్రణాళికలో ఖచ్చితంగా దీర్ఘచతురస్రాకారంగా ఉన్నాయి మరియు కలప ఫ్రేమ్డ్ మరియు ఫాబ్రిక్ క"&amp;"ప్పబడి ఉన్నాయి. [1] విల్లియర్స్ V అనేది ప్రతి వైపు ఒకే బే బైప్‌లేన్, ఇది ఒకే, ఫెయిర్‌డ్ డ్యూరాలిమిన్ ఇంటర్‌ప్లేన్ స్ట్రట్ చేత కలుపుతారు, ఇది ఎగువ ఓవర్‌హాంగ్‌కు మద్దతుగా మరియు ముందుకు సాగడానికి మరియు గణనీయమైన అస్థిరత కారణంగా ముందుకు సాగండి. [1] [2] నాలుగు "&amp;"కాబేన్ స్ట్రట్స్ ఫ్యూజ్‌లేజ్‌కు దగ్గరగా ఉన్న ఎగువ సెంటర్ విభాగానికి మద్దతు ఇచ్చాయి. ఐలెరాన్లు ఎగువ రెక్కపై మాత్రమే అమర్చబడ్డాయి. [1] విల్లియర్స్ వి యొక్క ఫ్యూజ్‌లేజ్ ఒక ఫ్లాట్ సైడెడ్, ప్లైవుడ్ కవర్డ్ మోనోకోక్. దీని ఇంజిన్ 340 కిలోవాట్ల (450 హెచ్‌పి) వాటర్"&amp;" కౌలింగ్‌లో W-12 లోరైన్-డైట్రిచ్ 12EB ని చల్లబరిచింది, ఇది మూడు వేర్వేరు సిలిండర్ బ్లాక్‌ల రూపురేఖలను అనుసరించింది. పైలట్ యొక్క ఓపెన్ కాక్‌పిట్ వెనుకంజలో ఉన్న అంచు కంటే ముందుంది, అప్పర్ వింగ్ కటౌట్ కింద, గన్నర్ వెనుక ఉంది. పైలట్ ఒక జత స్థిర సమకాలీకరించిన "&amp;"7.7 మిమీ (0.303 అంగుళాలు) విక్కర్స్ మెషిన్ గన్స్ ప్రొపెల్లర్ డిస్క్ ద్వారా కాల్చాడు మరియు గన్నర్ ఒక జత 7.7 మిమీ (0.303 అంగుళాలు) లూయిస్ తుపాకులను సౌకర్యవంతమైన మౌంట్‌లో అందించారు. [1] తోక యూనిట్ సాంప్రదాయంగా ఉంది, విస్తృత తీగతో, క్లిప్డ్ త్రిభుజాకార టెయిల్"&amp;"‌ప్లేన్ ఫ్యూజ్‌లేజ్ పైన అమర్చబడి, ప్రత్యేక, గుండ్రని అంచు, సమతుల్య ఎలివేటర్లతో అమర్చబడి ఉంటుంది. త్రిభుజాకార ఫిన్ మరియు దాని పూర్తి, గుండ్రని అసమతుల్య చుక్కాని కూడా విస్తృతంగా ఉన్నాయి, చుక్కాని కీల్‌కు విస్తరించి, ఎలివేటర్ల మధ్య అంతరంలో పనిచేస్తుంది. నైట్"&amp;" ఫైటర్ సాంప్రదాయిక టెయిల్స్కిడ్ ల్యాండింగ్ గేర్‌ను ఒకే ఇరుసుపై మెయిన్‌వీల్స్‌తో పరిష్కరించాడు, దిగువ ఫ్యూజ్‌లేజ్ నుండి ఒక జత V- స్ట్రట్‌లకు పుట్టుకొచ్చాయి, ఇది పొడవైన తోకతో సహాయపడుతుంది. [1] నైట్ ఫైటర్‌ను మిలటరీ విల్ 5 సిఎన్ 2 హోదా కింద పరీక్షించారు, కాని"&amp;" ఉత్పత్తిని సమర్థించడానికి ఇప్పటికే ఉన్న పరికరాలపై తగినంత మెరుగుదల ఇవ్వలేదని కనుగొనబడింది. [1] గ్రీన్ మరియు స్వాన్బరో నుండి డేటా (1994) పే .582 [1] సాధారణ లక్షణాలు పనితీరు ఆయుధాలు")</f>
        <v>విల్లియర్స్ వి, విల్లియర్స్ 5 లేదా విల్లియర్స్ 5 సిఎన్ 2 1920 ల మధ్యలో నిర్మించిన ఫ్రెంచ్ నైట్ ఫైటర్. ఇది ఉత్పత్తిలోకి వెళ్ళలేదు. విల్లియర్స్ V 1926 పారిస్ ఏరో షోలో మొదటిసారి బహిరంగంగా కనిపించింది, బహుశా దాని మొదటి విమానానికి ముందు. సైనిక హోదా CN2 సూచించినట్లుగా, ఇది రెండు-సీట్ల చాస్సర్ డి న్యూట్ లేదా నైట్ ఫైటర్, ఇది విమానయాన మిలిటైర్ స్పెసిఫికేషన్‌కు రూపొందించబడింది మరియు నిర్మించబడింది. ఇది ఎగువ నుండి వింగ్ స్పాన్ రేషియో సుమారు 1.4 మరియు దిగువ వింగ్ యొక్క తీగ కూడా చిన్నది కాబట్టి ఇది సుమారు 2.2 యొక్క ప్రాంత నిష్పత్తి కలిగిన సెస్క్విప్లేన్. దిగువ రెక్కపై కాక్‌పిట్స్ మరియు చిన్న రూట్ పొడిగింపుల నుండి దృశ్యమానతను పెంచడానికి ఎగువ వింగ్‌లో కటౌట్ చేయడమే కాకుండా, రెండు రెక్కలు ప్రణాళికలో ఖచ్చితంగా దీర్ఘచతురస్రాకారంగా ఉన్నాయి మరియు కలప ఫ్రేమ్డ్ మరియు ఫాబ్రిక్ కప్పబడి ఉన్నాయి. [1] విల్లియర్స్ V అనేది ప్రతి వైపు ఒకే బే బైప్‌లేన్, ఇది ఒకే, ఫెయిర్‌డ్ డ్యూరాలిమిన్ ఇంటర్‌ప్లేన్ స్ట్రట్ చేత కలుపుతారు, ఇది ఎగువ ఓవర్‌హాంగ్‌కు మద్దతుగా మరియు ముందుకు సాగడానికి మరియు గణనీయమైన అస్థిరత కారణంగా ముందుకు సాగండి. [1] [2] నాలుగు కాబేన్ స్ట్రట్స్ ఫ్యూజ్‌లేజ్‌కు దగ్గరగా ఉన్న ఎగువ సెంటర్ విభాగానికి మద్దతు ఇచ్చాయి. ఐలెరాన్లు ఎగువ రెక్కపై మాత్రమే అమర్చబడ్డాయి. [1] విల్లియర్స్ వి యొక్క ఫ్యూజ్‌లేజ్ ఒక ఫ్లాట్ సైడెడ్, ప్లైవుడ్ కవర్డ్ మోనోకోక్. దీని ఇంజిన్ 340 కిలోవాట్ల (450 హెచ్‌పి) వాటర్ కౌలింగ్‌లో W-12 లోరైన్-డైట్రిచ్ 12EB ని చల్లబరిచింది, ఇది మూడు వేర్వేరు సిలిండర్ బ్లాక్‌ల రూపురేఖలను అనుసరించింది. పైలట్ యొక్క ఓపెన్ కాక్‌పిట్ వెనుకంజలో ఉన్న అంచు కంటే ముందుంది, అప్పర్ వింగ్ కటౌట్ కింద, గన్నర్ వెనుక ఉంది. పైలట్ ఒక జత స్థిర సమకాలీకరించిన 7.7 మిమీ (0.303 అంగుళాలు) విక్కర్స్ మెషిన్ గన్స్ ప్రొపెల్లర్ డిస్క్ ద్వారా కాల్చాడు మరియు గన్నర్ ఒక జత 7.7 మిమీ (0.303 అంగుళాలు) లూయిస్ తుపాకులను సౌకర్యవంతమైన మౌంట్‌లో అందించారు. [1] తోక యూనిట్ సాంప్రదాయంగా ఉంది, విస్తృత తీగతో, క్లిప్డ్ త్రిభుజాకార టెయిల్‌ప్లేన్ ఫ్యూజ్‌లేజ్ పైన అమర్చబడి, ప్రత్యేక, గుండ్రని అంచు, సమతుల్య ఎలివేటర్లతో అమర్చబడి ఉంటుంది. త్రిభుజాకార ఫిన్ మరియు దాని పూర్తి, గుండ్రని అసమతుల్య చుక్కాని కూడా విస్తృతంగా ఉన్నాయి, చుక్కాని కీల్‌కు విస్తరించి, ఎలివేటర్ల మధ్య అంతరంలో పనిచేస్తుంది. నైట్ ఫైటర్ సాంప్రదాయిక టెయిల్స్కిడ్ ల్యాండింగ్ గేర్‌ను ఒకే ఇరుసుపై మెయిన్‌వీల్స్‌తో పరిష్కరించాడు, దిగువ ఫ్యూజ్‌లేజ్ నుండి ఒక జత V- స్ట్రట్‌లకు పుట్టుకొచ్చాయి, ఇది పొడవైన తోకతో సహాయపడుతుంది. [1] నైట్ ఫైటర్‌ను మిలటరీ విల్ 5 సిఎన్ 2 హోదా కింద పరీక్షించారు, కాని ఉత్పత్తిని సమర్థించడానికి ఇప్పటికే ఉన్న పరికరాలపై తగినంత మెరుగుదల ఇవ్వలేదని కనుగొనబడింది. [1] గ్రీన్ మరియు స్వాన్బరో నుండి డేటా (1994) పే .582 [1] సాధారణ లక్షణాలు పనితీరు ఆయుధాలు</v>
      </c>
      <c r="E36" s="1" t="s">
        <v>737</v>
      </c>
      <c r="F36" s="1" t="str">
        <f>IFERROR(__xludf.DUMMYFUNCTION("GOOGLETRANSLATE(E:E, ""en"", ""te"")"),"నైట్ ఫైటర్")</f>
        <v>నైట్ ఫైటర్</v>
      </c>
      <c r="G36" s="1" t="s">
        <v>113</v>
      </c>
      <c r="H36" s="1" t="str">
        <f>IFERROR(__xludf.DUMMYFUNCTION("GOOGLETRANSLATE(G:G, ""en"", ""te"")"),"ఫ్రాన్స్")</f>
        <v>ఫ్రాన్స్</v>
      </c>
      <c r="I36" s="1" t="s">
        <v>738</v>
      </c>
      <c r="J36" s="1" t="str">
        <f>IFERROR(__xludf.DUMMYFUNCTION("GOOGLETRANSLATE(I:I, ""en"", ""te"")"),"అటెలియర్స్ డి'ఏవియేషన్ ఫ్రాంకోయిస్ విల్లియర్స్")</f>
        <v>అటెలియర్స్ డి'ఏవియేషన్ ఫ్రాంకోయిస్ విల్లియర్స్</v>
      </c>
      <c r="K36" s="1" t="s">
        <v>739</v>
      </c>
      <c r="N36" s="6">
        <v>9679.0</v>
      </c>
      <c r="O36" s="1" t="s">
        <v>740</v>
      </c>
      <c r="P36" s="1" t="s">
        <v>741</v>
      </c>
      <c r="R36" s="1" t="s">
        <v>742</v>
      </c>
      <c r="S36" s="1" t="s">
        <v>743</v>
      </c>
      <c r="T36" s="1" t="s">
        <v>744</v>
      </c>
      <c r="U36" s="1" t="s">
        <v>745</v>
      </c>
      <c r="V36" s="1" t="s">
        <v>746</v>
      </c>
      <c r="W36" s="1" t="s">
        <v>747</v>
      </c>
      <c r="Y36" s="1" t="s">
        <v>748</v>
      </c>
      <c r="AA36" s="1" t="s">
        <v>749</v>
      </c>
      <c r="AB36" s="1" t="s">
        <v>750</v>
      </c>
      <c r="AC36" s="2" t="s">
        <v>713</v>
      </c>
      <c r="AE36" s="1" t="s">
        <v>751</v>
      </c>
      <c r="AJ36" s="1">
        <v>1.0</v>
      </c>
      <c r="BZ36" s="1" t="s">
        <v>752</v>
      </c>
      <c r="CA36" s="1" t="s">
        <v>753</v>
      </c>
    </row>
    <row r="37">
      <c r="A37" s="1" t="s">
        <v>754</v>
      </c>
      <c r="B37" s="1" t="str">
        <f>IFERROR(__xludf.DUMMYFUNCTION("GOOGLETRANSLATE(A:A, ""en"", ""te"")"),"ప్రసార సమయ ఆవిష్కరణ")</f>
        <v>ప్రసార సమయ ఆవిష్కరణ</v>
      </c>
      <c r="C37" s="1" t="s">
        <v>755</v>
      </c>
      <c r="D37" s="1" t="str">
        <f>IFERROR(__xludf.DUMMYFUNCTION("GOOGLETRANSLATE(C:C, ""en"", ""te"")"),"ఎయిర్‌టైమ్ డిస్కవరీ ఒక ఆస్ట్రేలియన్ పారామోటర్, దీనిని శక్తితో కూడిన పారాగ్లైడింగ్ కోసం క్వీన్స్లాండ్లోని ఎయిర్లీ బీచ్ యొక్క ప్రసార ఉత్పత్తులచే రూపొందించబడింది మరియు ఉత్పత్తి చేయబడింది. ఇప్పుడు ఉత్పత్తిలో లేదు, ఇది అందుబాటులో ఉన్నప్పుడు విమానం పూర్తి మరియు"&amp;" సిద్ధంగా ఉండటానికి సిద్ధంగా ఉంది. [1] ఈ ఆవిష్కరణ యుఎస్ ఫార్ 103 అల్ట్రాలైట్ వెహికల్స్ నిబంధనలతో పాటు ఆస్ట్రేలియన్ మరియు యూరోపియన్ నిబంధనలను పాటించేలా రూపొందించబడింది. ఇది పారాగ్లైడర్ తరహా వింగ్, సింగిల్-ప్లేస్ వసతి మరియు పషర్ కాన్ఫిగరేషన్‌లో ఒకే ఇంజిన్ క"&amp;"లిగి ఉంది. ఇంధన ట్యాంక్ సామర్థ్యం 9 లీటర్లు (2.0 ఇంప్ గల్; 2.4 యుఎస్ గాల్). ఈ విమానం అల్యూమినియం కలయిక నుండి నిర్మించబడింది, వీటిలో అల్యూమినియం చట్రం సహా రవాణా కోసం నాలుగు భాగాలుగా విభజించవచ్చు. [1] ఈ ఆవిష్కరణ మొదట రాడ్నే రాకెట్ 120 ఇంజిన్‌ను ఉపయోగించింది"&amp;", అయితే ఇది తగినంత విద్యుత్ ఉత్పత్తి కారణంగా పెద్ద ఇంజిన్ల ద్వారా భర్తీ చేయబడింది. [1] అన్ని పారామోటర్ల మాదిరిగానే, టేకాఫ్ మరియు ల్యాండింగ్ కాలినడకన సాధించబడుతుంది. పందిరి బ్రేక్‌లను అమలు చేసే, రోల్ మరియు యావ్ సృష్టించే హ్యాండిల్స్ ద్వారా ఇన్ఫ్లైట్ స్టీరి"&amp;"ంగ్ సాధించబడుతుంది. [1] బెర్ట్రాండ్ నుండి డేటా [1] సాధారణ లక్షణాలు")</f>
        <v>ఎయిర్‌టైమ్ డిస్కవరీ ఒక ఆస్ట్రేలియన్ పారామోటర్, దీనిని శక్తితో కూడిన పారాగ్లైడింగ్ కోసం క్వీన్స్లాండ్లోని ఎయిర్లీ బీచ్ యొక్క ప్రసార ఉత్పత్తులచే రూపొందించబడింది మరియు ఉత్పత్తి చేయబడింది. ఇప్పుడు ఉత్పత్తిలో లేదు, ఇది అందుబాటులో ఉన్నప్పుడు విమానం పూర్తి మరియు సిద్ధంగా ఉండటానికి సిద్ధంగా ఉంది. [1] ఈ ఆవిష్కరణ యుఎస్ ఫార్ 103 అల్ట్రాలైట్ వెహికల్స్ నిబంధనలతో పాటు ఆస్ట్రేలియన్ మరియు యూరోపియన్ నిబంధనలను పాటించేలా రూపొందించబడింది. ఇది పారాగ్లైడర్ తరహా వింగ్, సింగిల్-ప్లేస్ వసతి మరియు పషర్ కాన్ఫిగరేషన్‌లో ఒకే ఇంజిన్ కలిగి ఉంది. ఇంధన ట్యాంక్ సామర్థ్యం 9 లీటర్లు (2.0 ఇంప్ గల్; 2.4 యుఎస్ గాల్). ఈ విమానం అల్యూమినియం కలయిక నుండి నిర్మించబడింది, వీటిలో అల్యూమినియం చట్రం సహా రవాణా కోసం నాలుగు భాగాలుగా విభజించవచ్చు. [1] ఈ ఆవిష్కరణ మొదట రాడ్నే రాకెట్ 120 ఇంజిన్‌ను ఉపయోగించింది, అయితే ఇది తగినంత విద్యుత్ ఉత్పత్తి కారణంగా పెద్ద ఇంజిన్ల ద్వారా భర్తీ చేయబడింది.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37" s="1" t="s">
        <v>756</v>
      </c>
      <c r="F37" s="1" t="str">
        <f>IFERROR(__xludf.DUMMYFUNCTION("GOOGLETRANSLATE(E:E, ""en"", ""te"")"),"పారామోటర్")</f>
        <v>పారామోటర్</v>
      </c>
      <c r="G37" s="1" t="s">
        <v>757</v>
      </c>
      <c r="H37" s="1" t="str">
        <f>IFERROR(__xludf.DUMMYFUNCTION("GOOGLETRANSLATE(G:G, ""en"", ""te"")"),"ఆస్ట్రేలియా")</f>
        <v>ఆస్ట్రేలియా</v>
      </c>
      <c r="I37" s="1" t="s">
        <v>758</v>
      </c>
      <c r="J37" s="1" t="str">
        <f>IFERROR(__xludf.DUMMYFUNCTION("GOOGLETRANSLATE(I:I, ""en"", ""te"")"),"ప్రసార ఉత్పత్తులు")</f>
        <v>ప్రసార ఉత్పత్తులు</v>
      </c>
      <c r="K37" s="1" t="s">
        <v>759</v>
      </c>
      <c r="O37" s="1" t="s">
        <v>135</v>
      </c>
      <c r="T37" s="1" t="s">
        <v>760</v>
      </c>
      <c r="V37" s="1" t="s">
        <v>761</v>
      </c>
      <c r="AB37" s="2" t="s">
        <v>762</v>
      </c>
      <c r="AC37" s="2" t="s">
        <v>763</v>
      </c>
      <c r="AD37" s="1" t="s">
        <v>581</v>
      </c>
      <c r="AE37" s="1" t="s">
        <v>764</v>
      </c>
      <c r="AF37" s="1" t="s">
        <v>765</v>
      </c>
      <c r="AR37" s="1" t="s">
        <v>253</v>
      </c>
    </row>
    <row r="38">
      <c r="A38" s="1" t="s">
        <v>766</v>
      </c>
      <c r="B38" s="1" t="str">
        <f>IFERROR(__xludf.DUMMYFUNCTION("GOOGLETRANSLATE(A:A, ""en"", ""te"")"),"డి మారికే 2")</f>
        <v>డి మారికే 2</v>
      </c>
      <c r="C38" s="1" t="s">
        <v>767</v>
      </c>
      <c r="D38" s="1" t="str">
        <f>IFERROR(__xludf.DUMMYFUNCTION("GOOGLETRANSLATE(C:C, ""en"", ""te"")"),"డి మారికే 2 సి 1 అనేది ఫ్రాన్స్‌లో రూపొందించిన సింగిల్ సీట్ బిప్‌లేన్ ఫైటర్ మరియు మొదట 1919 లో ఎగిరింది. ఇది ఉత్పత్తిలోకి వెళ్ళలేదు. డి మారికే 2 మొదటి ప్రపంచ యుద్ధం చివరిలో రూపొందించబడింది మరియు 1919 ప్రారంభంలో ప్రయాణించారు. ఇది తక్కువ కారక నిష్పత్తి, దీర"&amp;"్ఘచతురస్రాకార ప్రణాళిక రెక్కలతో కూడిన ఒకే బే సెస్క్విప్లేన్. ప్రతి వైపున ఒక సమాంతర జత ఫార్వర్డ్-లీనింగ్ ఇంటర్‌ప్లేన్ స్ట్రట్‌లు బేలను నిర్వచించాయి, మరొకటి, బాహ్య-సన్నని జత వారి బేస్ వద్ద పాతుకుపోయింది. తరువాతి కేంద్రం చిన్న కాబేన్ స్ట్రట్స్ ద్వారా ఎగువ ఫ్"&amp;"యూజ్‌లేజ్‌కు జతచేయబడింది. ఎగువ రెక్కలు మాత్రమే ఐలెరాన్లను తీసుకువెళ్ళాయి; కొమ్ము బ్యాలెన్స్‌లను రూపొందించడానికి వారి చిట్కాల వద్ద వేగంగా విస్తరించే ముందు ఇవి బాహ్యంగా తీగలో ఇరుకైనవి. [1] గుండ్రని ఎగువ మరియు దిగువ డెక్కింగ్ ఉన్నప్పటికీ, ఫైటర్ యొక్క ఫ్యూజ్‌"&amp;"లేజ్ ఫ్లాట్ సైడెడ్. అసలు ఉద్దేశ్యం లిబర్టీ ఎల్ -8 వి -8 ఇంజిన్‌కు సరిపోతుంది, కాని ఈ మోడల్‌తో సమస్యలు 220 కిలోవాట్ల (300 హెచ్‌పి) హిస్పానో-సుయిజా 8 ఎఫ్బిని వ్యవస్థాపించడానికి దారితీశాయి, కూడా వి -8. ప్రొపెల్లర్ డిస్క్ ద్వారా కాల్పులు జరిపిన (7.7 మిమీ) విక"&amp;"్కర్స్ మెషిన్ గన్లలో ఒక జత స్థిర, సమకాలీకరించబడింది. పైలట్ యొక్క ఓపెన్ కాక్‌పిట్ అతన్ని ఎగువ వింగ్ యొక్క వెనుకంజలో ఉంచారు, ఇది అతని పైకి ఉన్న దృశ్య క్షేత్రాన్ని మెరుగుపరచడానికి లోతైన కటౌట్ కలిగి ఉంది; దిగువ రెక్కలు క్రిందికి దృష్టి కోసం చిన్న కటౌట్లను కలి"&amp;"గి ఉన్నాయి. [1] డి మారికే యొక్క సామ్రాజ్యం సాంప్రదాయికమైనది, త్రిభుజాకార టెయిల్‌ప్లేన్ మరియు సెమీ-ఎలిప్టికల్ ఎలివేటర్ ఫ్యూజ్‌లేజ్ పైన అమర్చబడి ఉన్నాయి. విస్తృత తీగ ఫిన్ కూడా త్రిభుజాకారంగా ఉంది, గుండ్రని చుక్కానితో, ఇది కీల్‌కు దిగి, ఎలివేటర్ల మధ్య పనిచేస"&amp;"ింది. ఇది ఒకే ఇరుసుపై దాని మెయిన్‌వీల్స్‌తో స్థిరమైన, తోకను అండర్ క్యారేజీని కలిగి ఉంది, ఇది దిగువ ఫ్యూజ్‌లేజ్ నుండి రెండు జతల V- స్ట్రట్‌ల మధ్య రబ్బరు ఒక విలోమ క్రాస్ బ్రేస్‌కు పుట్టుకొచ్చింది. [1] లెబ్యూ చేత పైలట్ చేయబడిన, డి మారికే 2 విల్లాకౌబ్లేలో జరి"&amp;"గిన 1919 సర్వీస్ ఏజ్రోనటిక్ పోటీలో సి 1 లేదా సింగిల్ సీట్ ఫైటర్ విభాగంలో పాల్గొంది. ఇది అక్కడ వేగవంతమైన విమానం అయినప్పటికీ, న్యూపోర్ట్ 29 కి ఉత్పత్తి ఒప్పందం లభించింది మరియు ఎక్కువ డి మారికే 2 లు నిర్మించబడలేదు. [1] లోన్ ప్రోటోటైప్‌ను 1920 లో చాలా వరకు సే"&amp;"కా ఎడ్మండ్ డి మారాయ్ అమ్మకం కోసం ప్రచారం చేశారు, [2] దాని అంతిమ విధి నమోదు చేయబడలేదు. పూర్తి బుక్ ఆఫ్ ఫైటర్స్ నుండి డేటా, [1] మొదటి ప్రపంచ యుద్ధం యొక్క ఫ్రెంచ్ విమానం, [3] జేన్ యొక్క ఆల్ ది వరల్డ్ విమానాలు 1919 [4] సాధారణ లక్షణాల పనితీరు ఆయుధాలు")</f>
        <v>డి మారికే 2 సి 1 అనేది ఫ్రాన్స్‌లో రూపొందించిన సింగిల్ సీట్ బిప్‌లేన్ ఫైటర్ మరియు మొదట 1919 లో ఎగిరింది. ఇది ఉత్పత్తిలోకి వెళ్ళలేదు. డి మారికే 2 మొదటి ప్రపంచ యుద్ధం చివరిలో రూపొందించబడింది మరియు 1919 ప్రారంభంలో ప్రయాణించారు. ఇది తక్కువ కారక నిష్పత్తి, దీర్ఘచతురస్రాకార ప్రణాళిక రెక్కలతో కూడిన ఒకే బే సెస్క్విప్లేన్. ప్రతి వైపున ఒక సమాంతర జత ఫార్వర్డ్-లీనింగ్ ఇంటర్‌ప్లేన్ స్ట్రట్‌లు బేలను నిర్వచించాయి, మరొకటి, బాహ్య-సన్నని జత వారి బేస్ వద్ద పాతుకుపోయింది. తరువాతి కేంద్రం చిన్న కాబేన్ స్ట్రట్స్ ద్వారా ఎగువ ఫ్యూజ్‌లేజ్‌కు జతచేయబడింది. ఎగువ రెక్కలు మాత్రమే ఐలెరాన్లను తీసుకువెళ్ళాయి; కొమ్ము బ్యాలెన్స్‌లను రూపొందించడానికి వారి చిట్కాల వద్ద వేగంగా విస్తరించే ముందు ఇవి బాహ్యంగా తీగలో ఇరుకైనవి. [1] గుండ్రని ఎగువ మరియు దిగువ డెక్కింగ్ ఉన్నప్పటికీ, ఫైటర్ యొక్క ఫ్యూజ్‌లేజ్ ఫ్లాట్ సైడెడ్. అసలు ఉద్దేశ్యం లిబర్టీ ఎల్ -8 వి -8 ఇంజిన్‌కు సరిపోతుంది, కాని ఈ మోడల్‌తో సమస్యలు 220 కిలోవాట్ల (300 హెచ్‌పి) హిస్పానో-సుయిజా 8 ఎఫ్బిని వ్యవస్థాపించడానికి దారితీశాయి, కూడా వి -8. ప్రొపెల్లర్ డిస్క్ ద్వారా కాల్పులు జరిపిన (7.7 మిమీ) విక్కర్స్ మెషిన్ గన్లలో ఒక జత స్థిర, సమకాలీకరించబడింది. పైలట్ యొక్క ఓపెన్ కాక్‌పిట్ అతన్ని ఎగువ వింగ్ యొక్క వెనుకంజలో ఉంచారు, ఇది అతని పైకి ఉన్న దృశ్య క్షేత్రాన్ని మెరుగుపరచడానికి లోతైన కటౌట్ కలిగి ఉంది; దిగువ రెక్కలు క్రిందికి దృష్టి కోసం చిన్న కటౌట్లను కలిగి ఉన్నాయి. [1] డి మారికే యొక్క సామ్రాజ్యం సాంప్రదాయికమైనది, త్రిభుజాకార టెయిల్‌ప్లేన్ మరియు సెమీ-ఎలిప్టికల్ ఎలివేటర్ ఫ్యూజ్‌లేజ్ పైన అమర్చబడి ఉన్నాయి. విస్తృత తీగ ఫిన్ కూడా త్రిభుజాకారంగా ఉంది, గుండ్రని చుక్కానితో, ఇది కీల్‌కు దిగి, ఎలివేటర్ల మధ్య పనిచేసింది. ఇది ఒకే ఇరుసుపై దాని మెయిన్‌వీల్స్‌తో స్థిరమైన, తోకను అండర్ క్యారేజీని కలిగి ఉంది, ఇది దిగువ ఫ్యూజ్‌లేజ్ నుండి రెండు జతల V- స్ట్రట్‌ల మధ్య రబ్బరు ఒక విలోమ క్రాస్ బ్రేస్‌కు పుట్టుకొచ్చింది. [1] లెబ్యూ చేత పైలట్ చేయబడిన, డి మారికే 2 విల్లాకౌబ్లేలో జరిగిన 1919 సర్వీస్ ఏజ్రోనటిక్ పోటీలో సి 1 లేదా సింగిల్ సీట్ ఫైటర్ విభాగంలో పాల్గొంది. ఇది అక్కడ వేగవంతమైన విమానం అయినప్పటికీ, న్యూపోర్ట్ 29 కి ఉత్పత్తి ఒప్పందం లభించింది మరియు ఎక్కువ డి మారికే 2 లు నిర్మించబడలేదు. [1] లోన్ ప్రోటోటైప్‌ను 1920 లో చాలా వరకు సేకా ఎడ్మండ్ డి మారాయ్ అమ్మకం కోసం ప్రచారం చేశారు, [2] దాని అంతిమ విధి నమోదు చేయబడలేదు. పూర్తి బుక్ ఆఫ్ ఫైటర్స్ నుండి డేటా, [1] మొదటి ప్రపంచ యుద్ధం యొక్క ఫ్రెంచ్ విమానం, [3] జేన్ యొక్క ఆల్ ది వరల్డ్ విమానాలు 1919 [4] సాధారణ లక్షణాల పనితీరు ఆయుధాలు</v>
      </c>
      <c r="E38" s="1" t="s">
        <v>768</v>
      </c>
      <c r="F38" s="1" t="str">
        <f>IFERROR(__xludf.DUMMYFUNCTION("GOOGLETRANSLATE(E:E, ""en"", ""te"")"),"సింగిల్ సీట్ ఫైటర్ విమానం")</f>
        <v>సింగిల్ సీట్ ఫైటర్ విమానం</v>
      </c>
      <c r="G38" s="1" t="s">
        <v>113</v>
      </c>
      <c r="H38" s="1" t="str">
        <f>IFERROR(__xludf.DUMMYFUNCTION("GOOGLETRANSLATE(G:G, ""en"", ""te"")"),"ఫ్రాన్స్")</f>
        <v>ఫ్రాన్స్</v>
      </c>
      <c r="I38" s="1" t="s">
        <v>769</v>
      </c>
      <c r="J38" s="1" t="str">
        <f>IFERROR(__xludf.DUMMYFUNCTION("GOOGLETRANSLATE(I:I, ""en"", ""te"")"),"SAECA EDMUND DE MARRAYE")</f>
        <v>SAECA EDMUND DE MARRAYE</v>
      </c>
      <c r="N38" s="1" t="s">
        <v>770</v>
      </c>
      <c r="O38" s="1" t="s">
        <v>135</v>
      </c>
      <c r="P38" s="1" t="s">
        <v>771</v>
      </c>
      <c r="Q38" s="1" t="s">
        <v>772</v>
      </c>
      <c r="S38" s="1" t="s">
        <v>773</v>
      </c>
      <c r="U38" s="1" t="s">
        <v>774</v>
      </c>
      <c r="V38" s="1" t="s">
        <v>775</v>
      </c>
      <c r="W38" s="1" t="s">
        <v>776</v>
      </c>
      <c r="AA38" s="1" t="s">
        <v>777</v>
      </c>
      <c r="AB38" s="1" t="s">
        <v>778</v>
      </c>
      <c r="AC38" s="2" t="s">
        <v>713</v>
      </c>
      <c r="AF38" s="1" t="s">
        <v>779</v>
      </c>
      <c r="AJ38" s="1">
        <v>1.0</v>
      </c>
      <c r="AR38" s="1" t="s">
        <v>253</v>
      </c>
      <c r="AS38" s="1">
        <v>3.42</v>
      </c>
      <c r="CA38" s="1" t="s">
        <v>780</v>
      </c>
      <c r="CB38" s="1" t="s">
        <v>781</v>
      </c>
    </row>
    <row r="39">
      <c r="A39" s="1" t="s">
        <v>782</v>
      </c>
      <c r="B39" s="1" t="str">
        <f>IFERROR(__xludf.DUMMYFUNCTION("GOOGLETRANSLATE(A:A, ""en"", ""te"")"),"లెస్ మురియక్స్ 3")</f>
        <v>లెస్ మురియక్స్ 3</v>
      </c>
      <c r="C39" s="1" t="s">
        <v>783</v>
      </c>
      <c r="D39" s="1" t="str">
        <f>IFERROR(__xludf.DUMMYFUNCTION("GOOGLETRANSLATE(C:C, ""en"", ""te"")"),"లెస్ మురియాక్స్ 3 సి .2 మరియు లెస్ మురియక్స్ 4 సి. 1929-31లో వీటిని ఒకేలాంటి సైన్యం సహకార రకాలు, ANF లెస్ మురియక్స్ 130 A.2 మరియు ANF లెస్ మురియక్స్ 131 A.2 గా అభివృద్ధి చేశారు. లెస్ మురియక్స్ 3 సి. ఇది దాదాపు పూర్తిగా డ్యూరాలిమిన్ నిర్మాణాన్ని కలిగి ఉంది"&amp;" మరియు ఫార్వర్డ్ ఫ్యూజ్‌లేజ్ కూడా డ్యూరల్ కవర్ చేయబడింది. రెక్కలు మరియు వెనుక ఫ్యూజ్‌లేజ్ ఫాబ్రిక్ కప్పబడి ఉన్నాయి. [1] దీని రెక్క వారెన్ గిర్డర్ పక్కటెముకలతో రెండు బాక్స్ స్పార్స్ చుట్టూ నిర్మించబడింది. మురియక్స్ అధిక ఎత్తులో పనిచేయడానికి ఉద్దేశించబడింది"&amp;", కాబట్టి రెక్క దాని సమయానికి అధిక కారక నిష్పత్తిని కలిగి ఉంది మరియు బ్రూనెట్ యొక్క సొంత రూపకల్పనలో సన్నని వింగ్ విభాగాన్ని ఉపయోగించింది. ప్రణాళికలో ఇది స్థిరమైన తీగ, సెమీ వృత్తాకార చిట్కాలు మరియు ఫార్వర్డ్ కాక్‌పిట్‌పై వెనుకంజలో ఉన్న అంచులో గుండ్రని కటౌట"&amp;"్‌తో. ఐలెరాన్లు వెనుకంజలో ఉన్న మొత్తాన్ని ఆక్రమించాయి; రోల్ నియంత్రణ కోసం లేదా ల్యాండింగ్ కోసం కాంబర్ మారుతున్న ఫ్లాప్‌లుగా వాటిని భిన్నంగా ఉపయోగించవచ్చు. [1] వింగ్ మౌంటు అసాధారణంగా ఉంది, ఎయిర్‌ఫాయిల్ విభాగం, ప్రతి వైపు ఎన్-ఫారమ్ స్ట్రట్‌లు వింగ్ స్పార్స్"&amp;"‌ను తక్కువ ఫ్యూజ్‌లేజ్‌కు అనుసంధానిస్తాయి, బదులుగా స్వతంత్రంగా రబ్బరు మొలకెత్తిన అండర్ క్యారేజ్ మెయిన్‌వీల్స్‌ను తీసుకువెళ్ళే ఫ్రేమ్‌లకు బదులుగా. ఈ ఫ్రేమ్‌లు, స్ట్రీమ్‌లైన్డ్ ఫెయిరింగ్స్‌లో 2.50 మీ (8 అడుగుల 2 అంగుళాలు) వేరుగా ఉన్నాయి, ఎగువ ఫ్యూజ్‌లేజ్ లా"&amp;"ంగన్‌లను తక్కువ ఎన్-స్ట్రట్‌లతో మరియు విలోమ వి-స్ట్రట్‌లతో కేంద్ర ఫ్యూజ్‌లేజ్ అండర్‌సైడ్‌కు కలుపుతారు. చిన్న, విలోమ V- స్ట్రట్స్ వింగ్ సెంటర్ విభాగాన్ని ఎగువ ఫ్యూజ్‌లేజ్‌కు జతచేయాయి. వింగ్ బ్రేసింగ్ వైర్లు లేవు. [1] మురియక్స్ యొక్క ఫ్యూజ్‌లేజ్ నాలుగు డ్యూ"&amp;"రాలిమిన్ ట్యూబ్ లాంగన్స్ చుట్టూ నిర్మించబడింది, గొట్టపు వికర్ణాలకు సులభంగా మరమ్మతులు చేయబడిన కనెక్షన్లు మరియు ఫార్వర్డ్ భాగాన్ని కవర్ చేసే తొలగించగల ప్యానెల్‌లతో. తొలగించగల రెండు ఇంజిన్ మౌంటులు 440 కిలోవాట్ల (590 హెచ్‌పి) హిస్పానో-సుయిజా 12 హెచ్‌బి వి -12"&amp;" ను అనుమతించాయి, ఈ రకం ఆ -12 500 హెచ్‌పి (దాని అధికారికంగా ఆమోదించబడిన శక్తి) హిస్పానో-సుయిజా, [2] లేదా ఎగా గుర్తించబడింది వాటర్-కూల్డ్ 370 కిలోవాట్ (500 హెచ్‌పి) సాల్మ్సన్ 18 సెం.మీ రేడియల్ ఇంజిన్ [సైటేషన్ అవసరం] అమర్చాలి. రెండు ఇంజిన్ రకాలు ఫ్యూజ్‌లేజ్ "&amp;"అండర్ సైడ్ నుండి సర్దుబాటు చేయగల తేనెగూడు రేడియేటర్‌ను ఉపయోగించాయి మరియు ఇంజిన్ వెనుక మరియు ఇంజిన్ ఫైర్‌వాల్ కంటే ముందు జెట్టిసన్ ట్యాంక్ నుండి ఇంధనాన్ని తినిపించాయి. హిస్పానో వెర్షన్‌ను లెస్ మురియక్స్ 3 మరియు సాల్మ్సన్ పవర్డ్ ఎయిర్‌క్రాఫ్ట్ లెస్ మురియాక్"&amp;"స్ 4, [1] రెండో 78 కిలోలు (172 ఎల్బి) భారీగా నియమించారు. [3] పైలట్ యొక్క ఓపెన్ కాక్‌పిట్ వింగ్ కటౌట్ కింద ఉంది, గన్నర్/పరిశీలకుడు, కెమెరాలు, చిన్న బాంబులు మరియు తుపాకులతో కూడిన, అతని వెనుక విడిగా. తోక యూనిట్ సాంప్రదాయంగా ఉంది, ఫ్లైట్-సర్దుబాటు చేయగల టెయిల"&amp;"్‌ప్లేన్ ఫ్యూజ్‌లేజ్ పైన అమర్చబడి, క్రింద నుండి ప్రతి వైపు ఒకే స్ట్రట్‌తో కలుపుతారు. ఇది మరియు ఫిన్ రెండూ నేరుగా ప్రముఖ అంచులను కలిగి ఉన్నాయి, ఇది గుండ్రని చిట్కాలకు దారితీసింది. చుక్కాని మరియు ఎలివేటర్లు రెండూ అసమతుల్యమైనవి; చుక్కాని గుండ్రంగా మరియు కీల్"&amp;"‌కు విస్తరించి, ఎలివేటర్ల మధ్య ఒక గీతలో పనిచేస్తుంది. తోక క్రింద ఉన్న ఫ్యూజ్‌లేజ్ దిగువ భాగంలో రబ్బరు మొలకెత్తిన, ఉక్కు మరియు డ్యూరల్ టెయిల్‌స్కిడ్ స్టీరబుల్ షూతో ఉన్నాయి. [1] లెస్ మురియక్స్ 3 సి .2 యొక్క మొదటి ఫ్లైట్ యొక్క ఖచ్చితమైన తేదీ తెలియదు; ఇది డిస"&amp;"ెంబర్ 1926 లో పారిస్ ఏరో షోలో కనిపించింది [4] కానీ తరువాతి మార్చికి ముందు ఎగరలేదు, అప్పటికి ఇది దాదాపు సిద్ధంగా ఉంది. [1] ఇది విల్లాకౌబ్లేలో పరీక్షించబడుతున్నప్పుడు జూన్ 1927 చివరిలోపు ఖచ్చితంగా ఎగురవేయబడింది. [5] సాల్మ్సన్-ఇంజిన్ లెస్ మురియక్స్ 4 సి 2 19"&amp;"28 పారిస్ ప్రదర్శనలో ప్రదర్శనలో ఉంది. [6] 11 మరియు 12 వ పారిస్ ఏరో షోల మధ్య (జూలై 1928 మరియు డిసెంబర్ 1930) అటెలియర్స్ లెస్ మురియక్స్ అటెలియర్స్ డి కన్స్ట్రక్షన్ డు నార్డ్ డి లా ఫ్రాన్స్‌తో కలిసిపోయినప్పుడు ANF లెస్ మురియక్స్ అని పిలువబడింది. [7] వారు తమ "&amp;"రకం హోదాలను మూడు అంకెల సంఖ్యలుగా మార్చారు. 1931 మధ్య నాటికి వారు రెండు పరిశీలన విమానాలను ప్రవేశపెట్టారు, వారి ఇంజన్లు కాకుండా ఒకదానికొకటి సమానంగా ఉంటుంది మరియు 3 మరియు 4 రకాలుగా చాలా పోలి ఉంటుంది, నియమించబడిన ANF లెస్ మురియక్స్ 130 A2 మరియు ANF లెస్ మురియ"&amp;"క్స్ 131 A2. 3 మరియు 130 రకాలు ఒకే ఇంజిన్‌ను కలిగి ఉన్నాయి, అయితే టైప్ 131 ను 500 హెచ్‌పి (370 కిలోవాట్) రెనాల్ట్ 12 జెసి వాటర్-కూల్డ్ వి -12 ఇంజిన్‌తో అమర్చారు, ఇది టైప్ 130 కన్నా కొంచెం పొడవుగా, భారీగా మరియు నెమ్మదిగా చేసింది. రెండూ ఉన్నాయి. రెండూ. పూర్"&amp;"తిగా అమర్చినప్పుడు 3 మరియు 4 రకాలు కంటే భారీగా ఉంటుంది. టైప్ 130 సముద్ర మట్టంలో 232 కిమీ/గం (144 mph) వద్ద అగ్ర వేగంతో ఉంది మరియు 21 నిమిషాల్లో 5,000 మీ (16,000 అడుగులు) చేరుకోవచ్చు. బాహ్యంగా 130 మరియు 131 రకాలు వాటి రెక్కల కవరింగ్‌లో చాలా భిన్నంగా ఉన్నాయ"&amp;"ి; 130 లు పూర్తిగా ఫాబ్రిక్ కప్పబడి ఉన్నాయి, అయితే 131 లో డ్యూరాలిమిన్ పై ఉపరితలంపై కప్పబడి ఉంటుంది. ఈ మిశ్రమం 131 ను బయటి నిల్వకు బాగా సరిపోతుంది, అదే సమయంలో అంతర్గత రెక్క నష్టాన్ని సులభంగా అంచనా వేయడానికి అనుమతిస్తుంది. [8] 130 టైప్ మొదటిసారి నవంబర్ 192"&amp;"9 లో నివేదించబడింది [9] కానీ టైప్ 131 1931 మొదటి సగం వరకు ఎగరలేదు. [10] జేన్ యొక్క ఆల్ ది వరల్డ్ విమానాల నుండి డేటా 1928, [11] నాకా ఎయిర్క్రాఫ్ట్ సర్క్యులర్స్ నెం .42 (1927) [1] సాధారణ లక్షణాల పనితీరు ఆయుధాలు")</f>
        <v>లెస్ మురియాక్స్ 3 సి .2 మరియు లెస్ మురియక్స్ 4 సి. 1929-31లో వీటిని ఒకేలాంటి సైన్యం సహకార రకాలు, ANF లెస్ మురియక్స్ 130 A.2 మరియు ANF లెస్ మురియక్స్ 131 A.2 గా అభివృద్ధి చేశారు. లెస్ మురియక్స్ 3 సి. ఇది దాదాపు పూర్తిగా డ్యూరాలిమిన్ నిర్మాణాన్ని కలిగి ఉంది మరియు ఫార్వర్డ్ ఫ్యూజ్‌లేజ్ కూడా డ్యూరల్ కవర్ చేయబడింది. రెక్కలు మరియు వెనుక ఫ్యూజ్‌లేజ్ ఫాబ్రిక్ కప్పబడి ఉన్నాయి. [1] దీని రెక్క వారెన్ గిర్డర్ పక్కటెముకలతో రెండు బాక్స్ స్పార్స్ చుట్టూ నిర్మించబడింది. మురియక్స్ అధిక ఎత్తులో పనిచేయడానికి ఉద్దేశించబడింది, కాబట్టి రెక్క దాని సమయానికి అధిక కారక నిష్పత్తిని కలిగి ఉంది మరియు బ్రూనెట్ యొక్క సొంత రూపకల్పనలో సన్నని వింగ్ విభాగాన్ని ఉపయోగించింది. ప్రణాళికలో ఇది స్థిరమైన తీగ, సెమీ వృత్తాకార చిట్కాలు మరియు ఫార్వర్డ్ కాక్‌పిట్‌పై వెనుకంజలో ఉన్న అంచులో గుండ్రని కటౌట్‌తో. ఐలెరాన్లు వెనుకంజలో ఉన్న మొత్తాన్ని ఆక్రమించాయి; రోల్ నియంత్రణ కోసం లేదా ల్యాండింగ్ కోసం కాంబర్ మారుతున్న ఫ్లాప్‌లుగా వాటిని భిన్నంగా ఉపయోగించవచ్చు. [1] వింగ్ మౌంటు అసాధారణంగా ఉంది, ఎయిర్‌ఫాయిల్ విభాగం, ప్రతి వైపు ఎన్-ఫారమ్ స్ట్రట్‌లు వింగ్ స్పార్స్‌ను తక్కువ ఫ్యూజ్‌లేజ్‌కు అనుసంధానిస్తాయి, బదులుగా స్వతంత్రంగా రబ్బరు మొలకెత్తిన అండర్ క్యారేజ్ మెయిన్‌వీల్స్‌ను తీసుకువెళ్ళే ఫ్రేమ్‌లకు బదులుగా. ఈ ఫ్రేమ్‌లు, స్ట్రీమ్‌లైన్డ్ ఫెయిరింగ్స్‌లో 2.50 మీ (8 అడుగుల 2 అంగుళాలు) వేరుగా ఉన్నాయి, ఎగువ ఫ్యూజ్‌లేజ్ లాంగన్‌లను తక్కువ ఎన్-స్ట్రట్‌లతో మరియు విలోమ వి-స్ట్రట్‌లతో కేంద్ర ఫ్యూజ్‌లేజ్ అండర్‌సైడ్‌కు కలుపుతారు. చిన్న, విలోమ V- స్ట్రట్స్ వింగ్ సెంటర్ విభాగాన్ని ఎగువ ఫ్యూజ్‌లేజ్‌కు జతచేయాయి. వింగ్ బ్రేసింగ్ వైర్లు లేవు. [1] మురియక్స్ యొక్క ఫ్యూజ్‌లేజ్ నాలుగు డ్యూరాలిమిన్ ట్యూబ్ లాంగన్స్ చుట్టూ నిర్మించబడింది, గొట్టపు వికర్ణాలకు సులభంగా మరమ్మతులు చేయబడిన కనెక్షన్లు మరియు ఫార్వర్డ్ భాగాన్ని కవర్ చేసే తొలగించగల ప్యానెల్‌లతో. తొలగించగల రెండు ఇంజిన్ మౌంటులు 440 కిలోవాట్ల (590 హెచ్‌పి) హిస్పానో-సుయిజా 12 హెచ్‌బి వి -12 ను అనుమతించాయి, ఈ రకం ఆ -12 500 హెచ్‌పి (దాని అధికారికంగా ఆమోదించబడిన శక్తి) హిస్పానో-సుయిజా, [2] లేదా ఎగా గుర్తించబడింది వాటర్-కూల్డ్ 370 కిలోవాట్ (500 హెచ్‌పి) సాల్మ్సన్ 18 సెం.మీ రేడియల్ ఇంజిన్ [సైటేషన్ అవసరం] అమర్చాలి. రెండు ఇంజిన్ రకాలు ఫ్యూజ్‌లేజ్ అండర్ సైడ్ నుండి సర్దుబాటు చేయగల తేనెగూడు రేడియేటర్‌ను ఉపయోగించాయి మరియు ఇంజిన్ వెనుక మరియు ఇంజిన్ ఫైర్‌వాల్ కంటే ముందు జెట్టిసన్ ట్యాంక్ నుండి ఇంధనాన్ని తినిపించాయి. హిస్పానో వెర్షన్‌ను లెస్ మురియక్స్ 3 మరియు సాల్మ్సన్ పవర్డ్ ఎయిర్‌క్రాఫ్ట్ లెస్ మురియాక్స్ 4, [1] రెండో 78 కిలోలు (172 ఎల్బి) భారీగా నియమించారు. [3] పైలట్ యొక్క ఓపెన్ కాక్‌పిట్ వింగ్ కటౌట్ కింద ఉంది, గన్నర్/పరిశీలకుడు, కెమెరాలు, చిన్న బాంబులు మరియు తుపాకులతో కూడిన, అతని వెనుక విడిగా. తోక యూనిట్ సాంప్రదాయంగా ఉంది, ఫ్లైట్-సర్దుబాటు చేయగల టెయిల్‌ప్లేన్ ఫ్యూజ్‌లేజ్ పైన అమర్చబడి, క్రింద నుండి ప్రతి వైపు ఒకే స్ట్రట్‌తో కలుపుతారు. ఇది మరియు ఫిన్ రెండూ నేరుగా ప్రముఖ అంచులను కలిగి ఉన్నాయి, ఇది గుండ్రని చిట్కాలకు దారితీసింది. చుక్కాని మరియు ఎలివేటర్లు రెండూ అసమతుల్యమైనవి; చుక్కాని గుండ్రంగా మరియు కీల్‌కు విస్తరించి, ఎలివేటర్ల మధ్య ఒక గీతలో పనిచేస్తుంది. తోక క్రింద ఉన్న ఫ్యూజ్‌లేజ్ దిగువ భాగంలో రబ్బరు మొలకెత్తిన, ఉక్కు మరియు డ్యూరల్ టెయిల్‌స్కిడ్ స్టీరబుల్ షూతో ఉన్నాయి. [1] లెస్ మురియక్స్ 3 సి .2 యొక్క మొదటి ఫ్లైట్ యొక్క ఖచ్చితమైన తేదీ తెలియదు; ఇది డిసెంబర్ 1926 లో పారిస్ ఏరో షోలో కనిపించింది [4] కానీ తరువాతి మార్చికి ముందు ఎగరలేదు, అప్పటికి ఇది దాదాపు సిద్ధంగా ఉంది. [1] ఇది విల్లాకౌబ్లేలో పరీక్షించబడుతున్నప్పుడు జూన్ 1927 చివరిలోపు ఖచ్చితంగా ఎగురవేయబడింది. [5] సాల్మ్సన్-ఇంజిన్ లెస్ మురియక్స్ 4 సి 2 1928 పారిస్ ప్రదర్శనలో ప్రదర్శనలో ఉంది. [6] 11 మరియు 12 వ పారిస్ ఏరో షోల మధ్య (జూలై 1928 మరియు డిసెంబర్ 1930) అటెలియర్స్ లెస్ మురియక్స్ అటెలియర్స్ డి కన్స్ట్రక్షన్ డు నార్డ్ డి లా ఫ్రాన్స్‌తో కలిసిపోయినప్పుడు ANF లెస్ మురియక్స్ అని పిలువబడింది. [7] వారు తమ రకం హోదాలను మూడు అంకెల సంఖ్యలుగా మార్చారు. 1931 మధ్య నాటికి వారు రెండు పరిశీలన విమానాలను ప్రవేశపెట్టారు, వారి ఇంజన్లు కాకుండా ఒకదానికొకటి సమానంగా ఉంటుంది మరియు 3 మరియు 4 రకాలుగా చాలా పోలి ఉంటుంది, నియమించబడిన ANF లెస్ మురియక్స్ 130 A2 మరియు ANF లెస్ మురియక్స్ 131 A2. 3 మరియు 130 రకాలు ఒకే ఇంజిన్‌ను కలిగి ఉన్నాయి, అయితే టైప్ 131 ను 500 హెచ్‌పి (370 కిలోవాట్) రెనాల్ట్ 12 జెసి వాటర్-కూల్డ్ వి -12 ఇంజిన్‌తో అమర్చారు, ఇది టైప్ 130 కన్నా కొంచెం పొడవుగా, భారీగా మరియు నెమ్మదిగా చేసింది. రెండూ ఉన్నాయి. రెండూ. పూర్తిగా అమర్చినప్పుడు 3 మరియు 4 రకాలు కంటే భారీగా ఉంటుంది. టైప్ 130 సముద్ర మట్టంలో 232 కిమీ/గం (144 mph) వద్ద అగ్ర వేగంతో ఉంది మరియు 21 నిమిషాల్లో 5,000 మీ (16,000 అడుగులు) చేరుకోవచ్చు. బాహ్యంగా 130 మరియు 131 రకాలు వాటి రెక్కల కవరింగ్‌లో చాలా భిన్నంగా ఉన్నాయి; 130 లు పూర్తిగా ఫాబ్రిక్ కప్పబడి ఉన్నాయి, అయితే 131 లో డ్యూరాలిమిన్ పై ఉపరితలంపై కప్పబడి ఉంటుంది. ఈ మిశ్రమం 131 ను బయటి నిల్వకు బాగా సరిపోతుంది, అదే సమయంలో అంతర్గత రెక్క నష్టాన్ని సులభంగా అంచనా వేయడానికి అనుమతిస్తుంది. [8] 130 టైప్ మొదటిసారి నవంబర్ 1929 లో నివేదించబడింది [9] కానీ టైప్ 131 1931 మొదటి సగం వరకు ఎగరలేదు. [10] జేన్ యొక్క ఆల్ ది వరల్డ్ విమానాల నుండి డేటా 1928, [11] నాకా ఎయిర్క్రాఫ్ట్ సర్క్యులర్స్ నెం .42 (1927) [1] సాధారణ లక్షణాల పనితీరు ఆయుధాలు</v>
      </c>
      <c r="E39" s="1" t="s">
        <v>784</v>
      </c>
      <c r="F39" s="1" t="str">
        <f>IFERROR(__xludf.DUMMYFUNCTION("GOOGLETRANSLATE(E:E, ""en"", ""te"")"),"రెండు సీట్ల ఫైటర్ విమానం")</f>
        <v>రెండు సీట్ల ఫైటర్ విమానం</v>
      </c>
      <c r="G39" s="1" t="s">
        <v>113</v>
      </c>
      <c r="H39" s="1" t="str">
        <f>IFERROR(__xludf.DUMMYFUNCTION("GOOGLETRANSLATE(G:G, ""en"", ""te"")"),"ఫ్రాన్స్")</f>
        <v>ఫ్రాన్స్</v>
      </c>
      <c r="I39" s="1" t="s">
        <v>785</v>
      </c>
      <c r="J39" s="1" t="str">
        <f>IFERROR(__xludf.DUMMYFUNCTION("GOOGLETRANSLATE(I:I, ""en"", ""te"")"),"అటెలియర్స్ లెస్ మురియక్స్")</f>
        <v>అటెలియర్స్ లెస్ మురియక్స్</v>
      </c>
      <c r="K39" s="1" t="s">
        <v>786</v>
      </c>
      <c r="L39" s="1" t="s">
        <v>787</v>
      </c>
      <c r="N39" s="1" t="s">
        <v>788</v>
      </c>
      <c r="O39" s="1" t="s">
        <v>740</v>
      </c>
      <c r="P39" s="1" t="s">
        <v>789</v>
      </c>
      <c r="Q39" s="1" t="s">
        <v>790</v>
      </c>
      <c r="R39" s="1" t="s">
        <v>791</v>
      </c>
      <c r="S39" s="1" t="s">
        <v>792</v>
      </c>
      <c r="T39" s="1" t="s">
        <v>793</v>
      </c>
      <c r="U39" s="1" t="s">
        <v>794</v>
      </c>
      <c r="V39" s="1" t="s">
        <v>795</v>
      </c>
      <c r="W39" s="1" t="s">
        <v>796</v>
      </c>
      <c r="Y39" s="1" t="s">
        <v>797</v>
      </c>
      <c r="AA39" s="1" t="s">
        <v>798</v>
      </c>
      <c r="AB39" s="1" t="s">
        <v>799</v>
      </c>
      <c r="AC39" s="2" t="s">
        <v>713</v>
      </c>
      <c r="AE39" s="1" t="s">
        <v>800</v>
      </c>
      <c r="AF39" s="1" t="s">
        <v>801</v>
      </c>
      <c r="AH39" s="1" t="s">
        <v>802</v>
      </c>
      <c r="AI39" s="1" t="s">
        <v>803</v>
      </c>
      <c r="AR39" s="1" t="s">
        <v>253</v>
      </c>
      <c r="AS39" s="1">
        <v>6.9</v>
      </c>
      <c r="BE39" s="1" t="s">
        <v>804</v>
      </c>
      <c r="CA39" s="1" t="s">
        <v>805</v>
      </c>
      <c r="CC39" s="1" t="s">
        <v>806</v>
      </c>
    </row>
    <row r="40">
      <c r="A40" s="1" t="s">
        <v>807</v>
      </c>
      <c r="B40" s="1" t="str">
        <f>IFERROR(__xludf.DUMMYFUNCTION("GOOGLETRANSLATE(A:A, ""en"", ""te"")"),"ఫోర్డ్-వాన్ ఆకేన్ 1909 మోనోప్లేన్")</f>
        <v>ఫోర్డ్-వాన్ ఆకేన్ 1909 మోనోప్లేన్</v>
      </c>
      <c r="C40" s="1" t="s">
        <v>808</v>
      </c>
      <c r="D40" s="1" t="str">
        <f>IFERROR(__xludf.DUMMYFUNCTION("GOOGLETRANSLATE(C:C, ""en"", ""te"")"),"ఫోర్డ్-వాన్ ఆకెన్ 1909 మోనోప్లేన్ ఫోర్డ్ మోటార్ కంపెనీతో మరియు నిర్మించిన విమానాల శ్రేణిలో మొదటిది. [1] మోనోప్లేన్ యొక్క రూపకల్పనను 1908 లో చార్లెస్ వాన్ ఆకెన్ ఒక గైడ్‌గా బ్లెరియోట్ XI యొక్క ప్రణాళికలను ఉపయోగించి ప్రారంభించారు. బరువును తేలికపరచడానికి అంతట"&amp;"ా విసుగు చెందిన ఫోర్డ్ మోడల్ టి ఇంజిన్ పవర్‌ప్లాంట్‌గా ఉపయోగించబడింది. ఈ విమానం సాంప్రదాయిక ల్యాండింగ్ గేర్-అమర్చిన, వైర్ బ్రేస్డ్, మిడ్-వింగ్ మోనోప్లేన్, ఫాబ్రిక్ కప్పబడిన క్రూసిఫాం ఎంపెనేజ్ మరియు రోల్ కంట్రోల్ కోసం వింగ్స్. [2] విమానం బ్లెరియోట్ XI కి అ"&amp;"ద్భుతమైన పోలికను కలిగి ఉంది. [3] ఈ విమానం డియర్బోర్న్ మిచిగాన్లో వాన్ అకేన్ చేత పరీక్షించబడింది, కంచెలో పడటానికి ముందు గ్రౌండ్ ఎఫెక్ట్ లో ఎగురుతుంది. ఇంజిన్ మరింత శక్తి కోసం సవరించబడింది మరియు ఈ విమానం 1910 లో ఫోర్ట్ వేన్ పరేడ్ మైదానంలో రెండవసారి ఎగురవేయబ"&amp;"డింది, అక్కడ అది గాలిలో మారిన తరువాత చెట్టును క్రాష్ చేసింది. [4] యువత సహచరుడు మరియు షెర్మాన్ నుండి డేటా [3] [5] సాధారణ లక్షణాల పనితీరు")</f>
        <v>ఫోర్డ్-వాన్ ఆకెన్ 1909 మోనోప్లేన్ ఫోర్డ్ మోటార్ కంపెనీతో మరియు నిర్మించిన విమానాల శ్రేణిలో మొదటిది. [1] మోనోప్లేన్ యొక్క రూపకల్పనను 1908 లో చార్లెస్ వాన్ ఆకెన్ ఒక గైడ్‌గా బ్లెరియోట్ XI యొక్క ప్రణాళికలను ఉపయోగించి ప్రారంభించారు. బరువును తేలికపరచడానికి అంతటా విసుగు చెందిన ఫోర్డ్ మోడల్ టి ఇంజిన్ పవర్‌ప్లాంట్‌గా ఉపయోగించబడింది. ఈ విమానం సాంప్రదాయిక ల్యాండింగ్ గేర్-అమర్చిన, వైర్ బ్రేస్డ్, మిడ్-వింగ్ మోనోప్లేన్, ఫాబ్రిక్ కప్పబడిన క్రూసిఫాం ఎంపెనేజ్ మరియు రోల్ కంట్రోల్ కోసం వింగ్స్. [2] విమానం బ్లెరియోట్ XI కి అద్భుతమైన పోలికను కలిగి ఉంది. [3] ఈ విమానం డియర్బోర్న్ మిచిగాన్లో వాన్ అకేన్ చేత పరీక్షించబడింది, కంచెలో పడటానికి ముందు గ్రౌండ్ ఎఫెక్ట్ లో ఎగురుతుంది. ఇంజిన్ మరింత శక్తి కోసం సవరించబడింది మరియు ఈ విమానం 1910 లో ఫోర్ట్ వేన్ పరేడ్ మైదానంలో రెండవసారి ఎగురవేయబడింది, అక్కడ అది గాలిలో మారిన తరువాత చెట్టును క్రాష్ చేసింది. [4] యువత సహచరుడు మరియు షెర్మాన్ నుండి డేటా [3] [5] సాధారణ లక్షణాల పనితీరు</v>
      </c>
      <c r="E40" s="1" t="s">
        <v>809</v>
      </c>
      <c r="F40" s="1" t="str">
        <f>IFERROR(__xludf.DUMMYFUNCTION("GOOGLETRANSLATE(E:E, ""en"", ""te"")"),"మోనోప్లేన్")</f>
        <v>మోనోప్లేన్</v>
      </c>
      <c r="G40" s="1" t="s">
        <v>155</v>
      </c>
      <c r="H40" s="1" t="str">
        <f>IFERROR(__xludf.DUMMYFUNCTION("GOOGLETRANSLATE(G:G, ""en"", ""te"")"),"అమెరికా")</f>
        <v>అమెరికా</v>
      </c>
      <c r="I40" s="1" t="s">
        <v>810</v>
      </c>
      <c r="J40" s="1" t="str">
        <f>IFERROR(__xludf.DUMMYFUNCTION("GOOGLETRANSLATE(I:I, ""en"", ""te"")"),"ఫోర్డ్ మోటార్ కంపెనీ")</f>
        <v>ఫోర్డ్ మోటార్ కంపెనీ</v>
      </c>
      <c r="K40" s="1" t="s">
        <v>811</v>
      </c>
      <c r="L40" s="1" t="s">
        <v>812</v>
      </c>
      <c r="O40" s="1">
        <v>1.0</v>
      </c>
      <c r="V40" s="1" t="s">
        <v>813</v>
      </c>
      <c r="Y40" s="1" t="s">
        <v>814</v>
      </c>
      <c r="AF40" s="1" t="s">
        <v>815</v>
      </c>
    </row>
    <row r="41">
      <c r="A41" s="1" t="s">
        <v>816</v>
      </c>
      <c r="B41" s="1" t="str">
        <f>IFERROR(__xludf.DUMMYFUNCTION("GOOGLETRANSLATE(A:A, ""en"", ""te"")"),"హంట్‌వింగ్")</f>
        <v>హంట్‌వింగ్</v>
      </c>
      <c r="C41" s="1" t="s">
        <v>817</v>
      </c>
      <c r="D41" s="1" t="str">
        <f>IFERROR(__xludf.DUMMYFUNCTION("GOOGLETRANSLATE(C:C, ""en"", ""te"")"),"హంట్‌వింగ్ అనేది బ్రిటిష్ అల్ట్రాలైట్ ట్రైక్, దీనిని మోన్‌మౌత్‌షైర్‌లోని క్లైడాచ్‌కు చెందిన జాన్ హంట్ రూపొందించారు. ఈ విమానం te త్సాహిక నిర్మాణం కోసం ప్రణాళికల రూపంలో సరఫరా చేయబడుతుంది. [1] హంట్‌వింగ్ బ్రిటిష్ BCAR విభాగం యొక్క మైక్రోలైట్ వర్గానికి అనుగుణ"&amp;"ంగా రూపొందించబడింది. ఇది మొట్టమొదట 1982 లో ఎగురవేయబడింది మరియు 1992 లో వాణిజ్యపరంగా ప్రవేశపెట్టింది. ఇది కేబుల్-బ్రేస్డ్ హాంగ్ గ్లైడర్-స్టైల్ హై-వింగ్, వెయిట్-షిఫ్ట్ కంట్రోల్స్, రెండు-సీట్ల తేమ ఓపెన్ కాక్‌పిట్, కాక్‌పిట్ ఫెయిరింగ్, ట్రైసైకిల్ ల్యాండింగ్ గ"&amp;"ేర్‌తో ఉంది వీల్ ప్యాంటు మరియు పషర్ కాన్ఫిగరేషన్‌లో ఒకే ఇంజిన్. [1] [2] ఈ విమానం బోల్ట్-టుగెథర్ అల్యూమినియం గొట్టాల నుండి తయారవుతుంది, దాని 75% డబుల్ ఉపరితల వింగ్ డాక్రాన్ సెయిల్‌క్లాత్‌లో కప్పబడి ఉంటుంది. 33.4 అడుగుల (10.2 మీ) స్పాన్ వింగ్‌కు ఒకే ట్యూబ్-"&amp;"రకం కింగ్‌పోస్ట్ మద్దతు ఉంది, ""ఎ"" ఫ్రేమ్ వెయిట్-షిఫ్ట్ కంట్రోల్ బార్‌ను ఉపయోగిస్తుంది, ముక్కు కోణం 121 °, 24 టాప్ మరియు ఆరు దిగువ బాటెన్‌లు కలిగి ఉంది మరియు వింగ్ ఏరియా ఉంది 161 చదరపు అడుగులు (15.0 మీ 2). ఆమోదయోగ్యమైన శక్తి శ్రేణి 50 నుండి 64 హెచ్‌పి (3"&amp;"7 నుండి 48 కిలోవాట్ . BMW R100RS ఫోర్-స్ట్రోక్ మోటారుసైకిల్ ఇంజిన్‌ను కూడా అమర్చవచ్చు. [1] [3] [4] [5] ప్రణాళికలు వింగ్ te త్సాహిక-బిల్డర్ చేత నిర్మించబడింది మరియు టాప్ ఫ్లైట్ సెయిల్స్ సెయిల్‌తో అమర్చబడి ఉంది. ప్రత్యామ్నాయంగా మెయిన్ ఎయిర్ బ్లేడ్ రెక్కను ఉ"&amp;"పయోగించవచ్చు. [1] [2] [5] తయారీదారు నిర్మాణ సమయాన్ని సరఫరా చేసిన ప్రణాళికల నుండి 500 గంటలుగా అంచనా వేస్తాడు. [4] డిజైనర్లు 10 సెట్ల ప్రణాళికలు రవాణా చేయబడ్డాయి మరియు సుమారు 20 విమానాలు పూర్తయ్యాయి మరియు ఎగిరిపోయాయి. [5] మే 2015 లో పదకొండు ఉదాహరణలు యునైటెడ"&amp;"్ కింగ్‌డమ్‌లో సివిల్ ఏవియేషన్ అథారిటీతో నమోదు చేయబడ్డాయి. [6] డిజైనర్ నుండి డేటా [3] సాధారణ లక్షణాల పనితీరు")</f>
        <v>హంట్‌వింగ్ అనేది బ్రిటిష్ అల్ట్రాలైట్ ట్రైక్, దీనిని మోన్‌మౌత్‌షైర్‌లోని క్లైడాచ్‌కు చెందిన జాన్ హంట్ రూపొందించారు. ఈ విమానం te త్సాహిక నిర్మాణం కోసం ప్రణాళికల రూపంలో సరఫరా చేయబడుతుంది. [1] హంట్‌వింగ్ బ్రిటిష్ BCAR విభాగం యొక్క మైక్రోలైట్ వర్గానికి అనుగుణంగా రూపొందించబడింది. ఇది మొట్టమొదట 1982 లో ఎగురవేయబడింది మరియు 1992 లో వాణిజ్యపరంగా ప్రవేశపెట్టింది. ఇది కేబుల్-బ్రేస్డ్ హాంగ్ గ్లైడర్-స్టైల్ హై-వింగ్, వెయిట్-షిఫ్ట్ కంట్రోల్స్, రెండు-సీట్ల తేమ ఓపెన్ కాక్‌పిట్, కాక్‌పిట్ ఫెయిరింగ్, ట్రైసైకిల్ ల్యాండింగ్ గేర్‌తో ఉంది వీల్ ప్యాంటు మరియు పషర్ కాన్ఫిగరేషన్‌లో ఒకే ఇంజిన్. [1] [2] ఈ విమానం బోల్ట్-టుగెథర్ అల్యూమినియం గొట్టాల నుండి తయారవుతుంది, దాని 75% డబుల్ ఉపరితల వింగ్ డాక్రాన్ సెయిల్‌క్లాత్‌లో కప్పబడి ఉంటుంది. 33.4 అడుగుల (10.2 మీ) స్పాన్ వింగ్‌కు ఒకే ట్యూబ్-రకం కింగ్‌పోస్ట్ మద్దతు ఉంది, "ఎ" ఫ్రేమ్ వెయిట్-షిఫ్ట్ కంట్రోల్ బార్‌ను ఉపయోగిస్తుంది, ముక్కు కోణం 121 °, 24 టాప్ మరియు ఆరు దిగువ బాటెన్‌లు కలిగి ఉంది మరియు వింగ్ ఏరియా ఉంది 161 చదరపు అడుగులు (15.0 మీ 2). ఆమోదయోగ్యమైన శక్తి శ్రేణి 50 నుండి 64 హెచ్‌పి (37 నుండి 48 కిలోవాట్ . BMW R100RS ఫోర్-స్ట్రోక్ మోటారుసైకిల్ ఇంజిన్‌ను కూడా అమర్చవచ్చు. [1] [3] [4] [5] ప్రణాళికలు వింగ్ te త్సాహిక-బిల్డర్ చేత నిర్మించబడింది మరియు టాప్ ఫ్లైట్ సెయిల్స్ సెయిల్‌తో అమర్చబడి ఉంది. ప్రత్యామ్నాయంగా మెయిన్ ఎయిర్ బ్లేడ్ రెక్కను ఉపయోగించవచ్చు. [1] [2] [5] తయారీదారు నిర్మాణ సమయాన్ని సరఫరా చేసిన ప్రణాళికల నుండి 500 గంటలుగా అంచనా వేస్తాడు. [4] డిజైనర్లు 10 సెట్ల ప్రణాళికలు రవాణా చేయబడ్డాయి మరియు సుమారు 20 విమానాలు పూర్తయ్యాయి మరియు ఎగిరిపోయాయి. [5] మే 2015 లో పదకొండు ఉదాహరణలు యునైటెడ్ కింగ్‌డమ్‌లో సివిల్ ఏవియేషన్ అథారిటీతో నమోదు చేయబడ్డాయి. [6] డిజైనర్ నుండి డేటా [3] సాధారణ లక్షణాల పనితీరు</v>
      </c>
      <c r="E41" s="1" t="s">
        <v>818</v>
      </c>
      <c r="F41" s="1" t="str">
        <f>IFERROR(__xludf.DUMMYFUNCTION("GOOGLETRANSLATE(E:E, ""en"", ""te"")"),"హోమ్‌బిల్ట్ అల్ట్రాలైట్ ట్రైక్")</f>
        <v>హోమ్‌బిల్ట్ అల్ట్రాలైట్ ట్రైక్</v>
      </c>
      <c r="G41" s="1" t="s">
        <v>819</v>
      </c>
      <c r="H41" s="1" t="str">
        <f>IFERROR(__xludf.DUMMYFUNCTION("GOOGLETRANSLATE(G:G, ""en"", ""te"")"),"యునైటెడ్ కింగ్‌డమ్")</f>
        <v>యునైటెడ్ కింగ్‌డమ్</v>
      </c>
      <c r="L41" s="1" t="s">
        <v>820</v>
      </c>
      <c r="N41" s="1">
        <v>1982.0</v>
      </c>
      <c r="O41" s="1" t="s">
        <v>135</v>
      </c>
      <c r="Q41" s="1" t="s">
        <v>821</v>
      </c>
      <c r="S41" s="1" t="s">
        <v>822</v>
      </c>
      <c r="U41" s="1" t="s">
        <v>823</v>
      </c>
      <c r="V41" s="1" t="s">
        <v>824</v>
      </c>
      <c r="W41" s="1" t="s">
        <v>825</v>
      </c>
      <c r="Z41" s="1" t="s">
        <v>826</v>
      </c>
      <c r="AB41" s="1" t="s">
        <v>827</v>
      </c>
      <c r="AC41" s="1" t="s">
        <v>828</v>
      </c>
      <c r="AD41" s="1" t="s">
        <v>829</v>
      </c>
      <c r="AE41" s="1" t="s">
        <v>830</v>
      </c>
      <c r="AF41" s="1" t="s">
        <v>831</v>
      </c>
      <c r="AG41" s="1" t="s">
        <v>832</v>
      </c>
      <c r="AI41" s="1" t="s">
        <v>833</v>
      </c>
      <c r="AJ41" s="1">
        <v>20.0</v>
      </c>
      <c r="AK41" s="1" t="s">
        <v>195</v>
      </c>
      <c r="AS41" s="1">
        <v>7.25</v>
      </c>
      <c r="AY41" s="1" t="s">
        <v>834</v>
      </c>
      <c r="BA41" s="1" t="s">
        <v>835</v>
      </c>
    </row>
    <row r="42">
      <c r="A42" s="1" t="s">
        <v>836</v>
      </c>
      <c r="B42" s="1" t="str">
        <f>IFERROR(__xludf.DUMMYFUNCTION("GOOGLETRANSLATE(A:A, ""en"", ""te"")"),"మోయెస్ లైట్‌స్పోర్ట్")</f>
        <v>మోయెస్ లైట్‌స్పోర్ట్</v>
      </c>
      <c r="C42" s="1" t="s">
        <v>837</v>
      </c>
      <c r="D42" s="1" t="str">
        <f>IFERROR(__xludf.DUMMYFUNCTION("GOOGLETRANSLATE(C:C, ""en"", ""te"")"),"మోయెస్ లైట్‌స్పోర్ట్ ఒక ఆస్ట్రేలియన్ హై-వింగ్, సింగిల్-ప్లేస్, హాంగ్ గ్లైడర్, దీనిని జెరోల్ఫ్ హెన్రిచ్స్ రూపొందించారు మరియు న్యూ సౌత్ వేల్స్లోని కర్నెల్ యొక్క మోయెస్ డెల్టా గ్లైడర్స్ నిర్మించింది. విమానం పూర్తి మరియు రెడీ టు-ఫ్లై సరఫరా చేయబడుతుంది. [1] [2"&amp;"] కింగ్‌పోస్ట్‌తో స్పోర్ట్ మరియు కాంపిటీషన్ గ్లైడర్‌గా రూపొందించబడిన ఈ లైట్‌స్పోర్ట్ అత్యంత విజయవంతమైన కింగ్‌పోస్ట్‌లెస్ మోయెస్ లైట్‌స్పీడ్ లైన్ మీద ఆధారపడి ఉంటుంది. ఇది 7075 అల్యూమినియం గొట్టాల నుండి తయారవుతుంది, డబుల్-ఉపరితల విభాగం డాక్రాన్ సెయిల్‌క్లాత"&amp;"్‌లో కప్పబడి వేరియబుల్ జ్యామితి వ్యవస్థను కలిగి ఉంటుంది. [1] [2] బెర్ట్రాండ్ మరియు తయారీదారు నుండి డేటా [1] [3] సాధారణ లక్షణాల పనితీరు")</f>
        <v>మోయెస్ లైట్‌స్పోర్ట్ ఒక ఆస్ట్రేలియన్ హై-వింగ్, సింగిల్-ప్లేస్, హాంగ్ గ్లైడర్, దీనిని జెరోల్ఫ్ హెన్రిచ్స్ రూపొందించారు మరియు న్యూ సౌత్ వేల్స్లోని కర్నెల్ యొక్క మోయెస్ డెల్టా గ్లైడర్స్ నిర్మించింది. విమానం పూర్తి మరియు రెడీ టు-ఫ్లై సరఫరా చేయబడుతుంది. [1] [2] కింగ్‌పోస్ట్‌తో స్పోర్ట్ మరియు కాంపిటీషన్ గ్లైడర్‌గా రూపొందించబడిన ఈ లైట్‌స్పోర్ట్ అత్యంత విజయవంతమైన కింగ్‌పోస్ట్‌లెస్ మోయెస్ లైట్‌స్పీడ్ లైన్ మీద ఆధారపడి ఉంటుంది. ఇది 7075 అల్యూమినియం గొట్టాల నుండి తయారవుతుంది, డబుల్-ఉపరితల విభాగం డాక్రాన్ సెయిల్‌క్లాత్‌లో కప్పబడి వేరియబుల్ జ్యామితి వ్యవస్థను కలిగి ఉంటుంది. [1] [2] బెర్ట్రాండ్ మరియు తయారీదారు నుండి డేటా [1] [3] సాధారణ లక్షణాల పనితీరు</v>
      </c>
      <c r="E42" s="1" t="s">
        <v>838</v>
      </c>
      <c r="F42" s="1" t="str">
        <f>IFERROR(__xludf.DUMMYFUNCTION("GOOGLETRANSLATE(E:E, ""en"", ""te"")"),"గ్లైడర్ హాంగ్")</f>
        <v>గ్లైడర్ హాంగ్</v>
      </c>
      <c r="G42" s="1" t="s">
        <v>757</v>
      </c>
      <c r="H42" s="1" t="str">
        <f>IFERROR(__xludf.DUMMYFUNCTION("GOOGLETRANSLATE(G:G, ""en"", ""te"")"),"ఆస్ట్రేలియా")</f>
        <v>ఆస్ట్రేలియా</v>
      </c>
      <c r="I42" s="1" t="s">
        <v>839</v>
      </c>
      <c r="J42" s="1" t="str">
        <f>IFERROR(__xludf.DUMMYFUNCTION("GOOGLETRANSLATE(I:I, ""en"", ""te"")"),"మోయెస్ డెల్టా గ్లైడర్స్")</f>
        <v>మోయెస్ డెల్టా గ్లైడర్స్</v>
      </c>
      <c r="K42" s="1" t="s">
        <v>840</v>
      </c>
      <c r="L42" s="1" t="s">
        <v>841</v>
      </c>
      <c r="O42" s="1" t="s">
        <v>135</v>
      </c>
      <c r="Q42" s="1" t="s">
        <v>842</v>
      </c>
      <c r="S42" s="1" t="s">
        <v>843</v>
      </c>
      <c r="T42" s="1" t="s">
        <v>844</v>
      </c>
      <c r="AB42" s="1" t="s">
        <v>845</v>
      </c>
      <c r="AC42" s="2" t="s">
        <v>763</v>
      </c>
      <c r="AD42" s="1" t="s">
        <v>846</v>
      </c>
      <c r="AG42" s="1" t="s">
        <v>847</v>
      </c>
      <c r="AH42" s="1" t="s">
        <v>848</v>
      </c>
      <c r="AI42" s="1" t="s">
        <v>849</v>
      </c>
      <c r="AR42" s="1" t="s">
        <v>253</v>
      </c>
      <c r="AS42" s="1">
        <v>6.7</v>
      </c>
      <c r="AY42" s="1" t="s">
        <v>850</v>
      </c>
      <c r="BB42" s="1">
        <v>14.0</v>
      </c>
      <c r="BD42" s="1" t="s">
        <v>851</v>
      </c>
    </row>
    <row r="43">
      <c r="A43" s="1" t="s">
        <v>852</v>
      </c>
      <c r="B43" s="1" t="str">
        <f>IFERROR(__xludf.DUMMYFUNCTION("GOOGLETRANSLATE(A:A, ""en"", ""te"")"),"సుండోగ్ వన్-సీటర్")</f>
        <v>సుండోగ్ వన్-సీటర్</v>
      </c>
      <c r="C43" s="1" t="s">
        <v>853</v>
      </c>
      <c r="D43" s="1" t="str">
        <f>IFERROR(__xludf.DUMMYFUNCTION("GOOGLETRANSLATE(C:C, ""en"", ""te"")"),"సుండోగ్ వన్-సీటర్ (పప్ అని కూడా పిలుస్తారు) కెనడియన్ శక్తితో కూడిన పారాచూట్, దీనిని స్పార్వుడ్, బ్రిటిష్ కొలంబియా మరియు తరువాత పియర్‌ల్యాండ్, సస్కట్చేవాన్ యొక్క సుండోగ్ పవర్‌చూట్స్ రూపొందించారు మరియు నిర్మించారు. ఇప్పుడు ఉత్పత్తికి దూరంగా, ఇది అందుబాటులో "&amp;"ఉన్నప్పుడు విమానం పూర్తి రెడీ-టు-ఫ్లై-విమానయానంగా సరఫరా చేయబడింది. [1] [2] [3] [4] ఈ విమానం 2002 లో ప్రవేశపెట్టబడింది మరియు 2014 లో కంపెనీ వ్యాపారం నుండి బయటపడినప్పుడు ఉత్పత్తి ముగిసింది. [5] వన్-సీటర్ కెనడియన్ బేసిక్ అల్ట్రా-లైట్ విమానం నిబంధనలను పాటించే"&amp;"లా రూపొందించబడింది, కానీ వర్గం యొక్క గరిష్ట స్థూల బరువు 450 కిలోల (992 ఎల్బి) తో సహా, ఫెడెరేషన్ ఏరోనాటిక్ ఇంటర్నేషనల్ మైక్రోలైట్ వర్గానికి కూడా సరిపోతుంది. ఈ విమానం గరిష్టంగా స్థూల బరువు 308 కిలోల (679 పౌండ్లు). ఇది 500 చదరపు అడుగుల (46 మీ 2) ఎపిసిఓ 500 ప"&amp;"ారాచూట్-స్టైల్ వింగ్, సింగిల్ సీట్ వసతి, ట్రైసైకిల్ ల్యాండింగ్ గేర్ మరియు ఒకే 50 హెచ్‌పి (37 కిలోవాట్) రోటాక్స్ 503 టూ-స్ట్రోక్ ఇంజిన్‌ను పషర్ కాన్ఫిగరేషన్‌లో కలిగి ఉంది. ప్రోటోటైప్‌లో హిర్త్ ఇంజిన్‌తో అమర్చారు. [1] [4] [2] విమానం క్యారేజ్ బోల్ట్ 6061-టి "&amp;"6 అల్యూమినియం, స్టెయిన్లెస్ స్టీల్ ఫిట్టింగులు మరియు విమాన బోల్ట్‌ల నుండి నిర్మించబడింది. ఫ్లైట్ స్టీరింగ్‌లో పందిరి బ్రేక్‌లను అమలు చేసే ఫుట్ పెడల్స్ ద్వారా సాధించబడుతుంది, రోల్ మరియు యావ్ సృష్టిస్తుంది. మైదానంలో విమానంలో లివర్-నియంత్రిత నోస్‌వీల్ స్టీరి"&amp;"ంగ్ ఉంది. ప్రధాన ల్యాండింగ్ గేర్ స్ప్రింగ్ రాడ్ సస్పెన్షన్‌ను కలిగి ఉంటుంది. రోల్-ఓవర్ సంభవించినప్పుడు పైలట్ వృత్తాకార అల్యూమినియం గొట్టాల శ్రేణి ద్వారా రక్షించబడుతుంది. ఇంధన సామర్థ్యం 5 యు.ఎస్. గ్యాలన్లు (19 ఎల్; 4.2 ఇంప్ గాల్) లేదా ఐచ్ఛికంగా 10 యు.ఎస్. "&amp;"గ్యాలన్లు (38 ఎల్; 8.3 ఇంప్ గాల్). [1] [2] ఈ విమానం ఖాళీ బరువు 302 lb (137 kg) మరియు స్థూల బరువు 679 lb (308 kg), 377 lb (171 kg) యొక్క ఉపయోగకరమైన లోడ్‌ను ఇస్తుంది. 10 యు.ఎస్. గ్యాలన్ల పూర్తి ఇంధనంతో (38 ఎల్; 8.3 ఇంప్ గల్) సిబ్బంది మరియు సామాను కోసం పేలోడ"&amp;"్ 317 ఎల్బి (144 కిలోలు). [1] [2] ఆటోమొబైల్ వెనుక విమానం లాగడానికి కంపెనీ కస్టమ్ ట్రెయిలర్లను కూడా సరఫరా చేసింది. [2] సెప్టెంబర్ 2015 లో, ట్రాన్స్పోర్ట్ కెనడా రిజిస్ట్రీపై ప్రోటోటైప్ ఒక ఉదాహరణ ఉంది, అయినప్పటికీ దాని రిజిస్ట్రేషన్ మే 2004 లో రద్దు చేయబడింద"&amp;"ి. ఫెడరల్ ఏవియేషన్ అడ్మినిస్ట్రేషన్తో అమెరికాలో ఏదీ నమోదు కాలేదు. [4] [6] బెర్ట్రాండ్ మరియు తయారీదారు నుండి డేటా [1] [2] సాధారణ లక్షణాల పనితీరు")</f>
        <v>సుండోగ్ వన్-సీటర్ (పప్ అని కూడా పిలుస్తారు) కెనడియన్ శక్తితో కూడిన పారాచూట్, దీనిని స్పార్వుడ్, బ్రిటిష్ కొలంబియా మరియు తరువాత పియర్‌ల్యాండ్, సస్కట్చేవాన్ యొక్క సుండోగ్ పవర్‌చూట్స్ రూపొందించారు మరియు నిర్మించారు. ఇప్పుడు ఉత్పత్తికి దూరంగా, ఇది అందుబాటులో ఉన్నప్పుడు విమానం పూర్తి రెడీ-టు-ఫ్లై-విమానయానంగా సరఫరా చేయబడింది. [1] [2] [3] [4] ఈ విమానం 2002 లో ప్రవేశపెట్టబడింది మరియు 2014 లో కంపెనీ వ్యాపారం నుండి బయటపడినప్పుడు ఉత్పత్తి ముగిసింది. [5] వన్-సీటర్ కెనడియన్ బేసిక్ అల్ట్రా-లైట్ విమానం నిబంధనలను పాటించేలా రూపొందించబడింది, కానీ వర్గం యొక్క గరిష్ట స్థూల బరువు 450 కిలోల (992 ఎల్బి) తో సహా, ఫెడెరేషన్ ఏరోనాటిక్ ఇంటర్నేషనల్ మైక్రోలైట్ వర్గానికి కూడా సరిపోతుంది. ఈ విమానం గరిష్టంగా స్థూల బరువు 308 కిలోల (679 పౌండ్లు). ఇది 500 చదరపు అడుగుల (46 మీ 2) ఎపిసిఓ 500 పారాచూట్-స్టైల్ వింగ్, సింగిల్ సీట్ వసతి, ట్రైసైకిల్ ల్యాండింగ్ గేర్ మరియు ఒకే 50 హెచ్‌పి (37 కిలోవాట్) రోటాక్స్ 503 టూ-స్ట్రోక్ ఇంజిన్‌ను పషర్ కాన్ఫిగరేషన్‌లో కలిగి ఉంది. ప్రోటోటైప్‌లో హిర్త్ ఇంజిన్‌తో అమర్చారు. [1] [4] [2] విమానం క్యారేజ్ బోల్ట్ 6061-టి 6 అల్యూమినియం, స్టెయిన్లెస్ స్టీల్ ఫిట్టింగులు మరియు విమాన బోల్ట్‌ల నుండి నిర్మించబడింది. ఫ్లైట్ స్టీరింగ్‌లో పందిరి బ్రేక్‌లను అమలు చేసే ఫుట్ పెడల్స్ ద్వారా సాధించబడుతుంది, రోల్ మరియు యావ్ సృష్టిస్తుంది. మైదానంలో విమానంలో లివర్-నియంత్రిత నోస్‌వీల్ స్టీరింగ్ ఉంది. ప్రధాన ల్యాండింగ్ గేర్ స్ప్రింగ్ రాడ్ సస్పెన్షన్‌ను కలిగి ఉంటుంది. రోల్-ఓవర్ సంభవించినప్పుడు పైలట్ వృత్తాకార అల్యూమినియం గొట్టాల శ్రేణి ద్వారా రక్షించబడుతుంది. ఇంధన సామర్థ్యం 5 యు.ఎస్. గ్యాలన్లు (19 ఎల్; 4.2 ఇంప్ గాల్) లేదా ఐచ్ఛికంగా 10 యు.ఎస్. గ్యాలన్లు (38 ఎల్; 8.3 ఇంప్ గాల్). [1] [2] ఈ విమానం ఖాళీ బరువు 302 lb (137 kg) మరియు స్థూల బరువు 679 lb (308 kg), 377 lb (171 kg) యొక్క ఉపయోగకరమైన లోడ్‌ను ఇస్తుంది. 10 యు.ఎస్. గ్యాలన్ల పూర్తి ఇంధనంతో (38 ఎల్; 8.3 ఇంప్ గల్) సిబ్బంది మరియు సామాను కోసం పేలోడ్ 317 ఎల్బి (144 కిలోలు). [1] [2] ఆటోమొబైల్ వెనుక విమానం లాగడానికి కంపెనీ కస్టమ్ ట్రెయిలర్లను కూడా సరఫరా చేసింది. [2] సెప్టెంబర్ 2015 లో, ట్రాన్స్పోర్ట్ కెనడా రిజిస్ట్రీపై ప్రోటోటైప్ ఒక ఉదాహరణ ఉంది, అయినప్పటికీ దాని రిజిస్ట్రేషన్ మే 2004 లో రద్దు చేయబడింది. ఫెడరల్ ఏవియేషన్ అడ్మినిస్ట్రేషన్తో అమెరికాలో ఏదీ నమోదు కాలేదు. [4] [6] బెర్ట్రాండ్ మరియు తయారీదారు నుండి డేటా [1] [2] సాధారణ లక్షణాల పనితీరు</v>
      </c>
      <c r="E43" s="1" t="s">
        <v>854</v>
      </c>
      <c r="F43" s="1" t="str">
        <f>IFERROR(__xludf.DUMMYFUNCTION("GOOGLETRANSLATE(E:E, ""en"", ""te"")"),"శక్తితో కూడిన పారాచూట్")</f>
        <v>శక్తితో కూడిన పారాచూట్</v>
      </c>
      <c r="G43" s="1" t="s">
        <v>855</v>
      </c>
      <c r="H43" s="1" t="str">
        <f>IFERROR(__xludf.DUMMYFUNCTION("GOOGLETRANSLATE(G:G, ""en"", ""te"")"),"కెనడా")</f>
        <v>కెనడా</v>
      </c>
      <c r="I43" s="1" t="s">
        <v>856</v>
      </c>
      <c r="J43" s="1" t="str">
        <f>IFERROR(__xludf.DUMMYFUNCTION("GOOGLETRANSLATE(I:I, ""en"", ""te"")"),"సుండోగ్ పవర్‌చ్యూట్స్ ఇంక్")</f>
        <v>సుండోగ్ పవర్‌చ్యూట్స్ ఇంక్</v>
      </c>
      <c r="K43" s="1" t="s">
        <v>857</v>
      </c>
      <c r="O43" s="1" t="s">
        <v>135</v>
      </c>
      <c r="P43" s="1" t="s">
        <v>858</v>
      </c>
      <c r="R43" s="1" t="s">
        <v>859</v>
      </c>
      <c r="S43" s="1" t="s">
        <v>860</v>
      </c>
      <c r="T43" s="1" t="s">
        <v>861</v>
      </c>
      <c r="U43" s="1" t="s">
        <v>862</v>
      </c>
      <c r="V43" s="1" t="s">
        <v>863</v>
      </c>
      <c r="W43" s="1" t="s">
        <v>864</v>
      </c>
      <c r="Z43" s="1" t="s">
        <v>424</v>
      </c>
      <c r="AB43" s="1" t="s">
        <v>865</v>
      </c>
      <c r="AC43" s="2" t="s">
        <v>866</v>
      </c>
      <c r="AD43" s="1" t="s">
        <v>867</v>
      </c>
      <c r="AE43" s="1" t="s">
        <v>868</v>
      </c>
      <c r="AF43" s="1" t="s">
        <v>869</v>
      </c>
      <c r="AG43" s="1" t="s">
        <v>519</v>
      </c>
      <c r="AI43" s="1" t="s">
        <v>870</v>
      </c>
      <c r="AJ43" s="1" t="s">
        <v>871</v>
      </c>
      <c r="AR43" s="1" t="s">
        <v>872</v>
      </c>
      <c r="AX43" s="1" t="s">
        <v>873</v>
      </c>
      <c r="BB43" s="1">
        <v>5.0</v>
      </c>
      <c r="BD43" s="1" t="s">
        <v>826</v>
      </c>
      <c r="BJ43" s="1" t="s">
        <v>874</v>
      </c>
      <c r="BQ43" s="1" t="s">
        <v>875</v>
      </c>
    </row>
    <row r="44">
      <c r="A44" s="1" t="s">
        <v>876</v>
      </c>
      <c r="B44" s="1" t="str">
        <f>IFERROR(__xludf.DUMMYFUNCTION("GOOGLETRANSLATE(A:A, ""en"", ""te"")"),"రోబోస్డ్ నానో")</f>
        <v>రోబోస్డ్ నానో</v>
      </c>
      <c r="C44" s="1" t="s">
        <v>877</v>
      </c>
      <c r="D44" s="1" t="str">
        <f>IFERROR(__xludf.DUMMYFUNCTION("GOOGLETRANSLATE(C:C, ""en"", ""te"")"),"రోబోస్డ్ నానో మొదటి మోనోకాప్టర్ యుఎవి, ఇది నియంత్రించదగిన విమానాన్ని ప్రదర్శించింది. సమారా విత్తనం యొక్క విమాన లక్షణాలపై పరిశోధన నుండి నానో అభివృద్ధి చేయబడింది, ఆధునిక చిన్న తరహా రిమోట్ కంట్రోల్ ఎలక్ట్రానిక్స్ మరియు మోనోకాప్టర్ వాహనాల నియంత్రణపై పరిశోధనలత"&amp;"ో పాటు. ఈ విమానం 2 సెల్ 920 ఎమ్ఏహెచ్ లిపోలీ బ్యాటరీతో శక్తినిస్తుంది. [1] రోబోసీడ్ జనరల్ లక్షణాల నుండి డేటా పనితీరు ఏవియానిక్స్ అంతర్గత GPS, ఆల్టిమీటర్ మరియు వీడియో")</f>
        <v>రోబోస్డ్ నానో మొదటి మోనోకాప్టర్ యుఎవి, ఇది నియంత్రించదగిన విమానాన్ని ప్రదర్శించింది. సమారా విత్తనం యొక్క విమాన లక్షణాలపై పరిశోధన నుండి నానో అభివృద్ధి చేయబడింది, ఆధునిక చిన్న తరహా రిమోట్ కంట్రోల్ ఎలక్ట్రానిక్స్ మరియు మోనోకాప్టర్ వాహనాల నియంత్రణపై పరిశోధనలతో పాటు. ఈ విమానం 2 సెల్ 920 ఎమ్ఏహెచ్ లిపోలీ బ్యాటరీతో శక్తినిస్తుంది. [1] రోబోసీడ్ జనరల్ లక్షణాల నుండి డేటా పనితీరు ఏవియానిక్స్ అంతర్గత GPS, ఆల్టిమీటర్ మరియు వీడియో</v>
      </c>
      <c r="E44" s="1" t="s">
        <v>878</v>
      </c>
      <c r="F44" s="1" t="str">
        <f>IFERROR(__xludf.DUMMYFUNCTION("GOOGLETRANSLATE(E:E, ""en"", ""te"")"),"మోనోకాప్టర్ యుఎవి")</f>
        <v>మోనోకాప్టర్ యుఎవి</v>
      </c>
      <c r="G44" s="1" t="s">
        <v>155</v>
      </c>
      <c r="H44" s="1" t="str">
        <f>IFERROR(__xludf.DUMMYFUNCTION("GOOGLETRANSLATE(G:G, ""en"", ""te"")"),"అమెరికా")</f>
        <v>అమెరికా</v>
      </c>
      <c r="I44" s="1" t="s">
        <v>879</v>
      </c>
      <c r="J44" s="1" t="str">
        <f>IFERROR(__xludf.DUMMYFUNCTION("GOOGLETRANSLATE(I:I, ""en"", ""te"")"),"రోబోస్డ్")</f>
        <v>రోబోస్డ్</v>
      </c>
      <c r="L44" s="1" t="s">
        <v>880</v>
      </c>
      <c r="Q44" s="1" t="s">
        <v>881</v>
      </c>
      <c r="T44" s="1" t="s">
        <v>882</v>
      </c>
      <c r="V44" s="1" t="s">
        <v>883</v>
      </c>
      <c r="X44" s="1" t="s">
        <v>884</v>
      </c>
      <c r="Y44" s="1" t="s">
        <v>885</v>
      </c>
      <c r="AA44" s="1" t="s">
        <v>886</v>
      </c>
      <c r="AG44" s="1" t="s">
        <v>887</v>
      </c>
      <c r="AP44" s="1" t="s">
        <v>888</v>
      </c>
    </row>
    <row r="45">
      <c r="A45" s="1" t="s">
        <v>889</v>
      </c>
      <c r="B45" s="1" t="str">
        <f>IFERROR(__xludf.DUMMYFUNCTION("GOOGLETRANSLATE(A:A, ""en"", ""te"")"),"సాల్మ్సన్-బెచెరో ఎస్బి -5")</f>
        <v>సాల్మ్సన్-బెచెరో ఎస్బి -5</v>
      </c>
      <c r="C45" s="1" t="s">
        <v>890</v>
      </c>
      <c r="D45" s="1" t="str">
        <f>IFERROR(__xludf.DUMMYFUNCTION("GOOGLETRANSLATE(C:C, ""en"", ""te"")"),"సాల్మ్సన్-బెచెరో ఎస్బి -5 అనేది 1925 లో ఒక ఫ్రెంచ్ ప్రభుత్వ కార్యక్రమం కోసం నిర్మించిన రెండు-సీట్ల ఫైటర్ విమానం. శక్తివంతమైన ఇంజిన్ ఉన్నప్పటికీ అది బాగా పని చేయలేదు మరియు ఒకటి మాత్రమే నిర్మించబడింది. సాల్మ్సన్-బెచెరో ఎస్బి -5, కొన్నిసార్లు బెచీరో సి. దాని"&amp;" స్ట్రట్-బ్రేస్డ్, పారాసోల్ వింగ్ డిజైన్ బెచీరో యొక్క 1921 లెటార్డ్-బేచీరో 2 మరియు 1924 బస్‌కేలెట్-బేచీరో 2 సింగిల్ సీట్ ఫైటర్స్ లకు చాలా రుణపడి ఉంది మరియు వారిలాగే, ఇది 370 కిలోవాట్ల (500 హెచ్‌పి) సాల్మ్సన్ 18 సెం.మీ. రేడియల్ ఇంజిన్. [1] [2] [3] ఎస్బి -5"&amp;" యొక్క రెక్క రెండు భాగాలుగా ఉంది, ఫ్యూజ్‌లేజ్‌పై ఒక జత క్యాబనే స్ట్రట్‌లతో తక్కువ చేరింది. విభాగానికి మించి, తీగలో ఉచ్ఛారణ తగ్గింపు (c.50%), ముఖ్యంగా వెనుకంజలో ఉన్న అంచున, పైలట్ కోసం మెరుగైన వీక్షణ క్షేత్రాన్ని అందించింది, రెక్కలు నేరుగా అంచుగలవి మరియు దా"&amp;"దాపు చదరపు చిట్కాలకు స్థిరమైన తీగను కలిగి ఉన్నాయి. రెక్కలు సుమారు 2 ° స్వీప్ [4] మరియు 3 ° అన్హెడ్రల్ తో అమర్చబడ్డాయి. [1] ప్రతి సగం-వింగ్ పైన్ పక్కటెముకలు మరియు ప్లైవుడ్ తో రెండు స్ప్రూస్ లాంగన్ల చుట్టూ నిర్మించబడింది, ప్రముఖ అంచు వద్ద ఇతర చోట్ల ఫాబ్రిక్"&amp;" తో కప్పబడి ఉంటుంది. [4] రెక్కలు చాలా సన్నగా ఉన్నాయని మరియు అందువల్ల విస్తృతమైన స్ట్రుల్టేజ్ అవసరమని ఆ సమయంలో గుర్తించబడింది, ఇందులో స్థిర ల్యాండింగ్ గేర్ కూడా ఉంది. తరువాతి యొక్క కేంద్ర భాగం ఒక చెక్క ఎయిర్‌ఫాయిల్ విభాగం, 3 మీ (9 అడుగుల 10 అంగుళాలు) స్పాన"&amp;"్ ప్లేన్, ఇది అదనపు 13% లిఫ్టింగ్ ప్రాంతాన్ని అందించింది. ఇది దాని చిట్కాల వద్ద మెటల్ క్యారియర్‌లను కలిగి ఉంది, ప్రతి ఒక్కటి దిగువ ఫ్యూజ్‌లేజ్‌కు దాదాపు సమాంతర స్ట్రట్‌ల ద్వారా మద్దతు ఇస్తుంది. స్ప్లిట్ ఇరుసులు, ఫ్యూజ్‌లేజ్ నుండి విలోమ V- స్ట్రట్‌లో కేంద్"&amp;"రంగా అమర్చబడి, రబ్బరు షాక్ అబ్జార్బర్స్ ద్వారా క్యారియర్‌లకు అనుసంధానించబడి చక్రాలను అమర్చారు. ప్రధాన వింగ్ స్ట్రట్స్ క్యారియర్‌ల నుండి వింగ్ లాంగన్స్‌కు 80% వ్యవధిలో కొద్దిగా కలుస్తాయి. ఈ స్ట్రట్స్ మధ్య బిందువు దగ్గర నుండి మరింత జత విలోమ వర్సెస్ లోపలి రె"&amp;"క్కను ఎగువ ఫ్యూజ్‌లేజ్‌కు కలుపుతారు. [4] SB-5 యొక్క ఫ్యూజ్‌లేజ్ యొక్క ఫార్వర్డ్ భాగం 390 kW (520 HP) సాల్మ్సన్ 18CMB వాటర్-కూల్డ్ రేడియల్ ఇంజిన్ చుట్టూ రూపొందించబడింది, ఇది ప్రొపెల్లర్ నుండి 1.00 మీ (3 అడుగుల 3 అంగుళాలు) ఎక్స్‌టెన్షన్ షాఫ్ట్‌లో తిరిగి సెట"&amp;"్ చేయబడింది. [1] [[పట్టుదల) ఫ్యూజ్‌లేజ్ నలుగురు లాంగన్ల చుట్టూ నిర్మించబడింది, కాని ఫార్మర్‌లచే ఆకారంలో మరియు ఫాబ్రిక్‌తో కప్పబడి ఉన్న వృత్తాకార క్రాస్-సెక్షన్ ఉంది. పైలట్ యొక్క ఓపెన్ కాక్‌పిట్ పూర్తిగా సెంట్రల్ ట్రైలింగ్ ఎడ్జ్ ఓపెనింగ్ కింద ఉంది మరియు వె"&amp;"నుక కాక్‌పిట్ చాలా దగ్గరగా ఉంది, ఇప్పటికీ బాహ్య వెనుకంజలో ఉన్న అంచుకి కొంతవరకు ముందుకు వచ్చింది. SB-5 లో రెండు స్థిర, ఫార్వర్డ్ ఫైరింగ్ 7.7 మిమీ (0.303 అంగుళాలు) మెషిన్ గన్స్ పైలట్ మరియు గన్నర్ కోసం సౌకర్యవంతమైన మౌంట్‌లో మరొక జత ఉండాలి. గన్నర్ యొక్క కాక్‌"&amp;"పిట్ వెనుక ప్రారంభమైన రిడ్జ్ ఫెయిరింగ్‌తో వెనుక భాగంలో ఫ్యూజ్‌లేజ్ దెబ్బతింది, వెన్నెముక వెంట పరిగెత్తి, కొంచెం గుండ్రంగా, తక్కువ మరియు విశాలమైన ఫిన్, ఫ్యూజ్‌లేజ్‌తో సమగ్రంగా ఉంది, ఇది పెంటగోనల్ చుక్కానిని కలిగి ఉంది. SB-5 యొక్క టెయిల్‌ప్లేన్, ఫ్యూజ్‌లేజ్"&amp;" పైభాగంలో, ఫిన్ కంటే ప్రణాళికలో ఉదారంగా మరియు మరింత గుండ్రంగా ఉండేది మరియు ప్రతి వైపు దిగువ నుండి ఒక స్ట్రట్ ద్వారా కలుపుతారు. దాని ఎలివేటర్ వెనుకంజలో ఉన్న అంచులు చుక్కాని కీలుతో సమం చేయబడ్డాయి. [4] SB-5 యొక్క మొదటి ఫ్లైట్ యొక్క ఖచ్చితమైన తేదీ తెలియదు కాన"&amp;"ి, క్రొత్తగా వర్ణించబడింది, ఇది జనవరి 1926 చివరి వారంలో డచాంప్స్ చేత పరీక్షించబడుతోంది. [5] ఏప్రిల్ నాటికి ఇది విల్లాకౌబ్లేలోని ప్రభుత్వ పరీక్షా మైదానంలో ఉంది, [6] ఇక్కడ పరీక్షలు నిర్వహణ సమస్యలను గణనీయమైన మార్పులు అవసరమయ్యేంత తీవ్రంగా వెల్లడించాయి. 1926 వ"&amp;"ేసవిలో ఇవి పూర్తయినప్పుడు, ఈ విమానం సాల్మ్సన్-బెచెరీయాక్స్ ఎస్బి -6 ను పున es రూపకల్పన చేసింది. చాలా ముఖ్యమైన మార్పులు రెక్కలకు ఉన్నాయి, ఇక్కడ ఐలెరాన్లు ఇప్పుడు అన్ని వెనుకంజలో ఉన్న అంచుని ఆక్రమించాయి మరియు దాని సెంట్రల్ కటౌట్ యొక్క పరిమాణం తగ్గించబడింది."&amp;" అదనంగా, ప్రొపెల్లర్ డ్రైవ్ షాఫ్ట్ తగ్గించబడింది, SB-6 యొక్క పొడవును 300 mm (11.8 in) తగ్గించింది. [1] మరింత పరీక్షలో SB-6 యొక్క పనితీరు రెండు సీట్ల ప్రోగ్రామ్ స్పెసిఫికేషన్ యొక్క అవసరాలను తీర్చలేదని చూపించింది. బెచెరేయాక్స్ అప్పుడు సాల్మ్సన్ నుండి తన సొం"&amp;"త సంస్థను విడిచిపెట్టాడు, సోషియాట్ లా రియాలియేషన్ డి'వియన్ ప్రోటోటైప్స్ (S.R.A.P.) మరియు SB-6 ను పారిస్ ఏరో సెలూన్లో డిసెంబర్ 1926 లో S.R.A.P. 2; కొంతకాలం తర్వాత C.2 ప్రోగ్రామ్ కూడా వదిలివేయబడింది మరియు S.R.A.P. 2 ముగిసింది. [1] గ్రీన్ &amp; స్వాన్బరో నుండి డ"&amp;"ేటా (1994), పే .518 [1] సాధారణ లక్షణాలు పనితీరు ఆయుధాలు")</f>
        <v>సాల్మ్సన్-బెచెరో ఎస్బి -5 అనేది 1925 లో ఒక ఫ్రెంచ్ ప్రభుత్వ కార్యక్రమం కోసం నిర్మించిన రెండు-సీట్ల ఫైటర్ విమానం. శక్తివంతమైన ఇంజిన్ ఉన్నప్పటికీ అది బాగా పని చేయలేదు మరియు ఒకటి మాత్రమే నిర్మించబడింది. సాల్మ్సన్-బెచెరో ఎస్బి -5, కొన్నిసార్లు బెచీరో సి. దాని స్ట్రట్-బ్రేస్డ్, పారాసోల్ వింగ్ డిజైన్ బెచీరో యొక్క 1921 లెటార్డ్-బేచీరో 2 మరియు 1924 బస్‌కేలెట్-బేచీరో 2 సింగిల్ సీట్ ఫైటర్స్ లకు చాలా రుణపడి ఉంది మరియు వారిలాగే, ఇది 370 కిలోవాట్ల (500 హెచ్‌పి) సాల్మ్సన్ 18 సెం.మీ. రేడియల్ ఇంజిన్. [1] [2] [3] ఎస్బి -5 యొక్క రెక్క రెండు భాగాలుగా ఉంది, ఫ్యూజ్‌లేజ్‌పై ఒక జత క్యాబనే స్ట్రట్‌లతో తక్కువ చేరింది. విభాగానికి మించి, తీగలో ఉచ్ఛారణ తగ్గింపు (c.50%), ముఖ్యంగా వెనుకంజలో ఉన్న అంచున, పైలట్ కోసం మెరుగైన వీక్షణ క్షేత్రాన్ని అందించింది, రెక్కలు నేరుగా అంచుగలవి మరియు దాదాపు చదరపు చిట్కాలకు స్థిరమైన తీగను కలిగి ఉన్నాయి. రెక్కలు సుమారు 2 ° స్వీప్ [4] మరియు 3 ° అన్హెడ్రల్ తో అమర్చబడ్డాయి. [1] ప్రతి సగం-వింగ్ పైన్ పక్కటెముకలు మరియు ప్లైవుడ్ తో రెండు స్ప్రూస్ లాంగన్ల చుట్టూ నిర్మించబడింది, ప్రముఖ అంచు వద్ద ఇతర చోట్ల ఫాబ్రిక్ తో కప్పబడి ఉంటుంది. [4] రెక్కలు చాలా సన్నగా ఉన్నాయని మరియు అందువల్ల విస్తృతమైన స్ట్రుల్టేజ్ అవసరమని ఆ సమయంలో గుర్తించబడింది, ఇందులో స్థిర ల్యాండింగ్ గేర్ కూడా ఉంది. తరువాతి యొక్క కేంద్ర భాగం ఒక చెక్క ఎయిర్‌ఫాయిల్ విభాగం, 3 మీ (9 అడుగుల 10 అంగుళాలు) స్పాన్ ప్లేన్, ఇది అదనపు 13% లిఫ్టింగ్ ప్రాంతాన్ని అందించింది. ఇది దాని చిట్కాల వద్ద మెటల్ క్యారియర్‌లను కలిగి ఉంది, ప్రతి ఒక్కటి దిగువ ఫ్యూజ్‌లేజ్‌కు దాదాపు సమాంతర స్ట్రట్‌ల ద్వారా మద్దతు ఇస్తుంది. స్ప్లిట్ ఇరుసులు, ఫ్యూజ్‌లేజ్ నుండి విలోమ V- స్ట్రట్‌లో కేంద్రంగా అమర్చబడి, రబ్బరు షాక్ అబ్జార్బర్స్ ద్వారా క్యారియర్‌లకు అనుసంధానించబడి చక్రాలను అమర్చారు. ప్రధాన వింగ్ స్ట్రట్స్ క్యారియర్‌ల నుండి వింగ్ లాంగన్స్‌కు 80% వ్యవధిలో కొద్దిగా కలుస్తాయి. ఈ స్ట్రట్స్ మధ్య బిందువు దగ్గర నుండి మరింత జత విలోమ వర్సెస్ లోపలి రెక్కను ఎగువ ఫ్యూజ్‌లేజ్‌కు కలుపుతారు. [4] SB-5 యొక్క ఫ్యూజ్‌లేజ్ యొక్క ఫార్వర్డ్ భాగం 390 kW (520 HP) సాల్మ్సన్ 18CMB వాటర్-కూల్డ్ రేడియల్ ఇంజిన్ చుట్టూ రూపొందించబడింది, ఇది ప్రొపెల్లర్ నుండి 1.00 మీ (3 అడుగుల 3 అంగుళాలు) ఎక్స్‌టెన్షన్ షాఫ్ట్‌లో తిరిగి సెట్ చేయబడింది. [1] [[పట్టుదల) ఫ్యూజ్‌లేజ్ నలుగురు లాంగన్ల చుట్టూ నిర్మించబడింది, కాని ఫార్మర్‌లచే ఆకారంలో మరియు ఫాబ్రిక్‌తో కప్పబడి ఉన్న వృత్తాకార క్రాస్-సెక్షన్ ఉంది. పైలట్ యొక్క ఓపెన్ కాక్‌పిట్ పూర్తిగా సెంట్రల్ ట్రైలింగ్ ఎడ్జ్ ఓపెనింగ్ కింద ఉంది మరియు వెనుక కాక్‌పిట్ చాలా దగ్గరగా ఉంది, ఇప్పటికీ బాహ్య వెనుకంజలో ఉన్న అంచుకి కొంతవరకు ముందుకు వచ్చింది. SB-5 లో రెండు స్థిర, ఫార్వర్డ్ ఫైరింగ్ 7.7 మిమీ (0.303 అంగుళాలు) మెషిన్ గన్స్ పైలట్ మరియు గన్నర్ కోసం సౌకర్యవంతమైన మౌంట్‌లో మరొక జత ఉండాలి. గన్నర్ యొక్క కాక్‌పిట్ వెనుక ప్రారంభమైన రిడ్జ్ ఫెయిరింగ్‌తో వెనుక భాగంలో ఫ్యూజ్‌లేజ్ దెబ్బతింది, వెన్నెముక వెంట పరిగెత్తి, కొంచెం గుండ్రంగా, తక్కువ మరియు విశాలమైన ఫిన్, ఫ్యూజ్‌లేజ్‌తో సమగ్రంగా ఉంది, ఇది పెంటగోనల్ చుక్కానిని కలిగి ఉంది. SB-5 యొక్క టెయిల్‌ప్లేన్, ఫ్యూజ్‌లేజ్ పైభాగంలో, ఫిన్ కంటే ప్రణాళికలో ఉదారంగా మరియు మరింత గుండ్రంగా ఉండేది మరియు ప్రతి వైపు దిగువ నుండి ఒక స్ట్రట్ ద్వారా కలుపుతారు. దాని ఎలివేటర్ వెనుకంజలో ఉన్న అంచులు చుక్కాని కీలుతో సమం చేయబడ్డాయి. [4] SB-5 యొక్క మొదటి ఫ్లైట్ యొక్క ఖచ్చితమైన తేదీ తెలియదు కాని, క్రొత్తగా వర్ణించబడింది, ఇది జనవరి 1926 చివరి వారంలో డచాంప్స్ చేత పరీక్షించబడుతోంది. [5] ఏప్రిల్ నాటికి ఇది విల్లాకౌబ్లేలోని ప్రభుత్వ పరీక్షా మైదానంలో ఉంది, [6] ఇక్కడ పరీక్షలు నిర్వహణ సమస్యలను గణనీయమైన మార్పులు అవసరమయ్యేంత తీవ్రంగా వెల్లడించాయి. 1926 వేసవిలో ఇవి పూర్తయినప్పుడు, ఈ విమానం సాల్మ్సన్-బెచెరీయాక్స్ ఎస్బి -6 ను పున es రూపకల్పన చేసింది. చాలా ముఖ్యమైన మార్పులు రెక్కలకు ఉన్నాయి, ఇక్కడ ఐలెరాన్లు ఇప్పుడు అన్ని వెనుకంజలో ఉన్న అంచుని ఆక్రమించాయి మరియు దాని సెంట్రల్ కటౌట్ యొక్క పరిమాణం తగ్గించబడింది. అదనంగా, ప్రొపెల్లర్ డ్రైవ్ షాఫ్ట్ తగ్గించబడింది, SB-6 యొక్క పొడవును 300 mm (11.8 in) తగ్గించింది. [1] మరింత పరీక్షలో SB-6 యొక్క పనితీరు రెండు సీట్ల ప్రోగ్రామ్ స్పెసిఫికేషన్ యొక్క అవసరాలను తీర్చలేదని చూపించింది. బెచెరేయాక్స్ అప్పుడు సాల్మ్సన్ నుండి తన సొంత సంస్థను విడిచిపెట్టాడు, సోషియాట్ లా రియాలియేషన్ డి'వియన్ ప్రోటోటైప్స్ (S.R.A.P.) మరియు SB-6 ను పారిస్ ఏరో సెలూన్లో డిసెంబర్ 1926 లో S.R.A.P. 2; కొంతకాలం తర్వాత C.2 ప్రోగ్రామ్ కూడా వదిలివేయబడింది మరియు S.R.A.P. 2 ముగిసింది. [1] గ్రీన్ &amp; స్వాన్బరో నుండి డేటా (1994), పే .518 [1] సాధారణ లక్షణాలు పనితీరు ఆయుధాలు</v>
      </c>
      <c r="E45" s="1" t="s">
        <v>891</v>
      </c>
      <c r="F45" s="1" t="str">
        <f>IFERROR(__xludf.DUMMYFUNCTION("GOOGLETRANSLATE(E:E, ""en"", ""te"")"),"రెండు సీట్ల ఫైటర్ విమానం")</f>
        <v>రెండు సీట్ల ఫైటర్ విమానం</v>
      </c>
      <c r="G45" s="1" t="s">
        <v>113</v>
      </c>
      <c r="H45" s="1" t="str">
        <f>IFERROR(__xludf.DUMMYFUNCTION("GOOGLETRANSLATE(G:G, ""en"", ""te"")"),"ఫ్రాన్స్")</f>
        <v>ఫ్రాన్స్</v>
      </c>
      <c r="I45" s="1" t="s">
        <v>892</v>
      </c>
      <c r="J45" s="1" t="str">
        <f>IFERROR(__xludf.DUMMYFUNCTION("GOOGLETRANSLATE(I:I, ""en"", ""te"")"),"సాల్మ్సన్")</f>
        <v>సాల్మ్సన్</v>
      </c>
      <c r="K45" s="2" t="s">
        <v>893</v>
      </c>
      <c r="L45" s="1" t="s">
        <v>894</v>
      </c>
      <c r="M45" s="1" t="s">
        <v>895</v>
      </c>
      <c r="N45" s="1" t="s">
        <v>896</v>
      </c>
      <c r="O45" s="1" t="s">
        <v>897</v>
      </c>
      <c r="P45" s="1" t="s">
        <v>898</v>
      </c>
      <c r="Q45" s="1" t="s">
        <v>899</v>
      </c>
      <c r="R45" s="1" t="s">
        <v>900</v>
      </c>
      <c r="S45" s="1" t="s">
        <v>901</v>
      </c>
      <c r="T45" s="1" t="s">
        <v>902</v>
      </c>
      <c r="U45" s="1" t="s">
        <v>903</v>
      </c>
      <c r="V45" s="1" t="s">
        <v>904</v>
      </c>
      <c r="W45" s="1" t="s">
        <v>905</v>
      </c>
      <c r="Y45" s="1" t="s">
        <v>906</v>
      </c>
      <c r="AA45" s="1" t="s">
        <v>907</v>
      </c>
      <c r="AB45" s="1" t="s">
        <v>908</v>
      </c>
      <c r="AC45" s="2" t="s">
        <v>713</v>
      </c>
      <c r="AF45" s="1" t="s">
        <v>909</v>
      </c>
      <c r="AR45" s="1" t="s">
        <v>910</v>
      </c>
      <c r="CA45" s="1" t="s">
        <v>911</v>
      </c>
      <c r="CC45" s="1" t="s">
        <v>912</v>
      </c>
    </row>
    <row r="46">
      <c r="A46" s="1" t="s">
        <v>913</v>
      </c>
      <c r="B46" s="1" t="str">
        <f>IFERROR(__xludf.DUMMYFUNCTION("GOOGLETRANSLATE(A:A, ""en"", ""te"")"),"విల్లియర్స్ IV")</f>
        <v>విల్లియర్స్ IV</v>
      </c>
      <c r="C46" s="1" t="s">
        <v>914</v>
      </c>
      <c r="D46" s="1" t="str">
        <f>IFERROR(__xludf.DUMMYFUNCTION("GOOGLETRANSLATE(C:C, ""en"", ""te"")"),"విల్లియర్స్ IV లేదా విల్లియర్స్ 4 ఒక ఫ్రెంచ్ రెండు సీట్ల నావికాదళ ఫ్లోట్ ప్లేన్. రెండు నిర్మించబడ్డాయి, మొదటిది జంట ఫ్లోట్లతో మరియు రెండవది ఒకటి. మొదటిది స్వల్పకాలికమైనది కాని రెండవది అనేక ప్రపంచ మరియు జాతీయ రికార్డులు; ఇది తరువాత విల్లియర్స్ XI గా మారింద"&amp;"ి. షిప్‌బోర్డ్ విమానంగా విల్లియర్ IV, రెండు సీట్ల మిలిటరీ మెషీన్ యొక్క సాధారణ పరికరాలతో పాటు, రెక్కలు మరియు టో మరియు హాయిస్ట్ పాయింట్లను మడతపెట్టాలి. దీనికి నావిగేషన్, రేడియో మరియు విజువల్ సిగ్నలింగ్ పరికరాలతో కూడా బాగా అందించాల్సి ఉంది. [1] ఇది ఒకే బే సె"&amp;"స్క్విప్లేన్. చాలా విల్లియర్స్ విమానాల మాదిరిగానే, వింగ్‌ప్లాన్లు ఫార్వర్డ్ కాక్‌పిట్‌పై నిస్సార కటౌట్ కాకుండా ఖచ్చితంగా ప్రణాళికలో దీర్ఘచతురస్రాకారంగా ఉండేవి; ఎగువ రెక్కలు దిగువ విస్తీర్ణంలో మూడు రెట్లు ఉన్నాయి. అవి స్ప్రూస్ బాక్స్ స్పార్స్ చుట్టూ నిర్మి"&amp;"ంచబడ్డాయి, ఫాబ్రిక్ కప్పబడి, ప్రతి వైపు బాహ్య మరియు ఫార్వర్డ్ లీనింగ్ ఇంటర్‌ప్లేన్ స్ట్రట్ ద్వారా కలిసి ఉంటుంది. దిగువ రెక్కలు దిగువ ఫ్యూజ్‌లేజ్ కోసం జతచేయబడి, ఎగువ లాంగన్స్‌కు కలుపుతారు, సింగిల్ స్ట్రట్‌లు 45 at వద్ద లోపలికి వాలుతాయి. ఎగువ రెక్కను ఫ్యూజ్"&amp;"‌లేజ్‌పై ఫోర్ అండ్ ఎఫ్టి జత W- ఫార్మ్ స్ట్రట్‌ల ద్వారా పట్టుకున్నారు, దాని రెండు స్పార్‌లలో ఒకటి. వింగ్ మడత వెనుక భాగంలో అతుక్కొని, సెంటర్ విభాగం వెలుపల వెంటనే ఫ్యూజ్‌లేజ్ స్ట్రట్‌లకు సాధించబడింది. పూర్తి స్పాన్ ఐలెరాన్స్ ఉన్నాయి, అప్పర్ వింగ్ మీద మాత్రమే"&amp;" అమర్చారు. ఒక జత అప్పర్ వింగ్ ఎగుర పాయింట్లు విల్లియర్ IV ను దాని ఓడలో ఒక క్రేన్ ద్వారా తిరిగి ఎత్తివేసింది. [1] టైప్ IV యొక్క ఫ్యూజ్‌లేజ్ స్ట్రింగర్లు, ఫార్మర్‌లు మరియు పోప్లర్ ప్లైవుడ్ స్కిన్నింగ్‌తో ఆరు స్ప్రూస్ లాంగన్‌ల చుట్టూ నిర్మించబడింది, కాని సెమ"&amp;"ీ-మోనోకోక్ నిర్మాణాన్ని ఉత్పత్తి చేసే అంతర్గత క్రాస్ బ్రేసింగ్ లేదు. దీని ఇంజిన్ 450 హెచ్‌పి (340 కిలోవాట్ల) లోరైన్-డైట్రిచ్ వాటర్-కూల్డ్ డబ్ల్యూ -12, లాంబ్లిన్ రేడియేటర్ దాని కింద అడ్డంగా అమర్చబడి ఉంటుంది. AFT, పైలట్ యొక్క కాక్‌పిట్ ఎక్కువగా రెక్క కింద ఉ"&amp;"ంది, అతని వెనుక ఉన్న గన్నర్ యొక్క కాక్‌పిట్ నుండి అగ్ని క్షేత్రాన్ని మెరుగుపరచడానికి వెనుకంజలో ఉన్న ఎడ్జ్ కటౌట్ ఉన్నప్పటికీ. గన్నర్ ఒక జత లూయిస్ తుపాకులను సౌకర్యవంతమైన మౌంట్‌లో కలిగి ఉంది మరియు పైలట్ ప్రొపెల్లర్ ఆర్క్ ద్వారా కాల్పులు జరపడానికి ఒక స్థిర జత"&amp;" సమకాలీకరించబడిన విక్కర్స్ మెషిన్ గన్లను నియంత్రించాడు. వెనుక భాగంలో ఫిన్ మరియు టెయిల్ ప్లేన్ రెండూ త్రిభుజాకారంగా ఉన్నాయి; తరువాత, ఫ్యూజ్‌లేజ్ పైభాగంలో ఉంచిన భూమిపై సర్దుబాటు చేయవచ్చు. చుక్కాని వక్రంగా, విశాలంగా మరియు కీల్ వరకు చేరుకుంది. ఎలివేటర్లు సమతు"&amp;"ల్యతను కలిగి ఉన్నాయి, వక్రంగా ఉన్నాయి మరియు చుక్కాని ఉద్యమానికి కటౌట్ ఉన్నాయి. [1] మొదటి రకం IV లో ఒక జత ఫ్లోట్లు ఉన్నాయి, సుమారు 7.8 మీ (25 అడుగుల 7 అంగుళాలు) మరియు 3.1 మీ (10 అడుగుల 2 అంగుళాలు) వేరుగా, సింగిల్ స్టెప్డ్, రౌండ్ క్రాస్-సెక్షన్‌లో అగ్రస్థాన"&amp;"ంలో మరియు హార్డ్ చైన్‌తో అగ్రస్థానంలో ఉంది, కానీ దాదాపు ఫ్లాట్ బాటమ్‌లతో. ఇవి వింగ్ లీడింగ్ ఎడ్జ్ కోసం ఒక ఇరుసుపై అమర్చబడ్డాయి, దాని మధ్యలో దిగువ ఫ్యూజ్‌లేజ్ లాంగన్స్ నుండి మరియు దాని అంత్య భాగాల వద్ద V- స్ట్రట్ ద్వారా మద్దతు ఇవ్వబడింది, అదే పాయింట్లకు 45"&amp;" ° వద్ద స్ట్రట్స్ ద్వారా. వెనుకంజలో ఉన్న అంచు కింద ఒక W- ఫారమ్ స్ట్రట్ లాంగన్స్ మరియు ఫ్లోట్లను అనుసంధానించింది, సెంట్రల్ ఫ్యూజ్‌లేజ్ అండర్ సైడ్ నుండి విడుదలయ్యే బాంబుల కోసం వెళ్ళడానికి అనుమతిస్తుంది. నిలువు కాళ్ళు ల్యాండింగ్ శక్తులను మడత రేఖ యొక్క దిగువ "&amp;"రెక్కకు ప్రసారం చేశాయి. ఫ్లోట్లు స్ప్రూస్ మరియు ప్లై కప్పబడి ఉన్నాయి; ప్లానింగ్ బాటమ్‌లపై ప్లై 8 మిమీ (0.31 అంగుళాలు) మందంగా ఉంది. [1] రెండవ ఉదాహరణ, IVBIS, ఒకే సెంట్రల్ మెయిన్ ఫ్లోట్ కలిగి ఉంది, కాటాపుల్ట్ ప్రయోగానికి అనువైనది మరియు ప్రతి రెక్క కింద చిన్న"&amp;", స్థిరీకరణ ఫ్లోట్. [2] టైప్ IV యొక్క మొదటి ఫ్లైట్ యొక్క తేదీ తెలియదు కాని ఇది ఆగస్టు 1925 లోపు ఎగురుతోంది. [2] రెండవ రకం IV, సాధారణంగా ఫ్రెంచ్ పత్రికలలో 4BIS అని పిలుస్తారు, 1926 లో ప్రయాణించారు. [2] 1927 వసంతకాలంలో ఇది చాలా సారూప్య [1] [2] [3] విల్లియర్"&amp;"స్ టైప్ XI లో సవరించబడింది, ఇందులో ఒకే, 7.5 మీ (24 అడుగుల 7 అంగుళాలు), 1.5 మీ (4 అడుగులు 11 అంగుళాలు) వెడల్పు, సింగిల్ ఉన్నాయి -ఒక దిగువ ఫ్యూజ్‌లేజ్‌కు రెండు జతల పార్శ్వ స్ట్రట్‌లపై అమర్చిన సెంట్రల్ ఫ్లోట్. రెండు చిన్న స్టెబిలైజింగ్ ఫ్లోట్లు ఇంటర్‌ప్లేన్ "&amp;"స్ట్రట్‌ల క్రింద దిగువ రెక్క నుండి బాహ్యంగా లీనింగ్ స్ట్రట్‌లతో జతచేయబడ్డాయి. [1] విలియర్స్ IX [2] మరియు టైప్ X [2] [4] ఇలాంటి రకం IV పరిణామాలు. 1925 వేసవి చివరలో, మొదటి రకం IV మరియు దాని సిబ్బంది సెయింట్-రాఫాల్, వర్. [2] వద్ద జరిగిన సీప్లేన్ల కోసం గ్రాండ"&amp;"్ ప్రిక్స్ సమయంలో పోయారు. 1926 ప్రారంభంలో సింగిల్ ఫ్లోట్ IVBIS, లూయిస్ డెమౌజియోట్ చేత ఎగురవేయబడింది, [5] ప్రపంచ మరియు జాతీయ సీప్లేన్ రికార్డులను సెట్ చేసింది. ప్రపంచ రికార్డు 500 కిలోల (1,100 ఎల్బి) లోడ్‌తో 100 కిమీ (62 మైళ్ళు) పై వేగంతో ఉంది, ఇది మే 13 న"&amp;" 203.275 కిమీ/గం (126.309 ఎమ్‌పిహెచ్) వద్ద సెట్ చేయబడింది, [6] ఇది ఒక సంవత్సరం తరువాత ఇప్పటికీ నిలబడి ఉంది. [5 ] ఫ్రెంచ్ రికార్డు ఏప్రిల్ 27 న, విల్లియర్స్ ను 4,881 మీ (16,014 అడుగులు) కు తీసుకువెళ్ళింది. [7] ఎల్'అరోఫైల్ నుండి డేటా మార్చి 1927 [1] సాధారణ "&amp;"లక్షణాలు పనితీరు ఆయుధాలు")</f>
        <v>విల్లియర్స్ IV లేదా విల్లియర్స్ 4 ఒక ఫ్రెంచ్ రెండు సీట్ల నావికాదళ ఫ్లోట్ ప్లేన్. రెండు నిర్మించబడ్డాయి, మొదటిది జంట ఫ్లోట్లతో మరియు రెండవది ఒకటి. మొదటిది స్వల్పకాలికమైనది కాని రెండవది అనేక ప్రపంచ మరియు జాతీయ రికార్డులు; ఇది తరువాత విల్లియర్స్ XI గా మారింది. షిప్‌బోర్డ్ విమానంగా విల్లియర్ IV, రెండు సీట్ల మిలిటరీ మెషీన్ యొక్క సాధారణ పరికరాలతో పాటు, రెక్కలు మరియు టో మరియు హాయిస్ట్ పాయింట్లను మడతపెట్టాలి. దీనికి నావిగేషన్, రేడియో మరియు విజువల్ సిగ్నలింగ్ పరికరాలతో కూడా బాగా అందించాల్సి ఉంది. [1] ఇది ఒకే బే సెస్క్విప్లేన్. చాలా విల్లియర్స్ విమానాల మాదిరిగానే, వింగ్‌ప్లాన్లు ఫార్వర్డ్ కాక్‌పిట్‌పై నిస్సార కటౌట్ కాకుండా ఖచ్చితంగా ప్రణాళికలో దీర్ఘచతురస్రాకారంగా ఉండేవి; ఎగువ రెక్కలు దిగువ విస్తీర్ణంలో మూడు రెట్లు ఉన్నాయి. అవి స్ప్రూస్ బాక్స్ స్పార్స్ చుట్టూ నిర్మించబడ్డాయి, ఫాబ్రిక్ కప్పబడి, ప్రతి వైపు బాహ్య మరియు ఫార్వర్డ్ లీనింగ్ ఇంటర్‌ప్లేన్ స్ట్రట్ ద్వారా కలిసి ఉంటుంది. దిగువ రెక్కలు దిగువ ఫ్యూజ్‌లేజ్ కోసం జతచేయబడి, ఎగువ లాంగన్స్‌కు కలుపుతారు, సింగిల్ స్ట్రట్‌లు 45 at వద్ద లోపలికి వాలుతాయి. ఎగువ రెక్కను ఫ్యూజ్‌లేజ్‌పై ఫోర్ అండ్ ఎఫ్టి జత W- ఫార్మ్ స్ట్రట్‌ల ద్వారా పట్టుకున్నారు, దాని రెండు స్పార్‌లలో ఒకటి. వింగ్ మడత వెనుక భాగంలో అతుక్కొని, సెంటర్ విభాగం వెలుపల వెంటనే ఫ్యూజ్‌లేజ్ స్ట్రట్‌లకు సాధించబడింది. పూర్తి స్పాన్ ఐలెరాన్స్ ఉన్నాయి, అప్పర్ వింగ్ మీద మాత్రమే అమర్చారు. ఒక జత అప్పర్ వింగ్ ఎగుర పాయింట్లు విల్లియర్ IV ను దాని ఓడలో ఒక క్రేన్ ద్వారా తిరిగి ఎత్తివేసింది. [1] టైప్ IV యొక్క ఫ్యూజ్‌లేజ్ స్ట్రింగర్లు, ఫార్మర్‌లు మరియు పోప్లర్ ప్లైవుడ్ స్కిన్నింగ్‌తో ఆరు స్ప్రూస్ లాంగన్‌ల చుట్టూ నిర్మించబడింది, కాని సెమీ-మోనోకోక్ నిర్మాణాన్ని ఉత్పత్తి చేసే అంతర్గత క్రాస్ బ్రేసింగ్ లేదు. దీని ఇంజిన్ 450 హెచ్‌పి (340 కిలోవాట్ల) లోరైన్-డైట్రిచ్ వాటర్-కూల్డ్ డబ్ల్యూ -12, లాంబ్లిన్ రేడియేటర్ దాని కింద అడ్డంగా అమర్చబడి ఉంటుంది. AFT, పైలట్ యొక్క కాక్‌పిట్ ఎక్కువగా రెక్క కింద ఉంది, అతని వెనుక ఉన్న గన్నర్ యొక్క కాక్‌పిట్ నుండి అగ్ని క్షేత్రాన్ని మెరుగుపరచడానికి వెనుకంజలో ఉన్న ఎడ్జ్ కటౌట్ ఉన్నప్పటికీ. గన్నర్ ఒక జత లూయిస్ తుపాకులను సౌకర్యవంతమైన మౌంట్‌లో కలిగి ఉంది మరియు పైలట్ ప్రొపెల్లర్ ఆర్క్ ద్వారా కాల్పులు జరపడానికి ఒక స్థిర జత సమకాలీకరించబడిన విక్కర్స్ మెషిన్ గన్లను నియంత్రించాడు. వెనుక భాగంలో ఫిన్ మరియు టెయిల్ ప్లేన్ రెండూ త్రిభుజాకారంగా ఉన్నాయి; తరువాత, ఫ్యూజ్‌లేజ్ పైభాగంలో ఉంచిన భూమిపై సర్దుబాటు చేయవచ్చు. చుక్కాని వక్రంగా, విశాలంగా మరియు కీల్ వరకు చేరుకుంది. ఎలివేటర్లు సమతుల్యతను కలిగి ఉన్నాయి, వక్రంగా ఉన్నాయి మరియు చుక్కాని ఉద్యమానికి కటౌట్ ఉన్నాయి. [1] మొదటి రకం IV లో ఒక జత ఫ్లోట్లు ఉన్నాయి, సుమారు 7.8 మీ (25 అడుగుల 7 అంగుళాలు) మరియు 3.1 మీ (10 అడుగుల 2 అంగుళాలు) వేరుగా, సింగిల్ స్టెప్డ్, రౌండ్ క్రాస్-సెక్షన్‌లో అగ్రస్థానంలో మరియు హార్డ్ చైన్‌తో అగ్రస్థానంలో ఉంది, కానీ దాదాపు ఫ్లాట్ బాటమ్‌లతో. ఇవి వింగ్ లీడింగ్ ఎడ్జ్ కోసం ఒక ఇరుసుపై అమర్చబడ్డాయి, దాని మధ్యలో దిగువ ఫ్యూజ్‌లేజ్ లాంగన్స్ నుండి మరియు దాని అంత్య భాగాల వద్ద V- స్ట్రట్ ద్వారా మద్దతు ఇవ్వబడింది, అదే పాయింట్లకు 45 ° వద్ద స్ట్రట్స్ ద్వారా. వెనుకంజలో ఉన్న అంచు కింద ఒక W- ఫారమ్ స్ట్రట్ లాంగన్స్ మరియు ఫ్లోట్లను అనుసంధానించింది, సెంట్రల్ ఫ్యూజ్‌లేజ్ అండర్ సైడ్ నుండి విడుదలయ్యే బాంబుల కోసం వెళ్ళడానికి అనుమతిస్తుంది. నిలువు కాళ్ళు ల్యాండింగ్ శక్తులను మడత రేఖ యొక్క దిగువ రెక్కకు ప్రసారం చేశాయి. ఫ్లోట్లు స్ప్రూస్ మరియు ప్లై కప్పబడి ఉన్నాయి; ప్లానింగ్ బాటమ్‌లపై ప్లై 8 మిమీ (0.31 అంగుళాలు) మందంగా ఉంది. [1] రెండవ ఉదాహరణ, IVBIS, ఒకే సెంట్రల్ మెయిన్ ఫ్లోట్ కలిగి ఉంది, కాటాపుల్ట్ ప్రయోగానికి అనువైనది మరియు ప్రతి రెక్క కింద చిన్న, స్థిరీకరణ ఫ్లోట్. [2] టైప్ IV యొక్క మొదటి ఫ్లైట్ యొక్క తేదీ తెలియదు కాని ఇది ఆగస్టు 1925 లోపు ఎగురుతోంది. [2] రెండవ రకం IV, సాధారణంగా ఫ్రెంచ్ పత్రికలలో 4BIS అని పిలుస్తారు, 1926 లో ప్రయాణించారు. [2] 1927 వసంతకాలంలో ఇది చాలా సారూప్య [1] [2] [3] విల్లియర్స్ టైప్ XI లో సవరించబడింది, ఇందులో ఒకే, 7.5 మీ (24 అడుగుల 7 అంగుళాలు), 1.5 మీ (4 అడుగులు 11 అంగుళాలు) వెడల్పు, సింగిల్ ఉన్నాయి -ఒక దిగువ ఫ్యూజ్‌లేజ్‌కు రెండు జతల పార్శ్వ స్ట్రట్‌లపై అమర్చిన సెంట్రల్ ఫ్లోట్. రెండు చిన్న స్టెబిలైజింగ్ ఫ్లోట్లు ఇంటర్‌ప్లేన్ స్ట్రట్‌ల క్రింద దిగువ రెక్క నుండి బాహ్యంగా లీనింగ్ స్ట్రట్‌లతో జతచేయబడ్డాయి. [1] విలియర్స్ IX [2] మరియు టైప్ X [2] [4] ఇలాంటి రకం IV పరిణామాలు. 1925 వేసవి చివరలో, మొదటి రకం IV మరియు దాని సిబ్బంది సెయింట్-రాఫాల్, వర్. [2] వద్ద జరిగిన సీప్లేన్ల కోసం గ్రాండ్ ప్రిక్స్ సమయంలో పోయారు. 1926 ప్రారంభంలో సింగిల్ ఫ్లోట్ IVBIS, లూయిస్ డెమౌజియోట్ చేత ఎగురవేయబడింది, [5] ప్రపంచ మరియు జాతీయ సీప్లేన్ రికార్డులను సెట్ చేసింది. ప్రపంచ రికార్డు 500 కిలోల (1,100 ఎల్బి) లోడ్‌తో 100 కిమీ (62 మైళ్ళు) పై వేగంతో ఉంది, ఇది మే 13 న 203.275 కిమీ/గం (126.309 ఎమ్‌పిహెచ్) వద్ద సెట్ చేయబడింది, [6] ఇది ఒక సంవత్సరం తరువాత ఇప్పటికీ నిలబడి ఉంది. [5 ] ఫ్రెంచ్ రికార్డు ఏప్రిల్ 27 న, విల్లియర్స్ ను 4,881 మీ (16,014 అడుగులు) కు తీసుకువెళ్ళింది. [7] ఎల్'అరోఫైల్ నుండి డేటా మార్చి 1927 [1] సాధారణ లక్షణాలు పనితీరు ఆయుధాలు</v>
      </c>
      <c r="E46" s="1" t="s">
        <v>915</v>
      </c>
      <c r="F46" s="1" t="str">
        <f>IFERROR(__xludf.DUMMYFUNCTION("GOOGLETRANSLATE(E:E, ""en"", ""te"")"),"షిప్‌బోర్డ్ సింగిల్ సీట్ నిఘా విమానం")</f>
        <v>షిప్‌బోర్డ్ సింగిల్ సీట్ నిఘా విమానం</v>
      </c>
      <c r="G46" s="1" t="s">
        <v>113</v>
      </c>
      <c r="H46" s="1" t="str">
        <f>IFERROR(__xludf.DUMMYFUNCTION("GOOGLETRANSLATE(G:G, ""en"", ""te"")"),"ఫ్రాన్స్")</f>
        <v>ఫ్రాన్స్</v>
      </c>
      <c r="I46" s="1" t="s">
        <v>738</v>
      </c>
      <c r="J46" s="1" t="str">
        <f>IFERROR(__xludf.DUMMYFUNCTION("GOOGLETRANSLATE(I:I, ""en"", ""te"")"),"అటెలియర్స్ డి'ఏవియేషన్ ఫ్రాంకోయిస్ విల్లియర్స్")</f>
        <v>అటెలియర్స్ డి'ఏవియేషన్ ఫ్రాంకోయిస్ విల్లియర్స్</v>
      </c>
      <c r="K46" s="1" t="s">
        <v>739</v>
      </c>
      <c r="N46" s="1">
        <v>1925.0</v>
      </c>
      <c r="O46" s="1" t="s">
        <v>740</v>
      </c>
      <c r="P46" s="1" t="s">
        <v>916</v>
      </c>
      <c r="R46" s="1" t="s">
        <v>917</v>
      </c>
      <c r="S46" s="1" t="s">
        <v>918</v>
      </c>
      <c r="T46" s="1" t="s">
        <v>919</v>
      </c>
      <c r="U46" s="1" t="s">
        <v>920</v>
      </c>
      <c r="V46" s="1" t="s">
        <v>921</v>
      </c>
      <c r="W46" s="1" t="s">
        <v>922</v>
      </c>
      <c r="X46" s="1" t="s">
        <v>923</v>
      </c>
      <c r="Y46" s="1" t="s">
        <v>924</v>
      </c>
      <c r="AA46" s="1" t="s">
        <v>925</v>
      </c>
      <c r="AB46" s="1" t="s">
        <v>926</v>
      </c>
      <c r="AC46" s="2" t="s">
        <v>713</v>
      </c>
      <c r="AE46" s="1" t="s">
        <v>927</v>
      </c>
      <c r="AF46" s="1" t="s">
        <v>909</v>
      </c>
      <c r="AJ46" s="1">
        <v>2.0</v>
      </c>
      <c r="AP46" s="1" t="s">
        <v>928</v>
      </c>
      <c r="AR46" s="1" t="s">
        <v>253</v>
      </c>
      <c r="AT46" s="1" t="s">
        <v>929</v>
      </c>
      <c r="BZ46" s="1" t="s">
        <v>930</v>
      </c>
      <c r="CA46" s="1" t="s">
        <v>931</v>
      </c>
      <c r="CD46" s="1" t="s">
        <v>932</v>
      </c>
    </row>
    <row r="47">
      <c r="A47" s="1" t="s">
        <v>933</v>
      </c>
      <c r="B47" s="1" t="str">
        <f>IFERROR(__xludf.DUMMYFUNCTION("GOOGLETRANSLATE(A:A, ""en"", ""te"")"),"ఎయిర్-స్పోర్ట్ పసత్")</f>
        <v>ఎయిర్-స్పోర్ట్ పసత్</v>
      </c>
      <c r="C47" s="1" t="s">
        <v>934</v>
      </c>
      <c r="D47" s="1" t="str">
        <f>IFERROR(__xludf.DUMMYFUNCTION("GOOGLETRANSLATE(C:C, ""en"", ""te"")"),"ఎయిర్-స్పోర్ట్ పసాట్ అనేది పోలిష్ సింగిల్-ప్లేస్, పారాగ్లైడర్స్ యొక్క కుటుంబం, ఇది జాకోపనే యొక్క ఎయిర్-స్పోర్ట్ చేత రూపొందించబడింది మరియు ఉత్పత్తి చేస్తుంది. [1] పసాత్‌కు వాణిజ్య గాలి పేరు పెట్టారు. ఇది వినోద గ్లైడర్‌గా రూపొందించబడింది మరియు 2003 లో చాలా "&amp;"పోటీ ధరతో గుర్తించబడింది. [1] [2] ఈ డిజైన్ నాలుగు తరాల మోడళ్ల ద్వారా అభివృద్ధి చెందింది, పసత్, పసత్ 2, 3 మరియు 4, ప్రతి ఒక్కటి చివరిగా మెరుగుపడుతుంది. మోడల్స్ ప్రతి ఒక్కటి చదరపు మీటర్లలో వారి వింగ్ ప్రాంతానికి పేరు పెట్టబడ్డాయి. [1] బెర్ట్రాండ్ నుండి డేటా"&amp;" [1] సాధారణ లక్షణాల పనితీరు")</f>
        <v>ఎయిర్-స్పోర్ట్ పసాట్ అనేది పోలిష్ సింగిల్-ప్లేస్, పారాగ్లైడర్స్ యొక్క కుటుంబం, ఇది జాకోపనే యొక్క ఎయిర్-స్పోర్ట్ చేత రూపొందించబడింది మరియు ఉత్పత్తి చేస్తుంది. [1] పసాత్‌కు వాణిజ్య గాలి పేరు పెట్టారు. ఇది వినోద గ్లైడర్‌గా రూపొందించబడింది మరియు 2003 లో చాలా పోటీ ధరతో గుర్తించబడింది. [1] [2] ఈ డిజైన్ నాలుగు తరాల మోడళ్ల ద్వారా అభివృద్ధి చెందింది, పసత్, పసత్ 2, 3 మరియు 4, ప్రతి ఒక్కటి చివరిగా మెరుగుపడుతుంది. మోడల్స్ ప్రతి ఒక్కటి చదరపు మీటర్లలో వారి వింగ్ ప్రాంతానికి పేరు పెట్టబడ్డాయి. [1] బెర్ట్రాండ్ నుండి డేటా [1] సాధారణ లక్షణాల పనితీరు</v>
      </c>
      <c r="E47" s="1" t="s">
        <v>935</v>
      </c>
      <c r="F47" s="1" t="str">
        <f>IFERROR(__xludf.DUMMYFUNCTION("GOOGLETRANSLATE(E:E, ""en"", ""te"")"),"పారాగ్లైడర్")</f>
        <v>పారాగ్లైడర్</v>
      </c>
      <c r="G47" s="1" t="s">
        <v>936</v>
      </c>
      <c r="H47" s="1" t="str">
        <f>IFERROR(__xludf.DUMMYFUNCTION("GOOGLETRANSLATE(G:G, ""en"", ""te"")"),"పోలాండ్")</f>
        <v>పోలాండ్</v>
      </c>
      <c r="I47" s="1" t="s">
        <v>937</v>
      </c>
      <c r="J47" s="1" t="str">
        <f>IFERROR(__xludf.DUMMYFUNCTION("GOOGLETRANSLATE(I:I, ""en"", ""te"")"),"ఎయిర్-స్పోర్ట్")</f>
        <v>ఎయిర్-స్పోర్ట్</v>
      </c>
      <c r="K47" s="2" t="s">
        <v>938</v>
      </c>
      <c r="O47" s="1" t="s">
        <v>135</v>
      </c>
      <c r="Q47" s="1" t="s">
        <v>939</v>
      </c>
      <c r="S47" s="1" t="s">
        <v>940</v>
      </c>
      <c r="W47" s="1" t="s">
        <v>941</v>
      </c>
      <c r="AB47" s="2" t="s">
        <v>942</v>
      </c>
      <c r="AC47" s="2" t="s">
        <v>943</v>
      </c>
      <c r="AD47" s="1" t="s">
        <v>944</v>
      </c>
      <c r="AR47" s="1" t="s">
        <v>253</v>
      </c>
      <c r="AS47" s="1">
        <v>5.3</v>
      </c>
      <c r="AX47" s="1" t="s">
        <v>945</v>
      </c>
      <c r="BD47" s="1" t="s">
        <v>946</v>
      </c>
    </row>
    <row r="48">
      <c r="A48" s="1" t="s">
        <v>947</v>
      </c>
      <c r="B48" s="1" t="str">
        <f>IFERROR(__xludf.DUMMYFUNCTION("GOOGLETRANSLATE(A:A, ""en"", ""te"")"),"Tupolev '73'")</f>
        <v>Tupolev '73'</v>
      </c>
      <c r="C48" s="1" t="s">
        <v>948</v>
      </c>
      <c r="D48" s="1" t="str">
        <f>IFERROR(__xludf.DUMMYFUNCTION("GOOGLETRANSLATE(C:C, ""en"", ""te"")"),"టుపోలెవ్ '73', (సమోలియోట్ 73), 1940 ల చివరలో సోవియట్ ట్రైజెట్ మీడియం బాంబర్. ఇది ఇలూషిన్ IL-28 'బీగల్' చేతిలో ఓడిపోయింది. టుపోలెవ్ OKB గ్యాస్ టర్బైన్ విద్యుత్-మొక్కల రాకతో TU-2 రేఖను అభివృద్ధి చేస్తూనే ఉంది. TU-8 ('69') రెండు రోల్స్ రాయిస్ నేనే I టర్బోజెట"&amp;"్ ఇంజిన్లతో పున es రూపకల్పన చేయబడింది, పిస్టన్ ఇంజిన్లను కొత్త నాసెల్ల్స్‌లో భర్తీ చేసింది. కొత్త డిజైన్‌కు OKB హోదా '72' మరియు అధికారిక హోదా TU-18 2 × నేనే I ఇవ్వబడింది, కాని వనరులను నానబెట్టడం మరింత ఆశాజనకంగా '73' డిజైన్ కారణంగా వదిలివేయబడింది. Tu-2- tu"&amp;"-8 యొక్క సాధారణ అమరిక తరువాత, '72', ప్రారంభ '73' స్వల్ప-శ్రేణి బాంబర్ (అధికారిక హోదా; TU-20 2 × NENE I) భుజం మౌంటెడ్ వింగ్, పెద్ద అన్‌స్కీప్ట్ ఫిన్ మరియు సమగ్ర డోర్సల్ ఫిన్, ట్రై-సైకిల్ అండర్ క్యారేజ్ మరియు ఇంజిన్లతో సుమారు 1/3 వ్యవధిలో పొడవైన అండర్-స్లాం"&amp;"గ్ నాసెల్ల్స్‌లో రుద్దబడినది, ఇది ఉపసంహరించుకున్నప్పుడు ప్రధాన అండర్ క్యారేజ్ కాళ్ళను కూడా కలిగి ఉంది. డిజైన్ ఖరారు చేయడానికి ముందు, నేనే I ఇంజన్లు expected హించిన దానికంటే తక్కువ శక్తిని ఉత్పత్తి చేస్తున్నాయని కనుగొనబడింది; 19.57 kN (4,400 LBF) మరియు exp"&amp;"ected హించిన 22.26 kN (5,004 LBF), వెనుక ఫ్యూజ్‌లేజ్‌లో రోల్స్ రాయిస్ డెర్వెంట్ V బూస్టర్ ఇంజిన్‌ను చేర్చడం అవసరం, ఫిన్ యొక్క బేస్ వద్ద అలసిపోతుంది. మూడు-ఇంజిన్ '73' (అధికారిక హోదా; TU-14 2 × NENE I + 1 × డెర్వెంట్ V) అభివృద్ధికి అంగీకరించబడింది మరియు '73"&amp;"' మొదటిసారి డిసెంబర్ 1947 న ప్రయాణించారు, విమాన పరీక్షలు 31 మే 1949 వరకు కొనసాగుతున్నాయి, మంచి ఫలితాలు, ఫలితంగా పది '73 లు' ప్రీ-ప్రొడక్షన్ ప్రోటోటైప్‌ల ఉత్పత్తి క్రమం, RD-45 మరియు RD-500 (సోవియట్ ప్రొడక్షన్ నేనే మరియు డెర్వెంట్ ఇంజన్లు) చేత ఆధారితం. ప్రీ"&amp;"-ప్రొడక్షన్ ఆర్డర్ ఏదీ పూర్తి కాలేదు కాని GAZ-23 వద్ద తయారు చేయబడిన భాగాలు GAZ-39 వద్ద టుపోలెవ్ TU-14 ఉత్పత్తి రేఖ ద్వారా గ్రహించబడ్డాయి. '73' లైన్ యొక్క మరింత అభివృద్ధి ఫలితంగా ఫోటో-పునర్నిర్మాణం '73r' / '78' (అధికారిక హోదా; TU-16 2 × NENE I + 1 × డెర్వె"&amp;"ంట్ V) కు దారితీసింది. డోర్సల్ ఫిల్లెట్ యొక్క ఫార్వర్డ్ ఎండ్ వద్ద వెనుక ఫ్యూజ్‌లేజ్ డెర్వెంట్‌ను తీసుకోవడంపై ముడుచుకునే శంఖాకార షట్టర్‌ను మినహాయించి '78' '73' తో బాహ్యంగా సమానంగా ఉంటుంది. '78' మొదట 7 మే 1948 న ప్రయాణించింది మరియు ఫోటోగ్రాఫిక్ పరికరాల విమా"&amp;"న పరీక్షలను నిర్వహించింది, అవి సంతృప్తికరంగా లేవు. మంత్రుల మండలి కౌన్సిల్ ఉన్నప్పటికీ ఫోటోగ్రాఫిక్ పరికరాలకు మెరుగుదలలు 14 మే 1949 న '73', '78' మరియు '79' యొక్క అన్ని అభివృద్ధి లేదా ఉత్పత్తిని రద్దు చేశాయి. మరో రెండు ఫోటో-రిసెస్ ప్రాజెక్టులు '73' మరియు మా"&amp;"దిరిగానే రూపొందించబడ్డాయి '78'. మొదటి '79' (అధికారిక హోదా; TU-30 2 × NENE I + 1 × డెర్వెంట్ V) కొనసాగలేదు. రెండవ '79' (అధికారిక హోదా; TU-20 2 × VK-1 + 1 x RD-500), అసంపూర్తిగా ఉన్న '73S' ఎయిర్‌ఫ్రేమ్‌ను ఉపయోగించుకోవాలి, కాని పైన పేర్కొన్న విధంగా అభివృద్ధి"&amp;" రద్దు చేయబడింది. VVS (వాయెనో-వోజ్డుష్నీ సిలీ-సోవియట్ వైమానిక దళం) మూడు ఇంజిన్ బాంబర్లను రెండు ఇంజిన్ రకాలుగా ఫీల్డింగ్ చేయడానికి విముఖంగా ఉన్నందున వాటిని తిరస్కరించింది. మీడియం బాంబర్ పాత్రల కోసం వారు ఇలూషిన్ IL-28 కు అనుకూలంగా ఉన్నారు. AV-MF (AVIATSIYA "&amp;"VOYENNO-MORSKOGO FLOOTA-నావల్ ఏవియేషన్), అయితే, టార్పెడో బాంబర్ అవసరం, ఇది తుది '73' పునరావృతం, '81 (అధికారిక హోదా; TU-14 2 × VK-1 నుండి అభివృద్ధి చేయబడింది ) '81T' (అధికారిక హోదా; TU-14T 2 × VK-1). ఉత్పత్తి విమానం AV-MF కి టుపోలెవ్ TU-14T గా పంపిణీ చేయబడ"&amp;"ింది. [1] నుండి డేటా: OKB టుపోలెవ్: ఎ హిస్టరీ ఆఫ్ ది డిజైన్ బ్యూరో మరియు దాని విమానం [1] OKB టుపోలెవ్ నుండి డేటా: ఎ హిస్టరీ ఆఫ్ ది డిజైన్ బ్యూరో మరియు దాని విమానం [1] సాధారణ లక్షణాలు పనితీరు ఆయుధాలు")</f>
        <v>టుపోలెవ్ '73', (సమోలియోట్ 73), 1940 ల చివరలో సోవియట్ ట్రైజెట్ మీడియం బాంబర్. ఇది ఇలూషిన్ IL-28 'బీగల్' చేతిలో ఓడిపోయింది. టుపోలెవ్ OKB గ్యాస్ టర్బైన్ విద్యుత్-మొక్కల రాకతో TU-2 రేఖను అభివృద్ధి చేస్తూనే ఉంది. TU-8 ('69') రెండు రోల్స్ రాయిస్ నేనే I టర్బోజెట్ ఇంజిన్లతో పున es రూపకల్పన చేయబడింది, పిస్టన్ ఇంజిన్లను కొత్త నాసెల్ల్స్‌లో భర్తీ చేసింది. కొత్త డిజైన్‌కు OKB హోదా '72' మరియు అధికారిక హోదా TU-18 2 × నేనే I ఇవ్వబడింది, కాని వనరులను నానబెట్టడం మరింత ఆశాజనకంగా '73' డిజైన్ కారణంగా వదిలివేయబడింది. Tu-2- tu-8 యొక్క సాధారణ అమరిక తరువాత, '72', ప్రారంభ '73' స్వల్ప-శ్రేణి బాంబర్ (అధికారిక హోదా; TU-20 2 × NENE I) భుజం మౌంటెడ్ వింగ్, పెద్ద అన్‌స్కీప్ట్ ఫిన్ మరియు సమగ్ర డోర్సల్ ఫిన్, ట్రై-సైకిల్ అండర్ క్యారేజ్ మరియు ఇంజిన్లతో సుమారు 1/3 వ్యవధిలో పొడవైన అండర్-స్లాంగ్ నాసెల్ల్స్‌లో రుద్దబడినది, ఇది ఉపసంహరించుకున్నప్పుడు ప్రధాన అండర్ క్యారేజ్ కాళ్ళను కూడా కలిగి ఉంది. డిజైన్ ఖరారు చేయడానికి ముందు, నేనే I ఇంజన్లు expected హించిన దానికంటే తక్కువ శక్తిని ఉత్పత్తి చేస్తున్నాయని కనుగొనబడింది; 19.57 kN (4,400 LBF) మరియు expected హించిన 22.26 kN (5,004 LBF), వెనుక ఫ్యూజ్‌లేజ్‌లో రోల్స్ రాయిస్ డెర్వెంట్ V బూస్టర్ ఇంజిన్‌ను చేర్చడం అవసరం, ఫిన్ యొక్క బేస్ వద్ద అలసిపోతుంది. మూడు-ఇంజిన్ '73' (అధికారిక హోదా; TU-14 2 × NENE I + 1 × డెర్వెంట్ V) అభివృద్ధికి అంగీకరించబడింది మరియు '73' మొదటిసారి డిసెంబర్ 1947 న ప్రయాణించారు, విమాన పరీక్షలు 31 మే 1949 వరకు కొనసాగుతున్నాయి, మంచి ఫలితాలు, ఫలితంగా పది '73 లు' ప్రీ-ప్రొడక్షన్ ప్రోటోటైప్‌ల ఉత్పత్తి క్రమం, RD-45 మరియు RD-500 (సోవియట్ ప్రొడక్షన్ నేనే మరియు డెర్వెంట్ ఇంజన్లు) చేత ఆధారితం. ప్రీ-ప్రొడక్షన్ ఆర్డర్ ఏదీ పూర్తి కాలేదు కాని GAZ-23 వద్ద తయారు చేయబడిన భాగాలు GAZ-39 వద్ద టుపోలెవ్ TU-14 ఉత్పత్తి రేఖ ద్వారా గ్రహించబడ్డాయి. '73' లైన్ యొక్క మరింత అభివృద్ధి ఫలితంగా ఫోటో-పునర్నిర్మాణం '73r' / '78' (అధికారిక హోదా; TU-16 2 × NENE I + 1 × డెర్వెంట్ V) కు దారితీసింది. డోర్సల్ ఫిల్లెట్ యొక్క ఫార్వర్డ్ ఎండ్ వద్ద వెనుక ఫ్యూజ్‌లేజ్ డెర్వెంట్‌ను తీసుకోవడంపై ముడుచుకునే శంఖాకార షట్టర్‌ను మినహాయించి '78' '73' తో బాహ్యంగా సమానంగా ఉంటుంది. '78' మొదట 7 మే 1948 న ప్రయాణించింది మరియు ఫోటోగ్రాఫిక్ పరికరాల విమాన పరీక్షలను నిర్వహించింది, అవి సంతృప్తికరంగా లేవు. మంత్రుల మండలి కౌన్సిల్ ఉన్నప్పటికీ ఫోటోగ్రాఫిక్ పరికరాలకు మెరుగుదలలు 14 మే 1949 న '73', '78' మరియు '79' యొక్క అన్ని అభివృద్ధి లేదా ఉత్పత్తిని రద్దు చేశాయి. మరో రెండు ఫోటో-రిసెస్ ప్రాజెక్టులు '73' మరియు మాదిరిగానే రూపొందించబడ్డాయి '78'. మొదటి '79' (అధికారిక హోదా; TU-30 2 × NENE I + 1 × డెర్వెంట్ V) కొనసాగలేదు. రెండవ '79' (అధికారిక హోదా; TU-20 2 × VK-1 + 1 x RD-500), అసంపూర్తిగా ఉన్న '73S' ఎయిర్‌ఫ్రేమ్‌ను ఉపయోగించుకోవాలి, కాని పైన పేర్కొన్న విధంగా అభివృద్ధి రద్దు చేయబడింది. VVS (వాయెనో-వోజ్డుష్నీ సిలీ-సోవియట్ వైమానిక దళం) మూడు ఇంజిన్ బాంబర్లను రెండు ఇంజిన్ రకాలుగా ఫీల్డింగ్ చేయడానికి విముఖంగా ఉన్నందున వాటిని తిరస్కరించింది. మీడియం బాంబర్ పాత్రల కోసం వారు ఇలూషిన్ IL-28 కు అనుకూలంగా ఉన్నారు. AV-MF (AVIATSIYA VOYENNO-MORSKOGO FLOOTA-నావల్ ఏవియేషన్), అయితే, టార్పెడో బాంబర్ అవసరం, ఇది తుది '73' పునరావృతం, '81 (అధికారిక హోదా; TU-14 2 × VK-1 నుండి అభివృద్ధి చేయబడింది ) '81T' (అధికారిక హోదా; TU-14T 2 × VK-1). ఉత్పత్తి విమానం AV-MF కి టుపోలెవ్ TU-14T గా పంపిణీ చేయబడింది. [1] నుండి డేటా: OKB టుపోలెవ్: ఎ హిస్టరీ ఆఫ్ ది డిజైన్ బ్యూరో మరియు దాని విమానం [1] OKB టుపోలెవ్ నుండి డేటా: ఎ హిస్టరీ ఆఫ్ ది డిజైన్ బ్యూరో మరియు దాని విమానం [1] సాధారణ లక్షణాలు పనితీరు ఆయుధాలు</v>
      </c>
      <c r="E48" s="1" t="s">
        <v>949</v>
      </c>
      <c r="F48" s="1" t="str">
        <f>IFERROR(__xludf.DUMMYFUNCTION("GOOGLETRANSLATE(E:E, ""en"", ""te"")"),"మీడియం బాంబర్")</f>
        <v>మీడియం బాంబర్</v>
      </c>
      <c r="I48" s="1" t="s">
        <v>950</v>
      </c>
      <c r="J48" s="1" t="str">
        <f>IFERROR(__xludf.DUMMYFUNCTION("GOOGLETRANSLATE(I:I, ""en"", ""te"")"),"Tupolev")</f>
        <v>Tupolev</v>
      </c>
      <c r="K48" s="2" t="s">
        <v>951</v>
      </c>
      <c r="L48" s="1" t="s">
        <v>952</v>
      </c>
      <c r="N48" s="3">
        <v>17530.0</v>
      </c>
      <c r="O48" s="1">
        <v>4.0</v>
      </c>
      <c r="P48" s="1" t="s">
        <v>953</v>
      </c>
      <c r="Q48" s="1" t="s">
        <v>954</v>
      </c>
      <c r="R48" s="1" t="s">
        <v>955</v>
      </c>
      <c r="S48" s="1" t="s">
        <v>956</v>
      </c>
      <c r="U48" s="1" t="s">
        <v>957</v>
      </c>
      <c r="V48" s="1" t="s">
        <v>958</v>
      </c>
      <c r="W48" s="1" t="s">
        <v>959</v>
      </c>
      <c r="Y48" s="1" t="s">
        <v>960</v>
      </c>
      <c r="AA48" s="1" t="s">
        <v>961</v>
      </c>
      <c r="AB48" s="1" t="s">
        <v>962</v>
      </c>
      <c r="AD48" s="1" t="s">
        <v>963</v>
      </c>
      <c r="AQ48" s="1" t="s">
        <v>964</v>
      </c>
      <c r="AR48" s="1" t="s">
        <v>965</v>
      </c>
      <c r="BF48" s="1" t="s">
        <v>966</v>
      </c>
      <c r="BG48" s="1" t="s">
        <v>967</v>
      </c>
      <c r="BP48" s="1" t="s">
        <v>968</v>
      </c>
      <c r="CC48" s="1" t="s">
        <v>969</v>
      </c>
      <c r="CE48" s="1" t="s">
        <v>970</v>
      </c>
      <c r="CF48" s="1" t="s">
        <v>971</v>
      </c>
      <c r="CG48" s="1" t="s">
        <v>972</v>
      </c>
      <c r="CH48" s="1" t="s">
        <v>973</v>
      </c>
    </row>
    <row r="49">
      <c r="A49" s="1" t="s">
        <v>974</v>
      </c>
      <c r="B49" s="1" t="str">
        <f>IFERROR(__xludf.DUMMYFUNCTION("GOOGLETRANSLATE(A:A, ""en"", ""te"")"),"Apco ఫియస్టా")</f>
        <v>Apco ఫియస్టా</v>
      </c>
      <c r="C49" s="1" t="s">
        <v>975</v>
      </c>
      <c r="D49" s="1" t="str">
        <f>IFERROR(__xludf.DUMMYFUNCTION("GOOGLETRANSLATE(C:C, ""en"", ""te"")"),"APCO ఫియస్టా అనేది ఇజ్రాయెల్ సింగిల్ ప్లేస్ మరియు రెండు-ప్రదేశాల పారాగ్లైడర్ల కుటుంబం, దీనిని సిజేరియా యొక్క APCO ఏవియేషన్ రూపొందించి ఉత్పత్తి చేసింది. ఇది ఇప్పుడు ఉత్పత్తికి దూరంగా ఉంది. [1] ఫియస్టా ఒక బిగినర్స్ గ్లైడర్‌గా రూపొందించబడింది, అంతేకాకుండా వి"&amp;"మాన శిక్షణ కోసం ఒక టెన్డం వెర్షన్, ఫియస్టా 42 బి, ""ద్వి-స్థలం"" లేదా రెండు సీటర్లను సూచిస్తుంది. [1] ఈ సెయిల్ 46gr/m2 ""జీరో సచ్ఛిద్రత"" రిప్‌స్టాప్ నైలాన్ నుండి తయారు చేయబడింది. [2] ఈ డిజైన్ రెండు తరాల మోడళ్ల ద్వారా అభివృద్ధి చెందింది, ఫియస్టా మరియు ఫియ"&amp;"స్టా II. లైన్‌లోని రెండు-ప్రదేశాల నమూనాలు చదరపు మీటర్లలో వారి కఠినమైన వింగ్ ప్రాంతానికి పేరు పెట్టబడ్డాయి, అయితే సోలో వాటి సాపేక్ష పరిమాణానికి పేరు పెట్టారు. [1] బెర్ట్రాండ్ నుండి డేటా [1] సాధారణ లక్షణాల పనితీరు")</f>
        <v>APCO ఫియస్టా అనేది ఇజ్రాయెల్ సింగిల్ ప్లేస్ మరియు రెండు-ప్రదేశాల పారాగ్లైడర్ల కుటుంబం, దీనిని సిజేరియా యొక్క APCO ఏవియేషన్ రూపొందించి ఉత్పత్తి చేసింది. ఇది ఇప్పుడు ఉత్పత్తికి దూరంగా ఉంది. [1] ఫియస్టా ఒక బిగినర్స్ గ్లైడర్‌గా రూపొందించబడింది, అంతేకాకుండా విమాన శిక్షణ కోసం ఒక టెన్డం వెర్షన్, ఫియస్టా 42 బి, "ద్వి-స్థలం" లేదా రెండు సీటర్లను సూచిస్తుంది. [1] ఈ సెయిల్ 46gr/m2 "జీరో సచ్ఛిద్రత" రిప్‌స్టాప్ నైలాన్ నుండి తయారు చేయబడింది. [2] ఈ డిజైన్ రెండు తరాల మోడళ్ల ద్వారా అభివృద్ధి చెందింది, ఫియస్టా మరియు ఫియస్టా II. లైన్‌లోని రెండు-ప్రదేశాల నమూనాలు చదరపు మీటర్లలో వారి కఠినమైన వింగ్ ప్రాంతానికి పేరు పెట్టబడ్డాయి, అయితే సోలో వాటి సాపేక్ష పరిమాణానికి పేరు పెట్టారు. [1] బెర్ట్రాండ్ నుండి డేటా [1] సాధారణ లక్షణాల పనితీరు</v>
      </c>
      <c r="E49" s="1" t="s">
        <v>935</v>
      </c>
      <c r="F49" s="1" t="str">
        <f>IFERROR(__xludf.DUMMYFUNCTION("GOOGLETRANSLATE(E:E, ""en"", ""te"")"),"పారాగ్లైడర్")</f>
        <v>పారాగ్లైడర్</v>
      </c>
      <c r="G49" s="1" t="s">
        <v>976</v>
      </c>
      <c r="H49" s="1" t="str">
        <f>IFERROR(__xludf.DUMMYFUNCTION("GOOGLETRANSLATE(G:G, ""en"", ""te"")"),"ఇజ్రాయెల్")</f>
        <v>ఇజ్రాయెల్</v>
      </c>
      <c r="I49" s="1" t="s">
        <v>977</v>
      </c>
      <c r="J49" s="1" t="str">
        <f>IFERROR(__xludf.DUMMYFUNCTION("GOOGLETRANSLATE(I:I, ""en"", ""te"")"),"APCO ఏవియేషన్")</f>
        <v>APCO ఏవియేషన్</v>
      </c>
      <c r="K49" s="1" t="s">
        <v>978</v>
      </c>
      <c r="O49" s="1" t="s">
        <v>135</v>
      </c>
      <c r="Q49" s="1" t="s">
        <v>979</v>
      </c>
      <c r="S49" s="1" t="s">
        <v>980</v>
      </c>
      <c r="W49" s="1" t="s">
        <v>981</v>
      </c>
      <c r="AA49" s="1" t="s">
        <v>982</v>
      </c>
      <c r="AB49" s="2" t="s">
        <v>942</v>
      </c>
      <c r="AC49" s="2" t="s">
        <v>983</v>
      </c>
      <c r="AD49" s="1" t="s">
        <v>581</v>
      </c>
      <c r="AR49" s="1" t="s">
        <v>253</v>
      </c>
      <c r="AS49" s="1">
        <v>5.33</v>
      </c>
      <c r="AX49" s="1" t="s">
        <v>984</v>
      </c>
      <c r="BD49" s="1" t="s">
        <v>946</v>
      </c>
    </row>
    <row r="50">
      <c r="A50" s="1" t="s">
        <v>985</v>
      </c>
      <c r="B50" s="1" t="str">
        <f>IFERROR(__xludf.DUMMYFUNCTION("GOOGLETRANSLATE(A:A, ""en"", ""te"")"),"ఏరోప్రాక్ట్ A-32 Vixxen")</f>
        <v>ఏరోప్రాక్ట్ A-32 Vixxen</v>
      </c>
      <c r="C50" s="1" t="s">
        <v>986</v>
      </c>
      <c r="D50" s="1" t="str">
        <f>IFERROR(__xludf.DUMMYFUNCTION("GOOGLETRANSLATE(C:C, ""en"", ""te"")"),"ఏరోప్రాక్ట్ A-32 ఉక్రేనియన్ రెండు-సీట్ల, హై-వింగ్, ట్రైసైకిల్ గేర్ అల్ట్రాలైట్ విమానం, దీనిని యూరి యాకోవ్లెవ్ రూపొందించారు మరియు ఇది ఏరోప్రాక్ట్ చేత తయారు చేయబడుతుంది. ఆస్ట్రేలియాలో A-32 ను Vixxen గా సూచిస్తారు. [1] [2] A-32 అనేది A-22 ఫాక్స్బాట్ యొక్క అభ"&amp;"ివృద్ధి; కిట్ రూపంలో లేదా పూర్తిగా సమావేశమైన మునుపటి విమానాల మాదిరిగా కాకుండా, A-32 Vixxen UK లో కిట్‌గా మాత్రమే సరఫరా చేయబడుతుంది లేదా 31 ఇతర దేశాలలో A-32 లో కర్మాగారంగా నిర్మించిన విమానం సిద్ధంగా ఉంది మూడు సంవత్సరాల పరిశోధన మరియు అభివృద్ధిలో A-22 ఫాక్స్"&amp;"బాట్ నుండి అభివృద్ధి చేయబడింది. [2] అదే 100 హెచ్‌పి (75 కిలోవాట్ మెరుగైన ఇంజిన్ వాయు ప్రవాహం మరియు శీతలీకరణ. ఇతర మార్పులలో 10 సెం.మీ (3.9 అంగుళాలు) తక్కువ, తక్కువ లిఫ్ట్ స్ట్రట్స్ మరియు మెరుగైన వింగ్ ట్యాంక్ ఫెయిరింగ్. ఇది A-22 కన్నా 20 kN (37 km/h) వేగంగ"&amp;"ా ఉన్న క్రూయిజ్ స్పీడ్‌కు దారితీస్తుంది. [2] ప్రోటోటైప్ A-32 జనవరి 2014 లో పూర్తయింది మరియు మొదటి ఉత్పత్తి విమానం ఏప్రిల్ 2015 లో చూపబడింది. తరువాత దీనిని ఆస్ట్రేలియాకు రవాణా చేశారు, మొదట 20 జూలై 2015 న మూరాబ్బిన్ వద్ద ఎగురుతూ. [3] [1] [4] [5] సాధారణ లక్ష"&amp;"ణాల పనితీరు ఏవియానిక్స్ నుండి డేటా")</f>
        <v>ఏరోప్రాక్ట్ A-32 ఉక్రేనియన్ రెండు-సీట్ల, హై-వింగ్, ట్రైసైకిల్ గేర్ అల్ట్రాలైట్ విమానం, దీనిని యూరి యాకోవ్లెవ్ రూపొందించారు మరియు ఇది ఏరోప్రాక్ట్ చేత తయారు చేయబడుతుంది. ఆస్ట్రేలియాలో A-32 ను Vixxen గా సూచిస్తారు. [1] [2] A-32 అనేది A-22 ఫాక్స్బాట్ యొక్క అభివృద్ధి; కిట్ రూపంలో లేదా పూర్తిగా సమావేశమైన మునుపటి విమానాల మాదిరిగా కాకుండా, A-32 Vixxen UK లో కిట్‌గా మాత్రమే సరఫరా చేయబడుతుంది లేదా 31 ఇతర దేశాలలో A-32 లో కర్మాగారంగా నిర్మించిన విమానం సిద్ధంగా ఉంది మూడు సంవత్సరాల పరిశోధన మరియు అభివృద్ధిలో A-22 ఫాక్స్బాట్ నుండి అభివృద్ధి చేయబడింది. [2] అదే 100 హెచ్‌పి (75 కిలోవాట్ మెరుగైన ఇంజిన్ వాయు ప్రవాహం మరియు శీతలీకరణ. ఇతర మార్పులలో 10 సెం.మీ (3.9 అంగుళాలు) తక్కువ, తక్కువ లిఫ్ట్ స్ట్రట్స్ మరియు మెరుగైన వింగ్ ట్యాంక్ ఫెయిరింగ్. ఇది A-22 కన్నా 20 kN (37 km/h) వేగంగా ఉన్న క్రూయిజ్ స్పీడ్‌కు దారితీస్తుంది. [2] ప్రోటోటైప్ A-32 జనవరి 2014 లో పూర్తయింది మరియు మొదటి ఉత్పత్తి విమానం ఏప్రిల్ 2015 లో చూపబడింది. తరువాత దీనిని ఆస్ట్రేలియాకు రవాణా చేశారు, మొదట 20 జూలై 2015 న మూరాబ్బిన్ వద్ద ఎగురుతూ. [3] [1] [4] [5] సాధారణ లక్షణాల పనితీరు ఏవియానిక్స్ నుండి డేటా</v>
      </c>
      <c r="E50" s="1" t="s">
        <v>987</v>
      </c>
      <c r="F50" s="1" t="str">
        <f>IFERROR(__xludf.DUMMYFUNCTION("GOOGLETRANSLATE(E:E, ""en"", ""te"")"),"లైట్-స్పోర్ట్ విమానం")</f>
        <v>లైట్-స్పోర్ట్ విమానం</v>
      </c>
      <c r="G50" s="1" t="s">
        <v>988</v>
      </c>
      <c r="H50" s="1" t="str">
        <f>IFERROR(__xludf.DUMMYFUNCTION("GOOGLETRANSLATE(G:G, ""en"", ""te"")"),"ఉక్రెయిన్")</f>
        <v>ఉక్రెయిన్</v>
      </c>
      <c r="I50" s="1" t="s">
        <v>989</v>
      </c>
      <c r="J50" s="1" t="str">
        <f>IFERROR(__xludf.DUMMYFUNCTION("GOOGLETRANSLATE(I:I, ""en"", ""te"")"),"ఏరోప్రాక్ట్")</f>
        <v>ఏరోప్రాక్ట్</v>
      </c>
      <c r="K50" s="2" t="s">
        <v>990</v>
      </c>
      <c r="L50" s="1" t="s">
        <v>991</v>
      </c>
      <c r="N50" s="1">
        <v>2014.0</v>
      </c>
      <c r="O50" s="1" t="s">
        <v>135</v>
      </c>
      <c r="P50" s="1" t="s">
        <v>992</v>
      </c>
      <c r="Q50" s="1" t="s">
        <v>993</v>
      </c>
      <c r="R50" s="1" t="s">
        <v>994</v>
      </c>
      <c r="T50" s="1" t="s">
        <v>995</v>
      </c>
      <c r="V50" s="1" t="s">
        <v>996</v>
      </c>
      <c r="AA50" s="1" t="s">
        <v>997</v>
      </c>
      <c r="AB50" s="1" t="s">
        <v>998</v>
      </c>
      <c r="AC50" s="2" t="s">
        <v>999</v>
      </c>
      <c r="AD50" s="1" t="s">
        <v>426</v>
      </c>
      <c r="AE50" s="1" t="s">
        <v>1000</v>
      </c>
      <c r="AF50" s="1" t="s">
        <v>1001</v>
      </c>
      <c r="AG50" s="1" t="s">
        <v>1002</v>
      </c>
      <c r="AH50" s="1" t="s">
        <v>150</v>
      </c>
      <c r="AK50" s="1" t="s">
        <v>195</v>
      </c>
      <c r="AP50" s="1" t="s">
        <v>1003</v>
      </c>
      <c r="AR50" s="1" t="s">
        <v>253</v>
      </c>
      <c r="AX50" s="1" t="s">
        <v>1004</v>
      </c>
      <c r="AY50" s="1" t="s">
        <v>1005</v>
      </c>
      <c r="BA50" s="1" t="s">
        <v>835</v>
      </c>
      <c r="BH50" s="1" t="s">
        <v>1006</v>
      </c>
      <c r="BN50" s="1">
        <v>2014.0</v>
      </c>
    </row>
    <row r="51">
      <c r="A51" s="1" t="s">
        <v>1007</v>
      </c>
      <c r="B51" s="1" t="str">
        <f>IFERROR(__xludf.DUMMYFUNCTION("GOOGLETRANSLATE(A:A, ""en"", ""te"")"),"BMP Yz")</f>
        <v>BMP Yz</v>
      </c>
      <c r="C51" s="1" t="s">
        <v>1008</v>
      </c>
      <c r="D51" s="1" t="str">
        <f>IFERROR(__xludf.DUMMYFUNCTION("GOOGLETRANSLATE(C:C, ""en"", ""te"")"),"BMP YZ సిరీస్ మానవరహిత వైమానిక వాహనాలు (UAV లు) బీజింగ్ మైక్రోపైలట్ మానవరహిత వైమానిక వాహన విమాన నియంత్రణ వ్యవస్థ లిమిటెడ్ (BMP, 北京 麦克普特 无 人 控制 有限 有限 公司 公司 公司 公司 公司 公司 公司 公司 公司 公司 公司 公司 公司 有限 有限 有限 有限 有限 有限) చేత అభివృద్ధి చేయబడిన చైనీస్ UAV లు. UAVS కోసం క"&amp;"ెనడియన్ సంస్థ మైక్రోపిలోట్ నిర్మించిన ఆటోపైలట్ల వ్యాపారం. దశాబ్దంలో, సంస్థ తన వ్యాపారాన్ని రష్యా ఉత్పత్తి చేసిన చైనాకు ఇతర విమాన నియంత్రణ వ్యవస్థలను దిగుమతి చేసుకోవడానికి విస్తరించింది. ఇటీవలి సంవత్సరాలలో, ఇతర చైనీస్ యుఎవి తయారీదారులకు ఉపవ్యవస్థలను సరఫరా "&amp;"చేయడంతో పాటు, బిఎమ్‌పి తన వ్యాపారాన్ని తన సొంత బ్రాండ్ యుఎవిలను అభివృద్ధి చేయడానికి మరింత విస్తరించింది, ఆటోపైలట్లు మరియు విమాన నియంత్రణ వ్యవస్థలను ఇప్పటికే ఉన్న ఎయిర్‌ఫ్రేమ్‌లకు అనుసంధానించడం ద్వారా, కానీ కొన్ని బిఎమ్‌పి యుఎవి రూపొందించబడింది. BMP కూడా. "&amp;"అసలు పరికరాల తయారీదారుగా, విశ్వవిద్యాలయాలు, పరిశోధనా సంస్థలు మరియు ఇతర చైనీస్ యుఎవి తయారీదారులు వంటి ఇతర చైనీస్ సంస్థలు అభివృద్ధి చేసిన యుఎవిలను ఉత్పత్తి చేయడానికి బిఎంపి కాంట్రాక్టర్. YZ-6 అదే సంస్థ అభివృద్ధి చేసిన చిన్న LHK యొక్క పెద్ద బంధువు, మరియు అదే"&amp;" జంట-బూమ్ లేఅవుట్‌లో కూడా ఉంది. ప్రొపల్షన్ రెండు-బ్లేడ్ ప్రొపెల్లర్ చేత అందించబడుతుంది, ఇది ఎంపెనేజ్ వెనుక భాగంలో అమర్చిన పషర్ ఇంజిన్ చేత నడపబడుతుంది మరియు యుఎవిలో ట్రైసైకిల్ ల్యాండింగ్ గేర్ వ్యవస్థ ఉంది. YZ-6 మాడ్యులర్ డిజైన్ భావనను అవలంబిస్తుంది మరియు ద"&amp;"ీనిని వివిధ సరఫరాదారులు అనేక ఇంజిన్లతో అమర్చవచ్చు. స్పెసిఫికేషన్: [1] YZ-8 అనేది YZ సిరీస్ యొక్క పెద్ద స్థిర UAV, మరియు ఇది అధిక వింగ్ కాన్ఫిగరేషన్ మరియు V- తోకతో సాంప్రదాయ లేఅవుట్‌లో ఉంది. ప్రొపల్షన్ రెండు-బ్లేడ్ ప్రొపెల్లర్ నడిచే పషర్ ఇంజిన్ ద్వారా ఎంపె"&amp;"నేజ్ వద్ద అమర్చబడి ఉంటుంది. వింగ్లెట్స్ విలీనం చేయబడ్డాయి మరియు ల్యాండింగ్ గేర్‌లో ట్రైసైకిల్ ల్యాండింగ్ క్యారేజ్ ఉంటుంది. YZ-8 మాడ్యులర్ డిజైన్ భావనను అవలంబిస్తుంది మరియు ఇంజిన్ వంటి ఉపవ్యవస్థలను వివిధ రకాల మధ్య వేగంగా మార్చవచ్చు మరియు మిషన్ అవసరం ఆధారంగ"&amp;"ా ఇంధన ట్యాంకులను జోడించవచ్చు లేదా తగ్గించవచ్చు. బాహ్యంగా, YZ-8 మరొక చైనీస్ UAV, గైక్ హారియర్ హాక్ II ఎయిర్ స్నిపర్‌తో చాలా పోలి ఉంటుంది, ఎందుకంటే రెండూ సారూప్య లేఅవుట్‌ను పంచుకుంటాయి. ZY = 8 మరియు హారియర్ హాక్ II ఎయిర్ స్నిపర్ మధ్య అత్యంత విభిన్న దృశ్య వ"&amp;"్యత్యాసం ఏమిటంటే, పూర్వపు ప్రొపెల్లర్‌కు రెండు బ్లేడ్లు మాత్రమే ఉన్నాయి, తరువాతి వాటిలో మూడు ఉన్నాయి. YZ-8 హౌసింగ్ కమ్యూనికేషన్ శాటిలైట్ డిష్ యొక్క ముక్కు పైన ఒక ఉబ్బరం ఉంది, ఇది హారియర్ హాక్ II ఎయిర్ స్నిపర్ యొక్క ఫ్యూజ్‌లేజ్‌కు అలాంటి ఉబ్బరం లేదు. రెండు"&amp;" యుఎవిని వేరు చేయడానికి వింగ్లెట్స్ కూడా ఒక ముఖ్యమైన దృశ్య క్యూ, ఎందుకంటే YZ-8 కి వింగ్లెట్స్ ఉన్నాయి, కానీ హారియర్ హాక్ II ఎయిర్ స్నిపర్ చేయలేదు. స్పెసిఫికేషన్: [2] చైనా యొక్క మానవరహిత వైమానిక వాహనాల జాబితా")</f>
        <v>BMP YZ సిరీస్ మానవరహిత వైమానిక వాహనాలు (UAV లు) బీజింగ్ మైక్రోపైలట్ మానవరహిత వైమానిక వాహన విమాన నియంత్రణ వ్యవస్థ లిమిటెడ్ (BMP, 北京 麦克普特 无 人 控制 有限 有限 公司 公司 公司 公司 公司 公司 公司 公司 公司 公司 公司 公司 公司 有限 有限 有限 有限 有限 有限) చేత అభివృద్ధి చేయబడిన చైనీస్ UAV లు. UAVS కోసం కెనడియన్ సంస్థ మైక్రోపిలోట్ నిర్మించిన ఆటోపైలట్ల వ్యాపారం. దశాబ్దంలో, సంస్థ తన వ్యాపారాన్ని రష్యా ఉత్పత్తి చేసిన చైనాకు ఇతర విమాన నియంత్రణ వ్యవస్థలను దిగుమతి చేసుకోవడానికి విస్తరించింది. ఇటీవలి సంవత్సరాలలో, ఇతర చైనీస్ యుఎవి తయారీదారులకు ఉపవ్యవస్థలను సరఫరా చేయడంతో పాటు, బిఎమ్‌పి తన వ్యాపారాన్ని తన సొంత బ్రాండ్ యుఎవిలను అభివృద్ధి చేయడానికి మరింత విస్తరించింది, ఆటోపైలట్లు మరియు విమాన నియంత్రణ వ్యవస్థలను ఇప్పటికే ఉన్న ఎయిర్‌ఫ్రేమ్‌లకు అనుసంధానించడం ద్వారా, కానీ కొన్ని బిఎమ్‌పి యుఎవి రూపొందించబడింది. BMP కూడా. అసలు పరికరాల తయారీదారుగా, విశ్వవిద్యాలయాలు, పరిశోధనా సంస్థలు మరియు ఇతర చైనీస్ యుఎవి తయారీదారులు వంటి ఇతర చైనీస్ సంస్థలు అభివృద్ధి చేసిన యుఎవిలను ఉత్పత్తి చేయడానికి బిఎంపి కాంట్రాక్టర్. YZ-6 అదే సంస్థ అభివృద్ధి చేసిన చిన్న LHK యొక్క పెద్ద బంధువు, మరియు అదే జంట-బూమ్ లేఅవుట్‌లో కూడా ఉంది. ప్రొపల్షన్ రెండు-బ్లేడ్ ప్రొపెల్లర్ చేత అందించబడుతుంది, ఇది ఎంపెనేజ్ వెనుక భాగంలో అమర్చిన పషర్ ఇంజిన్ చేత నడపబడుతుంది మరియు యుఎవిలో ట్రైసైకిల్ ల్యాండింగ్ గేర్ వ్యవస్థ ఉంది. YZ-6 మాడ్యులర్ డిజైన్ భావనను అవలంబిస్తుంది మరియు దీనిని వివిధ సరఫరాదారులు అనేక ఇంజిన్లతో అమర్చవచ్చు. స్పెసిఫికేషన్: [1] YZ-8 అనేది YZ సిరీస్ యొక్క పెద్ద స్థిర UAV, మరియు ఇది అధిక వింగ్ కాన్ఫిగరేషన్ మరియు V- తోకతో సాంప్రదాయ లేఅవుట్‌లో ఉంది. ప్రొపల్షన్ రెండు-బ్లేడ్ ప్రొపెల్లర్ నడిచే పషర్ ఇంజిన్ ద్వారా ఎంపెనేజ్ వద్ద అమర్చబడి ఉంటుంది. వింగ్లెట్స్ విలీనం చేయబడ్డాయి మరియు ల్యాండింగ్ గేర్‌లో ట్రైసైకిల్ ల్యాండింగ్ క్యారేజ్ ఉంటుంది. YZ-8 మాడ్యులర్ డిజైన్ భావనను అవలంబిస్తుంది మరియు ఇంజిన్ వంటి ఉపవ్యవస్థలను వివిధ రకాల మధ్య వేగంగా మార్చవచ్చు మరియు మిషన్ అవసరం ఆధారంగా ఇంధన ట్యాంకులను జోడించవచ్చు లేదా తగ్గించవచ్చు. బాహ్యంగా, YZ-8 మరొక చైనీస్ UAV, గైక్ హారియర్ హాక్ II ఎయిర్ స్నిపర్‌తో చాలా పోలి ఉంటుంది, ఎందుకంటే రెండూ సారూప్య లేఅవుట్‌ను పంచుకుంటాయి. ZY = 8 మరియు హారియర్ హాక్ II ఎయిర్ స్నిపర్ మధ్య అత్యంత విభిన్న దృశ్య వ్యత్యాసం ఏమిటంటే, పూర్వపు ప్రొపెల్లర్‌కు రెండు బ్లేడ్లు మాత్రమే ఉన్నాయి, తరువాతి వాటిలో మూడు ఉన్నాయి. YZ-8 హౌసింగ్ కమ్యూనికేషన్ శాటిలైట్ డిష్ యొక్క ముక్కు పైన ఒక ఉబ్బరం ఉంది, ఇది హారియర్ హాక్ II ఎయిర్ స్నిపర్ యొక్క ఫ్యూజ్‌లేజ్‌కు అలాంటి ఉబ్బరం లేదు. రెండు యుఎవిని వేరు చేయడానికి వింగ్లెట్స్ కూడా ఒక ముఖ్యమైన దృశ్య క్యూ, ఎందుకంటే YZ-8 కి వింగ్లెట్స్ ఉన్నాయి, కానీ హారియర్ హాక్ II ఎయిర్ స్నిపర్ చేయలేదు. స్పెసిఫికేషన్: [2] చైనా యొక్క మానవరహిత వైమానిక వాహనాల జాబితా</v>
      </c>
      <c r="E51" s="1" t="s">
        <v>730</v>
      </c>
      <c r="F51" s="1" t="str">
        <f>IFERROR(__xludf.DUMMYFUNCTION("GOOGLETRANSLATE(E:E, ""en"", ""te"")"),"ఉవ్")</f>
        <v>ఉవ్</v>
      </c>
      <c r="G51" s="1" t="s">
        <v>731</v>
      </c>
      <c r="H51" s="1" t="str">
        <f>IFERROR(__xludf.DUMMYFUNCTION("GOOGLETRANSLATE(G:G, ""en"", ""te"")"),"చైనా")</f>
        <v>చైనా</v>
      </c>
      <c r="I51" s="1" t="s">
        <v>1009</v>
      </c>
      <c r="J51" s="1" t="str">
        <f>IFERROR(__xludf.DUMMYFUNCTION("GOOGLETRANSLATE(I:I, ""en"", ""te"")"),"BMP")</f>
        <v>BMP</v>
      </c>
      <c r="K51" s="2" t="s">
        <v>1010</v>
      </c>
      <c r="L51" s="1" t="s">
        <v>1009</v>
      </c>
      <c r="M51" s="2" t="s">
        <v>1010</v>
      </c>
      <c r="AC51" s="2" t="s">
        <v>734</v>
      </c>
      <c r="AD51" s="1" t="s">
        <v>70</v>
      </c>
      <c r="AQ51" s="1" t="s">
        <v>731</v>
      </c>
      <c r="BP51" s="2" t="s">
        <v>734</v>
      </c>
    </row>
    <row r="52">
      <c r="A52" s="1" t="s">
        <v>1011</v>
      </c>
      <c r="B52" s="1" t="str">
        <f>IFERROR(__xludf.DUMMYFUNCTION("GOOGLETRANSLATE(A:A, ""en"", ""te"")"),"Zhyr uav")</f>
        <v>Zhyr uav</v>
      </c>
      <c r="C52" s="1" t="s">
        <v>1012</v>
      </c>
      <c r="D52" s="1" t="str">
        <f>IFERROR(__xludf.DUMMYFUNCTION("GOOGLETRANSLATE(C:C, ""en"", ""te"")"),"Zhyr uavs అనేది Zhuhai yu-ren ఎయిర్క్రాఫ్ట్ కో., లిమిటెడ్ (జిర్, 珠海 羽人 飞行器 公司 公司) చే అభివృద్ధి చేయబడిన చైనీస్ యుఎవిలు. సంస్థ పేరు యొక్క సాహిత్య అనువాదం, జిర్ వాస్తవానికి జుహై ఈక వ్యక్తి అని అర్ధం, మరియు దాని యుఎవి ప్రధానంగా వ్యవసాయ అనువర్తనాల కోసం ఉద్దేశి"&amp;"ంచబడింది. 2015 నాటికి, నాలుగు జిర్ యుఎవిలు ప్రజలకు వెల్లడయ్యాయి, ఇవన్నీ రిజిస్టర్డ్ ట్రేడ్మార్క్ గు-షాంగ్-ఫీ (谷上 飞 飞 飞 飞 飞 飞) కింద 3WDM4 సిరీస్ మల్టీరోటర్లు, అంటే ధాన్యం పైన ఎగురుతుంది. చైనా యొక్క మానవరహిత వైమానిక వాహనాల జాబితా మానవరహిత వైమానిక వాహనంపై ఈ "&amp;"వ్యాసం ఒక స్టబ్. వికీపీడియా విస్తరించడం ద్వారా మీరు సహాయపడవచ్చు.")</f>
        <v>Zhyr uavs అనేది Zhuhai yu-ren ఎయిర్క్రాఫ్ట్ కో., లిమిటెడ్ (జిర్, 珠海 羽人 飞行器 公司 公司) చే అభివృద్ధి చేయబడిన చైనీస్ యుఎవిలు. సంస్థ పేరు యొక్క సాహిత్య అనువాదం, జిర్ వాస్తవానికి జుహై ఈక వ్యక్తి అని అర్ధం, మరియు దాని యుఎవి ప్రధానంగా వ్యవసాయ అనువర్తనాల కోసం ఉద్దేశించబడింది. 2015 నాటికి, నాలుగు జిర్ యుఎవిలు ప్రజలకు వెల్లడయ్యాయి, ఇవన్నీ రిజిస్టర్డ్ ట్రేడ్మార్క్ గు-షాంగ్-ఫీ (谷上 飞 飞 飞 飞 飞 飞) కింద 3WDM4 సిరీస్ మల్టీరోటర్లు, అంటే ధాన్యం పైన ఎగురుతుంది. చైనా యొక్క మానవరహిత వైమానిక వాహనాల జాబితా మానవరహిత వైమానిక వాహనంపై ఈ వ్యాసం ఒక స్టబ్. వికీపీడియా విస్తరించడం ద్వారా మీరు సహాయపడవచ్చు.</v>
      </c>
      <c r="E52" s="1" t="s">
        <v>730</v>
      </c>
      <c r="F52" s="1" t="str">
        <f>IFERROR(__xludf.DUMMYFUNCTION("GOOGLETRANSLATE(E:E, ""en"", ""te"")"),"ఉవ్")</f>
        <v>ఉవ్</v>
      </c>
      <c r="G52" s="1" t="s">
        <v>731</v>
      </c>
      <c r="H52" s="1" t="str">
        <f>IFERROR(__xludf.DUMMYFUNCTION("GOOGLETRANSLATE(G:G, ""en"", ""te"")"),"చైనా")</f>
        <v>చైనా</v>
      </c>
      <c r="I52" s="1" t="s">
        <v>1013</v>
      </c>
      <c r="J52" s="1" t="str">
        <f>IFERROR(__xludf.DUMMYFUNCTION("GOOGLETRANSLATE(I:I, ""en"", ""te"")"),"జిర్")</f>
        <v>జిర్</v>
      </c>
      <c r="L52" s="1" t="s">
        <v>1013</v>
      </c>
      <c r="N52" s="1">
        <v>2015.0</v>
      </c>
      <c r="AC52" s="2" t="s">
        <v>734</v>
      </c>
      <c r="AD52" s="1" t="s">
        <v>70</v>
      </c>
      <c r="AQ52" s="1" t="s">
        <v>731</v>
      </c>
      <c r="BN52" s="1">
        <v>2015.0</v>
      </c>
      <c r="BP52" s="2" t="s">
        <v>734</v>
      </c>
    </row>
    <row r="53">
      <c r="A53" s="1" t="s">
        <v>1014</v>
      </c>
      <c r="B53" s="1" t="str">
        <f>IFERROR(__xludf.DUMMYFUNCTION("GOOGLETRANSLATE(A:A, ""en"", ""te"")"),"విల్లియర్స్ xxiv")</f>
        <v>విల్లియర్స్ xxiv</v>
      </c>
      <c r="C53" s="1" t="s">
        <v>1015</v>
      </c>
      <c r="D53" s="1" t="str">
        <f>IFERROR(__xludf.DUMMYFUNCTION("GOOGLETRANSLATE(C:C, ""en"", ""te"")"),"విల్లియర్స్ XXIV లేదా విల్లియర్స్ 24 CAN2 ఒక ఫ్రెంచ్ ఆర్మీ నైట్ ఫైటర్, ఇది ప్రముఖ ఎడ్జ్ స్లాట్లతో అమర్చిన మొట్టమొదటి ఫ్రెంచ్ సైనిక విమానం. రెక్కలు రెక్కలు అధిక కోణాలను నిలిపివేయకుండా, అధిక స్పీడ్ డ్రాగ్ పెనాల్టీ లేకుండా తక్కువ ఎగిరే వేగాన్ని 1921 పారిస్ స"&amp;"ెలూన్లో ఫ్రెడెరిక్ హ్యాండ్లీ పేజ్ ద్వారా చర్చించినప్పటికీ, [1] స్లాట్లు ఉపయోగించబడలేదు 1928 విల్లియర్స్ XXIV కి ముందు ఫ్రెంచ్ సైనిక విమానం ద్వారా. [2] ఈ రాత్రి పోరాట యోధుడు (దాని మిలిటరీ CAN2 హోదా చాస్సే, ఆర్మీ, న్యూట్ లేదా ఆర్మీ నైట్ ఫైటర్ కోసం నిలబడింది"&amp;") [2] స్లాట్లు మరియు ఫ్లాప్‌ల కలయికను ఉపయోగించారు, ఐలెరాన్‌లతో పాటు, కలిసి తగ్గించవచ్చు మరియు సాంప్రదాయకంగా భేదాత్మకంగా పనిచేస్తుంది. విమాన పరీక్షలు గరిష్ట ఫ్లాప్ కోణాలలో స్లాట్‌లు తెరిచినప్పుడు కనీస విమాన వేగం 30%తగ్గింది. [2] [3] విల్లియర్స్ XXIV ఒక బే "&amp;"సెస్క్విప్లేన్, ఇది ఎగువ వింగ్స్పాన్ తో 1.4 రెట్లు తక్కువ మరియు రెండు రెట్లు వెడల్పు. వాటి విభాగాలు భిన్నంగా ఉన్నాయి, ఎగువ రెక్కలపై R.A.F.31 ఎయిర్‌ఫాయిల్ మరియు దిగువ భాగంలో గోటింగెన్ 436 ఉన్నాయి. [4] ప్రణాళికలో రెండు రెక్కలు ఖచ్చితంగా దీర్ఘచతురస్రాకార మరి"&amp;"యు ఫాబ్రిక్ కప్పబడి ఉన్నాయి, కానీ అవి వేర్వేరు నిర్మాణాలను కలిగి ఉన్నాయి, పైభాగం చెక్క పెట్టె స్పార్‌లతో మరియు దిగువ అల్యూమినియం స్పార్‌లతో. [5] వారు ప్రతి వైపు ఒకే ఇంటర్‌ప్లేన్ స్ట్రట్ ద్వారా కలిసిపోయారు; వీటిలో ఎయిర్‌ఫాయిల్ విభాగాలు ఉన్నాయి మరియు పాదాల "&amp;"వద్ద గణనీయంగా విస్తరించబడ్డాయి మరియు పైభాగంలో ఎక్కువ. ఎగువ వింగ్ యొక్క మధ్య విభాగం నాలుగు బాహ్య-వాలుగా ఉన్న కాబేన్ స్ట్రట్‌లతో ఎగువ ఫ్యూజ్‌లేజ్‌కు కట్టుబడి ఉంది. [4] ఎగువ వింగ్ మాత్రమే నియంత్రణ ఉపరితలాలను కలిగి ఉంది, మొత్తం వ్యవధిలో ఒకే ప్రముఖ అంచు స్లాట్"&amp;" ఉంటుంది. పైలట్ యొక్క కాక్‌పిట్ నుండి దృశ్యమానతను మెరుగుపరచడానికి పెద్ద కటౌట్‌తో ఒక చిన్న సెంటర్ విభాగం కాకుండా, వెనుకంజలో ఉన్న అంచు మొత్తం ఫ్లాప్స్ ఇన్బోర్డ్ మరియు ఐలెరాన్స్ అవుట్‌బోర్డ్ ద్వారా నిండి ఉంది. స్లాట్లు పైలట్ చేత తెరిచినప్పుడు, ఐలెరాన్లు మరియ"&amp;"ు ఫ్లాప్‌లు నిరాశకు గురయ్యాయి, కాని వాటి సాధారణ విధులను మార్చని కోణీయ ఫిరాయింపు శ్రేణులతో నిలుపుకున్నారు. [3] విల్లియర్ XXIV యొక్క ఫ్యూజ్‌లేజ్ ఆరుగురు లాంగన్‌ల చుట్టూ నిర్మించబడింది, ఇది గ్లూడ్ ఫార్మర్‌లతో ఉంచబడింది, మరియు ప్లైవుడ్ ముక్కు వెనుక కప్పబడి ఉం"&amp;"ది, ఇక్కడ దాని 340 kW (450 HP) లోరైన్ 12EB కోర్లిస్ వాటర్-కూల్డ్ W-12 ఇంజిన్ అల్యూమినియం కౌలింగ్ కింద ఉంది, ఇది రూపురేఖలను అనుసరించింది మూడు సిలిండర్ బ్యాంకులు. [4] అండర్ క్యారేజ్ కాళ్ళ మధ్య ముడుచుకునే, వెంట్రల్ లాంబ్లిన్ రేడియేటర్ ద్వారా ఇంజిన్ చల్లబడింద"&amp;"ి. [2] [4] గన్నర్ కోసం రెండవ ఓపెన్ కాక్‌పిట్ ఉంది, సౌకర్యవంతమైన మౌంటుపై ఒక జత మెషిన్ గన్‌లను కలిగి ఉంది. పైలట్ ఒక జత స్థిర, ఫార్వర్డ్ ఫైరింగ్ సమకాలీకరించిన 7.7 మిమీ (0.303 అంగుళాలు) తుపాకులను నియంత్రించింది. [2] తోక యూనిట్ సాంప్రదాయకంగా ఉంది, విస్తృత తీగత"&amp;"ో, క్లిప్డ్ త్రిభుజాకార టెయిల్‌ప్లేన్, ఫ్యూజ్‌లేజ్ పైన ఒక కోణంలో అమర్చబడి, విమానంలో సర్దుబాటు చేయవచ్చు మరియు ప్రత్యేక, గుండ్రని అంచు, సమతుల్య ఎలివేటర్లతో అమర్చబడుతుంది. త్రిభుజాకార ఫిన్ మరియు దాని పూర్తి, గుండ్రని అసమతుల్య చుక్కాని కూడా విస్తృతంగా ఉన్నాయి"&amp;". ఫిన్ మరియు చుక్కాని ఇద్దరూ ప్లై స్కిన్డ్ మరియు వాటి నియంత్రణ ఉపరితలాలు ఫాబ్రిక్ కప్పబడి ఉన్నాయి. చుక్కాని కీల్‌కు విస్తరించి, ఎలివేటర్ల మధ్య అంతరంలో పనిచేశాడు. నైట్ ఫైటర్ సాంప్రదాయిక టెయిల్స్కిడ్ ల్యాండింగ్ గేర్‌ను మెయిన్‌వీల్స్‌తో ఒకే 2 మీ (6 అడుగుల 7 "&amp;"అంగుళాలు) ట్రాక్ ఇరుసుపై ఒక జత ఫెయిర్-ఇన్ వి-స్ట్రట్‌లకు దిగువ ఫ్యూజ్‌లేజ్ నుండి పుట్టుకొచ్చింది, ఉక్కు మొలకెత్తిన టెయిల్‌స్కిడ్ సహాయపడుతుంది. [3] [[(చేర్చుట విల్లియర్స్ XXIV మొట్టమొదట మార్చి 1928 లో ప్రయాణించారు [2] మరియు త్వరలో డెస్కాంప్స్ ద్వారా ఎగిరిన"&amp;" విల్లాకౌబ్లే వద్ద సైనిక పరీక్షా మైదానంలో పరీక్షలు ఎదుర్కొంటున్నాడు. [5] స్లాట్లు ముఖ్యంగా నిశితంగా పరిశీలించబడ్డాయి. పూర్తిగా లోడ్ చేయబడినప్పుడు, అతి తక్కువ ఎగిరే వేగం స్లాట్లు మూసివేయబడిన 101 కిమీ/గం (63 mph), వాటితో 70 కిమీ/గం (43 mph) కు తగ్గించబడింది"&amp;". [2] ప్రణాళికాబద్ధమైన రెండవ యంత్రం మొదటి ప్రోటోటైప్‌లో పైలట్ పనిచేసే వాటి స్థానంలో ఆటోమేటిక్, ఏరోడైనమిక్‌గా తెరిచిన స్లాట్‌లను కలిగి ఉండటానికి ఉద్దేశించబడింది. [3] ఏదేమైనా, CAN2 కార్యక్రమాన్ని వైమానిక దళం మరియు విల్లియర్స్ XXIV యొక్క అభివృద్ధి వదిలివేసిం"&amp;"ది, కాబట్టి ఈ రెండవ నమూనా ఎప్పుడూ నిర్మించబడలేదు. [2] NACA నుండి డేటా (నవంబర్ 1928) [3] లేకపోతే జెనరల్ లక్షణాలు పనితీరు ఆయుధాన్ని సూచించకపోతే మరియు")</f>
        <v>విల్లియర్స్ XXIV లేదా విల్లియర్స్ 24 CAN2 ఒక ఫ్రెంచ్ ఆర్మీ నైట్ ఫైటర్, ఇది ప్రముఖ ఎడ్జ్ స్లాట్లతో అమర్చిన మొట్టమొదటి ఫ్రెంచ్ సైనిక విమానం. రెక్కలు రెక్కలు అధిక కోణాలను నిలిపివేయకుండా, అధిక స్పీడ్ డ్రాగ్ పెనాల్టీ లేకుండా తక్కువ ఎగిరే వేగాన్ని 1921 పారిస్ సెలూన్లో ఫ్రెడెరిక్ హ్యాండ్లీ పేజ్ ద్వారా చర్చించినప్పటికీ, [1] స్లాట్లు ఉపయోగించబడలేదు 1928 విల్లియర్స్ XXIV కి ముందు ఫ్రెంచ్ సైనిక విమానం ద్వారా. [2] ఈ రాత్రి పోరాట యోధుడు (దాని మిలిటరీ CAN2 హోదా చాస్సే, ఆర్మీ, న్యూట్ లేదా ఆర్మీ నైట్ ఫైటర్ కోసం నిలబడింది) [2] స్లాట్లు మరియు ఫ్లాప్‌ల కలయికను ఉపయోగించారు, ఐలెరాన్‌లతో పాటు, కలిసి తగ్గించవచ్చు మరియు సాంప్రదాయకంగా భేదాత్మకంగా పనిచేస్తుంది. విమాన పరీక్షలు గరిష్ట ఫ్లాప్ కోణాలలో స్లాట్‌లు తెరిచినప్పుడు కనీస విమాన వేగం 30%తగ్గింది. [2] [3] విల్లియర్స్ XXIV ఒక బే సెస్క్విప్లేన్, ఇది ఎగువ వింగ్స్పాన్ తో 1.4 రెట్లు తక్కువ మరియు రెండు రెట్లు వెడల్పు. వాటి విభాగాలు భిన్నంగా ఉన్నాయి, ఎగువ రెక్కలపై R.A.F.31 ఎయిర్‌ఫాయిల్ మరియు దిగువ భాగంలో గోటింగెన్ 436 ఉన్నాయి. [4] ప్రణాళికలో రెండు రెక్కలు ఖచ్చితంగా దీర్ఘచతురస్రాకార మరియు ఫాబ్రిక్ కప్పబడి ఉన్నాయి, కానీ అవి వేర్వేరు నిర్మాణాలను కలిగి ఉన్నాయి, పైభాగం చెక్క పెట్టె స్పార్‌లతో మరియు దిగువ అల్యూమినియం స్పార్‌లతో. [5] వారు ప్రతి వైపు ఒకే ఇంటర్‌ప్లేన్ స్ట్రట్ ద్వారా కలిసిపోయారు; వీటిలో ఎయిర్‌ఫాయిల్ విభాగాలు ఉన్నాయి మరియు పాదాల వద్ద గణనీయంగా విస్తరించబడ్డాయి మరియు పైభాగంలో ఎక్కువ. ఎగువ వింగ్ యొక్క మధ్య విభాగం నాలుగు బాహ్య-వాలుగా ఉన్న కాబేన్ స్ట్రట్‌లతో ఎగువ ఫ్యూజ్‌లేజ్‌కు కట్టుబడి ఉంది. [4] ఎగువ వింగ్ మాత్రమే నియంత్రణ ఉపరితలాలను కలిగి ఉంది, మొత్తం వ్యవధిలో ఒకే ప్రముఖ అంచు స్లాట్ ఉంటుంది. పైలట్ యొక్క కాక్‌పిట్ నుండి దృశ్యమానతను మెరుగుపరచడానికి పెద్ద కటౌట్‌తో ఒక చిన్న సెంటర్ విభాగం కాకుండా, వెనుకంజలో ఉన్న అంచు మొత్తం ఫ్లాప్స్ ఇన్బోర్డ్ మరియు ఐలెరాన్స్ అవుట్‌బోర్డ్ ద్వారా నిండి ఉంది. స్లాట్లు పైలట్ చేత తెరిచినప్పుడు, ఐలెరాన్లు మరియు ఫ్లాప్‌లు నిరాశకు గురయ్యాయి, కాని వాటి సాధారణ విధులను మార్చని కోణీయ ఫిరాయింపు శ్రేణులతో నిలుపుకున్నారు. [3] విల్లియర్ XXIV యొక్క ఫ్యూజ్‌లేజ్ ఆరుగురు లాంగన్‌ల చుట్టూ నిర్మించబడింది, ఇది గ్లూడ్ ఫార్మర్‌లతో ఉంచబడింది, మరియు ప్లైవుడ్ ముక్కు వెనుక కప్పబడి ఉంది, ఇక్కడ దాని 340 kW (450 HP) లోరైన్ 12EB కోర్లిస్ వాటర్-కూల్డ్ W-12 ఇంజిన్ అల్యూమినియం కౌలింగ్ కింద ఉంది, ఇది రూపురేఖలను అనుసరించింది మూడు సిలిండర్ బ్యాంకులు. [4] అండర్ క్యారేజ్ కాళ్ళ మధ్య ముడుచుకునే, వెంట్రల్ లాంబ్లిన్ రేడియేటర్ ద్వారా ఇంజిన్ చల్లబడింది. [2] [4] గన్నర్ కోసం రెండవ ఓపెన్ కాక్‌పిట్ ఉంది, సౌకర్యవంతమైన మౌంటుపై ఒక జత మెషిన్ గన్‌లను కలిగి ఉంది. పైలట్ ఒక జత స్థిర, ఫార్వర్డ్ ఫైరింగ్ సమకాలీకరించిన 7.7 మిమీ (0.303 అంగుళాలు) తుపాకులను నియంత్రించింది. [2] తోక యూనిట్ సాంప్రదాయకంగా ఉంది, విస్తృత తీగతో, క్లిప్డ్ త్రిభుజాకార టెయిల్‌ప్లేన్, ఫ్యూజ్‌లేజ్ పైన ఒక కోణంలో అమర్చబడి, విమానంలో సర్దుబాటు చేయవచ్చు మరియు ప్రత్యేక, గుండ్రని అంచు, సమతుల్య ఎలివేటర్లతో అమర్చబడుతుంది. త్రిభుజాకార ఫిన్ మరియు దాని పూర్తి, గుండ్రని అసమతుల్య చుక్కాని కూడా విస్తృతంగా ఉన్నాయి. ఫిన్ మరియు చుక్కాని ఇద్దరూ ప్లై స్కిన్డ్ మరియు వాటి నియంత్రణ ఉపరితలాలు ఫాబ్రిక్ కప్పబడి ఉన్నాయి. చుక్కాని కీల్‌కు విస్తరించి, ఎలివేటర్ల మధ్య అంతరంలో పనిచేశాడు. నైట్ ఫైటర్ సాంప్రదాయిక టెయిల్స్కిడ్ ల్యాండింగ్ గేర్‌ను మెయిన్‌వీల్స్‌తో ఒకే 2 మీ (6 అడుగుల 7 అంగుళాలు) ట్రాక్ ఇరుసుపై ఒక జత ఫెయిర్-ఇన్ వి-స్ట్రట్‌లకు దిగువ ఫ్యూజ్‌లేజ్ నుండి పుట్టుకొచ్చింది, ఉక్కు మొలకెత్తిన టెయిల్‌స్కిడ్ సహాయపడుతుంది. [3] [[(చేర్చుట విల్లియర్స్ XXIV మొట్టమొదట మార్చి 1928 లో ప్రయాణించారు [2] మరియు త్వరలో డెస్కాంప్స్ ద్వారా ఎగిరిన విల్లాకౌబ్లే వద్ద సైనిక పరీక్షా మైదానంలో పరీక్షలు ఎదుర్కొంటున్నాడు. [5] స్లాట్లు ముఖ్యంగా నిశితంగా పరిశీలించబడ్డాయి. పూర్తిగా లోడ్ చేయబడినప్పుడు, అతి తక్కువ ఎగిరే వేగం స్లాట్లు మూసివేయబడిన 101 కిమీ/గం (63 mph), వాటితో 70 కిమీ/గం (43 mph) కు తగ్గించబడింది. [2] ప్రణాళికాబద్ధమైన రెండవ యంత్రం మొదటి ప్రోటోటైప్‌లో పైలట్ పనిచేసే వాటి స్థానంలో ఆటోమేటిక్, ఏరోడైనమిక్‌గా తెరిచిన స్లాట్‌లను కలిగి ఉండటానికి ఉద్దేశించబడింది. [3] ఏదేమైనా, CAN2 కార్యక్రమాన్ని వైమానిక దళం మరియు విల్లియర్స్ XXIV యొక్క అభివృద్ధి వదిలివేసింది, కాబట్టి ఈ రెండవ నమూనా ఎప్పుడూ నిర్మించబడలేదు. [2] NACA నుండి డేటా (నవంబర్ 1928) [3] లేకపోతే జెనరల్ లక్షణాలు పనితీరు ఆయుధాన్ని సూచించకపోతే మరియు</v>
      </c>
      <c r="E53" s="1" t="s">
        <v>1016</v>
      </c>
      <c r="F53" s="1" t="str">
        <f>IFERROR(__xludf.DUMMYFUNCTION("GOOGLETRANSLATE(E:E, ""en"", ""te"")"),"నైట్ ఫైటర్")</f>
        <v>నైట్ ఫైటర్</v>
      </c>
      <c r="G53" s="1" t="s">
        <v>113</v>
      </c>
      <c r="H53" s="1" t="str">
        <f>IFERROR(__xludf.DUMMYFUNCTION("GOOGLETRANSLATE(G:G, ""en"", ""te"")"),"ఫ్రాన్స్")</f>
        <v>ఫ్రాన్స్</v>
      </c>
      <c r="I53" s="1" t="s">
        <v>738</v>
      </c>
      <c r="J53" s="1" t="str">
        <f>IFERROR(__xludf.DUMMYFUNCTION("GOOGLETRANSLATE(I:I, ""en"", ""te"")"),"అటెలియర్స్ డి'ఏవియేషన్ ఫ్రాంకోయిస్ విల్లియర్స్")</f>
        <v>అటెలియర్స్ డి'ఏవియేషన్ ఫ్రాంకోయిస్ విల్లియర్స్</v>
      </c>
      <c r="N53" s="4">
        <v>10288.0</v>
      </c>
      <c r="O53" s="1" t="s">
        <v>740</v>
      </c>
      <c r="P53" s="1" t="s">
        <v>741</v>
      </c>
      <c r="R53" s="1" t="s">
        <v>742</v>
      </c>
      <c r="S53" s="1" t="s">
        <v>1017</v>
      </c>
      <c r="T53" s="1" t="s">
        <v>1018</v>
      </c>
      <c r="U53" s="1" t="s">
        <v>1019</v>
      </c>
      <c r="V53" s="1" t="s">
        <v>1020</v>
      </c>
      <c r="W53" s="1" t="s">
        <v>1021</v>
      </c>
      <c r="AA53" s="1" t="s">
        <v>1022</v>
      </c>
      <c r="AB53" s="1" t="s">
        <v>1023</v>
      </c>
      <c r="AC53" s="2" t="s">
        <v>713</v>
      </c>
      <c r="AE53" s="1" t="s">
        <v>800</v>
      </c>
      <c r="AF53" s="1" t="s">
        <v>909</v>
      </c>
      <c r="AJ53" s="1">
        <v>1.0</v>
      </c>
      <c r="AP53" s="1" t="s">
        <v>1024</v>
      </c>
      <c r="AT53" s="1" t="s">
        <v>1025</v>
      </c>
      <c r="BZ53" s="1" t="s">
        <v>1026</v>
      </c>
      <c r="CA53" s="1" t="s">
        <v>1027</v>
      </c>
      <c r="CC53" s="1" t="s">
        <v>1028</v>
      </c>
      <c r="CD53" s="1" t="s">
        <v>1029</v>
      </c>
      <c r="CI53" s="1" t="s">
        <v>1030</v>
      </c>
    </row>
    <row r="54">
      <c r="A54" s="1" t="s">
        <v>1031</v>
      </c>
      <c r="B54" s="1" t="str">
        <f>IFERROR(__xludf.DUMMYFUNCTION("GOOGLETRANSLATE(A:A, ""en"", ""te"")"),"హిర్ష్ H.100")</f>
        <v>హిర్ష్ H.100</v>
      </c>
      <c r="C54" s="1" t="s">
        <v>1032</v>
      </c>
      <c r="D54" s="1" t="str">
        <f>IFERROR(__xludf.DUMMYFUNCTION("GOOGLETRANSLATE(C:C, ""en"", ""te"")"),"హిర్ష్ లేదా హిర్ష్-మేర్క్ H.100 అనేది ఒక ప్రయోగాత్మక విమానం, ఇది ఏరోడైనమిక్ గస్ట్ అణచివేత వ్యవస్థను పరీక్షించడానికి 1950 లలో ఫ్రాన్స్‌లో నిర్మించబడింది. వ్యవస్థ పనిచేసింది కాని మరింత అభివృద్ధి చేయబడలేదు. [సైటేషన్ అవసరం] రెనే హిర్ష్ ఏరోడైనమిక్ పద్ధతులపై పన"&amp;"ిచేస్తోంది, ఇది 1936 నుండి ఒక గస్ట్ [1] కాంట్రాల్ (MAérc) (ఇంగ్లీష్: ఏరోడైనమిక్ సాధనాలు నియంత్రణ మరియు నియంత్రణ). [2] 15 జూన్ 1954 న దాని మొదటి విమానంలో, [2] H.100 అతని పరిశోధన ఫలితాలను కలిగి ఉంది [1] కానీ MARC యొక్క ఏకైక విమానం. [2] కంట్రోల్ సిస్టమ్స్ కా"&amp;"కుండా, H.100 చాలా సాంప్రదాయిక జంట ఇంజిన్, చెక్క విమానం, ట్రాపెజోయిడల్ ప్లాన్ యొక్క కాంటిలివర్ తక్కువ వింగ్. ఫ్యూజ్‌లేజ్ ఏరోడైనమిక్‌గా శుభ్రంగా ఉంది, ముక్కు నుండి తోకకు క్రమంగా క్రాస్ సెక్షన్ యొక్క క్రమంగా మార్పులు మాత్రమే ఉన్నాయి. [1] పైలట్ యొక్క పారదర్శక"&amp;"త వెనుక మూడు స్టార్‌బోర్డ్ మరియు రెండు పోర్ట్ సైడ్ విండోస్ ఉన్నాయి. ఫ్యూజ్‌లేజ్ పైన అమర్చిన క్షితిజ సమాంతర ఉపరితలాలు అధిక కారక నిష్పత్తి మరియు గుర్తించబడిన డైహెడ్రల్ రెండింటినీ కలిగి ఉన్నాయి. వాస్తవానికి నిలువు తోక గుండ్రంగా మరియు చాలా చిన్నది [1] కానీ అభ"&amp;"ివృద్ధి సమయంలో పెద్ద, నేరుగా దెబ్బతిన్న వెంట్రల్ ఫిన్ జోడించబడింది. [2] H.100 లో పొడవైన, వెనుక వైపు ఉపసంహరించుకునే ట్రైసైకిల్ అండర్ క్యారేజ్ ఉంది. ప్రధాన కాళ్ళు రెక్క వెనుకంజలో ఉన్న ఇంజిన్ ఫెయిరింగ్స్ యొక్క పొడిగింపులుగా ఉపసంహరించబడ్డాయి. [1] [2] స్థిరీకర"&amp;"ణ వ్యవస్థ గురించి తక్కువ వివరాలు నమోదు చేయబడ్డాయి. డైహెడ్రల్ మారడానికి మరియు అటువంటి కదలికలు ఎత్తే ఫ్లాప్‌లను ఎత్తడానికి వీలుగా క్షితిజ సమాంతర తోక ఉపరితలాలు అతుక్కొని ఉన్నాయని తెలుసు. కలిసి, ఈ స్థిరీకరించిన పిచ్. రెక్క చిట్కాలు రోల్‌ను నియంత్రించడానికి తి"&amp;"ప్పవచ్చు. వ్యవస్థ న్యుమాటికల్‌గా శక్తితో ఉంది మరియు దాని సామర్థ్యాన్ని పరీక్షించడానికి విమానంలో ఆన్ మరియు ఆఫ్ చేయవచ్చు. [3] దాని మొదటి విమానంలో మరియు ప్రారంభ పరీక్షల కోసం, H.100 ను రెండు 71 kW (95 HP) Réginier 4eo నాలుగు సిలిండర్ విలోమ ఎయిర్-కూల్డ్ ఇంజన్ల"&amp;"ు శక్తితో ఉన్నాయి. [2] 3 సెప్టెంబర్ 1955 న ఈ విమానం టేక్-ఆఫ్ ప్రమాదంలో దెబ్బతింది మరియు సుదీర్ఘ పునర్నిర్మాణ సమయంలో రెగ్నియర్స్ స్థానంలో చాలా శక్తివంతమైన 127 kW (170 HP) లైమింగ్ O-360 ఫ్లాట్-ఫోర్ ఇంజన్లు ఉన్నాయి. ఇది 1962 లో ఈ ఇంజిన్లతో ప్రయాణించింది. [3]"&amp;" పరీక్ష విమానాలు సంతృప్తికరమైన ఫలితాలను చూపించాయి, కాని, పెట్టుబడి లేకపోవడంతో, అంతకన్నా ఎక్కువ ఏమీ లేదు. [2] H.100 16 జూన్ 1971 న తన చివరి విమానంలో సాధించింది, మొత్తం 130 గంటలు ఎగిరింది. ఆ సంవత్సరంలో ఇది పారిస్లోని లే బౌర్జెట్ వద్ద మ్యూసీ డి ఎల్'అర్ ఎట్ డ"&amp;"ి ఎల్ ఎస్పేస్‌కు విరాళంగా ఇవ్వబడింది, [3] ఇది 2009 లో అక్కడ ప్రదర్శనలో ఉంది. [4] గైలార్డ్ నుండి డేటా (1990) పే .151 [2] సాధారణ లక్షణాల పనితీరు")</f>
        <v>హిర్ష్ లేదా హిర్ష్-మేర్క్ H.100 అనేది ఒక ప్రయోగాత్మక విమానం, ఇది ఏరోడైనమిక్ గస్ట్ అణచివేత వ్యవస్థను పరీక్షించడానికి 1950 లలో ఫ్రాన్స్‌లో నిర్మించబడింది. వ్యవస్థ పనిచేసింది కాని మరింత అభివృద్ధి చేయబడలేదు. [సైటేషన్ అవసరం] రెనే హిర్ష్ ఏరోడైనమిక్ పద్ధతులపై పనిచేస్తోంది, ఇది 1936 నుండి ఒక గస్ట్ [1] కాంట్రాల్ (MAérc) (ఇంగ్లీష్: ఏరోడైనమిక్ సాధనాలు నియంత్రణ మరియు నియంత్రణ). [2] 15 జూన్ 1954 న దాని మొదటి విమానంలో, [2] H.100 అతని పరిశోధన ఫలితాలను కలిగి ఉంది [1] కానీ MARC యొక్క ఏకైక విమానం. [2] కంట్రోల్ సిస్టమ్స్ కాకుండా, H.100 చాలా సాంప్రదాయిక జంట ఇంజిన్, చెక్క విమానం, ట్రాపెజోయిడల్ ప్లాన్ యొక్క కాంటిలివర్ తక్కువ వింగ్. ఫ్యూజ్‌లేజ్ ఏరోడైనమిక్‌గా శుభ్రంగా ఉంది, ముక్కు నుండి తోకకు క్రమంగా క్రాస్ సెక్షన్ యొక్క క్రమంగా మార్పులు మాత్రమే ఉన్నాయి. [1] పైలట్ యొక్క పారదర్శకత వెనుక మూడు స్టార్‌బోర్డ్ మరియు రెండు పోర్ట్ సైడ్ విండోస్ ఉన్నాయి. ఫ్యూజ్‌లేజ్ పైన అమర్చిన క్షితిజ సమాంతర ఉపరితలాలు అధిక కారక నిష్పత్తి మరియు గుర్తించబడిన డైహెడ్రల్ రెండింటినీ కలిగి ఉన్నాయి. వాస్తవానికి నిలువు తోక గుండ్రంగా మరియు చాలా చిన్నది [1] కానీ అభివృద్ధి సమయంలో పెద్ద, నేరుగా దెబ్బతిన్న వెంట్రల్ ఫిన్ జోడించబడింది. [2] H.100 లో పొడవైన, వెనుక వైపు ఉపసంహరించుకునే ట్రైసైకిల్ అండర్ క్యారేజ్ ఉంది. ప్రధాన కాళ్ళు రెక్క వెనుకంజలో ఉన్న ఇంజిన్ ఫెయిరింగ్స్ యొక్క పొడిగింపులుగా ఉపసంహరించబడ్డాయి. [1] [2] స్థిరీకరణ వ్యవస్థ గురించి తక్కువ వివరాలు నమోదు చేయబడ్డాయి. డైహెడ్రల్ మారడానికి మరియు అటువంటి కదలికలు ఎత్తే ఫ్లాప్‌లను ఎత్తడానికి వీలుగా క్షితిజ సమాంతర తోక ఉపరితలాలు అతుక్కొని ఉన్నాయని తెలుసు. కలిసి, ఈ స్థిరీకరించిన పిచ్. రెక్క చిట్కాలు రోల్‌ను నియంత్రించడానికి తిప్పవచ్చు. వ్యవస్థ న్యుమాటికల్‌గా శక్తితో ఉంది మరియు దాని సామర్థ్యాన్ని పరీక్షించడానికి విమానంలో ఆన్ మరియు ఆఫ్ చేయవచ్చు. [3] దాని మొదటి విమానంలో మరియు ప్రారంభ పరీక్షల కోసం, H.100 ను రెండు 71 kW (95 HP) Réginier 4eo నాలుగు సిలిండర్ విలోమ ఎయిర్-కూల్డ్ ఇంజన్లు శక్తితో ఉన్నాయి. [2] 3 సెప్టెంబర్ 1955 న ఈ విమానం టేక్-ఆఫ్ ప్రమాదంలో దెబ్బతింది మరియు సుదీర్ఘ పునర్నిర్మాణ సమయంలో రెగ్నియర్స్ స్థానంలో చాలా శక్తివంతమైన 127 kW (170 HP) లైమింగ్ O-360 ఫ్లాట్-ఫోర్ ఇంజన్లు ఉన్నాయి. ఇది 1962 లో ఈ ఇంజిన్లతో ప్రయాణించింది. [3] పరీక్ష విమానాలు సంతృప్తికరమైన ఫలితాలను చూపించాయి, కాని, పెట్టుబడి లేకపోవడంతో, అంతకన్నా ఎక్కువ ఏమీ లేదు. [2] H.100 16 జూన్ 1971 న తన చివరి విమానంలో సాధించింది, మొత్తం 130 గంటలు ఎగిరింది. ఆ సంవత్సరంలో ఇది పారిస్లోని లే బౌర్జెట్ వద్ద మ్యూసీ డి ఎల్'అర్ ఎట్ డి ఎల్ ఎస్పేస్‌కు విరాళంగా ఇవ్వబడింది, [3] ఇది 2009 లో అక్కడ ప్రదర్శనలో ఉంది. [4] గైలార్డ్ నుండి డేటా (1990) పే .151 [2] సాధారణ లక్షణాల పనితీరు</v>
      </c>
      <c r="E54" s="1" t="s">
        <v>1033</v>
      </c>
      <c r="F54" s="1" t="str">
        <f>IFERROR(__xludf.DUMMYFUNCTION("GOOGLETRANSLATE(E:E, ""en"", ""te"")"),"యాంటీ గస్ట్ ఏరోడైనమిక్ రీసెర్చ్")</f>
        <v>యాంటీ గస్ట్ ఏరోడైనమిక్ రీసెర్చ్</v>
      </c>
      <c r="G54" s="1" t="s">
        <v>113</v>
      </c>
      <c r="H54" s="1" t="str">
        <f>IFERROR(__xludf.DUMMYFUNCTION("GOOGLETRANSLATE(G:G, ""en"", ""te"")"),"ఫ్రాన్స్")</f>
        <v>ఫ్రాన్స్</v>
      </c>
      <c r="I54" s="1" t="s">
        <v>1034</v>
      </c>
      <c r="J54" s="1" t="str">
        <f>IFERROR(__xludf.DUMMYFUNCTION("GOOGLETRANSLATE(I:I, ""en"", ""te"")"),"Société maérc")</f>
        <v>Société maérc</v>
      </c>
      <c r="L54" s="1" t="s">
        <v>1035</v>
      </c>
      <c r="N54" s="3">
        <v>19890.0</v>
      </c>
      <c r="O54" s="1" t="s">
        <v>1036</v>
      </c>
      <c r="P54" s="1" t="s">
        <v>1037</v>
      </c>
      <c r="Q54" s="1" t="s">
        <v>1038</v>
      </c>
      <c r="R54" s="1" t="s">
        <v>1039</v>
      </c>
      <c r="S54" s="1" t="s">
        <v>1040</v>
      </c>
      <c r="T54" s="1" t="s">
        <v>1041</v>
      </c>
      <c r="V54" s="1" t="s">
        <v>1042</v>
      </c>
      <c r="W54" s="1" t="s">
        <v>1043</v>
      </c>
      <c r="X54" s="1" t="s">
        <v>1044</v>
      </c>
      <c r="Y54" s="1" t="s">
        <v>1045</v>
      </c>
      <c r="AA54" s="1" t="s">
        <v>1046</v>
      </c>
      <c r="AC54" s="2" t="s">
        <v>713</v>
      </c>
      <c r="AF54" s="1" t="s">
        <v>909</v>
      </c>
      <c r="AG54" s="1" t="s">
        <v>1047</v>
      </c>
      <c r="AJ54" s="1">
        <v>1.0</v>
      </c>
      <c r="BH54" s="1" t="s">
        <v>1048</v>
      </c>
    </row>
    <row r="55">
      <c r="A55" s="1" t="s">
        <v>1049</v>
      </c>
      <c r="B55" s="1" t="str">
        <f>IFERROR(__xludf.DUMMYFUNCTION("GOOGLETRANSLATE(A:A, ""en"", ""te"")"),"జనరల్ ఎలక్ట్రిక్ X353-5")</f>
        <v>జనరల్ ఎలక్ట్రిక్ X353-5</v>
      </c>
      <c r="C55" s="1" t="s">
        <v>1050</v>
      </c>
      <c r="D55" s="1" t="str">
        <f>IFERROR(__xludf.DUMMYFUNCTION("GOOGLETRANSLATE(C:C, ""en"", ""te"")"),"సాధారణ ఎలక్ట్రిక్ X353-5 అనేది అసాధారణమైన, అధిక బైపాస్ నిష్పత్తి, ర్యాన్ XV-5 వెర్టిఫాన్ V/STOL పరిశోధన విమానం [1] కోసం అభివృద్ధి చేయబడిన లిఫ్ట్‌ఫాన్ వ్యవస్థ (అంతకుముందు VZ-11 [2] అని పిలుస్తారు). వింగ్-బర్న్ విమానంలో ప్రొపల్షన్ కోసం రెండు జనరల్ ఎలక్ట్రిక"&amp;"్ జె 85-5 టర్బోజెట్లను ఉపయోగించారు. లిఫ్ట్ సమయంలో, ఈ టర్బోజెట్ల నుండి ఎగ్జాస్ట్ విమాన రెక్కలలో ఖననం చేయబడిన ఒక జత నిలువుగా మౌంట్ చేసిన టర్బైన్/ఫ్యాన్ యూనిట్లకు (స్టార్‌బోర్డ్ వింగ్‌లో ఒకటి, మరొకటి పోర్ట్ వింగ్‌లో) మళ్లించబడింది. ఈ టర్బైన్/ఫ్యాన్ యూనిట్లు "&amp;"సాధారణ ఎలక్ట్రిక్ CJ805 -23 లోని AFT ఫ్యాన్ యూనిట్లతో సమానంగా ఉన్నాయి, [సైటేషన్ అవసరం] ప్రధాన వ్యత్యాసం ఏమిటంటే, X353-5 యొక్క టర్బైన్ బ్లేడ్లు ఇన్బోర్డ్ కాకుండా అభిమాని యొక్క అవుట్‌బోర్డ్. ప్రతి ఇంజిన్ ప్రతి అభిమాని యూనిట్‌ను నడపడానికి అవసరమైన సగం ఎగ్జాస్"&amp;"ట్ గ్యాస్‌ను సరఫరా చేస్తుంది. క్రాస్ ఓవర్ డక్ట్ ఇంజిన్ విఫలమైన సందర్భంలో అభిమానులు ఇద్దరూ ఒకేలా తిరుగుతూనే ఉన్నారు. ఈ విమానం విమానం ముక్కులో చిన్న టర్బైన్/అభిమానిని కలిగి ఉంది, ఇది పిచ్‌ను నియంత్రించడానికి ఉపయోగించబడింది. ఈ పిచ్ అభిమాని ప్రధాన అభిమాని యూన"&amp;"ిట్లతో డిజైన్‌లో సమానంగా ఉండేది మరియు గ్యాస్ జనరేటర్ ఎగ్జాస్ట్ గ్యాస్ ప్రవాహంలో 10.5% ఉపయోగించారు. ప్రతి అభిమాని క్రింద స్పాన్వైస్ ఎగ్జిట్ లౌవ్రేస్, కలిసి గ్యాంగ్ చేయబడింది, వీటిని లిఫ్ట్ మోడ్‌లో అభిమాని థ్రస్ట్‌ను వెక్టర్ చేయడానికి ఉపయోగించారు. సమర్థవంతం"&amp;"గా, బైపాస్ నిష్పత్తి లిఫ్ట్ మోడ్‌లో 12.16: 1. [సైటేషన్ అవసరం] సంబంధిత అభివృద్ధి సంబంధిత జాబితాలు")</f>
        <v>సాధారణ ఎలక్ట్రిక్ X353-5 అనేది అసాధారణమైన, అధిక బైపాస్ నిష్పత్తి, ర్యాన్ XV-5 వెర్టిఫాన్ V/STOL పరిశోధన విమానం [1] కోసం అభివృద్ధి చేయబడిన లిఫ్ట్‌ఫాన్ వ్యవస్థ (అంతకుముందు VZ-11 [2] అని పిలుస్తారు). వింగ్-బర్న్ విమానంలో ప్రొపల్షన్ కోసం రెండు జనరల్ ఎలక్ట్రిక్ జె 85-5 టర్బోజెట్లను ఉపయోగించారు. లిఫ్ట్ సమయంలో, ఈ టర్బోజెట్ల నుండి ఎగ్జాస్ట్ విమాన రెక్కలలో ఖననం చేయబడిన ఒక జత నిలువుగా మౌంట్ చేసిన టర్బైన్/ఫ్యాన్ యూనిట్లకు (స్టార్‌బోర్డ్ వింగ్‌లో ఒకటి, మరొకటి పోర్ట్ వింగ్‌లో) మళ్లించబడింది. ఈ టర్బైన్/ఫ్యాన్ యూనిట్లు సాధారణ ఎలక్ట్రిక్ CJ805 -23 లోని AFT ఫ్యాన్ యూనిట్లతో సమానంగా ఉన్నాయి, [సైటేషన్ అవసరం] ప్రధాన వ్యత్యాసం ఏమిటంటే, X353-5 యొక్క టర్బైన్ బ్లేడ్లు ఇన్బోర్డ్ కాకుండా అభిమాని యొక్క అవుట్‌బోర్డ్. ప్రతి ఇంజిన్ ప్రతి అభిమాని యూనిట్‌ను నడపడానికి అవసరమైన సగం ఎగ్జాస్ట్ గ్యాస్‌ను సరఫరా చేస్తుంది. క్రాస్ ఓవర్ డక్ట్ ఇంజిన్ విఫలమైన సందర్భంలో అభిమానులు ఇద్దరూ ఒకేలా తిరుగుతూనే ఉన్నారు. ఈ విమానం విమానం ముక్కులో చిన్న టర్బైన్/అభిమానిని కలిగి ఉంది, ఇది పిచ్‌ను నియంత్రించడానికి ఉపయోగించబడింది. ఈ పిచ్ అభిమాని ప్రధాన అభిమాని యూనిట్లతో డిజైన్‌లో సమానంగా ఉండేది మరియు గ్యాస్ జనరేటర్ ఎగ్జాస్ట్ గ్యాస్ ప్రవాహంలో 10.5% ఉపయోగించారు. ప్రతి అభిమాని క్రింద స్పాన్వైస్ ఎగ్జిట్ లౌవ్రేస్, కలిసి గ్యాంగ్ చేయబడింది, వీటిని లిఫ్ట్ మోడ్‌లో అభిమాని థ్రస్ట్‌ను వెక్టర్ చేయడానికి ఉపయోగించారు. సమర్థవంతంగా, బైపాస్ నిష్పత్తి లిఫ్ట్ మోడ్‌లో 12.16: 1. [సైటేషన్ అవసరం] సంబంధిత అభివృద్ధి సంబంధిత జాబితాలు</v>
      </c>
      <c r="I55" s="1" t="s">
        <v>1051</v>
      </c>
      <c r="J55" s="1" t="str">
        <f>IFERROR(__xludf.DUMMYFUNCTION("GOOGLETRANSLATE(I:I, ""en"", ""te"")"),"GE ఏవియేషన్")</f>
        <v>GE ఏవియేషన్</v>
      </c>
      <c r="K55" s="1" t="s">
        <v>1052</v>
      </c>
      <c r="AL55" s="1" t="s">
        <v>1053</v>
      </c>
      <c r="CJ55" s="1" t="s">
        <v>1054</v>
      </c>
      <c r="CK55" s="1" t="s">
        <v>1055</v>
      </c>
    </row>
    <row r="56">
      <c r="A56" s="1" t="s">
        <v>1056</v>
      </c>
      <c r="B56" s="1" t="str">
        <f>IFERROR(__xludf.DUMMYFUNCTION("GOOGLETRANSLATE(A:A, ""en"", ""te"")"),"బార్బర్ స్నార్క్")</f>
        <v>బార్బర్ స్నార్క్</v>
      </c>
      <c r="C56" s="1" t="s">
        <v>1057</v>
      </c>
      <c r="D56" s="1" t="str">
        <f>IFERROR(__xludf.DUMMYFUNCTION("GOOGLETRANSLATE(C:C, ""en"", ""te"")"),"బార్బర్ స్నార్క్ రెండు సీట్ల కిట్-విమానం, ఇది న్యూజిలాండ్‌లో బిల్ బార్బర్ చేత రూపొందించబడింది మరియు నిర్మించబడింది. [1] ఐదు ఐదు విమానాలు మాత్రమే నిర్మించబడ్డాయి. స్నార్క్ అనేది మిశ్రమ నిర్మాణం యొక్క ట్రైసైకిల్ విమానం. దీని గ్లైడర్ లాంటి కాక్‌పిట్ ఒక పైలట్"&amp;" మరియు ప్రయాణీకుడిని సమిష్టిగా ఉంచుతుంది, ప్రయాణీకుడు పైలట్ కంటే వెనుక మరియు ఎత్తులో కూర్చున్నాడు. కేంద్రంగా అమర్చిన భుజం-వింగ్ పైలట్ వెనుక ఉంది, అతను అనియంత్రిత దృశ్యమానతను కలిగి ఉన్నాడు. 80 హెచ్‌పి (60 కిలోవాట్ల) సుజుకి ఇంజిన్ కాక్‌పిట్ వెనుక ఉంది, ఇది "&amp;"పషర్ ప్రొపెల్లర్‌ను నడుపుతుంది. మూడవ స్నార్క్‌లోని వింగ్ కంట్రోల్ ఉపరితలాలు ఫ్లాపెరాన్లు, నాల్గవ విమానాలు సాంప్రదాయ ఐలెరన్లు మరియు ఫ్లాప్‌లను కలిగి ఉన్నాయి. [2] ప్రొపెల్లర్ పైన, మరియు కాక్‌పిట్ యొక్క వెనుక భాగంలో అధిక-మౌంటెడ్ టెయిల్‌ప్లేన్‌తో టి-తోకతో కూడ"&amp;"ిన ఎంపెనేజ్‌కు సన్నని విజృంభణ ఉంటుంది. స్నార్క్ యొక్క టెన్డం లేఅవుట్, దాని చిన్న ఫ్రంటల్ ప్రాంతం మరియు దాని తక్కువ తడిసిన ప్రాంతం అంటే ఈ విమానం అద్భుతమైన పనితీరును కలిగి ఉంది, 80 BHP మాత్రమే ఇంజిన్ అవుట్పుట్ ఉన్నప్పటికీ 110 నాట్ల వద్ద క్రూజ్ చేయగలదు. స్నా"&amp;"ర్క్ UK మరియు NZ ప్రెస్‌లో సానుకూల సమీక్షలను అందుకుంది. మాజీ RNZAF స్క్వాడ్రన్ నాయకుడు మరియు ఏవియేషన్ జర్నలిస్ట్ టిమ్ క్రిప్స్ పైలట్ మ్యాగజైన్‌లో ఇలా వ్రాశారు, ""నేను ఎగిరిన అనేక విమానాలలో ఇది చాలా ఆనందించేది - మరియు ఇందులో హంటర్ కూడా ఉంది"". అదేవిధంగా, న"&amp;"ాల్గవ స్నార్క్ నిర్మించిన మాజీ WWII పైలట్ డేవిడ్ లాయింగ్ దీనిని ""నేను ఎగిరిన చక్కని విమానాలలో ఒకటి"" అని ప్రకటించారు. [1] ట్రెవీక్ నుండి డేటా [1] సాధారణ లక్షణాల పనితీరు")</f>
        <v>బార్బర్ స్నార్క్ రెండు సీట్ల కిట్-విమానం, ఇది న్యూజిలాండ్‌లో బిల్ బార్బర్ చేత రూపొందించబడింది మరియు నిర్మించబడింది. [1] ఐదు ఐదు విమానాలు మాత్రమే నిర్మించబడ్డాయి. స్నార్క్ అనేది మిశ్రమ నిర్మాణం యొక్క ట్రైసైకిల్ విమానం. దీని గ్లైడర్ లాంటి కాక్‌పిట్ ఒక పైలట్ మరియు ప్రయాణీకుడిని సమిష్టిగా ఉంచుతుంది, ప్రయాణీకుడు పైలట్ కంటే వెనుక మరియు ఎత్తులో కూర్చున్నాడు. కేంద్రంగా అమర్చిన భుజం-వింగ్ పైలట్ వెనుక ఉంది, అతను అనియంత్రిత దృశ్యమానతను కలిగి ఉన్నాడు. 80 హెచ్‌పి (60 కిలోవాట్ల) సుజుకి ఇంజిన్ కాక్‌పిట్ వెనుక ఉంది, ఇది పషర్ ప్రొపెల్లర్‌ను నడుపుతుంది. మూడవ స్నార్క్‌లోని వింగ్ కంట్రోల్ ఉపరితలాలు ఫ్లాపెరాన్లు, నాల్గవ విమానాలు సాంప్రదాయ ఐలెరన్లు మరియు ఫ్లాప్‌లను కలిగి ఉన్నాయి. [2] ప్రొపెల్లర్ పైన, మరియు కాక్‌పిట్ యొక్క వెనుక భాగంలో అధిక-మౌంటెడ్ టెయిల్‌ప్లేన్‌తో టి-తోకతో కూడిన ఎంపెనేజ్‌కు సన్నని విజృంభణ ఉంటుంది. స్నార్క్ యొక్క టెన్డం లేఅవుట్, దాని చిన్న ఫ్రంటల్ ప్రాంతం మరియు దాని తక్కువ తడిసిన ప్రాంతం అంటే ఈ విమానం అద్భుతమైన పనితీరును కలిగి ఉంది, 80 BHP మాత్రమే ఇంజిన్ అవుట్పుట్ ఉన్నప్పటికీ 110 నాట్ల వద్ద క్రూజ్ చేయగలదు. స్నార్క్ UK మరియు NZ ప్రెస్‌లో సానుకూల సమీక్షలను అందుకుంది. మాజీ RNZAF స్క్వాడ్రన్ నాయకుడు మరియు ఏవియేషన్ జర్నలిస్ట్ టిమ్ క్రిప్స్ పైలట్ మ్యాగజైన్‌లో ఇలా వ్రాశారు, "నేను ఎగిరిన అనేక విమానాలలో ఇది చాలా ఆనందించేది - మరియు ఇందులో హంటర్ కూడా ఉంది". అదేవిధంగా, నాల్గవ స్నార్క్ నిర్మించిన మాజీ WWII పైలట్ డేవిడ్ లాయింగ్ దీనిని "నేను ఎగిరిన చక్కని విమానాలలో ఒకటి" అని ప్రకటించారు. [1] ట్రెవీక్ నుండి డేటా [1] సాధారణ లక్షణాల పనితీరు</v>
      </c>
      <c r="E56" s="1" t="s">
        <v>551</v>
      </c>
      <c r="F56" s="1" t="str">
        <f>IFERROR(__xludf.DUMMYFUNCTION("GOOGLETRANSLATE(E:E, ""en"", ""te"")"),"తేలికపాటి విమానం")</f>
        <v>తేలికపాటి విమానం</v>
      </c>
      <c r="G56" s="1" t="s">
        <v>1058</v>
      </c>
      <c r="H56" s="1" t="str">
        <f>IFERROR(__xludf.DUMMYFUNCTION("GOOGLETRANSLATE(G:G, ""en"", ""te"")"),"న్యూజిలాండ్")</f>
        <v>న్యూజిలాండ్</v>
      </c>
      <c r="I56" s="1" t="s">
        <v>1059</v>
      </c>
      <c r="J56" s="1" t="str">
        <f>IFERROR(__xludf.DUMMYFUNCTION("GOOGLETRANSLATE(I:I, ""en"", ""te"")"),"హోమ్‌బిల్ట్")</f>
        <v>హోమ్‌బిల్ట్</v>
      </c>
      <c r="K56" s="2" t="s">
        <v>1060</v>
      </c>
      <c r="L56" s="1" t="s">
        <v>1061</v>
      </c>
      <c r="O56" s="1" t="s">
        <v>135</v>
      </c>
      <c r="P56" s="1" t="s">
        <v>1062</v>
      </c>
      <c r="Q56" s="1" t="s">
        <v>1063</v>
      </c>
      <c r="R56" s="1" t="s">
        <v>1064</v>
      </c>
      <c r="T56" s="1" t="s">
        <v>1065</v>
      </c>
      <c r="V56" s="1" t="s">
        <v>1066</v>
      </c>
      <c r="X56" s="1" t="s">
        <v>1067</v>
      </c>
      <c r="Y56" s="1" t="s">
        <v>1068</v>
      </c>
      <c r="Z56" s="1" t="s">
        <v>1069</v>
      </c>
      <c r="AA56" s="1" t="s">
        <v>1070</v>
      </c>
      <c r="AB56" s="1" t="s">
        <v>560</v>
      </c>
      <c r="AC56" s="1" t="s">
        <v>1071</v>
      </c>
      <c r="AD56" s="1" t="s">
        <v>1072</v>
      </c>
      <c r="AE56" s="1" t="s">
        <v>1073</v>
      </c>
      <c r="AG56" s="1" t="s">
        <v>1074</v>
      </c>
      <c r="AH56" s="1" t="s">
        <v>1075</v>
      </c>
      <c r="AJ56" s="1" t="s">
        <v>1076</v>
      </c>
      <c r="AK56" s="1" t="s">
        <v>195</v>
      </c>
      <c r="AY56" s="1" t="s">
        <v>395</v>
      </c>
      <c r="BH56" s="1" t="s">
        <v>270</v>
      </c>
    </row>
    <row r="57">
      <c r="A57" s="1" t="s">
        <v>1077</v>
      </c>
      <c r="B57" s="1" t="str">
        <f>IFERROR(__xludf.DUMMYFUNCTION("GOOGLETRANSLATE(A:A, ""en"", ""te"")"),"మోయెస్ సోనిక్")</f>
        <v>మోయెస్ సోనిక్</v>
      </c>
      <c r="C57" s="1" t="s">
        <v>1078</v>
      </c>
      <c r="D57" s="1" t="str">
        <f>IFERROR(__xludf.DUMMYFUNCTION("GOOGLETRANSLATE(C:C, ""en"", ""te"")"),"మోయెస్ సోనిక్ ఒక ఆస్ట్రేలియన్ హై-వింగ్, సింగిల్-ప్లేస్, హాంగ్ గ్లైడర్, దీనిని న్యూ సౌత్ వేల్స్లోని బోటనీకి చెందిన మోయెస్ డెల్టా గ్లైడర్స్ రూపొందించారు మరియు నిర్మించారు. ఇప్పుడు ఉత్పత్తిలో లేదు, ఇది అందుబాటులో ఉన్నప్పుడు విమానం పూర్తి మరియు సిద్ధంగా ఉండటా"&amp;"నికి సిద్ధంగా ఉంది. [1] సోనిక్ ఒక అనుభవశూన్యుడు మరియు ఇంటర్మీడియట్ గ్లైడర్‌గా 60% డబుల్ ఉపరితల వింగ్ మరియు మెరుగైన విన్యాసాల కోసం తటస్థ స్టాటిక్ బ్యాలెన్స్‌తో రూపొందించబడింది. [2] ఈ విమానం 7075-టి 6 అల్యూమినియం గొట్టాల నుండి తయారవుతుంది, డబుల్-ఉపరితల వింగ"&amp;"్ 4 oz డాక్రాన్ సెయిల్‌క్లాత్‌లో కప్పబడి ఉంటుంది. ఈ విమానం రెండు మోడళ్లలో ఉత్పత్తి చేయబడింది, 165 మరియు 190, వారి రెక్కల ప్రాంతం చదరపు అడుగులలో నియమించబడింది. [1] [2] బెర్ట్రాండ్ మరియు తయారీదారు నుండి డేటా [1] [3] సాధారణ లక్షణాల పనితీరు")</f>
        <v>మోయెస్ సోనిక్ ఒక ఆస్ట్రేలియన్ హై-వింగ్, సింగిల్-ప్లేస్, హాంగ్ గ్లైడర్, దీనిని న్యూ సౌత్ వేల్స్లోని బోటనీకి చెందిన మోయెస్ డెల్టా గ్లైడర్స్ రూపొందించారు మరియు నిర్మించారు. ఇప్పుడు ఉత్పత్తిలో లేదు, ఇది అందుబాటులో ఉన్నప్పుడు విమానం పూర్తి మరియు సిద్ధంగా ఉండటానికి సిద్ధంగా ఉంది. [1] సోనిక్ ఒక అనుభవశూన్యుడు మరియు ఇంటర్మీడియట్ గ్లైడర్‌గా 60% డబుల్ ఉపరితల వింగ్ మరియు మెరుగైన విన్యాసాల కోసం తటస్థ స్టాటిక్ బ్యాలెన్స్‌తో రూపొందించబడింది. [2] ఈ విమానం 7075-టి 6 అల్యూమినియం గొట్టాల నుండి తయారవుతుంది, డబుల్-ఉపరితల వింగ్ 4 oz డాక్రాన్ సెయిల్‌క్లాత్‌లో కప్పబడి ఉంటుంది. ఈ విమానం రెండు మోడళ్లలో ఉత్పత్తి చేయబడింది, 165 మరియు 190, వారి రెక్కల ప్రాంతం చదరపు అడుగులలో నియమించబడింది. [1] [2] బెర్ట్రాండ్ మరియు తయారీదారు నుండి డేటా [1] [3] సాధారణ లక్షణాల పనితీరు</v>
      </c>
      <c r="E57" s="1" t="s">
        <v>838</v>
      </c>
      <c r="F57" s="1" t="str">
        <f>IFERROR(__xludf.DUMMYFUNCTION("GOOGLETRANSLATE(E:E, ""en"", ""te"")"),"గ్లైడర్ హాంగ్")</f>
        <v>గ్లైడర్ హాంగ్</v>
      </c>
      <c r="G57" s="1" t="s">
        <v>757</v>
      </c>
      <c r="H57" s="1" t="str">
        <f>IFERROR(__xludf.DUMMYFUNCTION("GOOGLETRANSLATE(G:G, ""en"", ""te"")"),"ఆస్ట్రేలియా")</f>
        <v>ఆస్ట్రేలియా</v>
      </c>
      <c r="I57" s="1" t="s">
        <v>839</v>
      </c>
      <c r="J57" s="1" t="str">
        <f>IFERROR(__xludf.DUMMYFUNCTION("GOOGLETRANSLATE(I:I, ""en"", ""te"")"),"మోయెస్ డెల్టా గ్లైడర్స్")</f>
        <v>మోయెస్ డెల్టా గ్లైడర్స్</v>
      </c>
      <c r="K57" s="1" t="s">
        <v>840</v>
      </c>
      <c r="O57" s="1" t="s">
        <v>135</v>
      </c>
      <c r="Q57" s="1" t="s">
        <v>1079</v>
      </c>
      <c r="S57" s="1" t="s">
        <v>1080</v>
      </c>
      <c r="T57" s="1" t="s">
        <v>1081</v>
      </c>
      <c r="U57" s="1" t="s">
        <v>1082</v>
      </c>
      <c r="W57" s="1" t="s">
        <v>1083</v>
      </c>
      <c r="AB57" s="1" t="s">
        <v>845</v>
      </c>
      <c r="AC57" s="2" t="s">
        <v>763</v>
      </c>
      <c r="AD57" s="1" t="s">
        <v>581</v>
      </c>
      <c r="AG57" s="1" t="s">
        <v>1084</v>
      </c>
      <c r="AH57" s="1" t="s">
        <v>1085</v>
      </c>
      <c r="AR57" s="1" t="s">
        <v>253</v>
      </c>
      <c r="AS57" s="1">
        <v>5.6</v>
      </c>
      <c r="AY57" s="1" t="s">
        <v>1086</v>
      </c>
      <c r="BB57" s="1">
        <v>9.0</v>
      </c>
    </row>
    <row r="58">
      <c r="A58" s="1" t="s">
        <v>1087</v>
      </c>
      <c r="B58" s="1" t="str">
        <f>IFERROR(__xludf.DUMMYFUNCTION("GOOGLETRANSLATE(A:A, ""en"", ""te"")"),"పారాటోర్ ఎస్డి")</f>
        <v>పారాటోర్ ఎస్డి</v>
      </c>
      <c r="C58" s="1" t="s">
        <v>1088</v>
      </c>
      <c r="D58" s="1" t="str">
        <f>IFERROR(__xludf.DUMMYFUNCTION("GOOGLETRANSLATE(C:C, ""en"", ""te"")"),"పారాటూర్ SD అనేది కెనడియన్ పారామోటర్ల కుటుంబం, దీనిని ఎరిక్ డుఫోర్ రూపొందించారు మరియు శక్తితో కూడిన పారాగ్లైడింగ్ కోసం క్యూబెక్ లోని సెయింట్-క్రిసోస్టోమ్ యొక్క పారాటోర్ నిర్మించారు. ఇప్పుడు ఉత్పత్తికి దూరంగా, ఇది అందుబాటులో ఉన్నప్పుడు సిరీస్ పూర్తి మరియు "&amp;"సిద్ధంగా ఉండటానికి సిద్ధంగా ఉంది. [1] ""SD"" అంటే ""సేఫ్ &amp; స్ట్రాంగ్ డిజైన్"". [2] SD సిరీస్ యుఎస్ ఫార్ 103 అల్ట్రాలైట్ వెహికల్స్ నిబంధనలతో పాటు కెనడియన్ మరియు యూరోపియన్ నిబంధనలను పాటించేలా రూపొందించబడింది. ఇది పారాగ్లైడర్-స్టైల్ వింగ్, సింగిల్-ప్లేస్ వసత"&amp;"ి మరియు రిడక్షన్ డ్రైవ్ మరియు 100 నుండి 125 సెం.మీ (39 నుండి 49 అంగుళాలు) వ్యాసం కలిగిన రెండు-బ్లేడెడ్ కాంపోజిట్ ప్రొపెల్లర్‌ను కలిగి ఉన్న పషర్ కాన్ఫిగరేషన్‌లో ఒకే ఇంజిన్ కలిగి ఉంది, మోడల్‌ను బట్టి. ఇంధన ట్యాంక్ సామర్థ్యం 10 లీటర్లు (2.2 ఇంప్ గల్; 2.6 యుఎ"&amp;"స్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f>
        <v>పారాటూర్ SD అనేది కెనడియన్ పారామోటర్ల కుటుంబం, దీనిని ఎరిక్ డుఫోర్ రూపొందించారు మరియు శక్తితో కూడిన పారాగ్లైడింగ్ కోసం క్యూబెక్ లోని సెయింట్-క్రిసోస్టోమ్ యొక్క పారాటోర్ నిర్మించారు. ఇప్పుడు ఉత్పత్తికి దూరంగా, ఇది అందుబాటులో ఉన్నప్పుడు సిరీస్ పూర్తి మరియు సిద్ధంగా ఉండటానికి సిద్ధంగా ఉంది. [1] "SD" అంటే "సేఫ్ &amp; స్ట్రాంగ్ డిజైన్". [2] SD సిరీస్ యుఎస్ ఫార్ 103 అల్ట్రాలైట్ వెహికల్స్ నిబంధనలతో పాటు కెనడియన్ మరియు యూరోపియన్ నిబంధనలను పాటించేలా రూపొందించబడింది. ఇది పారాగ్లైడర్-స్టైల్ వింగ్, సింగిల్-ప్లేస్ వసతి మరియు రిడక్షన్ డ్రైవ్ మరియు 100 నుండి 125 సెం.మీ (39 నుండి 49 అంగుళాలు) వ్యాసం కలిగిన రెండు-బ్లేడెడ్ కాంపోజిట్ ప్రొపెల్లర్‌ను కలిగి ఉన్న పషర్ కాన్ఫిగరేషన్‌లో ఒకే ఇంజిన్ కలిగి ఉంది, మోడల్‌ను బట్టి. ఇంధన ట్యాంక్ సామర్థ్యం 10 లీటర్లు (2.2 ఇంప్ గల్; 2.6 యుఎస్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58" s="1" t="s">
        <v>756</v>
      </c>
      <c r="F58" s="1" t="str">
        <f>IFERROR(__xludf.DUMMYFUNCTION("GOOGLETRANSLATE(E:E, ""en"", ""te"")"),"పారామోటర్")</f>
        <v>పారామోటర్</v>
      </c>
      <c r="G58" s="1" t="s">
        <v>855</v>
      </c>
      <c r="H58" s="1" t="str">
        <f>IFERROR(__xludf.DUMMYFUNCTION("GOOGLETRANSLATE(G:G, ""en"", ""te"")"),"కెనడా")</f>
        <v>కెనడా</v>
      </c>
      <c r="I58" s="1" t="s">
        <v>1089</v>
      </c>
      <c r="J58" s="1" t="str">
        <f>IFERROR(__xludf.DUMMYFUNCTION("GOOGLETRANSLATE(I:I, ""en"", ""te"")"),"పారాటోర్")</f>
        <v>పారాటోర్</v>
      </c>
      <c r="K58" s="2" t="s">
        <v>1090</v>
      </c>
      <c r="L58" s="1" t="s">
        <v>1091</v>
      </c>
      <c r="O58" s="1" t="s">
        <v>135</v>
      </c>
      <c r="T58" s="1" t="s">
        <v>1092</v>
      </c>
      <c r="V58" s="1" t="s">
        <v>1093</v>
      </c>
      <c r="AB58" s="2" t="s">
        <v>762</v>
      </c>
      <c r="AC58" s="2" t="s">
        <v>866</v>
      </c>
      <c r="AD58" s="1" t="s">
        <v>581</v>
      </c>
      <c r="AE58" s="1" t="s">
        <v>1094</v>
      </c>
      <c r="AF58" s="1" t="s">
        <v>1095</v>
      </c>
      <c r="AR58" s="1" t="s">
        <v>253</v>
      </c>
      <c r="BN58" s="1" t="s">
        <v>1096</v>
      </c>
    </row>
    <row r="59">
      <c r="A59" s="1" t="s">
        <v>1097</v>
      </c>
      <c r="B59" s="1" t="str">
        <f>IFERROR(__xludf.DUMMYFUNCTION("GOOGLETRANSLATE(A:A, ""en"", ""te"")"),"KB SAT SR-10")</f>
        <v>KB SAT SR-10</v>
      </c>
      <c r="C59" s="1" t="s">
        <v>1098</v>
      </c>
      <c r="D59" s="1" t="str">
        <f>IFERROR(__xludf.DUMMYFUNCTION("GOOGLETRANSLATE(C:C, ""en"", ""te"")"),"KB SAT SR-10 అనేది ఒక ప్రోటోటైప్ రష్యన్ సింగిల్-ఇంజిన్ జెట్ ట్రైనర్ విమానం, ఇది ఫార్వర్డ్-స్వీప్ రెక్కలతో అమర్చబడి ఉంటుంది. ఇది మొదట 2015 లో ప్రయాణించింది మరియు రష్యన్ వైమానిక దళానికి మరియు ఎగుమతి కోసం అందించబడుతోంది. రష్యన్ డిజైన్ బ్యూరో కెబి సాట్ [1] (స"&amp;"ోవ్రెమైన్నే ఏవియాట్సియోన్నే టెఖ్నోలాగి-మోడరన్ ఎయిర్క్రాఫ్ట్ టెక్నాలజీస్) సింగిల్-ఇంజిన్ జెట్ ట్రైనర్ మరియు స్పోర్ట్ ఎయిర్క్రాఫ్ట్, SR-10, 2007 లో SR-10 పై పని ప్రారంభించింది, ఆగస్టులో MAKS ఎయిర్‌షో వద్ద ఒక మాకప్‌ను ప్రదర్శిస్తుంది 2009. SR-10 అనేది ఆల్-కా"&amp;"ంపోజిట్ నిర్మాణం యొక్క మిడ్-వింగ్ మోనోప్లేన్, రెక్క 10 డిగ్రీల కోణంలో ముందుకు సాగింది. ఇద్దరు సిబ్బంది టెన్డం కాక్‌పిట్‌లో కూర్చుంటారు. ఇది ఒకే టర్బోఫాన్ చేత శక్తినిస్తుంది, ఇది ప్రోటోటైప్‌లో అమర్చిన iVchenko AI-25V AI25TSR (AI25TL యొక్క మార్పు), అయితే NP"&amp;"O సాటర్న్ AL-55 వంటి ఆధునిక రష్యన్ ఇంజన్లు ఉత్పత్తి విమానాల కోసం ప్రతిపాదించబడ్డాయి. [2] రష్యన్ వైమానిక దళం కోసం ఒక ప్రాథమిక శిక్షకుడి కోసం 2014 అవసరాన్ని తీర్చడానికి SR-10 ను అందించారు, కాని పిస్టన్-ఇంజిన్ ట్రైనర్ అయిన యాకోవ్లెవ్ యాక్ -152 కు అనుకూలంగా త"&amp;"ిరస్కరించబడింది. ఈ ఎదురుదెబ్బ ఉన్నప్పటికీ, KB SAT SR-10 ను అభివృద్ధి చేస్తూనే ఉంది, దీనిని యాక్ -152 మరియు యాక్ -130 అడ్వాన్స్‌డ్ జెట్ ట్రైనర్ మరియు ఎగుమతి కోసం ఇంటర్మీడియట్ ట్రైనర్‌గా ప్రతిపాదించింది. మొదటి ప్రోటోటైప్ SR-10 25 డిసెంబర్ 2015 న తన తొలి విమ"&amp;"ాన ప్రయాణం చేసింది. [2] జూలై 2017 లో, KB SAT AR-10 వాదన అనే విమానం యొక్క మానవరహిత వేరియంట్‌ను అభివృద్ధి చేసినట్లు ప్రకటించింది. [3] [4] సెప్టెంబర్ 2018 లో, మీడియా నివేదికల ప్రకారం, రష్యన్ వైమానిక దళం కోసం SR-10 ఉత్పత్తిని ప్రారంభించడానికి రష్యా ప్రభుత్వం "&amp;"నిధులను కేటాయించడంలో విఫలమైంది మరియు ఫలితంగా KB SAT ఈ ప్రాజెక్టుపై అన్ని పనులను నిలిపివేసింది. [5] సెప్టెంబర్ 19 న, 2020 SR-10 ""రష్యన్ ఏవియేషన్ రేస్"" లో పాల్గొంది, ఇది ఒరెష్కోవో ఎయిర్ఫీల్డ్ (కలౌగా ఓబ్లాస్ట్) [6] రష్యా యొక్క కొత్త జెట్ ట్రైనర్ [2] నుండి "&amp;"వచ్చిన డేటా [2] పోల్చదగిన పాత్ర, కాన్ఫిగరేషన్ మరియు మరియు యొక్క సాధారణ లక్షణాల పనితీరు విమానం ERA")</f>
        <v>KB SAT SR-10 అనేది ఒక ప్రోటోటైప్ రష్యన్ సింగిల్-ఇంజిన్ జెట్ ట్రైనర్ విమానం, ఇది ఫార్వర్డ్-స్వీప్ రెక్కలతో అమర్చబడి ఉంటుంది. ఇది మొదట 2015 లో ప్రయాణించింది మరియు రష్యన్ వైమానిక దళానికి మరియు ఎగుమతి కోసం అందించబడుతోంది. రష్యన్ డిజైన్ బ్యూరో కెబి సాట్ [1] (సోవ్రెమైన్నే ఏవియాట్సియోన్నే టెఖ్నోలాగి-మోడరన్ ఎయిర్క్రాఫ్ట్ టెక్నాలజీస్) సింగిల్-ఇంజిన్ జెట్ ట్రైనర్ మరియు స్పోర్ట్ ఎయిర్క్రాఫ్ట్, SR-10, 2007 లో SR-10 పై పని ప్రారంభించింది, ఆగస్టులో MAKS ఎయిర్‌షో వద్ద ఒక మాకప్‌ను ప్రదర్శిస్తుంది 2009. SR-10 అనేది ఆల్-కాంపోజిట్ నిర్మాణం యొక్క మిడ్-వింగ్ మోనోప్లేన్, రెక్క 10 డిగ్రీల కోణంలో ముందుకు సాగింది. ఇద్దరు సిబ్బంది టెన్డం కాక్‌పిట్‌లో కూర్చుంటారు. ఇది ఒకే టర్బోఫాన్ చేత శక్తినిస్తుంది, ఇది ప్రోటోటైప్‌లో అమర్చిన iVchenko AI-25V AI25TSR (AI25TL యొక్క మార్పు), అయితే NPO సాటర్న్ AL-55 వంటి ఆధునిక రష్యన్ ఇంజన్లు ఉత్పత్తి విమానాల కోసం ప్రతిపాదించబడ్డాయి. [2] రష్యన్ వైమానిక దళం కోసం ఒక ప్రాథమిక శిక్షకుడి కోసం 2014 అవసరాన్ని తీర్చడానికి SR-10 ను అందించారు, కాని పిస్టన్-ఇంజిన్ ట్రైనర్ అయిన యాకోవ్లెవ్ యాక్ -152 కు అనుకూలంగా తిరస్కరించబడింది. ఈ ఎదురుదెబ్బ ఉన్నప్పటికీ, KB SAT SR-10 ను అభివృద్ధి చేస్తూనే ఉంది, దీనిని యాక్ -152 మరియు యాక్ -130 అడ్వాన్స్‌డ్ జెట్ ట్రైనర్ మరియు ఎగుమతి కోసం ఇంటర్మీడియట్ ట్రైనర్‌గా ప్రతిపాదించింది. మొదటి ప్రోటోటైప్ SR-10 25 డిసెంబర్ 2015 న తన తొలి విమాన ప్రయాణం చేసింది. [2] జూలై 2017 లో, KB SAT AR-10 వాదన అనే విమానం యొక్క మానవరహిత వేరియంట్‌ను అభివృద్ధి చేసినట్లు ప్రకటించింది. [3] [4] సెప్టెంబర్ 2018 లో, మీడియా నివేదికల ప్రకారం, రష్యన్ వైమానిక దళం కోసం SR-10 ఉత్పత్తిని ప్రారంభించడానికి రష్యా ప్రభుత్వం నిధులను కేటాయించడంలో విఫలమైంది మరియు ఫలితంగా KB SAT ఈ ప్రాజెక్టుపై అన్ని పనులను నిలిపివేసింది. [5] సెప్టెంబర్ 19 న, 2020 SR-10 "రష్యన్ ఏవియేషన్ రేస్" లో పాల్గొంది, ఇది ఒరెష్కోవో ఎయిర్ఫీల్డ్ (కలౌగా ఓబ్లాస్ట్) [6] రష్యా యొక్క కొత్త జెట్ ట్రైనర్ [2] నుండి వచ్చిన డేటా [2] పోల్చదగిన పాత్ర, కాన్ఫిగరేషన్ మరియు మరియు యొక్క సాధారణ లక్షణాల పనితీరు విమానం ERA</v>
      </c>
      <c r="E59" s="1" t="s">
        <v>1099</v>
      </c>
      <c r="F59" s="1" t="str">
        <f>IFERROR(__xludf.DUMMYFUNCTION("GOOGLETRANSLATE(E:E, ""en"", ""te"")"),"శిక్షణా విమానం")</f>
        <v>శిక్షణా విమానం</v>
      </c>
      <c r="G59" s="1" t="s">
        <v>1100</v>
      </c>
      <c r="H59" s="1" t="str">
        <f>IFERROR(__xludf.DUMMYFUNCTION("GOOGLETRANSLATE(G:G, ""en"", ""te"")"),"రష్యా")</f>
        <v>రష్యా</v>
      </c>
      <c r="I59" s="1" t="s">
        <v>1101</v>
      </c>
      <c r="J59" s="1" t="str">
        <f>IFERROR(__xludf.DUMMYFUNCTION("GOOGLETRANSLATE(I:I, ""en"", ""te"")"),"KB SAT, AVIAAGGREGREGAT, SMOLENSK SMAZ, KTRV")</f>
        <v>KB SAT, AVIAAGGREGREGAT, SMOLENSK SMAZ, KTRV</v>
      </c>
      <c r="L59" s="1" t="s">
        <v>1102</v>
      </c>
      <c r="N59" s="3">
        <v>42363.0</v>
      </c>
      <c r="O59" s="1">
        <v>2.0</v>
      </c>
      <c r="P59" s="1" t="s">
        <v>1103</v>
      </c>
      <c r="Q59" s="1" t="s">
        <v>546</v>
      </c>
      <c r="R59" s="1" t="s">
        <v>1104</v>
      </c>
      <c r="U59" s="1" t="s">
        <v>1105</v>
      </c>
      <c r="V59" s="1" t="s">
        <v>1106</v>
      </c>
      <c r="W59" s="1" t="s">
        <v>1107</v>
      </c>
      <c r="X59" s="1" t="s">
        <v>1108</v>
      </c>
      <c r="Y59" s="1" t="s">
        <v>1109</v>
      </c>
      <c r="Z59" s="1" t="s">
        <v>1110</v>
      </c>
      <c r="AA59" s="1" t="s">
        <v>1111</v>
      </c>
      <c r="AG59" s="1" t="s">
        <v>1112</v>
      </c>
      <c r="AJ59" s="1">
        <v>1.0</v>
      </c>
      <c r="BA59" s="1" t="s">
        <v>1113</v>
      </c>
      <c r="BH59" s="1" t="s">
        <v>1114</v>
      </c>
    </row>
    <row r="60">
      <c r="A60" s="1" t="s">
        <v>1115</v>
      </c>
      <c r="B60" s="1" t="str">
        <f>IFERROR(__xludf.DUMMYFUNCTION("GOOGLETRANSLATE(A:A, ""en"", ""te"")"),"PLA AFEU UAV")</f>
        <v>PLA AFEU UAV</v>
      </c>
      <c r="C60" s="1" t="s">
        <v>1116</v>
      </c>
      <c r="D60" s="1" t="str">
        <f>IFERROR(__xludf.DUMMYFUNCTION("GOOGLETRANSLATE(C:C, ""en"", ""te"")"),"PLA AFEU UAV లు పీపుల్స్ లిబరేషన్ ఆర్మీ ఎయిర్ ఫోర్స్ ఇంజనీరింగ్ విశ్వవిద్యాలయం అభివృద్ధి చేసిన చైనీస్ UAV లు, ఇవన్నీ ప్రయోగాత్మక విమానాలు. PLA AFEU స్థిర-వింగ్ మైక్రో ఎయిర్ వెహికల్ (MAV) అనేది ఆరుగురు సభ్యుల పోటీ బృందం అభివృద్ధి చేసిన MAV, PLA AFEU విద్యా"&amp;"ర్థులను కలిగి ఉంటుంది. టర్కీలో జరిగిన 2015 ఫ్యూచర్ ఫ్లైట్ డిజైన్ కాంపిటీషన్ (ఎఫ్‌ఎఫ్‌పి 2015) లో ఈ బృందం పాల్గొంది, [1] మరియు మొదటి స్థానాన్ని గెలుచుకుంది. [2] MAV హై వింగ్ కాన్ఫిగరేషన్ మరియు ట్విన్ తోకతో సాంప్రదాయ లేఅవుట్లో ఉంది. ముక్కులో అమర్చిన రెండు-బ"&amp;"్లేడ్ ప్రొపెల్లర్ నడిచే ట్రాక్టర్ ఇంజిన్ ద్వారా ప్రొపల్షన్ అందించబడుతుంది. [1] ప్రాధమిక రూపకల్పన దృష్టి విశ్వసనీయత మరియు ప్రతికూల వాతావరణంలో మోహరించగల సామర్థ్యాన్ని కలిగి ఉంది, [3] దీని ఫలితంగా పోటీ యొక్క రెండవ స్థానంలో ఉన్న విజేత కంటే దాదాపు పది రెట్లు మ"&amp;"ోహరించబడింది. [3] PLA AFEU స్ట్రోలర్ (మ్యాన్-బు-జెహే లేదా మన్బుజే, 漫步者) ప్రయోగాత్మక UAV అనేది PLA AFEU చే అభివృద్ధి చేయబడిన చైనీస్ UAV, మరియు ఇది ప్రధానంగా సైక్లోజొజ్రోపై పరిశోధన కోసం ఉద్దేశించిన UAV. స్ట్రోలర్ సెప్టెంబర్ 22, 2011 న బీజింగ్‌లో మొదటి యుఎవి"&amp;" డిజైన్ పోటీలో మొదటి బహిరంగ అరంగేట్రం చేశాడు. డిజైనర్లలో ఒకరైన మిస్టర్ యు హాంగ్-కు (于宏坤) ప్రకారం, సెప్టెంబర్ 16, 2011 న డిజైన్ మొదట మొదటి విజయవంతమైన తొలి విమానానికి ప్రారంభమైనప్పటి నుండి నాలుగు నెలల సమయం పట్టింది. ఈ విమానం సేవలోకి తరలించబడింది. పోటీ యొక్క"&amp;" గడువును తీర్చడానికి, మరియు పోటీ తరువాత నిర్వహించాల్సిన ట్రయల్స్ ఆధారంగా మరింత శుద్ధీకరణ ప్రణాళిక చేయబడింది. స్ట్రోలర్ యుఎవి దాని సైక్లోజొజ్రో డిజైన్ కారణంగా స్టోల్ చేయగలదు. [4] స్పెసిఫికేషన్: [5] చైనా యొక్క మానవరహిత వైమానిక వాహనాల జాబితా మానవరహిత వైమానిక"&amp;" వాహనంపై ఈ వ్యాసం ఒక స్టబ్. వికీపీడియా విస్తరించడం ద్వారా మీరు సహాయపడవచ్చు.")</f>
        <v>PLA AFEU UAV లు పీపుల్స్ లిబరేషన్ ఆర్మీ ఎయిర్ ఫోర్స్ ఇంజనీరింగ్ విశ్వవిద్యాలయం అభివృద్ధి చేసిన చైనీస్ UAV లు, ఇవన్నీ ప్రయోగాత్మక విమానాలు. PLA AFEU స్థిర-వింగ్ మైక్రో ఎయిర్ వెహికల్ (MAV) అనేది ఆరుగురు సభ్యుల పోటీ బృందం అభివృద్ధి చేసిన MAV, PLA AFEU విద్యార్థులను కలిగి ఉంటుంది. టర్కీలో జరిగిన 2015 ఫ్యూచర్ ఫ్లైట్ డిజైన్ కాంపిటీషన్ (ఎఫ్‌ఎఫ్‌పి 2015) లో ఈ బృందం పాల్గొంది, [1] మరియు మొదటి స్థానాన్ని గెలుచుకుంది. [2] MAV హై వింగ్ కాన్ఫిగరేషన్ మరియు ట్విన్ తోకతో సాంప్రదాయ లేఅవుట్లో ఉంది. ముక్కులో అమర్చిన రెండు-బ్లేడ్ ప్రొపెల్లర్ నడిచే ట్రాక్టర్ ఇంజిన్ ద్వారా ప్రొపల్షన్ అందించబడుతుంది. [1] ప్రాధమిక రూపకల్పన దృష్టి విశ్వసనీయత మరియు ప్రతికూల వాతావరణంలో మోహరించగల సామర్థ్యాన్ని కలిగి ఉంది, [3] దీని ఫలితంగా పోటీ యొక్క రెండవ స్థానంలో ఉన్న విజేత కంటే దాదాపు పది రెట్లు మోహరించబడింది. [3] PLA AFEU స్ట్రోలర్ (మ్యాన్-బు-జెహే లేదా మన్బుజే, 漫步者) ప్రయోగాత్మక UAV అనేది PLA AFEU చే అభివృద్ధి చేయబడిన చైనీస్ UAV, మరియు ఇది ప్రధానంగా సైక్లోజొజ్రోపై పరిశోధన కోసం ఉద్దేశించిన UAV. స్ట్రోలర్ సెప్టెంబర్ 22, 2011 న బీజింగ్‌లో మొదటి యుఎవి డిజైన్ పోటీలో మొదటి బహిరంగ అరంగేట్రం చేశాడు. డిజైనర్లలో ఒకరైన మిస్టర్ యు హాంగ్-కు (于宏坤) ప్రకారం, సెప్టెంబర్ 16, 2011 న డిజైన్ మొదట మొదటి విజయవంతమైన తొలి విమానానికి ప్రారంభమైనప్పటి నుండి నాలుగు నెలల సమయం పట్టింది. ఈ విమానం సేవలోకి తరలించబడింది. పోటీ యొక్క గడువును తీర్చడానికి, మరియు పోటీ తరువాత నిర్వహించాల్సిన ట్రయల్స్ ఆధారంగా మరింత శుద్ధీకరణ ప్రణాళిక చేయబడింది. స్ట్రోలర్ యుఎవి దాని సైక్లోజొజ్రో డిజైన్ కారణంగా స్టోల్ చేయగలదు. [4] స్పెసిఫికేషన్: [5] చైనా యొక్క మానవరహిత వైమానిక వాహనాల జాబితా మానవరహిత వైమానిక వాహనంపై ఈ వ్యాసం ఒక స్టబ్. వికీపీడియా విస్తరించడం ద్వారా మీరు సహాయపడవచ్చు.</v>
      </c>
      <c r="E60" s="1" t="s">
        <v>730</v>
      </c>
      <c r="F60" s="1" t="str">
        <f>IFERROR(__xludf.DUMMYFUNCTION("GOOGLETRANSLATE(E:E, ""en"", ""te"")"),"ఉవ్")</f>
        <v>ఉవ్</v>
      </c>
      <c r="G60" s="1" t="s">
        <v>731</v>
      </c>
      <c r="H60" s="1" t="str">
        <f>IFERROR(__xludf.DUMMYFUNCTION("GOOGLETRANSLATE(G:G, ""en"", ""te"")"),"చైనా")</f>
        <v>చైనా</v>
      </c>
      <c r="I60" s="1" t="s">
        <v>1117</v>
      </c>
      <c r="J60" s="1" t="str">
        <f>IFERROR(__xludf.DUMMYFUNCTION("GOOGLETRANSLATE(I:I, ""en"", ""te"")"),"PLA AFEU")</f>
        <v>PLA AFEU</v>
      </c>
      <c r="K60" s="1" t="s">
        <v>1118</v>
      </c>
      <c r="L60" s="1" t="s">
        <v>1117</v>
      </c>
      <c r="M60" s="1" t="s">
        <v>1118</v>
      </c>
      <c r="N60" s="1">
        <v>2011.0</v>
      </c>
      <c r="AC60" s="2" t="s">
        <v>734</v>
      </c>
      <c r="AD60" s="1" t="s">
        <v>70</v>
      </c>
      <c r="AQ60" s="1" t="s">
        <v>731</v>
      </c>
      <c r="BN60" s="1">
        <v>2011.0</v>
      </c>
      <c r="BP60" s="2" t="s">
        <v>734</v>
      </c>
    </row>
    <row r="61">
      <c r="A61" s="1" t="s">
        <v>1119</v>
      </c>
      <c r="B61" s="1" t="str">
        <f>IFERROR(__xludf.DUMMYFUNCTION("GOOGLETRANSLATE(A:A, ""en"", ""te"")"),"రోహర్బాచ్ రో VII రాబే")</f>
        <v>రోహర్బాచ్ రో VII రాబే</v>
      </c>
      <c r="C61" s="1" t="s">
        <v>1120</v>
      </c>
      <c r="D61" s="1" t="str">
        <f>IFERROR(__xludf.DUMMYFUNCTION("GOOGLETRANSLATE(C:C, ""en"", ""te"")"),"రోహర్బాచ్ రో VII రోబ్ (ఇంగ్లీష్: సీల్) 1920 లలో జర్మనీలో నిర్మించిన ఆల్-మెటల్, ట్విన్ ఇంజిన్ ఫ్లయింగ్ బోట్. ఇది వాణిజ్య లేదా సైనిక రోల్స్‌కు అనుగుణంగా ఉంటుంది. పూర్తి కంపెనీ పేరు (రోహర్‌బాచ్ మెటాల్-ఫ్లూగ్జ్యూగ్బా) స్పష్టం చేస్తున్నందున, అన్ని రోహర్‌బాచ్ వ"&amp;"ిమానాలు ఆల్-మెటల్‌గా ఉన్నాయి, వాటిలో డ్యూరాలిమిన్ స్కిన్నింగ్‌తో సహా. రోబ్ ఒక మోనోప్లేన్, ఆ సమయంలో సెమీ-కాంటిలివర్ నిర్మాణంగా వర్ణించబడింది, అనగా కఠినమైన వింగ్ స్ట్రట్స్ లేవని, కానీ ఇది దిగువ ఫ్యూజ్‌లేజ్ నుండి రెక్కలకు ఎగిరే వైర్లతో బాహ్య బ్రేసింగ్‌ను నిల"&amp;"ుపుకుంది. రెక్కలు 5 ° డైహెడ్రల్‌తో అమర్చబడ్డాయి. ప్రణాళికలో అవి నేరుగా దెబ్బతిన్నాయి, అన్‌సీప్ ప్రముఖ అంచులు మరియు మొద్దుబారిన చిట్కాలతో. అంతర్గతంగా రెక్కలు సింగిల్ బాక్స్ స్పార్‌ల చుట్టూ నిర్మించబడ్డాయి, ప్రముఖ అంచు మరియు వెనుకంజలో ఉన్న ఎడ్జ్ బాక్స్‌ల సహ"&amp;"కారంతో. ఎడ్జ్ బాక్స్‌లు ఇంధన ట్యాంకులుగా కూడా పనిచేశాయి. ఈ సమయంలో లోహ విమానాల మరమ్మతుపై ఇంకా సందేహాలు ఉన్నాయి, కాబట్టి ఎడ్జ్ బాక్సులను తొలగించడం ద్వారా రాబే యొక్క రెండు-భాగాల వింగ్ అంతర్గతంగా తనిఖీ చేయడం సులభం అని రూపొందించబడింది మరియు అన్ని భాగాలు మార్చబ"&amp;"డతాయి. రెక్కల చర్మం పక్కటెముకలకు రివర్ట్ చేయబడింది. [1] పొట్టు ఫ్లాట్-సైడెడ్ మరియు లోతైనది. దాని దిగువ భాగంలో రెండు దశలు ఉన్నాయి; మొదటి ముందు హల్ బాటమ్ విభాగంలో బోలు V మరియు దాని వెనుక ఒక ఫ్లాట్ V. వెనుక దశ వెనుక కొద్దిగా నీటి చుక్కాని ఉంది. పైలట్ మరియు మ"&amp;"ెకానిక్ ఓపెన్ కాక్‌పిట్‌లో పక్కపక్కనే కూర్చున్నారు, గన్నర్ స్థానాలు వాటి ముందు మరియు వెనుకంజలో ఉన్న అంచు వద్ద ఉన్నాయి. ప్రత్యాళ తేలికను కాపాడటానికి పొట్టును ఏడు నీటితో నిండిన కంపార్ట్మెంట్లుగా విభజించారు. [1] ప్రతి గన్నర్ యొక్క కాక్‌పిట్ యొక్క అసాధారణ లక్"&amp;"షణం డ్యూరాలిమిన్, టెలిస్కోపిక్ మాస్ట్. ఒకవేళ, అత్యవసర పరిస్థితుల్లో రోబ్ శక్తి లేకుండా ఉద్భవించినట్లయితే, వీటిని ప్రతి ఒక్కటి విస్తరించవచ్చు మరియు భద్రతను చేరుకోవడానికి సరళమైన, త్రిభుజాకార నౌకను పెంచవచ్చు. [2] వెనుక భాగంలో తోక సాంప్రదాయంగా ఉంది, మొద్దుబార"&amp;"ిన దీర్ఘచతురస్రాకార ఫిన్ మరియు చిన్న అసమతుల్య చుక్కలు ఉన్నాయి. అధిక కారక నిష్పత్తి క్షితిజ సమాంతర తోక, మళ్ళీ దీర్ఘచతురస్రాకార చిట్కాలు కాకుండా దీర్ఘచతురస్రాకారంలో, ఫిన్ పైకి బాగా అమర్చబడి, ఎగువ ఫ్యూజ్‌లేజ్‌కు స్ట్రట్-బ్రెస్ చేయబడింది. చుక్కాని వలె, ఎలివేట"&amp;"ర్లు అసమతుల్యమైనవి. [1] టేక్-ఆఫ్ యొక్క స్ప్రే నుండి వాటిని స్పష్టంగా ఉంచడానికి, రాబ్ యొక్క రెండు 170 kW (230 HP) BMW IV వాటర్-కూల్డ్ ఆరు సిలిండర్ నిటారుగా ఉన్న ఇన్లైన్ ఇంజన్లు నిలువు ఫెయిర్డ్ స్టీల్ ట్యూబ్ N- ఫార్మ్ పై రెక్కల పైన పషర్ కాన్ఫిగరేషన్‌లో అమర్"&amp;"చబడ్డాయి స్ట్రట్స్, ఫార్వర్డ్ ఇన్నర్ ముఖ్యంగా ధృ dy నిర్మాణంగల, మరియు విలోమ V- స్ట్రట్ బ్రేసింగ్‌తో సెంట్రల్, ఎగువ ఫ్యూజ్‌లేజ్‌పై దాని శిఖరాగ్రంతో. ఇంజిన్లను ఇంజిన్ కౌలింగ్ ముందు మరియు కాక్‌పిట్ నుండి నియంత్రించే షట్టర్‌ల వెనుక రేడియేటర్లతో ఇంజన్లు చల్లబర"&amp;"ుస్తున్నాయి. ప్రతి ఇంజిన్ పైన రిజర్వ్ ఇంధన ట్యాంక్ ఉంది. [1] రాబ్ పైకి వంగి, స్థిరీకరించడం, చైన్డ్ ఫ్లోట్లను మూడవ వంతులో కలిగి ఉంది, ప్రతి ఒక్కటి N- రూపంలో స్ట్రట్‌లపై అమర్చబడి, ఇంజిన్ మౌంటుల క్రింద ఉన్న రెక్కకు స్ట్రట్‌లను మార్చడంతో విలోమంగా కలుపుతారు. ప"&amp;"్రతి ఫ్లోట్ మూడు నీటితో నిండిన కంపార్ట్మెంట్లుగా విభజించబడింది. [1] రాబ్ I యొక్క మొదటి ఫ్లైట్, పైన వివరించిన మోడల్ 1925 లో తెలిసింది. [3] తరువాతి వేసవి నాటికి రెండు నిర్మించబడ్డాయి మరియు వార్నెమాండేపై సీప్లేన్ పోటీలో పాల్గొంటున్నాయి, అయినప్పటికీ వారు దాని"&amp;"ని పూర్తి చేయలేదు. [2] [4] ఆగష్టు 1926 లో, రాబ్ 100 మరియు 500 కిమీ (62 మరియు 311 మైళ్ళు) దూరాలపై 500 మరియు 1,000 కిలోల (1,100 మరియు 2,200 పౌండ్లు) లోడ్లను మోస్తున్న విమానాల కోసం కనీసం నాలుగు ప్రపంచ వేగ రికార్డులను నెలకొల్పారు; [5] వీటిలో రెండు విడదీయని బా"&amp;"వి 1927 లో. [6] అక్టోబర్ 18 నుండి అక్టోబర్ 21 వరకు నెదర్లాండ్స్‌లో సముద్రపు నిఘా ఎగిరే పడవ కోసం ఒక రోబే పాల్గొన్నాడు. ఇది ఒక ఒప్పందాన్ని సంపాదించలేదు. [సైటేషన్ అవసరం] రోర్బాచ్ మూడవ రో VII, ది రోబ్ II ను నిర్మించాడు. లేఅవుట్ రాబే I కి సమానంగా ఉన్నప్పటికీ మ"&amp;"రియు కొన్ని అంశాలు రెండింటికీ సాధారణం అయినప్పటికీ, రాబే II చాలా పెద్దది మరియు శక్తివంతమైనది. ఇది కొత్త, గట్టిగా నేరుగా దెబ్బతిన్నది, ప్రముఖ అంచున [7] మరియు 21.5 మీ (70 అడుగుల 6 అంగుళాలు) విస్తీర్ణంలో మాత్రమే స్వీప్ తో రెక్క ఉంది. ఇది 15.2 మీ (49 అడుగుల 10"&amp;" అంగుళాలు) పొడవు మరియు తొమ్మిది సీట్ల ప్రయాణీకుల కాన్ఫిగరేషన్‌లో 5,050 కిలోల (11,130 ఎల్బి) బరువును కలిగి ఉంది. [8] పైలట్ మరియు మెకానిక్ వింగ్ లీడింగ్ ఎడ్జ్ కంటే తక్కువ మెరుస్తున్న పరివేష్టిత కాక్‌పిట్‌ను కలిగి ఉన్నారు. [7] రాబ్ II మునుపటి సంస్కరణ కంటే 50"&amp;"% భారీగా ఉన్నందున దీనికి ఎక్కువ శక్తి అవసరం. 260 కిలోవాట్ల (350 హెచ్‌పి) బిఎమ్‌డబ్ల్యూ వి వాటర్-కూల్డ్ సిక్స్-సిలిండర్ ఇన్లైన్ ఇంజన్లు [8] జతచేయాలనే ఉద్దేశ్యంతో నిర్మాణం ప్రారంభమైంది, అయితే పూర్తయినప్పుడు అది ఒక జత బిఎమ్‌డబ్ల్యూ VI V-12 లు కలిగి ఉంది, ప్ర"&amp;"తి ఒక్కటి 450–520 kW (అభివృద్ధి చెందుతుంది (అభివృద్ధి చెందుతుంది (అభివృద్ధి చెందుతుంది (అభివృద్ధి చెందుతుంది 450–520 kW ( 600–700 హెచ్‌పి). [9] ఇది 1927 చివరి త్రైమాసికంలో ప్రయాణీకుల కాన్ఫిగరేషన్‌లో మొదటిసారిగా ప్రయాణించింది, క్యాబిన్ గోడలలో నాలుగు పోర్త్"&amp;"‌హోల్ స్టైల్ విండోస్ ఉన్నాయి. [7] [8] రెండు సైనిక సంస్కరణలు ప్రతిపాదించబడ్డాయి, సముద్ర నిఘా మరియు సబ్‌మెరైన్ వ్యతిరేక విమానం మరియు సాంప్రదాయిక మరియు టార్పెడో బాంబర్, ముగ్గురు సిబ్బంది మరియు మెషిన్ గన్స్ లేదా ఫిరంగి ఉన్నాయి; బాంబర్ యొక్క లోడ్ బరువు 5,550 క"&amp;"ిలోలు (12,240 పౌండ్లు). [8] రాబ్ II గరిష్టంగా 220 కిమీ/గం (140 mph) వేగాన్ని కలిగి ఉంది మరియు 135 కిమీ/గం (84 mph) వద్ద ఉంది. దీని పరిధి మునుపటి సంస్కరణ కంటే 17% తక్కువ మరియు పైకప్పు 5% తక్కువ. [9] NACA ఎయిర్క్రాఫ్ట్ సర్క్యులర్స్ నెం .36, ఏప్రిల్ 1927 నుం"&amp;"డి డేటా [1] సాధారణ లక్షణాల పనితీరు")</f>
        <v>రోహర్బాచ్ రో VII రోబ్ (ఇంగ్లీష్: సీల్) 1920 లలో జర్మనీలో నిర్మించిన ఆల్-మెటల్, ట్విన్ ఇంజిన్ ఫ్లయింగ్ బోట్. ఇది వాణిజ్య లేదా సైనిక రోల్స్‌కు అనుగుణంగా ఉంటుంది. పూర్తి కంపెనీ పేరు (రోహర్‌బాచ్ మెటాల్-ఫ్లూగ్జ్యూగ్బా) స్పష్టం చేస్తున్నందున, అన్ని రోహర్‌బాచ్ విమానాలు ఆల్-మెటల్‌గా ఉన్నాయి, వాటిలో డ్యూరాలిమిన్ స్కిన్నింగ్‌తో సహా. రోబ్ ఒక మోనోప్లేన్, ఆ సమయంలో సెమీ-కాంటిలివర్ నిర్మాణంగా వర్ణించబడింది, అనగా కఠినమైన వింగ్ స్ట్రట్స్ లేవని, కానీ ఇది దిగువ ఫ్యూజ్‌లేజ్ నుండి రెక్కలకు ఎగిరే వైర్లతో బాహ్య బ్రేసింగ్‌ను నిలుపుకుంది. రెక్కలు 5 ° డైహెడ్రల్‌తో అమర్చబడ్డాయి. ప్రణాళికలో అవి నేరుగా దెబ్బతిన్నాయి, అన్‌సీప్ ప్రముఖ అంచులు మరియు మొద్దుబారిన చిట్కాలతో. అంతర్గతంగా రెక్కలు సింగిల్ బాక్స్ స్పార్‌ల చుట్టూ నిర్మించబడ్డాయి, ప్రముఖ అంచు మరియు వెనుకంజలో ఉన్న ఎడ్జ్ బాక్స్‌ల సహకారంతో. ఎడ్జ్ బాక్స్‌లు ఇంధన ట్యాంకులుగా కూడా పనిచేశాయి. ఈ సమయంలో లోహ విమానాల మరమ్మతుపై ఇంకా సందేహాలు ఉన్నాయి, కాబట్టి ఎడ్జ్ బాక్సులను తొలగించడం ద్వారా రాబే యొక్క రెండు-భాగాల వింగ్ అంతర్గతంగా తనిఖీ చేయడం సులభం అని రూపొందించబడింది మరియు అన్ని భాగాలు మార్చబడతాయి. రెక్కల చర్మం పక్కటెముకలకు రివర్ట్ చేయబడింది. [1] పొట్టు ఫ్లాట్-సైడెడ్ మరియు లోతైనది. దాని దిగువ భాగంలో రెండు దశలు ఉన్నాయి; మొదటి ముందు హల్ బాటమ్ విభాగంలో బోలు V మరియు దాని వెనుక ఒక ఫ్లాట్ V. వెనుక దశ వెనుక కొద్దిగా నీటి చుక్కాని ఉంది. పైలట్ మరియు మెకానిక్ ఓపెన్ కాక్‌పిట్‌లో పక్కపక్కనే కూర్చున్నారు, గన్నర్ స్థానాలు వాటి ముందు మరియు వెనుకంజలో ఉన్న అంచు వద్ద ఉన్నాయి. ప్రత్యాళ తేలికను కాపాడటానికి పొట్టును ఏడు నీటితో నిండిన కంపార్ట్మెంట్లుగా విభజించారు. [1] ప్రతి గన్నర్ యొక్క కాక్‌పిట్ యొక్క అసాధారణ లక్షణం డ్యూరాలిమిన్, టెలిస్కోపిక్ మాస్ట్. ఒకవేళ, అత్యవసర పరిస్థితుల్లో రోబ్ శక్తి లేకుండా ఉద్భవించినట్లయితే, వీటిని ప్రతి ఒక్కటి విస్తరించవచ్చు మరియు భద్రతను చేరుకోవడానికి సరళమైన, త్రిభుజాకార నౌకను పెంచవచ్చు. [2] వెనుక భాగంలో తోక సాంప్రదాయంగా ఉంది, మొద్దుబారిన దీర్ఘచతురస్రాకార ఫిన్ మరియు చిన్న అసమతుల్య చుక్కలు ఉన్నాయి. అధిక కారక నిష్పత్తి క్షితిజ సమాంతర తోక, మళ్ళీ దీర్ఘచతురస్రాకార చిట్కాలు కాకుండా దీర్ఘచతురస్రాకారంలో, ఫిన్ పైకి బాగా అమర్చబడి, ఎగువ ఫ్యూజ్‌లేజ్‌కు స్ట్రట్-బ్రెస్ చేయబడింది. చుక్కాని వలె, ఎలివేటర్లు అసమతుల్యమైనవి. [1] టేక్-ఆఫ్ యొక్క స్ప్రే నుండి వాటిని స్పష్టంగా ఉంచడానికి, రాబ్ యొక్క రెండు 170 kW (230 HP) BMW IV వాటర్-కూల్డ్ ఆరు సిలిండర్ నిటారుగా ఉన్న ఇన్లైన్ ఇంజన్లు నిలువు ఫెయిర్డ్ స్టీల్ ట్యూబ్ N- ఫార్మ్ పై రెక్కల పైన పషర్ కాన్ఫిగరేషన్‌లో అమర్చబడ్డాయి స్ట్రట్స్, ఫార్వర్డ్ ఇన్నర్ ముఖ్యంగా ధృ dy నిర్మాణంగల, మరియు విలోమ V- స్ట్రట్ బ్రేసింగ్‌తో సెంట్రల్, ఎగువ ఫ్యూజ్‌లేజ్‌పై దాని శిఖరాగ్రంతో. ఇంజిన్లను ఇంజిన్ కౌలింగ్ ముందు మరియు కాక్‌పిట్ నుండి నియంత్రించే షట్టర్‌ల వెనుక రేడియేటర్లతో ఇంజన్లు చల్లబరుస్తున్నాయి. ప్రతి ఇంజిన్ పైన రిజర్వ్ ఇంధన ట్యాంక్ ఉంది. [1] రాబ్ పైకి వంగి, స్థిరీకరించడం, చైన్డ్ ఫ్లోట్లను మూడవ వంతులో కలిగి ఉంది, ప్రతి ఒక్కటి N- రూపంలో స్ట్రట్‌లపై అమర్చబడి, ఇంజిన్ మౌంటుల క్రింద ఉన్న రెక్కకు స్ట్రట్‌లను మార్చడంతో విలోమంగా కలుపుతారు. ప్రతి ఫ్లోట్ మూడు నీటితో నిండిన కంపార్ట్మెంట్లుగా విభజించబడింది. [1] రాబ్ I యొక్క మొదటి ఫ్లైట్, పైన వివరించిన మోడల్ 1925 లో తెలిసింది. [3] తరువాతి వేసవి నాటికి రెండు నిర్మించబడ్డాయి మరియు వార్నెమాండేపై సీప్లేన్ పోటీలో పాల్గొంటున్నాయి, అయినప్పటికీ వారు దానిని పూర్తి చేయలేదు. [2] [4] ఆగష్టు 1926 లో, రాబ్ 100 మరియు 500 కిమీ (62 మరియు 311 మైళ్ళు) దూరాలపై 500 మరియు 1,000 కిలోల (1,100 మరియు 2,200 పౌండ్లు) లోడ్లను మోస్తున్న విమానాల కోసం కనీసం నాలుగు ప్రపంచ వేగ రికార్డులను నెలకొల్పారు; [5] వీటిలో రెండు విడదీయని బావి 1927 లో. [6] అక్టోబర్ 18 నుండి అక్టోబర్ 21 వరకు నెదర్లాండ్స్‌లో సముద్రపు నిఘా ఎగిరే పడవ కోసం ఒక రోబే పాల్గొన్నాడు. ఇది ఒక ఒప్పందాన్ని సంపాదించలేదు. [సైటేషన్ అవసరం] రోర్బాచ్ మూడవ రో VII, ది రోబ్ II ను నిర్మించాడు. లేఅవుట్ రాబే I కి సమానంగా ఉన్నప్పటికీ మరియు కొన్ని అంశాలు రెండింటికీ సాధారణం అయినప్పటికీ, రాబే II చాలా పెద్దది మరియు శక్తివంతమైనది. ఇది కొత్త, గట్టిగా నేరుగా దెబ్బతిన్నది, ప్రముఖ అంచున [7] మరియు 21.5 మీ (70 అడుగుల 6 అంగుళాలు) విస్తీర్ణంలో మాత్రమే స్వీప్ తో రెక్క ఉంది. ఇది 15.2 మీ (49 అడుగుల 10 అంగుళాలు) పొడవు మరియు తొమ్మిది సీట్ల ప్రయాణీకుల కాన్ఫిగరేషన్‌లో 5,050 కిలోల (11,130 ఎల్బి) బరువును కలిగి ఉంది. [8] పైలట్ మరియు మెకానిక్ వింగ్ లీడింగ్ ఎడ్జ్ కంటే తక్కువ మెరుస్తున్న పరివేష్టిత కాక్‌పిట్‌ను కలిగి ఉన్నారు. [7] రాబ్ II మునుపటి సంస్కరణ కంటే 50% భారీగా ఉన్నందున దీనికి ఎక్కువ శక్తి అవసరం. 260 కిలోవాట్ల (350 హెచ్‌పి) బిఎమ్‌డబ్ల్యూ వి వాటర్-కూల్డ్ సిక్స్-సిలిండర్ ఇన్లైన్ ఇంజన్లు [8] జతచేయాలనే ఉద్దేశ్యంతో నిర్మాణం ప్రారంభమైంది, అయితే పూర్తయినప్పుడు అది ఒక జత బిఎమ్‌డబ్ల్యూ VI V-12 లు కలిగి ఉంది, ప్రతి ఒక్కటి 450–520 kW (అభివృద్ధి చెందుతుంది (అభివృద్ధి చెందుతుంది (అభివృద్ధి చెందుతుంది (అభివృద్ధి చెందుతుంది 450–520 kW ( 600–700 హెచ్‌పి). [9] ఇది 1927 చివరి త్రైమాసికంలో ప్రయాణీకుల కాన్ఫిగరేషన్‌లో మొదటిసారిగా ప్రయాణించింది, క్యాబిన్ గోడలలో నాలుగు పోర్త్‌హోల్ స్టైల్ విండోస్ ఉన్నాయి. [7] [8] రెండు సైనిక సంస్కరణలు ప్రతిపాదించబడ్డాయి, సముద్ర నిఘా మరియు సబ్‌మెరైన్ వ్యతిరేక విమానం మరియు సాంప్రదాయిక మరియు టార్పెడో బాంబర్, ముగ్గురు సిబ్బంది మరియు మెషిన్ గన్స్ లేదా ఫిరంగి ఉన్నాయి; బాంబర్ యొక్క లోడ్ బరువు 5,550 కిలోలు (12,240 పౌండ్లు). [8] రాబ్ II గరిష్టంగా 220 కిమీ/గం (140 mph) వేగాన్ని కలిగి ఉంది మరియు 135 కిమీ/గం (84 mph) వద్ద ఉంది. దీని పరిధి మునుపటి సంస్కరణ కంటే 17% తక్కువ మరియు పైకప్పు 5% తక్కువ. [9] NACA ఎయిర్క్రాఫ్ట్ సర్క్యులర్స్ నెం .36, ఏప్రిల్ 1927 నుండి డేటా [1] సాధారణ లక్షణాల పనితీరు</v>
      </c>
      <c r="E61" s="1" t="s">
        <v>1121</v>
      </c>
      <c r="F61" s="1" t="str">
        <f>IFERROR(__xludf.DUMMYFUNCTION("GOOGLETRANSLATE(E:E, ""en"", ""te"")"),"వాణిజ్య రవాణా లేదా సైనిక నిఘా విమానం")</f>
        <v>వాణిజ్య రవాణా లేదా సైనిక నిఘా విమానం</v>
      </c>
      <c r="G61" s="1" t="s">
        <v>133</v>
      </c>
      <c r="H61" s="1" t="str">
        <f>IFERROR(__xludf.DUMMYFUNCTION("GOOGLETRANSLATE(G:G, ""en"", ""te"")"),"జర్మనీ")</f>
        <v>జర్మనీ</v>
      </c>
      <c r="I61" s="1" t="s">
        <v>1122</v>
      </c>
      <c r="J61" s="1" t="str">
        <f>IFERROR(__xludf.DUMMYFUNCTION("GOOGLETRANSLATE(I:I, ""en"", ""te"")"),"రోహర్బాచ్ మెటాల్-ఫ్లుగ్జీగ్బా")</f>
        <v>రోహర్బాచ్ మెటాల్-ఫ్లుగ్జీగ్బా</v>
      </c>
      <c r="K61" s="1" t="s">
        <v>1123</v>
      </c>
      <c r="N61" s="1">
        <v>1925.0</v>
      </c>
      <c r="O61" s="1" t="s">
        <v>897</v>
      </c>
      <c r="P61" s="1" t="s">
        <v>1124</v>
      </c>
      <c r="Q61" s="1" t="s">
        <v>1125</v>
      </c>
      <c r="R61" s="1" t="s">
        <v>1126</v>
      </c>
      <c r="S61" s="1" t="s">
        <v>1127</v>
      </c>
      <c r="T61" s="1" t="s">
        <v>1128</v>
      </c>
      <c r="U61" s="1" t="s">
        <v>1129</v>
      </c>
      <c r="V61" s="1" t="s">
        <v>1130</v>
      </c>
      <c r="W61" s="1" t="s">
        <v>1131</v>
      </c>
      <c r="X61" s="1" t="s">
        <v>1132</v>
      </c>
      <c r="Y61" s="1" t="s">
        <v>1133</v>
      </c>
      <c r="AA61" s="1" t="s">
        <v>1134</v>
      </c>
      <c r="AB61" s="1" t="s">
        <v>1135</v>
      </c>
      <c r="AC61" s="2" t="s">
        <v>145</v>
      </c>
      <c r="AE61" s="1" t="s">
        <v>1136</v>
      </c>
      <c r="AF61" s="1" t="s">
        <v>909</v>
      </c>
      <c r="AG61" s="1" t="s">
        <v>1137</v>
      </c>
      <c r="AJ61" s="1">
        <v>3.0</v>
      </c>
      <c r="AK61" s="1" t="s">
        <v>1138</v>
      </c>
      <c r="AR61" s="1" t="s">
        <v>253</v>
      </c>
      <c r="AS61" s="1">
        <v>1.0</v>
      </c>
      <c r="BO61" s="1" t="s">
        <v>1139</v>
      </c>
      <c r="CA61" s="1" t="s">
        <v>1140</v>
      </c>
    </row>
    <row r="62">
      <c r="A62" s="1" t="s">
        <v>1141</v>
      </c>
      <c r="B62" s="1" t="str">
        <f>IFERROR(__xludf.DUMMYFUNCTION("GOOGLETRANSLATE(A:A, ""en"", ""te"")"),"సుడ్ ఏవియేషన్ SE-116 వోల్టిగూర్")</f>
        <v>సుడ్ ఏవియేషన్ SE-116 వోల్టిగూర్</v>
      </c>
      <c r="C62" s="1" t="s">
        <v>1142</v>
      </c>
      <c r="D62" s="1" t="str">
        <f>IFERROR(__xludf.DUMMYFUNCTION("GOOGLETRANSLATE(C:C, ""en"", ""te"")"),"1950 ల చివరలో జంట టర్బోప్రాప్ సుడ్ ఏవియేషన్ SE-116 వోల్టిగీర్ ఒక ఫ్రెంచ్ ఆర్మీ సపోర్ట్ విమానం పరిశీలన మరియు భూ దాడి కార్యకలాపాలు. మూడు నిర్మించబడ్డాయి కాని సిరీస్ ఉత్పత్తి చేపట్టలేదు. 1958 లో ఫ్రాన్స్ అల్జీరియన్ యుద్ధం మధ్యలో ఉంది మరియు పరిశీలన, ఫోటోగ్రఫీ"&amp;" మరియు గ్రౌండ్ సపోర్ట్ చేయగల ప్రతి-తిరుగుబాటు విమానం అవసరమని భావించాడు. ఈ అధికారిక కార్యక్రమం మూడు విమానాలకు దారితీసింది: SIPA S.1100, SUD ఏవియేషన్ SE-116 వోల్టిగీర్ మరియు, కొంచెం తరువాత, డసాల్ట్ స్పిరోలే. [1] [2] ఈ ముగ్గురూ ట్విన్ ఇంజిన్లతో ప్రొపెల్లర్ న"&amp;"డిచే డిజైన్లు. ఓరినాల్లీని ఫోన్స్యూర్ అని పిలుస్తారు, [3] వోల్టిగీర్ ఫ్రెంచ్ అశ్వికదళ యూనిట్ల పేరు పెట్టబడింది. ఇది తక్కువ వింగ్ కాంటిలివర్ మోనోప్లేన్. దాని ఎగిరే ఉపరితలాలన్నీ నేరుగా దెబ్బతిన్నాయి మరియు చదరపు చిట్కా; నిలువు తోక పొడవైనది మరియు విశాలమైనది. "&amp;"మొదటి నమూనాలో 597 కిలోవాట్ల (800 హెచ్‌పి) రైట్ తుఫాను తొమ్మిది సిలిండర్ రేడియల్ ఇంజన్లు రెక్క ప్రముఖ అంచుల కంటే ముందు అమర్చబడి ఉన్నాయి, కౌలింగ్లతో, ఎక్కువగా రెక్క పైన, వెనుకంజలో ఉన్న అంచుకి మించి. రెండవ నమూనాలో తుఫానులను 567 కిలోవాట్ల (760 హెచ్‌పి) టర్బోమ"&amp;"ెకా బాస్తాన్ టర్బోప్రోప్‌లతో రెక్కల పైభాగంలో చాలా సన్నని కౌలింగ్లలో మార్చారు. వోల్టిగీర్ ప్రధాన కాళ్ళతో ట్రైసైకిల్ గేర్‌ను కలిగి ఉంది, ఇవి అండర్-ఇంజిన్ కౌనింగ్స్‌లో వెనుకకు ఉపసంహరించుకున్నాయి; ముక్కు చక్రం ఫ్యూజ్‌లేజ్‌లోకి ఉపసంహరించుకుంది. [4] ప్రతి ప్రధా"&amp;"న కాలు కఠినమైన స్ట్రిప్స్‌లో టేకాఫ్‌లు మరియు ల్యాండింగ్‌లకు సహాయపడటానికి ఒక జత చక్రాలను తీసుకువెళ్ళింది. [5] వోల్టిగూర్‌లో సాంప్రదాయిక, మల్టీ-ప్యానెల్, మెరుస్తున్న క్యాబిన్ మరియు మెరుస్తున్న ముక్కు మంచి గ్రౌండ్ వీక్షణలను అందిస్తోంది. [4] వింగ్ వెనుకంజలో ఉ"&amp;"న్న అంచు వెనుక ఫ్యూజ్‌లేజ్ గ్రౌండ్ దాడుల కోసం చిల్లులు గల ఎయిర్‌బ్రేక్‌లను [5] తీసుకువెళ్ళింది; వోల్టిగూర్‌కు రెండు 20 మిమీ (0.79 అంగుళాలు) తుపాకులు మరియు బాంబులు మరియు రాకెట్ల కోసం ఆరు అటాచ్మెంట్ పాయింట్లతో అమర్చారు. [4] పిస్టన్-ఇంజిన్ వోల్టిగీర్ మొదటిసా"&amp;"రి 5 జూన్ 1958 న రోజర్ కార్పెంటియర్ చేత ఎగురవేయబడింది, అతను టర్బోప్రాప్ వెర్షన్‌ను కూడా 15 డిసెంబర్ 1958 న తన మొదటి విమానంలో తీసుకున్నాడు. కొన్ని వారాల తరువాత, 9 జనవరి 1959 న, కార్పెంటియర్, వైవ్స్ క్రౌజెట్ మరియు మార్సెల్ హోచెట్ చంపబడ్డారు హై-స్పీడ్ పరుగుల"&amp;"ో తోక అల్లాడు అభివృద్ధి చెందింది. [3] మార్సెల్ డసాల్ట్ సహకారంతో నిర్వహించిన SE-117 మొదటి ప్రీ-ప్రొడక్షన్ మెషీన్ యొక్క పరీక్షల తరువాత, వోల్టిగీర్ ప్రోగ్రాం అంచనా వేసిన వేగవంతమైన రవాణా, SE-118 దౌత్యంతో పాటు వదిలివేయబడింది. [4] గైలార్డ్ (1990) నుండి డేటా. [4"&amp;"] జేన్ యొక్క అన్ని ప్రపంచ విమానాల నుండి డేటా 1959-60. [3] సాధారణ లక్షణాలు పనితీరు ఆయుధాలు")</f>
        <v>1950 ల చివరలో జంట టర్బోప్రాప్ సుడ్ ఏవియేషన్ SE-116 వోల్టిగీర్ ఒక ఫ్రెంచ్ ఆర్మీ సపోర్ట్ విమానం పరిశీలన మరియు భూ దాడి కార్యకలాపాలు. మూడు నిర్మించబడ్డాయి కాని సిరీస్ ఉత్పత్తి చేపట్టలేదు. 1958 లో ఫ్రాన్స్ అల్జీరియన్ యుద్ధం మధ్యలో ఉంది మరియు పరిశీలన, ఫోటోగ్రఫీ మరియు గ్రౌండ్ సపోర్ట్ చేయగల ప్రతి-తిరుగుబాటు విమానం అవసరమని భావించాడు. ఈ అధికారిక కార్యక్రమం మూడు విమానాలకు దారితీసింది: SIPA S.1100, SUD ఏవియేషన్ SE-116 వోల్టిగీర్ మరియు, కొంచెం తరువాత, డసాల్ట్ స్పిరోలే. [1] [2] ఈ ముగ్గురూ ట్విన్ ఇంజిన్లతో ప్రొపెల్లర్ నడిచే డిజైన్లు. ఓరినాల్లీని ఫోన్స్యూర్ అని పిలుస్తారు, [3] వోల్టిగీర్ ఫ్రెంచ్ అశ్వికదళ యూనిట్ల పేరు పెట్టబడింది. ఇది తక్కువ వింగ్ కాంటిలివర్ మోనోప్లేన్. దాని ఎగిరే ఉపరితలాలన్నీ నేరుగా దెబ్బతిన్నాయి మరియు చదరపు చిట్కా; నిలువు తోక పొడవైనది మరియు విశాలమైనది. మొదటి నమూనాలో 597 కిలోవాట్ల (800 హెచ్‌పి) రైట్ తుఫాను తొమ్మిది సిలిండర్ రేడియల్ ఇంజన్లు రెక్క ప్రముఖ అంచుల కంటే ముందు అమర్చబడి ఉన్నాయి, కౌలింగ్లతో, ఎక్కువగా రెక్క పైన, వెనుకంజలో ఉన్న అంచుకి మించి. రెండవ నమూనాలో తుఫానులను 567 కిలోవాట్ల (760 హెచ్‌పి) టర్బోమెకా బాస్తాన్ టర్బోప్రోప్‌లతో రెక్కల పైభాగంలో చాలా సన్నని కౌలింగ్లలో మార్చారు. వోల్టిగీర్ ప్రధాన కాళ్ళతో ట్రైసైకిల్ గేర్‌ను కలిగి ఉంది, ఇవి అండర్-ఇంజిన్ కౌనింగ్స్‌లో వెనుకకు ఉపసంహరించుకున్నాయి; ముక్కు చక్రం ఫ్యూజ్‌లేజ్‌లోకి ఉపసంహరించుకుంది. [4] ప్రతి ప్రధాన కాలు కఠినమైన స్ట్రిప్స్‌లో టేకాఫ్‌లు మరియు ల్యాండింగ్‌లకు సహాయపడటానికి ఒక జత చక్రాలను తీసుకువెళ్ళింది. [5] వోల్టిగూర్‌లో సాంప్రదాయిక, మల్టీ-ప్యానెల్, మెరుస్తున్న క్యాబిన్ మరియు మెరుస్తున్న ముక్కు మంచి గ్రౌండ్ వీక్షణలను అందిస్తోంది. [4] వింగ్ వెనుకంజలో ఉన్న అంచు వెనుక ఫ్యూజ్‌లేజ్ గ్రౌండ్ దాడుల కోసం చిల్లులు గల ఎయిర్‌బ్రేక్‌లను [5] తీసుకువెళ్ళింది; వోల్టిగూర్‌కు రెండు 20 మిమీ (0.79 అంగుళాలు) తుపాకులు మరియు బాంబులు మరియు రాకెట్ల కోసం ఆరు అటాచ్మెంట్ పాయింట్లతో అమర్చారు. [4] పిస్టన్-ఇంజిన్ వోల్టిగీర్ మొదటిసారి 5 జూన్ 1958 న రోజర్ కార్పెంటియర్ చేత ఎగురవేయబడింది, అతను టర్బోప్రాప్ వెర్షన్‌ను కూడా 15 డిసెంబర్ 1958 న తన మొదటి విమానంలో తీసుకున్నాడు. కొన్ని వారాల తరువాత, 9 జనవరి 1959 న, కార్పెంటియర్, వైవ్స్ క్రౌజెట్ మరియు మార్సెల్ హోచెట్ చంపబడ్డారు హై-స్పీడ్ పరుగులో తోక అల్లాడు అభివృద్ధి చెందింది. [3] మార్సెల్ డసాల్ట్ సహకారంతో నిర్వహించిన SE-117 మొదటి ప్రీ-ప్రొడక్షన్ మెషీన్ యొక్క పరీక్షల తరువాత, వోల్టిగీర్ ప్రోగ్రాం అంచనా వేసిన వేగవంతమైన రవాణా, SE-118 దౌత్యంతో పాటు వదిలివేయబడింది. [4] గైలార్డ్ (1990) నుండి డేటా. [4] జేన్ యొక్క అన్ని ప్రపంచ విమానాల నుండి డేటా 1959-60. [3] సాధారణ లక్షణాలు పనితీరు ఆయుధాలు</v>
      </c>
      <c r="E62" s="1" t="s">
        <v>1143</v>
      </c>
      <c r="F62" s="1" t="str">
        <f>IFERROR(__xludf.DUMMYFUNCTION("GOOGLETRANSLATE(E:E, ""en"", ""te"")"),"ఆర్మీ పరిశీలన మరియు మద్దతు విమానం")</f>
        <v>ఆర్మీ పరిశీలన మరియు మద్దతు విమానం</v>
      </c>
      <c r="G62" s="1" t="s">
        <v>113</v>
      </c>
      <c r="H62" s="1" t="str">
        <f>IFERROR(__xludf.DUMMYFUNCTION("GOOGLETRANSLATE(G:G, ""en"", ""te"")"),"ఫ్రాన్స్")</f>
        <v>ఫ్రాన్స్</v>
      </c>
      <c r="I62" s="1" t="s">
        <v>1144</v>
      </c>
      <c r="J62" s="1" t="str">
        <f>IFERROR(__xludf.DUMMYFUNCTION("GOOGLETRANSLATE(I:I, ""en"", ""te"")"),"సుడ్ ఏవియేషన్")</f>
        <v>సుడ్ ఏవియేషన్</v>
      </c>
      <c r="K62" s="1" t="s">
        <v>1145</v>
      </c>
      <c r="N62" s="3">
        <v>21341.0</v>
      </c>
      <c r="O62" s="7">
        <v>44595.0</v>
      </c>
      <c r="P62" s="1" t="s">
        <v>1146</v>
      </c>
      <c r="Q62" s="1" t="s">
        <v>1147</v>
      </c>
      <c r="R62" s="1" t="s">
        <v>1148</v>
      </c>
      <c r="S62" s="1" t="s">
        <v>1149</v>
      </c>
      <c r="T62" s="1" t="s">
        <v>1150</v>
      </c>
      <c r="V62" s="1" t="s">
        <v>1151</v>
      </c>
      <c r="W62" s="1" t="s">
        <v>1152</v>
      </c>
      <c r="AA62" s="1" t="s">
        <v>1153</v>
      </c>
      <c r="AF62" s="1" t="s">
        <v>1154</v>
      </c>
      <c r="AJ62" s="1" t="s">
        <v>1155</v>
      </c>
      <c r="AR62" s="1" t="s">
        <v>1156</v>
      </c>
      <c r="BH62" s="1" t="s">
        <v>1157</v>
      </c>
      <c r="CC62" s="1" t="s">
        <v>1158</v>
      </c>
      <c r="CL62" s="1" t="s">
        <v>1159</v>
      </c>
      <c r="CM62" s="1" t="s">
        <v>1160</v>
      </c>
      <c r="CN62" s="1" t="s">
        <v>1161</v>
      </c>
    </row>
    <row r="63">
      <c r="A63" s="1" t="s">
        <v>1162</v>
      </c>
      <c r="B63" s="1" t="str">
        <f>IFERROR(__xludf.DUMMYFUNCTION("GOOGLETRANSLATE(A:A, ""en"", ""te"")"),"జెర్బే ఎయిర్ సెడాన్")</f>
        <v>జెర్బే ఎయిర్ సెడాన్</v>
      </c>
      <c r="C63" s="1" t="s">
        <v>1163</v>
      </c>
      <c r="D63" s="1" t="str">
        <f>IFERROR(__xludf.DUMMYFUNCTION("GOOGLETRANSLATE(C:C, ""en"", ""te"")"),"జెర్బే ఎయిర్ సెడాన్ 1918 లో ప్రొఫెసర్ జేమ్స్ స్లౌగ్ జెర్బే ప్రారంభించిన ఒక అమెరికన్ సింగిల్ ఇంజిన్ క్వాడ్రప్లేన్ ప్యాసింజర్ ఎయిర్క్రాఫ్ట్ ప్రాజెక్ట్. ఈ యంత్రం 1921 లో ఒక విమానంలో ఒక విమాన ప్రయాణం చేసింది, ల్యాండింగ్ సమయంలో దెబ్బతింది మరియు తరువాత వదిలివేయ"&amp;"బడింది. [1] 1918 లో జెర్బే స్థానిక వ్యాపారవేత్తల కోసం ప్రయాణీకుల విమానాలపై పనిని ప్రారంభించడానికి ఫాయెట్‌విల్లేకు వచ్చారు. 1919 లో పూర్తయిన ఈ విమానం, డబుల్ కేంబర్డ్ [2] లౌవర్డ్ మెయిన్ వింగ్స్‌తో సానుకూలమైన సమానమైన స్పాన్ క్వాడ్రప్లేన్. టెయిల్‌ప్లేన్ లేదా "&amp;"ఐలెరాన్‌లు లేకుండా, యంత్రాన్ని ""గ్యాంగ్డ్"" లేదా అనుసంధానించబడిన రెక్కలను వేరియబుల్-యాజమాన్యంతో ఉపయోగించి నియంత్రించారు. [2] ప్రయాణీకుల క్యాబిన్ ప్లైవుడ్‌తో తయారు చేయబడింది మరియు పూర్తిగా వైడ్ వైఖరి ల్యాండింగ్ గేర్‌తో జతచేయబడింది. [2] ఒక ఫ్రెంచ్ ప్రపంచ య"&amp;"ుద్ధం మిగులు పవర్‌ప్లాంట్ ఉపయోగించబడింది మరియు ఇది 90 హెచ్‌పి (67 కిలోవాట్) లెర్హేన్ లేదా 100 హెచ్‌పి (75 కిలోవాట్ 110 హెచ్‌పి (82 కిలోవాట్). విమానం బయలుదేరి, త్వరగా 100 అడుగుల (30 మీ) కు ఎక్కింది, సుమారు 1000 అడుగుల (300 మీ) ఎగిరింది, అప్పుడు ల్యాండింగ్ "&amp;"సమయంలో గణనీయంగా దెబ్బతింది. [3] ఒక నివేదిక ఇలా పేర్కొంది: ""ఆ తరువాత జెర్బే పట్టణాన్ని విడిచిపెట్టలేదు లేదా మరలా చూడలేదు. (అతను 1921 లో న్యూయార్క్‌లో మరణించాడు). పాడుబడిన దెబ్బతిన్న విమానానికి ఏమి జరిగిందో తెలియదు."" [3] https: //www.newspapers .com/clip/"&amp;"15572779/batesville_daily_guard/")</f>
        <v>జెర్బే ఎయిర్ సెడాన్ 1918 లో ప్రొఫెసర్ జేమ్స్ స్లౌగ్ జెర్బే ప్రారంభించిన ఒక అమెరికన్ సింగిల్ ఇంజిన్ క్వాడ్రప్లేన్ ప్యాసింజర్ ఎయిర్క్రాఫ్ట్ ప్రాజెక్ట్. ఈ యంత్రం 1921 లో ఒక విమానంలో ఒక విమాన ప్రయాణం చేసింది, ల్యాండింగ్ సమయంలో దెబ్బతింది మరియు తరువాత వదిలివేయబడింది. [1] 1918 లో జెర్బే స్థానిక వ్యాపారవేత్తల కోసం ప్రయాణీకుల విమానాలపై పనిని ప్రారంభించడానికి ఫాయెట్‌విల్లేకు వచ్చారు. 1919 లో పూర్తయిన ఈ విమానం, డబుల్ కేంబర్డ్ [2] లౌవర్డ్ మెయిన్ వింగ్స్‌తో సానుకూలమైన సమానమైన స్పాన్ క్వాడ్రప్లేన్. టెయిల్‌ప్లేన్ లేదా ఐలెరాన్‌లు లేకుండా, యంత్రాన్ని "గ్యాంగ్డ్" లేదా అనుసంధానించబడిన రెక్కలను వేరియబుల్-యాజమాన్యంతో ఉపయోగించి నియంత్రించారు. [2] ప్రయాణీకుల క్యాబిన్ ప్లైవుడ్‌తో తయారు చేయబడింది మరియు పూర్తిగా వైడ్ వైఖరి ల్యాండింగ్ గేర్‌తో జతచేయబడింది. [2] ఒక ఫ్రెంచ్ ప్రపంచ యుద్ధం మిగులు పవర్‌ప్లాంట్ ఉపయోగించబడింది మరియు ఇది 90 హెచ్‌పి (67 కిలోవాట్) లెర్హేన్ లేదా 100 హెచ్‌పి (75 కిలోవాట్ 110 హెచ్‌పి (82 కిలోవాట్). విమానం బయలుదేరి, త్వరగా 100 అడుగుల (30 మీ) కు ఎక్కింది, సుమారు 1000 అడుగుల (300 మీ) ఎగిరింది, అప్పుడు ల్యాండింగ్ సమయంలో గణనీయంగా దెబ్బతింది. [3] ఒక నివేదిక ఇలా పేర్కొంది: "ఆ తరువాత జెర్బే పట్టణాన్ని విడిచిపెట్టలేదు లేదా మరలా చూడలేదు. (అతను 1921 లో న్యూయార్క్‌లో మరణించాడు). పాడుబడిన దెబ్బతిన్న విమానానికి ఏమి జరిగిందో తెలియదు." [3] https: //www.newspapers .com/clip/15572779/batesville_daily_guard/</v>
      </c>
      <c r="E63" s="1" t="s">
        <v>1164</v>
      </c>
      <c r="F63" s="1" t="str">
        <f>IFERROR(__xludf.DUMMYFUNCTION("GOOGLETRANSLATE(E:E, ""en"", ""te"")"),"ప్రయాణీకుడు")</f>
        <v>ప్రయాణీకుడు</v>
      </c>
      <c r="G63" s="1" t="s">
        <v>155</v>
      </c>
      <c r="H63" s="1" t="str">
        <f>IFERROR(__xludf.DUMMYFUNCTION("GOOGLETRANSLATE(G:G, ""en"", ""te"")"),"అమెరికా")</f>
        <v>అమెరికా</v>
      </c>
      <c r="L63" s="1" t="s">
        <v>1165</v>
      </c>
      <c r="N63" s="1">
        <v>1921.0</v>
      </c>
      <c r="AA63" s="1" t="s">
        <v>1166</v>
      </c>
      <c r="AC63" s="2" t="s">
        <v>167</v>
      </c>
      <c r="AD63" s="1" t="s">
        <v>1167</v>
      </c>
      <c r="AJ63" s="1">
        <v>1.0</v>
      </c>
    </row>
    <row r="64">
      <c r="A64" s="1" t="s">
        <v>1168</v>
      </c>
      <c r="B64" s="1" t="str">
        <f>IFERROR(__xludf.DUMMYFUNCTION("GOOGLETRANSLATE(A:A, ""en"", ""te"")"),"మెక్‌డోనెల్ డగ్లస్ హై స్పీడ్ సివిల్ ట్రాన్స్‌పోర్ట్")</f>
        <v>మెక్‌డోనెల్ డగ్లస్ హై స్పీడ్ సివిల్ ట్రాన్స్‌పోర్ట్</v>
      </c>
      <c r="C64" s="1" t="s">
        <v>1169</v>
      </c>
      <c r="D64" s="1" t="str">
        <f>IFERROR(__xludf.DUMMYFUNCTION("GOOGLETRANSLATE(C:C, ""en"", ""te"")"),"మెక్‌డోనెల్ డగ్లస్ హై స్పీడ్ సివిల్ ట్రాన్స్‌పోర్ట్ అనేది ప్రతిపాదిత సూపర్సోనిక్ విమానాల రూపకల్పన, ఇది 1996 లో అంతర్గత మరియు నాసా కాంట్రాక్ట్ అధ్యయనాలకు సంబంధించినది. ఇది వాణిజ్య విమానయాన మార్కెట్లో పోటీ పడటానికి కష్టపడుతున్న సమయంలో మరియు చివరికి మించి పు"&amp;"రోగతి సాధించదు. కాగితపు రూపకల్పన. [1] డిజైన్ లక్ష్యాలు 5,000 నాటికల్ మైలు పరిధితో 300-ప్రయాణీకుల సామర్థ్యాన్ని ed హించాయి. అంచనా వేసిన క్రూయిజ్ వేగం మాక్ 1.6 మరియు మాక్ 2.4 మధ్య ఉంది. [1] మెక్‌డోనెల్ డగ్లస్ హై స్పీడ్ సివిల్ ట్రాన్స్‌పోర్ట్ (హెచ్‌ఎస్‌సిటి)"&amp;" కోసం మార్కెట్ అవసరాలను నిర్ణయించడానికి మరియు పర్యావరణ, ఆర్థిక మరియు సాంకేతిక సమస్యలను పరిష్కరించడానికి అంతర్గత మరియు నాసా కాంట్రాక్ట్ అధ్యయనాలను నిర్వహించారు. ""ఏరోస్పాటియాల్, బోయింగ్, బ్రిటిష్ ఏరోస్పేస్ డైమ్లెర్-బెంజ్, జపాన్ ఎయిర్క్రాఫ్ట్ ఇండస్ట్రీస్, అ"&amp;"లెనియా మరియు టుపోలేవ్లతో హెచ్‌ఎస్‌సిటి కాన్సెప్ట్‌ను అన్వేషించే అంతర్జాతీయ అధ్యయన సమూహంలో ఎంసిడిడి పాల్గొంటుంది."" –2006. 500 మరియు 1,500 మధ్య మార్కెట్ కూడా అంచనా వేయబడింది. ఈ సందర్భంలో, ఏదీ నిర్మించబడలేదు మరియు విమానం కాగితపు ప్రాజెక్టుగా మిగిలిపోయింది. "&amp;"ఒక సంభావిత రూపకల్పన దృష్టాంతంలో నాలుగు పాడ్డ్ ఇంజిన్లతో పొడవైన ఇరుకైన ఫ్యూజ్‌లేజ్‌ను పదునైన రాక్డ్ ఫిక్స్‌డ్ డెల్టా రెక్కల క్రింద మధ్య-ఫ్యూజ్‌లేజ్ వద్ద తక్కువ మరియు తుడిచిపెట్టిన క్రూసిఫాం తోకను చూపించింది, రద్దు చేసిన బోయింగ్ 2707 కాకుండా కనిపించదు. [1]")</f>
        <v>మెక్‌డోనెల్ డగ్లస్ హై స్పీడ్ సివిల్ ట్రాన్స్‌పోర్ట్ అనేది ప్రతిపాదిత సూపర్సోనిక్ విమానాల రూపకల్పన, ఇది 1996 లో అంతర్గత మరియు నాసా కాంట్రాక్ట్ అధ్యయనాలకు సంబంధించినది. ఇది వాణిజ్య విమానయాన మార్కెట్లో పోటీ పడటానికి కష్టపడుతున్న సమయంలో మరియు చివరికి మించి పురోగతి సాధించదు. కాగితపు రూపకల్పన. [1] డిజైన్ లక్ష్యాలు 5,000 నాటికల్ మైలు పరిధితో 300-ప్రయాణీకుల సామర్థ్యాన్ని ed హించాయి. అంచనా వేసిన క్రూయిజ్ వేగం మాక్ 1.6 మరియు మాక్ 2.4 మధ్య ఉంది. [1] మెక్‌డోనెల్ డగ్లస్ హై స్పీడ్ సివిల్ ట్రాన్స్‌పోర్ట్ (హెచ్‌ఎస్‌సిటి) కోసం మార్కెట్ అవసరాలను నిర్ణయించడానికి మరియు పర్యావరణ, ఆర్థిక మరియు సాంకేతిక సమస్యలను పరిష్కరించడానికి అంతర్గత మరియు నాసా కాంట్రాక్ట్ అధ్యయనాలను నిర్వహించారు. "ఏరోస్పాటియాల్, బోయింగ్, బ్రిటిష్ ఏరోస్పేస్ డైమ్లెర్-బెంజ్, జపాన్ ఎయిర్క్రాఫ్ట్ ఇండస్ట్రీస్, అలెనియా మరియు టుపోలేవ్లతో హెచ్‌ఎస్‌సిటి కాన్సెప్ట్‌ను అన్వేషించే అంతర్జాతీయ అధ్యయన సమూహంలో ఎంసిడిడి పాల్గొంటుంది." –2006. 500 మరియు 1,500 మధ్య మార్కెట్ కూడా అంచనా వేయబడింది. ఈ సందర్భంలో, ఏదీ నిర్మించబడలేదు మరియు విమానం కాగితపు ప్రాజెక్టుగా మిగిలిపోయింది. ఒక సంభావిత రూపకల్పన దృష్టాంతంలో నాలుగు పాడ్డ్ ఇంజిన్లతో పొడవైన ఇరుకైన ఫ్యూజ్‌లేజ్‌ను పదునైన రాక్డ్ ఫిక్స్‌డ్ డెల్టా రెక్కల క్రింద మధ్య-ఫ్యూజ్‌లేజ్ వద్ద తక్కువ మరియు తుడిచిపెట్టిన క్రూసిఫాం తోకను చూపించింది, రద్దు చేసిన బోయింగ్ 2707 కాకుండా కనిపించదు. [1]</v>
      </c>
      <c r="E64" s="1" t="s">
        <v>1170</v>
      </c>
      <c r="F64" s="1" t="str">
        <f>IFERROR(__xludf.DUMMYFUNCTION("GOOGLETRANSLATE(E:E, ""en"", ""te"")"),"సూపర్సోనిక్ విమానాలు")</f>
        <v>సూపర్సోనిక్ విమానాలు</v>
      </c>
      <c r="G64" s="1" t="s">
        <v>155</v>
      </c>
      <c r="H64" s="1" t="str">
        <f>IFERROR(__xludf.DUMMYFUNCTION("GOOGLETRANSLATE(G:G, ""en"", ""te"")"),"అమెరికా")</f>
        <v>అమెరికా</v>
      </c>
      <c r="I64" s="1" t="s">
        <v>1171</v>
      </c>
      <c r="J64" s="1" t="str">
        <f>IFERROR(__xludf.DUMMYFUNCTION("GOOGLETRANSLATE(I:I, ""en"", ""te"")"),"మెక్‌డోనెల్ డగ్లస్")</f>
        <v>మెక్‌డోనెల్ డగ్లస్</v>
      </c>
      <c r="K64" s="1" t="s">
        <v>1172</v>
      </c>
      <c r="AB64" s="1" t="s">
        <v>1173</v>
      </c>
      <c r="AC64" s="2" t="s">
        <v>167</v>
      </c>
      <c r="AD64" s="1" t="s">
        <v>1174</v>
      </c>
      <c r="AJ64" s="1" t="s">
        <v>1175</v>
      </c>
    </row>
    <row r="65">
      <c r="A65" s="1" t="s">
        <v>1176</v>
      </c>
      <c r="B65" s="1" t="str">
        <f>IFERROR(__xludf.DUMMYFUNCTION("GOOGLETRANSLATE(A:A, ""en"", ""te"")"),"ఎయిర్‌టైమ్ ఎక్స్‌ప్లోరర్")</f>
        <v>ఎయిర్‌టైమ్ ఎక్స్‌ప్లోరర్</v>
      </c>
      <c r="C65" s="1" t="s">
        <v>1177</v>
      </c>
      <c r="D65" s="1" t="str">
        <f>IFERROR(__xludf.DUMMYFUNCTION("GOOGLETRANSLATE(C:C, ""en"", ""te"")"),"ఎయిర్‌టైమ్ ఎక్స్‌ప్లోరర్ అనేది ఆస్ట్రేలియన్ పవర్డ్ హాంగ్ గ్లైడర్ జీను, దీనిని క్వీన్స్లాండ్లోని ఎయిర్లీ బీచ్ యొక్క ఎయిర్ టైమ్ ఉత్పత్తులచే రూపొందించబడింది మరియు ఉత్పత్తి చేయబడింది. ఇప్పుడు ఉత్పత్తి నుండి, అది అందుబాటులో ఉన్నప్పుడు, అది సమావేశమై సరఫరా చేయబడ"&amp;"ింది. [1] కేబుల్-బ్రెస్డ్ హాంగ్ గ్లైడర్-స్టైల్ వింగ్‌తో కలిపినప్పుడు, సింగిల్-ఇంజిన్ పషర్ కాన్ఫిగరేషన్ ఎక్స్‌ప్లోరర్‌లో వెయిట్-షిఫ్ట్ నియంత్రణలు, ఫుట్-లాంచింగ్ మరియు ల్యాండింగ్ ఉన్నాయి. [1] శక్తితో కూడిన జీను ప్రామాణిక హాంగ్ గ్లైడర్ వింగ్‌తో జతచేయబడుతుంది"&amp;". రెక్కకు ఒకే ట్యూబ్-రకం కింగ్ పోస్ట్ మద్దతు ఇస్తుంది మరియు ""ఎ"" ఫ్రేమ్ కంట్రోల్ బార్‌ను ఉపయోగిస్తుంది. ఇంజిన్ 14 హెచ్‌పి (10 కిలోవాట్ల) లో రెండు-స్ట్రోక్, సింగిల్ సిలిండర్ రాడ్నే రాకెట్ 120, మరియు 3.5: 1 నిష్పత్తి తగ్గింపు డ్రైవ్‌తో అమర్చబడి ఉంటుంది. నై"&amp;"లాన్ హార్నెస్ ఇంజిన్ మరియు 5 లీటర్లు (1.1 ఇంప్ గల్; 1.3 యుఎస్ గాల్), లేదా ఐచ్ఛికంగా 10 లీటర్లు (2.2 ఇంప్ గాల్; 2.6 యుఎస్ గాల్) ఇంధన ట్యాంక్ మౌంట్ చేస్తుంది. టేకాఫ్ మరియు ల్యాండింగ్ సమయంలో ప్రొపెల్లర్‌ను రక్షించడానికి ద్వంద్వ ముడుచుకునే స్కిడ్‌లను అందిస్తా"&amp;"రు. ఎలక్ట్రిక్ ప్రారంభం మరియు కార్బన్ ఫైబర్ మడత 135 సెం.మీ (53 అంగుళాలు) ప్రొపెల్లర్ ప్రామాణిక లక్షణాలు. [1] బెర్ట్రాండ్ నుండి డేటా [1] సాధారణ లక్షణాలు")</f>
        <v>ఎయిర్‌టైమ్ ఎక్స్‌ప్లోరర్ అనేది ఆస్ట్రేలియన్ పవర్డ్ హాంగ్ గ్లైడర్ జీను, దీనిని క్వీన్స్లాండ్లోని ఎయిర్లీ బీచ్ యొక్క ఎయిర్ టైమ్ ఉత్పత్తులచే రూపొందించబడింది మరియు ఉత్పత్తి చేయబడింది. ఇప్పుడు ఉత్పత్తి నుండి, అది అందుబాటులో ఉన్నప్పుడు, అది సమావేశమై సరఫరా చేయబడింది. [1] కేబుల్-బ్రెస్డ్ హాంగ్ గ్లైడర్-స్టైల్ వింగ్‌తో కలిపినప్పుడు, సింగిల్-ఇంజిన్ పషర్ కాన్ఫిగరేషన్ ఎక్స్‌ప్లోరర్‌లో వెయిట్-షిఫ్ట్ నియంత్రణలు, ఫుట్-లాంచింగ్ మరియు ల్యాండింగ్ ఉన్నాయి. [1] శక్తితో కూడిన జీను ప్రామాణిక హాంగ్ గ్లైడర్ వింగ్‌తో జతచేయబడుతుంది. రెక్కకు ఒకే ట్యూబ్-రకం కింగ్ పోస్ట్ మద్దతు ఇస్తుంది మరియు "ఎ" ఫ్రేమ్ కంట్రోల్ బార్‌ను ఉపయోగిస్తుంది. ఇంజిన్ 14 హెచ్‌పి (10 కిలోవాట్ల) లో రెండు-స్ట్రోక్, సింగిల్ సిలిండర్ రాడ్నే రాకెట్ 120, మరియు 3.5: 1 నిష్పత్తి తగ్గింపు డ్రైవ్‌తో అమర్చబడి ఉంటుంది. నైలాన్ హార్నెస్ ఇంజిన్ మరియు 5 లీటర్లు (1.1 ఇంప్ గల్; 1.3 యుఎస్ గాల్), లేదా ఐచ్ఛికంగా 10 లీటర్లు (2.2 ఇంప్ గాల్; 2.6 యుఎస్ గాల్) ఇంధన ట్యాంక్ మౌంట్ చేస్తుంది. టేకాఫ్ మరియు ల్యాండింగ్ సమయంలో ప్రొపెల్లర్‌ను రక్షించడానికి ద్వంద్వ ముడుచుకునే స్కిడ్‌లను అందిస్తారు. ఎలక్ట్రిక్ ప్రారంభం మరియు కార్బన్ ఫైబర్ మడత 135 సెం.మీ (53 అంగుళాలు) ప్రొపెల్లర్ ప్రామాణిక లక్షణాలు. [1] బెర్ట్రాండ్ నుండి డేటా [1] సాధారణ లక్షణాలు</v>
      </c>
      <c r="E65" s="1" t="s">
        <v>1178</v>
      </c>
      <c r="F65" s="1" t="str">
        <f>IFERROR(__xludf.DUMMYFUNCTION("GOOGLETRANSLATE(E:E, ""en"", ""te"")"),"శక్తితో కూడిన హాంగ్ గ్లైడర్ జీను")</f>
        <v>శక్తితో కూడిన హాంగ్ గ్లైడర్ జీను</v>
      </c>
      <c r="G65" s="1" t="s">
        <v>757</v>
      </c>
      <c r="H65" s="1" t="str">
        <f>IFERROR(__xludf.DUMMYFUNCTION("GOOGLETRANSLATE(G:G, ""en"", ""te"")"),"ఆస్ట్రేలియా")</f>
        <v>ఆస్ట్రేలియా</v>
      </c>
      <c r="I65" s="1" t="s">
        <v>758</v>
      </c>
      <c r="J65" s="1" t="str">
        <f>IFERROR(__xludf.DUMMYFUNCTION("GOOGLETRANSLATE(I:I, ""en"", ""te"")"),"ప్రసార ఉత్పత్తులు")</f>
        <v>ప్రసార ఉత్పత్తులు</v>
      </c>
      <c r="K65" s="1" t="s">
        <v>759</v>
      </c>
      <c r="O65" s="1" t="s">
        <v>135</v>
      </c>
      <c r="T65" s="1" t="s">
        <v>1179</v>
      </c>
      <c r="V65" s="1" t="s">
        <v>1180</v>
      </c>
      <c r="AB65" s="1" t="s">
        <v>1181</v>
      </c>
      <c r="AC65" s="2" t="s">
        <v>763</v>
      </c>
      <c r="AD65" s="1" t="s">
        <v>581</v>
      </c>
      <c r="AE65" s="1" t="s">
        <v>1182</v>
      </c>
      <c r="AF65" s="1" t="s">
        <v>1183</v>
      </c>
    </row>
    <row r="66">
      <c r="A66" s="1" t="s">
        <v>1184</v>
      </c>
      <c r="B66" s="1" t="str">
        <f>IFERROR(__xludf.DUMMYFUNCTION("GOOGLETRANSLATE(A:A, ""en"", ""te"")"),"మోయెస్ మాక్స్")</f>
        <v>మోయెస్ మాక్స్</v>
      </c>
      <c r="C66" s="1" t="s">
        <v>1185</v>
      </c>
      <c r="D66" s="1" t="str">
        <f>IFERROR(__xludf.DUMMYFUNCTION("GOOGLETRANSLATE(C:C, ""en"", ""te"")"),"మోయెస్ మాక్స్ ఒక ఆస్ట్రేలియన్ హై-వింగ్, సింగిల్-ప్లేస్, హాంగ్ గ్లైడర్, దీనిని 2000 ల మధ్యలో న్యూ సౌత్ వేల్స్లోని బోటనీ యొక్క మోయెస్ డెల్టా గ్లైడర్స్ రూపొందించారు మరియు నిర్మించారు. ఇప్పుడు ఉత్పత్తిలో లేదు, ఇది అందుబాటులో ఉన్నప్పుడు విమానం పూర్తి మరియు సిద"&amp;"్ధంగా ఉండటానికి సిద్ధంగా ఉంది. [1] గరిష్టంగా వేరియబుల్ జ్యామితి వ్యవస్థను కలుపుకొని ఇంటర్మీడియట్-స్థాయి హాంగ్ గ్లైడర్‌గా అభివృద్ధి చేయబడింది. [2] గరిష్టంగా అల్యూమినియం గొట్టాల నుండి తయారవుతుంది, 70% డబుల్-ఉపరితల వింగ్ డాక్రాన్ సెయిల్‌క్లాత్‌లో కప్పబడి ఉంట"&amp;"ుంది. ఒకే పరిమాణంలో మాత్రమే లభిస్తుంది, గరిష్టంగా 157, దాని 9.82 మీ (32.2 అడుగులు) స్పాన్ వింగ్ ఒకే కింగ్‌పోస్ట్ నుండి కేబుల్. ముక్కు కోణం 125 °, వింగ్ ప్రాంతం 14.5 మీ 2 (156 చదరపు అడుగులు) మరియు కారక నిష్పత్తి 6.6: 1. పైలట్ హుక్-ఇన్ బరువు పరిధి 70 నుండి "&amp;"110 కిలోలు (154 నుండి 243 పౌండ్లు). [1] [3] బెర్ట్రాండ్ మరియు తయారీదారు నుండి డేటా [1] [3] సాధారణ లక్షణాలు")</f>
        <v>మోయెస్ మాక్స్ ఒక ఆస్ట్రేలియన్ హై-వింగ్, సింగిల్-ప్లేస్, హాంగ్ గ్లైడర్, దీనిని 2000 ల మధ్యలో న్యూ సౌత్ వేల్స్లోని బోటనీ యొక్క మోయెస్ డెల్టా గ్లైడర్స్ రూపొందించారు మరియు నిర్మించారు. ఇప్పుడు ఉత్పత్తిలో లేదు, ఇది అందుబాటులో ఉన్నప్పుడు విమానం పూర్తి మరియు సిద్ధంగా ఉండటానికి సిద్ధంగా ఉంది. [1] గరిష్టంగా వేరియబుల్ జ్యామితి వ్యవస్థను కలుపుకొని ఇంటర్మీడియట్-స్థాయి హాంగ్ గ్లైడర్‌గా అభివృద్ధి చేయబడింది. [2] గరిష్టంగా అల్యూమినియం గొట్టాల నుండి తయారవుతుంది, 70% డబుల్-ఉపరితల వింగ్ డాక్రాన్ సెయిల్‌క్లాత్‌లో కప్పబడి ఉంటుంది. ఒకే పరిమాణంలో మాత్రమే లభిస్తుంది, గరిష్టంగా 157, దాని 9.82 మీ (32.2 అడుగులు) స్పాన్ వింగ్ ఒకే కింగ్‌పోస్ట్ నుండి కేబుల్. ముక్కు కోణం 125 °, వింగ్ ప్రాంతం 14.5 మీ 2 (156 చదరపు అడుగులు) మరియు కారక నిష్పత్తి 6.6: 1. పైలట్ హుక్-ఇన్ బరువు పరిధి 70 నుండి 110 కిలోలు (154 నుండి 243 పౌండ్లు). [1] [3] బెర్ట్రాండ్ మరియు తయారీదారు నుండి డేటా [1] [3] సాధారణ లక్షణాలు</v>
      </c>
      <c r="E66" s="1" t="s">
        <v>838</v>
      </c>
      <c r="F66" s="1" t="str">
        <f>IFERROR(__xludf.DUMMYFUNCTION("GOOGLETRANSLATE(E:E, ""en"", ""te"")"),"గ్లైడర్ హాంగ్")</f>
        <v>గ్లైడర్ హాంగ్</v>
      </c>
      <c r="G66" s="1" t="s">
        <v>757</v>
      </c>
      <c r="H66" s="1" t="str">
        <f>IFERROR(__xludf.DUMMYFUNCTION("GOOGLETRANSLATE(G:G, ""en"", ""te"")"),"ఆస్ట్రేలియా")</f>
        <v>ఆస్ట్రేలియా</v>
      </c>
      <c r="I66" s="1" t="s">
        <v>839</v>
      </c>
      <c r="J66" s="1" t="str">
        <f>IFERROR(__xludf.DUMMYFUNCTION("GOOGLETRANSLATE(I:I, ""en"", ""te"")"),"మోయెస్ డెల్టా గ్లైడర్స్")</f>
        <v>మోయెస్ డెల్టా గ్లైడర్స్</v>
      </c>
      <c r="K66" s="1" t="s">
        <v>840</v>
      </c>
      <c r="O66" s="1" t="s">
        <v>135</v>
      </c>
      <c r="Q66" s="1" t="s">
        <v>1186</v>
      </c>
      <c r="S66" s="1" t="s">
        <v>1187</v>
      </c>
      <c r="T66" s="1" t="s">
        <v>1188</v>
      </c>
      <c r="U66" s="1" t="s">
        <v>1189</v>
      </c>
      <c r="AB66" s="1" t="s">
        <v>845</v>
      </c>
      <c r="AC66" s="2" t="s">
        <v>763</v>
      </c>
      <c r="AD66" s="1" t="s">
        <v>581</v>
      </c>
      <c r="AS66" s="1">
        <v>6.6</v>
      </c>
    </row>
    <row r="67">
      <c r="A67" s="1" t="s">
        <v>1190</v>
      </c>
      <c r="B67" s="1" t="str">
        <f>IFERROR(__xludf.DUMMYFUNCTION("GOOGLETRANSLATE(A:A, ""en"", ""te"")"),"స్ప్రింగ్ WS202 స్ప్రింట్")</f>
        <v>స్ప్రింగ్ WS202 స్ప్రింట్</v>
      </c>
      <c r="C67" s="1" t="s">
        <v>1191</v>
      </c>
      <c r="D67" s="1" t="str">
        <f>IFERROR(__xludf.DUMMYFUNCTION("GOOGLETRANSLATE(C:C, ""en"", ""te"")"),"స్ప్రింగ్ WS202 స్ప్రింట్ కెనడియన్ హోమ్‌బిల్ట్ విమానం, దీనిని అంటారియోలోని బర్లింగ్టన్ యొక్క విలియం జె. స్ప్రింగ్ 1996 లో ప్రవేశపెట్టారు. ఈ విమానం te త్సాహిక నిర్మాణానికి ప్రణాళికల రూపంలో సరఫరా చేయబడింది. [1] [2] WS202 స్ప్రింట్‌లో కాంటిలివర్ లో-వింగ్, బబ"&amp;"ుల్ పందిరి కింద రెండు-సీట్ల-సైడ్-సైడ్ కాన్ఫిగరేషన్ పరివేష్టిత కాక్‌పిట్, స్థిర ట్రైసైకిల్ ల్యాండింగ్ గేర్ లేదా సాంప్రదాయ ల్యాండింగ్ గేర్ మరియు ట్రాక్టర్ కాన్ఫిగరేషన్‌లో ఒకే ఇంజిన్ ఉన్నాయి. [1] ఈ విమానం షీట్ అల్యూమినియం నుండి తయారు చేయబడింది. దాని 27.0 అడు"&amp;"గుల (8.2 మీ) స్పాన్ వింగ్, మౌంట్ ఫ్లాప్స్ మరియు 130 చదరపు అడుగుల (12 మీ 2) రెక్క ప్రాంతాన్ని కలిగి ఉంది. క్యాబిన్ వెడల్పు 45 అంగుళాలు (110 సెం.మీ). డిజైన్ శక్తి శ్రేణి 65 నుండి 100 హెచ్‌పి (48 నుండి 75 కిలోవాట్) మరియు ప్రోటోటైప్‌లో ఉపయోగించిన ఇంజిన్ 65 హె"&amp;"చ్‌పి (48 కిలోవాట్ ఈ విమానం ప్రణాళికల నుండి నిర్మించటానికి రూపొందించబడింది మరియు ఆర్థిక వ్యవస్థను నొక్కి చెప్పింది. సెకండ్ హ్యాండ్ సుబారు ఇంజిన్‌తో సహా 1996 లో దీనిని US $ 5000 కు నిర్మించవచ్చని డిజైనర్ పేర్కొన్నారు. ఇది ట్రైసైకిల్ మరియు సాంప్రదాయ ల్యాండి"&amp;"ంగ్ గేర్ల మధ్య మార్చడానికి సులభం అని రూపొందించబడింది. [1] ఈ విమానం ఒక సాధారణ ఖాళీ బరువు 670 పౌండ్లు (300 కిలోలు) మరియు స్థూల బరువు 1,150 పౌండ్లు (520 కిలోలు), 480 పౌండ్లు (220 కిలోల) ఉపయోగకరమైన లోడ్‌ను ఇస్తుంది. 14 యు.ఎస్. గ్యాలన్ల పూర్తి ఇంధనంతో (53 ఎల్;"&amp;" 12 ఇంప్ గల్) పైలట్, ప్రయాణీకుడు మరియు సామాను 396 ఎల్బి (180 కిలోలు). [1] ప్రామాణిక రోజు, సముద్ర మట్టం, గాలి లేదు, 65 హెచ్‌పి (48 కిలోవాట్) ఇంజిన్‌తో ల్యాండింగ్ రోల్ 500 అడుగులు (152 మీ). [1] తయారీదారు నిర్మాణ సమయాన్ని సరఫరా చేసిన ప్రణాళికల నుండి 1500 గంట"&amp;"లుగా అంచనా వేశారు. [1] ఈ నమూనా 1996 లో విస్కాన్సిన్‌లోని ఓష్కోష్‌లోని ఎయిర్‌వెంచర్ వద్ద ప్రదర్శించబడింది. [3] 1998 నాటికి డిజైనర్ ఒక విమానం పూర్తయిందని మరియు ఎగురుతున్నట్లు నివేదించారు. [1] ఏప్రిల్ 2015 లో, ట్రాన్స్‌పోర్ట్ కెనడాలో ఒక ఉదాహరణ డిజైనర్ విలియం"&amp;" జె. స్ప్రింగ్‌కు నమోదు చేయబడింది, అయినప్పటికీ దాని రిజిస్ట్రేషన్ 13 ఫిబ్రవరి 2013 న రద్దు చేయబడింది. [2] విమానం ఇకపై ఉనికిలో ఉండే అవకాశం లేదు. ఏరోక్రాఫ్టర్ నుండి డేటా [1] సాధారణ లక్షణాల పనితీరు")</f>
        <v>స్ప్రింగ్ WS202 స్ప్రింట్ కెనడియన్ హోమ్‌బిల్ట్ విమానం, దీనిని అంటారియోలోని బర్లింగ్టన్ యొక్క విలియం జె. స్ప్రింగ్ 1996 లో ప్రవేశపెట్టారు. ఈ విమానం te త్సాహిక నిర్మాణానికి ప్రణాళికల రూపంలో సరఫరా చేయబడింది. [1] [2] WS202 స్ప్రింట్‌లో కాంటిలివర్ లో-వింగ్, బబుల్ పందిరి కింద రెండు-సీట్ల-సైడ్-సైడ్ కాన్ఫిగరేషన్ పరివేష్టిత కాక్‌పిట్, స్థిర ట్రైసైకిల్ ల్యాండింగ్ గేర్ లేదా సాంప్రదాయ ల్యాండింగ్ గేర్ మరియు ట్రాక్టర్ కాన్ఫిగరేషన్‌లో ఒకే ఇంజిన్ ఉన్నాయి. [1] ఈ విమానం షీట్ అల్యూమినియం నుండి తయారు చేయబడింది. దాని 27.0 అడుగుల (8.2 మీ) స్పాన్ వింగ్, మౌంట్ ఫ్లాప్స్ మరియు 130 చదరపు అడుగుల (12 మీ 2) రెక్క ప్రాంతాన్ని కలిగి ఉంది. క్యాబిన్ వెడల్పు 45 అంగుళాలు (110 సెం.మీ). డిజైన్ శక్తి శ్రేణి 65 నుండి 100 హెచ్‌పి (48 నుండి 75 కిలోవాట్) మరియు ప్రోటోటైప్‌లో ఉపయోగించిన ఇంజిన్ 65 హెచ్‌పి (48 కిలోవాట్ ఈ విమానం ప్రణాళికల నుండి నిర్మించటానికి రూపొందించబడింది మరియు ఆర్థిక వ్యవస్థను నొక్కి చెప్పింది. సెకండ్ హ్యాండ్ సుబారు ఇంజిన్‌తో సహా 1996 లో దీనిని US $ 5000 కు నిర్మించవచ్చని డిజైనర్ పేర్కొన్నారు. ఇది ట్రైసైకిల్ మరియు సాంప్రదాయ ల్యాండింగ్ గేర్ల మధ్య మార్చడానికి సులభం అని రూపొందించబడింది. [1] ఈ విమానం ఒక సాధారణ ఖాళీ బరువు 670 పౌండ్లు (300 కిలోలు) మరియు స్థూల బరువు 1,150 పౌండ్లు (520 కిలోలు), 480 పౌండ్లు (220 కిలోల) ఉపయోగకరమైన లోడ్‌ను ఇస్తుంది. 14 యు.ఎస్. గ్యాలన్ల పూర్తి ఇంధనంతో (53 ఎల్; 12 ఇంప్ గల్) పైలట్, ప్రయాణీకుడు మరియు సామాను 396 ఎల్బి (180 కిలోలు). [1] ప్రామాణిక రోజు, సముద్ర మట్టం, గాలి లేదు, 65 హెచ్‌పి (48 కిలోవాట్) ఇంజిన్‌తో ల్యాండింగ్ రోల్ 500 అడుగులు (152 మీ). [1] తయారీదారు నిర్మాణ సమయాన్ని సరఫరా చేసిన ప్రణాళికల నుండి 1500 గంటలుగా అంచనా వేశారు. [1] ఈ నమూనా 1996 లో విస్కాన్సిన్‌లోని ఓష్కోష్‌లోని ఎయిర్‌వెంచర్ వద్ద ప్రదర్శించబడింది. [3] 1998 నాటికి డిజైనర్ ఒక విమానం పూర్తయిందని మరియు ఎగురుతున్నట్లు నివేదించారు. [1] ఏప్రిల్ 2015 లో, ట్రాన్స్‌పోర్ట్ కెనడాలో ఒక ఉదాహరణ డిజైనర్ విలియం జె. స్ప్రింగ్‌కు నమోదు చేయబడింది, అయినప్పటికీ దాని రిజిస్ట్రేషన్ 13 ఫిబ్రవరి 2013 న రద్దు చేయబడింది. [2] విమానం ఇకపై ఉనికిలో ఉండే అవకాశం లేదు. ఏరోక్రాఫ్టర్ నుండి డేటా [1] సాధారణ లక్షణాల పనితీరు</v>
      </c>
      <c r="E67" s="1" t="s">
        <v>154</v>
      </c>
      <c r="F67" s="1" t="str">
        <f>IFERROR(__xludf.DUMMYFUNCTION("GOOGLETRANSLATE(E:E, ""en"", ""te"")"),"హోమ్‌బిల్ట్ విమానం")</f>
        <v>హోమ్‌బిల్ట్ విమానం</v>
      </c>
      <c r="G67" s="1" t="s">
        <v>855</v>
      </c>
      <c r="H67" s="1" t="str">
        <f>IFERROR(__xludf.DUMMYFUNCTION("GOOGLETRANSLATE(G:G, ""en"", ""te"")"),"కెనడా")</f>
        <v>కెనడా</v>
      </c>
      <c r="I67" s="1" t="s">
        <v>1192</v>
      </c>
      <c r="J67" s="1" t="str">
        <f>IFERROR(__xludf.DUMMYFUNCTION("GOOGLETRANSLATE(I:I, ""en"", ""te"")"),"విలియం జె. స్ప్రింగ్")</f>
        <v>విలియం జె. స్ప్రింగ్</v>
      </c>
      <c r="L67" s="1" t="s">
        <v>1192</v>
      </c>
      <c r="N67" s="1">
        <v>1996.0</v>
      </c>
      <c r="O67" s="1" t="s">
        <v>135</v>
      </c>
      <c r="P67" s="1" t="s">
        <v>1193</v>
      </c>
      <c r="Q67" s="1" t="s">
        <v>1194</v>
      </c>
      <c r="S67" s="1" t="s">
        <v>1195</v>
      </c>
      <c r="T67" s="1" t="s">
        <v>1196</v>
      </c>
      <c r="U67" s="1" t="s">
        <v>1197</v>
      </c>
      <c r="V67" s="1" t="s">
        <v>1198</v>
      </c>
      <c r="X67" s="1" t="s">
        <v>1199</v>
      </c>
      <c r="Y67" s="1" t="s">
        <v>1200</v>
      </c>
      <c r="Z67" s="1" t="s">
        <v>1201</v>
      </c>
      <c r="AB67" s="1" t="s">
        <v>166</v>
      </c>
      <c r="AC67" s="2" t="s">
        <v>866</v>
      </c>
      <c r="AD67" s="1" t="s">
        <v>1202</v>
      </c>
      <c r="AE67" s="1" t="s">
        <v>1203</v>
      </c>
      <c r="AF67" s="1" t="s">
        <v>1204</v>
      </c>
      <c r="AG67" s="1" t="s">
        <v>1205</v>
      </c>
      <c r="AH67" s="1" t="s">
        <v>1206</v>
      </c>
      <c r="AI67" s="1" t="s">
        <v>1207</v>
      </c>
      <c r="AJ67" s="1" t="s">
        <v>1208</v>
      </c>
      <c r="AK67" s="1" t="s">
        <v>195</v>
      </c>
      <c r="AS67" s="1">
        <v>5.6</v>
      </c>
      <c r="AY67" s="1" t="s">
        <v>1209</v>
      </c>
      <c r="BN67" s="1">
        <v>1996.0</v>
      </c>
    </row>
    <row r="68">
      <c r="A68" s="1" t="s">
        <v>872</v>
      </c>
      <c r="B68" s="1" t="str">
        <f>IFERROR(__xludf.DUMMYFUNCTION("GOOGLETRANSLATE(A:A, ""en"", ""te"")"),"సుండోగ్ రెండు సీటర్లు")</f>
        <v>సుండోగ్ రెండు సీటర్లు</v>
      </c>
      <c r="C68" s="1" t="s">
        <v>1210</v>
      </c>
      <c r="D68" s="1" t="str">
        <f>IFERROR(__xludf.DUMMYFUNCTION("GOOGLETRANSLATE(C:C, ""en"", ""te"")"),"సుండోగ్ టూ-సీటర్ అనేది కెనడియన్ శక్తితో కూడిన పారాచూట్, దీనిని స్పార్వుడ్, బ్రిటిష్ కొలంబియా మరియు తరువాత పియర్‌ల్యాండ్, సస్కట్చేవాన్ యొక్క సుండోగ్ పవర్‌చూట్స్ రూపొందించారు మరియు నిర్మించారు. ఇప్పుడు ఉత్పత్తికి దూరంగా, ఇది అందుబాటులో ఉన్నప్పుడు విమానం పూర"&amp;"్తి రెడీ-టు-ఫ్లై-విమానయానంగా సరఫరా చేయబడింది. [1] [2] [3] ఈ విమానం 2002 లో ప్రవేశపెట్టబడింది మరియు 2014 లో కంపెనీ వ్యాపారం నుండి బయటపడినప్పుడు ఉత్పత్తి ముగిసింది. [4] రెండు-సీటర్లు కెనడియన్ బేసిక్ అల్ట్రా-లైట్ విమానం నిబంధనలను పాటించేలా రూపొందించబడ్డాయి, "&amp;"కానీ వర్గం యొక్క గరిష్ట స్థూల బరువు 450 కిలోల (992 ఎల్బి) తో సహా, ఫెడెరేషన్ ఏరోనాటిక్ ఇంటర్నేషనల్ మైక్రోలైట్ వర్గానికి కూడా సరిపోతుంది. ఈ విమానం గరిష్టంగా స్థూల బరువు 374 కిలోలు (825 పౌండ్లు). ఇది 500 చదరపు అడుగుల (46 మీ 2) ఎపిసిఓ 500 పారాచూట్-స్టైల్ వింగ"&amp;"్, రెండు-సీట్ల-సైడ్-సైడ్ కాన్ఫిగరేషన్, ట్రైసైకిల్ ల్యాండింగ్ గేర్ మరియు ఒకే 64 హెచ్‌పి (48 కిలోవాట్) రోటాక్స్ 582 టూ-స్ట్రోక్ ఇంజిన్‌ను కలిగి ఉంది ఆకృతీకరణ. 60 హెచ్‌పి (45 కిలోవాట్) హెచ్‌కెఎస్ 700 ఇ ఫోర్-స్ట్రోక్ ఇంజిన్ ఫ్యాక్టరీ ఎంపిక. [1] [2] విమానం క్య"&amp;"ారేజ్ బోల్ట్ 6061-టి 6 అల్యూమినియం, స్టెయిన్లెస్ స్టీల్ ఫిట్టింగులు మరియు విమాన బోల్ట్‌ల నుండి నిర్మించబడింది. ఫ్లైట్ స్టీరింగ్‌లో పందిరి బ్రేక్‌లను అమలు చేసే ఫుట్ పెడల్స్ ద్వారా సాధించబడుతుంది, రోల్ మరియు యావ్ సృష్టిస్తుంది. మైదానంలో విమానంలో లివర్-నియంత"&amp;"్రిత నోస్‌వీల్ స్టీరింగ్ ఉంది. ప్రధాన ల్యాండింగ్ గేర్ స్ప్రింగ్ రాడ్ సస్పెన్షన్‌ను కలిగి ఉంటుంది. రోల్-ఓవర్ సంభవించినప్పుడు యజమానులు వృత్తాకార అల్యూమినియం గొట్టాల శ్రేణి ద్వారా రక్షించబడతారు. [1] [2] ఈ విమానం ఖాళీ బరువు 336 ఎల్బి (152 కిలోలు) మరియు స్థూల "&amp;"బరువు 825 ఎల్బి (374 కిలోలు), ఇది 489 పౌండ్లు (222 కిలోల) ఉపయోగకరమైన లోడ్ ఇస్తుంది. 10 యు.ఎస్. గ్యాలన్ల పూర్తి ఇంధనంతో (38 ఎల్; 8.3 ఇంప్ గల్) సిబ్బంది మరియు సామాను కోసం పేలోడ్ 429 ఎల్బి (195 కిలోలు). [1] [2] ఆటోమొబైల్ వెనుక విమానం లాగడానికి కంపెనీ కస్టమ్ "&amp;"ట్రెయిలర్లను కూడా సరఫరా చేసింది. [2] సెప్టెంబర్ 2015 లో ట్రాన్స్పోర్ట్ కెనడాలో మూడు ఉదాహరణలు నమోదు చేయబడ్డాయి మరియు మూడు ఫెడరల్ ఏవియేషన్ అడ్మినిస్ట్రేషన్తో అమెరికాలో నమోదు చేయబడ్డాయి. [5] [6] 2003 లో విమానాన్ని సమీక్షిస్తూ జీన్-పియరీ లే కాముస్, ""ఈ ప్రక్క"&amp;"కు కెనడియన్ మెషీన్ చాలా పాత్రను కలిగి ఉంది"" అని అన్నారు. [1] బెర్ట్రాండ్ మరియు తయారీదారు నుండి డేటా [1] [2] సాధారణ లక్షణాల పనితీరు")</f>
        <v>సుండోగ్ టూ-సీటర్ అనేది కెనడియన్ శక్తితో కూడిన పారాచూట్, దీనిని స్పార్వుడ్, బ్రిటిష్ కొలంబియా మరియు తరువాత పియర్‌ల్యాండ్, సస్కట్చేవాన్ యొక్క సుండోగ్ పవర్‌చూట్స్ రూపొందించారు మరియు నిర్మించారు. ఇప్పుడు ఉత్పత్తికి దూరంగా, ఇది అందుబాటులో ఉన్నప్పుడు విమానం పూర్తి రెడీ-టు-ఫ్లై-విమానయానంగా సరఫరా చేయబడింది. [1] [2] [3] ఈ విమానం 2002 లో ప్రవేశపెట్టబడింది మరియు 2014 లో కంపెనీ వ్యాపారం నుండి బయటపడినప్పుడు ఉత్పత్తి ముగిసింది. [4] రెండు-సీటర్లు కెనడియన్ బేసిక్ అల్ట్రా-లైట్ విమానం నిబంధనలను పాటించేలా రూపొందించబడ్డాయి, కానీ వర్గం యొక్క గరిష్ట స్థూల బరువు 450 కిలోల (992 ఎల్బి) తో సహా, ఫెడెరేషన్ ఏరోనాటిక్ ఇంటర్నేషనల్ మైక్రోలైట్ వర్గానికి కూడా సరిపోతుంది. ఈ విమానం గరిష్టంగా స్థూల బరువు 374 కిలోలు (825 పౌండ్లు). ఇది 500 చదరపు అడుగుల (46 మీ 2) ఎపిసిఓ 500 పారాచూట్-స్టైల్ వింగ్, రెండు-సీట్ల-సైడ్-సైడ్ కాన్ఫిగరేషన్, ట్రైసైకిల్ ల్యాండింగ్ గేర్ మరియు ఒకే 64 హెచ్‌పి (48 కిలోవాట్) రోటాక్స్ 582 టూ-స్ట్రోక్ ఇంజిన్‌ను కలిగి ఉంది ఆకృతీకరణ. 60 హెచ్‌పి (45 కిలోవాట్) హెచ్‌కెఎస్ 700 ఇ ఫోర్-స్ట్రోక్ ఇంజిన్ ఫ్యాక్టరీ ఎంపిక. [1] [2] విమానం క్యారేజ్ బోల్ట్ 6061-టి 6 అల్యూమినియం, స్టెయిన్లెస్ స్టీల్ ఫిట్టింగులు మరియు విమాన బోల్ట్‌ల నుండి నిర్మించబడింది. ఫ్లైట్ స్టీరింగ్‌లో పందిరి బ్రేక్‌లను అమలు చేసే ఫుట్ పెడల్స్ ద్వారా సాధించబడుతుంది, రోల్ మరియు యావ్ సృష్టిస్తుంది. మైదానంలో విమానంలో లివర్-నియంత్రిత నోస్‌వీల్ స్టీరింగ్ ఉంది. ప్రధాన ల్యాండింగ్ గేర్ స్ప్రింగ్ రాడ్ సస్పెన్షన్‌ను కలిగి ఉంటుంది. రోల్-ఓవర్ సంభవించినప్పుడు యజమానులు వృత్తాకార అల్యూమినియం గొట్టాల శ్రేణి ద్వారా రక్షించబడతారు. [1] [2] ఈ విమానం ఖాళీ బరువు 336 ఎల్బి (152 కిలోలు) మరియు స్థూల బరువు 825 ఎల్బి (374 కిలోలు), ఇది 489 పౌండ్లు (222 కిలోల) ఉపయోగకరమైన లోడ్ ఇస్తుంది. 10 యు.ఎస్. గ్యాలన్ల పూర్తి ఇంధనంతో (38 ఎల్; 8.3 ఇంప్ గల్) సిబ్బంది మరియు సామాను కోసం పేలోడ్ 429 ఎల్బి (195 కిలోలు). [1] [2] ఆటోమొబైల్ వెనుక విమానం లాగడానికి కంపెనీ కస్టమ్ ట్రెయిలర్లను కూడా సరఫరా చేసింది. [2] సెప్టెంబర్ 2015 లో ట్రాన్స్పోర్ట్ కెనడాలో మూడు ఉదాహరణలు నమోదు చేయబడ్డాయి మరియు మూడు ఫెడరల్ ఏవియేషన్ అడ్మినిస్ట్రేషన్తో అమెరికాలో నమోదు చేయబడ్డాయి. [5] [6] 2003 లో విమానాన్ని సమీక్షిస్తూ జీన్-పియరీ లే కాముస్, "ఈ ప్రక్కకు కెనడియన్ మెషీన్ చాలా పాత్రను కలిగి ఉంది" అని అన్నారు. [1] బెర్ట్రాండ్ మరియు తయారీదారు నుండి డేటా [1] [2] సాధారణ లక్షణాల పనితీరు</v>
      </c>
      <c r="E68" s="1" t="s">
        <v>854</v>
      </c>
      <c r="F68" s="1" t="str">
        <f>IFERROR(__xludf.DUMMYFUNCTION("GOOGLETRANSLATE(E:E, ""en"", ""te"")"),"శక్తితో కూడిన పారాచూట్")</f>
        <v>శక్తితో కూడిన పారాచూట్</v>
      </c>
      <c r="G68" s="1" t="s">
        <v>855</v>
      </c>
      <c r="H68" s="1" t="str">
        <f>IFERROR(__xludf.DUMMYFUNCTION("GOOGLETRANSLATE(G:G, ""en"", ""te"")"),"కెనడా")</f>
        <v>కెనడా</v>
      </c>
      <c r="I68" s="1" t="s">
        <v>856</v>
      </c>
      <c r="J68" s="1" t="str">
        <f>IFERROR(__xludf.DUMMYFUNCTION("GOOGLETRANSLATE(I:I, ""en"", ""te"")"),"సుండోగ్ పవర్‌చ్యూట్స్ ఇంక్")</f>
        <v>సుండోగ్ పవర్‌చ్యూట్స్ ఇంక్</v>
      </c>
      <c r="K68" s="1" t="s">
        <v>857</v>
      </c>
      <c r="O68" s="1" t="s">
        <v>135</v>
      </c>
      <c r="P68" s="1" t="s">
        <v>858</v>
      </c>
      <c r="R68" s="1" t="s">
        <v>859</v>
      </c>
      <c r="S68" s="1" t="s">
        <v>860</v>
      </c>
      <c r="T68" s="1" t="s">
        <v>1211</v>
      </c>
      <c r="U68" s="1" t="s">
        <v>1212</v>
      </c>
      <c r="V68" s="1" t="s">
        <v>1213</v>
      </c>
      <c r="W68" s="1" t="s">
        <v>864</v>
      </c>
      <c r="Z68" s="1" t="s">
        <v>424</v>
      </c>
      <c r="AB68" s="1" t="s">
        <v>865</v>
      </c>
      <c r="AC68" s="2" t="s">
        <v>866</v>
      </c>
      <c r="AD68" s="1" t="s">
        <v>867</v>
      </c>
      <c r="AE68" s="1" t="s">
        <v>1214</v>
      </c>
      <c r="AF68" s="1" t="s">
        <v>869</v>
      </c>
      <c r="AG68" s="1" t="s">
        <v>519</v>
      </c>
      <c r="AI68" s="1" t="s">
        <v>1215</v>
      </c>
      <c r="AJ68" s="1" t="s">
        <v>1216</v>
      </c>
      <c r="AK68" s="1" t="s">
        <v>195</v>
      </c>
      <c r="AR68" s="1" t="s">
        <v>852</v>
      </c>
      <c r="AX68" s="1" t="s">
        <v>873</v>
      </c>
      <c r="BB68" s="1">
        <v>5.0</v>
      </c>
      <c r="BD68" s="1" t="s">
        <v>826</v>
      </c>
      <c r="BJ68" s="1" t="s">
        <v>1217</v>
      </c>
      <c r="BQ68" s="1" t="s">
        <v>875</v>
      </c>
    </row>
    <row r="69">
      <c r="A69" s="1" t="s">
        <v>1218</v>
      </c>
      <c r="B69" s="1" t="str">
        <f>IFERROR(__xludf.DUMMYFUNCTION("GOOGLETRANSLATE(A:A, ""en"", ""te"")"),"వోంబాట్ గైరోకాప్టర్స్ వోంబాట్")</f>
        <v>వోంబాట్ గైరోకాప్టర్స్ వోంబాట్</v>
      </c>
      <c r="C69" s="1" t="s">
        <v>1219</v>
      </c>
      <c r="D69" s="1" t="str">
        <f>IFERROR(__xludf.DUMMYFUNCTION("GOOGLETRANSLATE(C:C, ""en"", ""te"")"),"వోంబాట్ గైరోకాప్టర్స్ వోంబాట్, కొన్నిసార్లు జూలియన్ వోంబాట్ అని పిలుస్తారు, ఇది క్రిస్ జూలియన్ చేత రూపొందించబడిన బ్రిటిష్ ఆటోగ్రెరో, ఇది 1991 లో ప్రవేశపెట్టిన కార్న్‌వాల్ యొక్క వోంబాట్ గైరోకాప్టర్లు నిర్మించారు. ఇప్పుడు ఉత్పత్తి నుండి బయటపడినప్పుడు, ఇది వ"&amp;"ిమానం సరఫరా చేయబడినప్పుడు, ఇప్పుడు ఉత్పత్తి చేయలేదు. te త్సాహిక నిర్మాణానికి ఒక కిట్. [1] జూలియన్ మోటారుసైకిల్ స్పీడ్‌వే రేసర్ అని పిలువబడ్డాడు. అతను తన సొంత ఆటోజీరోను రూపొందించాలని నిర్ణయించుకున్నాడు మరియు 4 నవంబర్ 1991 న CAA పరీక్షకు పరిమితం చేయబడిన అను"&amp;"మతి ఇచ్చింది. ఇది కార్న్‌వాల్‌లోని సెయింట్ మెరిన్ ఎయిర్‌ఫీల్డ్‌లో పరీక్షించబడింది. మే 1997 లో, జూలియన్‌కు 60 సంవత్సరాల వయస్సులో, కెంబ్లే ఎయిర్‌ఫీల్డ్‌లో వేరే మోడల్ గైరోగ్లిడర్ యొక్క ప్రమాదంలో అతను చంపబడ్డాడు. [2] జూలియన్ మరణం తరువాత జూలై 2000 లో వోంబాట్ డ"&amp;"ిజైన్ హక్కులు మాజీ హెలికాప్టర్ పైలట్ మార్క్ హారిసన్ కు పంపాయి. హారిసన్ ఈ విమానాన్ని తిరిగి ఉత్పత్తిలోకి పెట్టాలని అనుకున్నాడు, కాని 2013 లో ప్రోటోటైప్‌ను వెస్టన్-సూపర్-మేరేలోని హెలికాప్టర్ మ్యూజియంకు విరాళంగా ఇచ్చారు, అక్కడ అది వచ్చింది 9 జూలై 2013 న. [2]"&amp;" [3] [4] వోంబాట్ బ్రిటిష్ te త్సాహిక-నిర్మిత విమాన నియమాలకు అనుగుణంగా రూపొందించబడింది. ఇది సింగిల్ మెయిన్ రోటర్, కాక్‌పిట్ ఫెయిరింగ్ మరియు విండ్‌షీల్డ్, ట్రైసైకిల్ ల్యాండింగ్ గేర్‌తో సింగిల్-సీట్ల సెమీ-కన్‌క్లోస్డ్ కాక్‌పిట్, ప్లస్ టెయిల్ క్యాస్టర్ మరియు "&amp;"ట్విన్ సిలిండర్, ఎయిర్-కూల్డ్, టూ-స్ట్రోక్, సింగిల్-మతిమరుపు 64 హెచ్‌పి (48 కలిగి ఉంది kW) పషర్ కాన్ఫిగరేషన్‌లో రోటాక్స్ 532 ఇంజిన్. [1] విమానం ఫ్యూజ్‌లేజ్ బోల్ట్-కలిసి అల్యూమినియం గొట్టాల నుండి తయారవుతుంది. దీని రెండు-బ్లేడెడ్ డ్రాగన్ వింగ్స్ అల్యూమినియం"&amp;" రోటర్ 22.83 అడుగుల (6.96 మీ) వ్యాసం కలిగి ఉంది, వీటిలో 2.53 అడుగుల (0.77 మీ) హబ్ బార్‌తో సహా. రోటర్ చక్రీయ నియంత్రణ టార్క్-ట్యూబ్స్ ద్వారా. చుక్కాని నురుగు కోర్ మీద మిశ్రమ చర్మంతో నిర్మించబడింది. విమానంలో క్షితిజ సమాంతర స్టెబిలైజర్ లేదు. [1] [2] వోంబాట్ "&amp;"352 lb (160 kg) యొక్క ఖాళీ బరువును కలిగి ఉంది. ప్రామాణిక రోజు, సముద్ర మట్టం, గాలి, 64 హెచ్‌పి (48 కిలోవాట్) ఇంజిన్‌తో టేకాఫ్ 300 అడుగులు (91 మీ) మరియు ల్యాండింగ్ రోల్ 3 అడుగులు (1 మీ). [1] ఏప్రిల్ 2015 లో యునైటెడ్ కింగ్‌డమ్‌లో CAA తో ఉదాహరణలు నమోదు కాలేదు"&amp;". మొత్తం నలుగురు ఒకేసారి నమోదు చేయబడినప్పటికీ, అందరూ వారి రిజిస్ట్రేషన్లను CAA చేత రద్దు చేశారు. [5] పర్డీ మరియు ఫ్రెండ్స్ ఆఫ్ ది హెలికాప్టర్ మ్యూజియం నుండి డేటా [1] [2] సాధారణ లక్షణాల పనితీరు")</f>
        <v>వోంబాట్ గైరోకాప్టర్స్ వోంబాట్, కొన్నిసార్లు జూలియన్ వోంబాట్ అని పిలుస్తారు, ఇది క్రిస్ జూలియన్ చేత రూపొందించబడిన బ్రిటిష్ ఆటోగ్రెరో, ఇది 1991 లో ప్రవేశపెట్టిన కార్న్‌వాల్ యొక్క వోంబాట్ గైరోకాప్టర్లు నిర్మించారు. ఇప్పుడు ఉత్పత్తి నుండి బయటపడినప్పుడు, ఇది విమానం సరఫరా చేయబడినప్పుడు, ఇప్పుడు ఉత్పత్తి చేయలేదు. te త్సాహిక నిర్మాణానికి ఒక కిట్. [1] జూలియన్ మోటారుసైకిల్ స్పీడ్‌వే రేసర్ అని పిలువబడ్డాడు. అతను తన సొంత ఆటోజీరోను రూపొందించాలని నిర్ణయించుకున్నాడు మరియు 4 నవంబర్ 1991 న CAA పరీక్షకు పరిమితం చేయబడిన అనుమతి ఇచ్చింది. ఇది కార్న్‌వాల్‌లోని సెయింట్ మెరిన్ ఎయిర్‌ఫీల్డ్‌లో పరీక్షించబడింది. మే 1997 లో, జూలియన్‌కు 60 సంవత్సరాల వయస్సులో, కెంబ్లే ఎయిర్‌ఫీల్డ్‌లో వేరే మోడల్ గైరోగ్లిడర్ యొక్క ప్రమాదంలో అతను చంపబడ్డాడు. [2] జూలియన్ మరణం తరువాత జూలై 2000 లో వోంబాట్ డిజైన్ హక్కులు మాజీ హెలికాప్టర్ పైలట్ మార్క్ హారిసన్ కు పంపాయి. హారిసన్ ఈ విమానాన్ని తిరిగి ఉత్పత్తిలోకి పెట్టాలని అనుకున్నాడు, కాని 2013 లో ప్రోటోటైప్‌ను వెస్టన్-సూపర్-మేరేలోని హెలికాప్టర్ మ్యూజియంకు విరాళంగా ఇచ్చారు, అక్కడ అది వచ్చింది 9 జూలై 2013 న. [2] [3] [4] వోంబాట్ బ్రిటిష్ te త్సాహిక-నిర్మిత విమాన నియమాలకు అనుగుణంగా రూపొందించబడింది. ఇది సింగిల్ మెయిన్ రోటర్, కాక్‌పిట్ ఫెయిరింగ్ మరియు విండ్‌షీల్డ్, ట్రైసైకిల్ ల్యాండింగ్ గేర్‌తో సింగిల్-సీట్ల సెమీ-కన్‌క్లోస్డ్ కాక్‌పిట్, ప్లస్ టెయిల్ క్యాస్టర్ మరియు ట్విన్ సిలిండర్, ఎయిర్-కూల్డ్, టూ-స్ట్రోక్, సింగిల్-మతిమరుపు 64 హెచ్‌పి (48 కలిగి ఉంది kW) పషర్ కాన్ఫిగరేషన్‌లో రోటాక్స్ 532 ఇంజిన్. [1] విమానం ఫ్యూజ్‌లేజ్ బోల్ట్-కలిసి అల్యూమినియం గొట్టాల నుండి తయారవుతుంది. దీని రెండు-బ్లేడెడ్ డ్రాగన్ వింగ్స్ అల్యూమినియం రోటర్ 22.83 అడుగుల (6.96 మీ) వ్యాసం కలిగి ఉంది, వీటిలో 2.53 అడుగుల (0.77 మీ) హబ్ బార్‌తో సహా. రోటర్ చక్రీయ నియంత్రణ టార్క్-ట్యూబ్స్ ద్వారా. చుక్కాని నురుగు కోర్ మీద మిశ్రమ చర్మంతో నిర్మించబడింది. విమానంలో క్షితిజ సమాంతర స్టెబిలైజర్ లేదు. [1] [2] వోంబాట్ 352 lb (160 kg) యొక్క ఖాళీ బరువును కలిగి ఉంది. ప్రామాణిక రోజు, సముద్ర మట్టం, గాలి, 64 హెచ్‌పి (48 కిలోవాట్) ఇంజిన్‌తో టేకాఫ్ 300 అడుగులు (91 మీ) మరియు ల్యాండింగ్ రోల్ 3 అడుగులు (1 మీ). [1] ఏప్రిల్ 2015 లో యునైటెడ్ కింగ్‌డమ్‌లో CAA తో ఉదాహరణలు నమోదు కాలేదు. మొత్తం నలుగురు ఒకేసారి నమోదు చేయబడినప్పటికీ, అందరూ వారి రిజిస్ట్రేషన్లను CAA చేత రద్దు చేశారు. [5] పర్డీ మరియు ఫ్రెండ్స్ ఆఫ్ ది హెలికాప్టర్ మ్యూజియం నుండి డేటా [1] [2] సాధారణ లక్షణాల పనితీరు</v>
      </c>
      <c r="E69" s="1" t="s">
        <v>530</v>
      </c>
      <c r="F69" s="1" t="str">
        <f>IFERROR(__xludf.DUMMYFUNCTION("GOOGLETRANSLATE(E:E, ""en"", ""te"")"),"ఆటోజీరో")</f>
        <v>ఆటోజీరో</v>
      </c>
      <c r="G69" s="1" t="s">
        <v>819</v>
      </c>
      <c r="H69" s="1" t="str">
        <f>IFERROR(__xludf.DUMMYFUNCTION("GOOGLETRANSLATE(G:G, ""en"", ""te"")"),"యునైటెడ్ కింగ్‌డమ్")</f>
        <v>యునైటెడ్ కింగ్‌డమ్</v>
      </c>
      <c r="I69" s="1" t="s">
        <v>1220</v>
      </c>
      <c r="J69" s="1" t="str">
        <f>IFERROR(__xludf.DUMMYFUNCTION("GOOGLETRANSLATE(I:I, ""en"", ""te"")"),"వోంబాట్ గైరోకాప్టర్లు")</f>
        <v>వోంబాట్ గైరోకాప్టర్లు</v>
      </c>
      <c r="K69" s="1" t="s">
        <v>1221</v>
      </c>
      <c r="L69" s="1" t="s">
        <v>1222</v>
      </c>
      <c r="M69" s="1" t="s">
        <v>1223</v>
      </c>
      <c r="N69" s="1">
        <v>1991.0</v>
      </c>
      <c r="O69" s="1" t="s">
        <v>135</v>
      </c>
      <c r="P69" s="1" t="s">
        <v>1224</v>
      </c>
      <c r="T69" s="1" t="s">
        <v>1225</v>
      </c>
      <c r="V69" s="1" t="s">
        <v>1226</v>
      </c>
      <c r="W69" s="1" t="s">
        <v>1227</v>
      </c>
      <c r="X69" s="1" t="s">
        <v>1228</v>
      </c>
      <c r="Y69" s="1" t="s">
        <v>1200</v>
      </c>
      <c r="Z69" s="1" t="s">
        <v>1229</v>
      </c>
      <c r="AB69" s="2" t="s">
        <v>538</v>
      </c>
      <c r="AC69" s="1" t="s">
        <v>828</v>
      </c>
      <c r="AD69" s="1" t="s">
        <v>1230</v>
      </c>
      <c r="AF69" s="1" t="s">
        <v>1231</v>
      </c>
      <c r="AG69" s="1" t="s">
        <v>832</v>
      </c>
      <c r="AJ69" s="1" t="s">
        <v>1232</v>
      </c>
      <c r="BR69" s="1" t="s">
        <v>1233</v>
      </c>
      <c r="BS69" s="1" t="s">
        <v>1234</v>
      </c>
    </row>
    <row r="70">
      <c r="A70" s="1" t="s">
        <v>1235</v>
      </c>
      <c r="B70" s="1" t="str">
        <f>IFERROR(__xludf.DUMMYFUNCTION("GOOGLETRANSLATE(A:A, ""en"", ""te"")"),"లాపన్ LSU-02")</f>
        <v>లాపన్ LSU-02</v>
      </c>
      <c r="C70" s="1" t="s">
        <v>1236</v>
      </c>
      <c r="D70" s="1" t="str">
        <f>IFERROR(__xludf.DUMMYFUNCTION("GOOGLETRANSLATE(C:C, ""en"", ""te"")"),"లాపన్ ఎల్‌ఎస్‌యు -02 (లాపాన్ నిఘా యుఎవి -02) అనేది ఇండోనేషియాకు చెందిన లెంబాగా పెనెలిటియన్ డాన్ పెనెర్బాంగన్ నేషనల్ (లాపాన్) చేత అభివృద్ధి చేయబడిన మానవరహిత వైమానిక వాహనం (యుఎవి). ఇది పౌర మరియు సైనిక ప్రయోజనాల కోసం 2012 లో అభివృద్ధి చేయబడింది. ఇండోనేషియా మ"&amp;"ిలిటరీ దీనిని వ్యూహాత్మక యుఎవిగా వర్గీకరిస్తుంది ఎందుకంటే దాని పరిమాణానికి పొడవైన శ్రేణులను (300 కిమీ, సిద్ధాంతపరంగా 450 కిమీ) ఎగరగల సామర్థ్యం ఉంది. ఇది స్థానికంగా నిర్మించిన పొడవైన శ్రేణి యుఎవి కోసం ఇండోనేషియా రికార్డును బద్దలు కొట్టింది. KRI డిపోనెగోరో "&amp;"365 యొక్క హెలికాప్టర్ డెక్ నుండి ప్రారంభించిన జావా సముద్రంలో 2013 ఇండోనేషియా ఆర్మీ ఉమ్మడి వ్యాయామంలో LSU-02 ఉపయోగించబడింది. ఎక్సోసెట్ MM40 క్షిపణికి లక్ష్య నిఘా అందించడం లక్ష్యం. విమానం దాని లక్ష్యం దగ్గర స్వయంప్రతిపత్తితో బాధపడుతుంది, సగటు వేగం 70 కిమీ/గ"&amp;"ం. ఈ వ్యాయామంలో, యుఎవి 2 గంటలు 45 నిమిషాలు ఎగిరింది, ఇది సుమారు 200 కి.మీ. ఇండోనేషియా యొక్క ప్రాదేశిక తీరప్రాంతం యొక్క మ్యాపింగ్‌ను నవీకరించడానికి డేటా సేకరణ ప్రాజెక్టులో భాగంగా, 2016 లో, జావా ద్వీపానికి దక్షిణాన 300 కిలోమీటర్ల తీరప్రాంతానికి 300 కిలోమీటర"&amp;"్ల దూరం ఫోటో తీయడానికి ఒక LSU-02 ఉపయోగించబడింది. ఎల్‌ఎస్‌యు -02 జావా యొక్క దక్షిణ తీరప్రాంతాన్ని ఫోటో తీసింది, పారాంగ్‌ట్రిటిస్, యోగ్యకార్తా నుండి, పోపోహ్ బీచ్, ట్రెంగ్‌గలెక్, తూర్పు జావా వరకు. 100 కిలోమీటర్ల తీరప్రాంతంలో తూర్పు జావాలోని పాసిటన్ బీచ్‌లో ఫ"&amp;"ోటో తీయడం కొనసాగింది. [2] తయారీదారు నుండి డేటా [3] సాధారణ లక్షణాల పనితీరు")</f>
        <v>లాపన్ ఎల్‌ఎస్‌యు -02 (లాపాన్ నిఘా యుఎవి -02) అనేది ఇండోనేషియాకు చెందిన లెంబాగా పెనెలిటియన్ డాన్ పెనెర్బాంగన్ నేషనల్ (లాపాన్) చేత అభివృద్ధి చేయబడిన మానవరహిత వైమానిక వాహనం (యుఎవి). ఇది పౌర మరియు సైనిక ప్రయోజనాల కోసం 2012 లో అభివృద్ధి చేయబడింది. ఇండోనేషియా మిలిటరీ దీనిని వ్యూహాత్మక యుఎవిగా వర్గీకరిస్తుంది ఎందుకంటే దాని పరిమాణానికి పొడవైన శ్రేణులను (300 కిమీ, సిద్ధాంతపరంగా 450 కిమీ) ఎగరగల సామర్థ్యం ఉంది. ఇది స్థానికంగా నిర్మించిన పొడవైన శ్రేణి యుఎవి కోసం ఇండోనేషియా రికార్డును బద్దలు కొట్టింది. KRI డిపోనెగోరో 365 యొక్క హెలికాప్టర్ డెక్ నుండి ప్రారంభించిన జావా సముద్రంలో 2013 ఇండోనేషియా ఆర్మీ ఉమ్మడి వ్యాయామంలో LSU-02 ఉపయోగించబడింది. ఎక్సోసెట్ MM40 క్షిపణికి లక్ష్య నిఘా అందించడం లక్ష్యం. విమానం దాని లక్ష్యం దగ్గర స్వయంప్రతిపత్తితో బాధపడుతుంది, సగటు వేగం 70 కిమీ/గం. ఈ వ్యాయామంలో, యుఎవి 2 గంటలు 45 నిమిషాలు ఎగిరింది, ఇది సుమారు 200 కి.మీ. ఇండోనేషియా యొక్క ప్రాదేశిక తీరప్రాంతం యొక్క మ్యాపింగ్‌ను నవీకరించడానికి డేటా సేకరణ ప్రాజెక్టులో భాగంగా, 2016 లో, జావా ద్వీపానికి దక్షిణాన 300 కిలోమీటర్ల తీరప్రాంతానికి 300 కిలోమీటర్ల దూరం ఫోటో తీయడానికి ఒక LSU-02 ఉపయోగించబడింది. ఎల్‌ఎస్‌యు -02 జావా యొక్క దక్షిణ తీరప్రాంతాన్ని ఫోటో తీసింది, పారాంగ్‌ట్రిటిస్, యోగ్యకార్తా నుండి, పోపోహ్ బీచ్, ట్రెంగ్‌గలెక్, తూర్పు జావా వరకు. 100 కిలోమీటర్ల తీరప్రాంతంలో తూర్పు జావాలోని పాసిటన్ బీచ్‌లో ఫోటో తీయడం కొనసాగింది. [2] తయారీదారు నుండి డేటా [3] సాధారణ లక్షణాల పనితీరు</v>
      </c>
      <c r="E70" s="1" t="s">
        <v>1237</v>
      </c>
      <c r="F70" s="1" t="str">
        <f>IFERROR(__xludf.DUMMYFUNCTION("GOOGLETRANSLATE(E:E, ""en"", ""te"")"),"నిఘా ఉవ్")</f>
        <v>నిఘా ఉవ్</v>
      </c>
      <c r="G70" s="1" t="s">
        <v>1238</v>
      </c>
      <c r="H70" s="1" t="str">
        <f>IFERROR(__xludf.DUMMYFUNCTION("GOOGLETRANSLATE(G:G, ""en"", ""te"")"),"ఇండోనేషియా")</f>
        <v>ఇండోనేషియా</v>
      </c>
      <c r="I70" s="1" t="s">
        <v>1239</v>
      </c>
      <c r="J70" s="1" t="str">
        <f>IFERROR(__xludf.DUMMYFUNCTION("GOOGLETRANSLATE(I:I, ""en"", ""te"")"),"లాపన్ (లెంబాగా పెనెలిటియన్ డాన్ పెనర్‌బంగన్ నేషనల్ - నేషనల్ ఇన్స్టిట్యూట్ ఆఫ్ ఏరోనాటిక్స్ అండ్ స్పేస్)")</f>
        <v>లాపన్ (లెంబాగా పెనెలిటియన్ డాన్ పెనర్‌బంగన్ నేషనల్ - నేషనల్ ఇన్స్టిట్యూట్ ఆఫ్ ఏరోనాటిక్స్ అండ్ స్పేస్)</v>
      </c>
      <c r="K70" s="1" t="s">
        <v>1240</v>
      </c>
      <c r="O70" s="1" t="s">
        <v>489</v>
      </c>
      <c r="P70" s="1" t="s">
        <v>1241</v>
      </c>
      <c r="Q70" s="1" t="s">
        <v>1242</v>
      </c>
      <c r="T70" s="1" t="s">
        <v>1243</v>
      </c>
      <c r="W70" s="1" t="s">
        <v>1244</v>
      </c>
      <c r="X70" s="1" t="s">
        <v>1245</v>
      </c>
      <c r="Y70" s="1" t="s">
        <v>1246</v>
      </c>
      <c r="AA70" s="1" t="s">
        <v>1247</v>
      </c>
      <c r="AC70" s="2" t="s">
        <v>1248</v>
      </c>
      <c r="AE70" s="1" t="s">
        <v>1249</v>
      </c>
      <c r="AK70" s="1" t="s">
        <v>1250</v>
      </c>
      <c r="AP70" s="1" t="s">
        <v>1251</v>
      </c>
      <c r="AQ70" s="1" t="s">
        <v>1252</v>
      </c>
      <c r="AX70" s="1" t="s">
        <v>1253</v>
      </c>
      <c r="BH70" s="1" t="s">
        <v>1254</v>
      </c>
      <c r="BP70" s="1" t="s">
        <v>1255</v>
      </c>
    </row>
    <row r="71">
      <c r="A71" s="1" t="s">
        <v>1256</v>
      </c>
      <c r="B71" s="1" t="str">
        <f>IFERROR(__xludf.DUMMYFUNCTION("GOOGLETRANSLATE(A:A, ""en"", ""te"")"),"లాథమ్ ట్రిమోటర్")</f>
        <v>లాథమ్ ట్రిమోటర్</v>
      </c>
      <c r="C71" s="1" t="s">
        <v>1257</v>
      </c>
      <c r="D71" s="1" t="str">
        <f>IFERROR(__xludf.DUMMYFUNCTION("GOOGLETRANSLATE(C:C, ""en"", ""te"")"),"లాథమ్ ట్రిమోటర్ అనేది మొదటి ప్రపంచ యుద్ధం తరువాత నిర్మించిన ఒక పెద్ద ఫ్రెంచ్ ట్రిమోటర్ బిప్‌లేన్ మరియు ఫ్రెంచ్ నావికాదళం తక్కువ సంఖ్యలో ఉపయోగించబడింది. లాథమ్ ట్రిమోటర్ (దాని లాథమ్ రకం సంఖ్య తెలియదు) ఒక పెద్ద బిప్‌లేన్, అసమాన వ్యవధి, బ్లంటెడ్ దీర్ఘచతురస్రా"&amp;"కార ప్రణాళిక రెక్కలు ఆ సమయంలో అధిక కారక నిష్పత్తి. స్ప్రూస్ మరియు పోప్లర్ ప్లైవుడ్ నుండి నిర్మించిన ఒక జత స్పార్స్ చుట్టూ రెక్కలు నిర్మించబడ్డాయి. అవి ఫాబ్రిక్ కప్పబడి ఉన్నాయి మరియు మూడు భాగాలలో, ఎగువ పొట్టుకు అనుసంధానించబడిన ఒక కేంద్ర విభాగం మరియు రెండు "&amp;"బాహ్య విభాగాలు రెండు బేస్‌లుగా విభజించబడ్డాయి, మూడు నిలువు జతల సమాంతర ఇంటర్‌ప్లేన్ స్ట్రట్‌లతో, సెంట్రల్ విభాగంతో జంక్షన్ వద్ద లోపలి భాగం. అప్పర్ వింగ్ సెంటర్ విభాగానికి ఫ్యూజ్‌లేజ్‌పై ఫార్వర్డ్ విలోమ వి-స్ట్రట్ ఫార్వర్డ్ లాంగన్‌కు మరియు వెనుక లాంగన్‌కు ర"&amp;"ెండు నిలువు స్ట్రట్‌ల ద్వారా మద్దతు ఇచ్చింది. అవుట్‌బోర్డ్, ఎగువ వింగ్ యొక్క ఓవర్‌హాంగ్‌లు బాహ్య ఇంటర్‌ప్లేన్ జతల పాదాల నుండి బాహ్యంగా లీనింగ్ జతల స్ట్రట్‌ల ద్వారా మద్దతు ఇచ్చాయి; ఈ పాయింట్ల క్రింద చిన్న, ఫ్లాట్ బాటమ్డ్ ఫ్లోట్లు నీటిపై పార్శ్వ స్థిరత్వాన్"&amp;"ని అందించాయి. దీని ఐలెరాన్లు సమతుల్యతను కలిగి ఉన్నాయి మరియు ఎగువ వింగ్ మీద మాత్రమే అమర్చబడ్డాయి; అవి చిన్నవి, బయటి ఇంటర్‌ప్లేన్ స్ట్రట్‌ల నుండి బయటికి చేరుకుంటాయి. [1] [2] మూడు 250 కిలోవాట్ల (340 హెచ్‌పి) పాన్‌హార్డ్-లెవాసర్ 12 సిబి వి -12 ఇంజన్లు స్టీల్ "&amp;"ఫ్రేమ్‌లపై సెంట్రల్ విభాగంలో రెక్కల మధ్య మిడ్ వేలో అమర్చబడ్డాయి. బయటి రెండు ట్రాక్టర్ కాన్ఫిగరేషన్‌లో ఉన్నాయి మరియు ఫ్యూజ్‌లేజ్ పైన అమర్చిన సెంట్రల్ ఒకటి ఒక పషర్. వారి ముందు దీర్ఘచతురస్రాకార రేడియేటర్లను కలిగి ఉన్నారు. ప్రతి ఒక్కటి నాలుగు బ్లేడ్ ప్రొపెల్ల"&amp;"ర్‌ను నడిపారు. సెంట్రల్ ప్రొపెల్లర్ ఫ్యూజ్‌లేజ్‌ను క్లియర్ చేయడానికి, సెంట్రల్ ఇంజిన్ ఇతరులకన్నా ఎక్కువగా అమర్చబడి ఉంది మరియు ప్రొపెల్లర్ క్లియరెన్స్ కోసం వెనుకంజలో ఉన్న అంచుని అందించడానికి ఎగువ వింగ్ యొక్క తీగ తగ్గింది. వారి మూడు 530 ఎల్ (120 ఇంప్ గల్; ఇ"&amp;"ంధనం వీటి నుండి ఎగువ రెక్కలోని ఫీడర్ ట్యాంకుకు పంప్ చేయబడింది, తద్వారా ఇంజన్లు గురుత్వాకర్షణ తినిపించబడతాయి. [1] [2] ట్రిమోటర్ యొక్క పొట్టు బూడిదను ఫ్రేమ్ చేసి పోప్లర్ లేదా బిర్చ్ ప్లైవుడ్‌తో కప్పబడి ఉంది. ఫార్వర్డ్ ప్లానింగ్ హల్ మృదువైన చైన్ కలిగి ఉంది, "&amp;"ఇది రెక్కల క్రింద ఒకే, నిస్సార దశలో ముగుస్తుంది. II అంతర్గతంగా ఏడు ఇంటర్-యాక్సెస్ చేయగల కంపార్ట్మెంట్లుగా విభజించబడింది. మొట్టమొదటిది విపరీతమైన ముక్కులో మెషిన్ గన్నర్ యొక్క పోస్ట్‌ను మరియు రెండవది ముక్కు మరియు రెక్క యొక్క ప్రముఖ అంచు మధ్య ద్వంద్వ నియంత్రణ"&amp;"లతో సైడ్-బై-సైడ్ ఓపెన్ పైలట్ యొక్క కాక్‌పిట్‌ను కలిగి ఉంది. ఫ్లైట్ ఇంజనీర్ మూడవ కంపార్ట్‌మెంట్‌ను రెండు ఫార్వర్డ్ ఇంధన ట్యాంకులతో పంచుకున్నాడు, డోర్సల్ హాచ్ ద్వారా ప్రాప్యతతో మరియు పైకప్పులోని పోర్త్‌హోల్ ద్వారా వెలిగిపోయాడు. నాల్గవ మరియు ఐదవ కంపార్ట్మెంట"&amp;"్లు వరుసగా ఉపయోగకరమైన లోడ్ మరియు ఇంధనాన్ని కలిగి ఉన్నాయి. ఆరవ కంపార్ట్మెంట్ ఖాళీగా ఉన్న దశ యొక్క మరింత సన్నని ఫ్యూజ్‌లేజ్ వెనుక భాగంలో ఉంది, కాని ఏడవ స్థానంలో డోర్సల్ గన్నర్ యొక్క కాక్‌పిట్ మరియు రేడియో ఆపరేటర్స్ క్యాబిన్, సైడ్ పోర్త్‌హోల్స్ ద్వారా వెలిగి"&amp;"పోయింది. [1] పొట్టు వెనుక వైపుకు సన్నగా మారింది మరియు దాని ఎగువ మరియు దిగువ విమానాలపై సమతుల్య ఎలివేటర్లతో బైప్‌లేన్, స్థిరమైన తీగ క్షితిజ సమాంతర తోకకు మద్దతుగా పైకి వక్రంగా ఉంది. దిగువ ఎలివేటర్ సెంట్రల్ వి-ఆకారపు కటౌట్‌తో రెండు భాగాలుగా ఉంది. విమానాల మధ్య"&amp;" మూడు రెక్కలు ఉన్నాయి, ఒక్కొక్కటి చుక్కాని తీసుకువెళుతున్నాయి; ఎలివేటర్ కదలికను అనుమతించడానికి బయటి జంట ఆకారంలో ట్రాపెజోయిడల్‌లో ఉంది, కాని కేంద్రంగా గుండ్రంగా మరియు లోతుగా ఉంది, ఎలివేటర్ కటౌట్‌లో కదులుతుంది. [1] ట్రిమోటర్ యొక్క మొదటి ఫ్లైట్ యొక్క తేదీ తె"&amp;"లియదు. 1920 ఆగస్టులో ఒక సమకాలీన నివేదిక [3] కాడ్బెక్-ఎన్-కాక్స్ వద్ద లాథమ్ ఫ్యాక్టరీలో పరీక్షలు సంతృప్తికరంగా పూర్తి చేయడాన్ని గుర్తించి, దీనిని కొత్త ""ఎత్తైన సముద్రాలు"" ఫ్లయింగ్ బోట్ 1920 వసంతకాలంలో ఒక ఆధునిక ఖాతా సూచిస్తుంది, ఇది ఒక ఆధునిక ఖాతా 1919 ఇ"&amp;"స్తుంది. [2] నాలుగు ట్రిమోటర్లను మెరైన్ ఫ్రాంకైస్ ఆదేశించారు. [1] [2] మొదటిది పరీక్షించినప్పుడు నేవీ ఫిర్యాదు చేసింది, అలైటింగ్ కాంటాక్ట్ చాలా కష్టమని మరియు లాథమ్ ప్లానింగ్ ఉపరితలాన్ని సవరించాడు, ఇది కఠినమైన చైన్ (ఒక కోణీయ V) ను ఇస్తుంది మరియు ఇతర మూడు నా"&amp;"వికాదళ ట్రిమోటర్లలో దీనిని ఉపయోగించింది, అప్పుడు సున్నితమైన ల్యాండింగ్ లక్షణాలను ఇస్తుంది. వారు నాలుగు ""పెద్ద"" బాంబులను ""తీసుకెళ్లగలరు. [1] 1921 లో లాథమ్ హెచ్బి 5 పౌర అభివృద్ధిగా ఉద్దేశించబడింది, సారూప్యంగా కానీ వివరంగా ఒకేలా లేదు మరియు మూడు కాకుండా, క"&amp;"ొంచెం తక్కువ శక్తివంతమైన ఇంజిన్ల కంటే నలుగురితో నడిచేది 750 కిలోవాట్ల శక్తి (1,000 హెచ్‌పి).")</f>
        <v>లాథమ్ ట్రిమోటర్ అనేది మొదటి ప్రపంచ యుద్ధం తరువాత నిర్మించిన ఒక పెద్ద ఫ్రెంచ్ ట్రిమోటర్ బిప్‌లేన్ మరియు ఫ్రెంచ్ నావికాదళం తక్కువ సంఖ్యలో ఉపయోగించబడింది. లాథమ్ ట్రిమోటర్ (దాని లాథమ్ రకం సంఖ్య తెలియదు) ఒక పెద్ద బిప్‌లేన్, అసమాన వ్యవధి, బ్లంటెడ్ దీర్ఘచతురస్రాకార ప్రణాళిక రెక్కలు ఆ సమయంలో అధిక కారక నిష్పత్తి. స్ప్రూస్ మరియు పోప్లర్ ప్లైవుడ్ నుండి నిర్మించిన ఒక జత స్పార్స్ చుట్టూ రెక్కలు నిర్మించబడ్డాయి. అవి ఫాబ్రిక్ కప్పబడి ఉన్నాయి మరియు మూడు భాగాలలో, ఎగువ పొట్టుకు అనుసంధానించబడిన ఒక కేంద్ర విభాగం మరియు రెండు బాహ్య విభాగాలు రెండు బేస్‌లుగా విభజించబడ్డాయి, మూడు నిలువు జతల సమాంతర ఇంటర్‌ప్లేన్ స్ట్రట్‌లతో, సెంట్రల్ విభాగంతో జంక్షన్ వద్ద లోపలి భాగం. అప్పర్ వింగ్ సెంటర్ విభాగానికి ఫ్యూజ్‌లేజ్‌పై ఫార్వర్డ్ విలోమ వి-స్ట్రట్ ఫార్వర్డ్ లాంగన్‌కు మరియు వెనుక లాంగన్‌కు రెండు నిలువు స్ట్రట్‌ల ద్వారా మద్దతు ఇచ్చింది. అవుట్‌బోర్డ్, ఎగువ వింగ్ యొక్క ఓవర్‌హాంగ్‌లు బాహ్య ఇంటర్‌ప్లేన్ జతల పాదాల నుండి బాహ్యంగా లీనింగ్ జతల స్ట్రట్‌ల ద్వారా మద్దతు ఇచ్చాయి; ఈ పాయింట్ల క్రింద చిన్న, ఫ్లాట్ బాటమ్డ్ ఫ్లోట్లు నీటిపై పార్శ్వ స్థిరత్వాన్ని అందించాయి. దీని ఐలెరాన్లు సమతుల్యతను కలిగి ఉన్నాయి మరియు ఎగువ వింగ్ మీద మాత్రమే అమర్చబడ్డాయి; అవి చిన్నవి, బయటి ఇంటర్‌ప్లేన్ స్ట్రట్‌ల నుండి బయటికి చేరుకుంటాయి. [1] [2] మూడు 250 కిలోవాట్ల (340 హెచ్‌పి) పాన్‌హార్డ్-లెవాసర్ 12 సిబి వి -12 ఇంజన్లు స్టీల్ ఫ్రేమ్‌లపై సెంట్రల్ విభాగంలో రెక్కల మధ్య మిడ్ వేలో అమర్చబడ్డాయి. బయటి రెండు ట్రాక్టర్ కాన్ఫిగరేషన్‌లో ఉన్నాయి మరియు ఫ్యూజ్‌లేజ్ పైన అమర్చిన సెంట్రల్ ఒకటి ఒక పషర్. వారి ముందు దీర్ఘచతురస్రాకార రేడియేటర్లను కలిగి ఉన్నారు. ప్రతి ఒక్కటి నాలుగు బ్లేడ్ ప్రొపెల్లర్‌ను నడిపారు. సెంట్రల్ ప్రొపెల్లర్ ఫ్యూజ్‌లేజ్‌ను క్లియర్ చేయడానికి, సెంట్రల్ ఇంజిన్ ఇతరులకన్నా ఎక్కువగా అమర్చబడి ఉంది మరియు ప్రొపెల్లర్ క్లియరెన్స్ కోసం వెనుకంజలో ఉన్న అంచుని అందించడానికి ఎగువ వింగ్ యొక్క తీగ తగ్గింది. వారి మూడు 530 ఎల్ (120 ఇంప్ గల్; ఇంధనం వీటి నుండి ఎగువ రెక్కలోని ఫీడర్ ట్యాంకుకు పంప్ చేయబడింది, తద్వారా ఇంజన్లు గురుత్వాకర్షణ తినిపించబడతాయి. [1] [2] ట్రిమోటర్ యొక్క పొట్టు బూడిదను ఫ్రేమ్ చేసి పోప్లర్ లేదా బిర్చ్ ప్లైవుడ్‌తో కప్పబడి ఉంది. ఫార్వర్డ్ ప్లానింగ్ హల్ మృదువైన చైన్ కలిగి ఉంది, ఇది రెక్కల క్రింద ఒకే, నిస్సార దశలో ముగుస్తుంది. II అంతర్గతంగా ఏడు ఇంటర్-యాక్సెస్ చేయగల కంపార్ట్మెంట్లుగా విభజించబడింది. మొట్టమొదటిది విపరీతమైన ముక్కులో మెషిన్ గన్నర్ యొక్క పోస్ట్‌ను మరియు రెండవది ముక్కు మరియు రెక్క యొక్క ప్రముఖ అంచు మధ్య ద్వంద్వ నియంత్రణలతో సైడ్-బై-సైడ్ ఓపెన్ పైలట్ యొక్క కాక్‌పిట్‌ను కలిగి ఉంది. ఫ్లైట్ ఇంజనీర్ మూడవ కంపార్ట్‌మెంట్‌ను రెండు ఫార్వర్డ్ ఇంధన ట్యాంకులతో పంచుకున్నాడు, డోర్సల్ హాచ్ ద్వారా ప్రాప్యతతో మరియు పైకప్పులోని పోర్త్‌హోల్ ద్వారా వెలిగిపోయాడు. నాల్గవ మరియు ఐదవ కంపార్ట్మెంట్లు వరుసగా ఉపయోగకరమైన లోడ్ మరియు ఇంధనాన్ని కలిగి ఉన్నాయి. ఆరవ కంపార్ట్మెంట్ ఖాళీగా ఉన్న దశ యొక్క మరింత సన్నని ఫ్యూజ్‌లేజ్ వెనుక భాగంలో ఉంది, కాని ఏడవ స్థానంలో డోర్సల్ గన్నర్ యొక్క కాక్‌పిట్ మరియు రేడియో ఆపరేటర్స్ క్యాబిన్, సైడ్ పోర్త్‌హోల్స్ ద్వారా వెలిగిపోయింది. [1] పొట్టు వెనుక వైపుకు సన్నగా మారింది మరియు దాని ఎగువ మరియు దిగువ విమానాలపై సమతుల్య ఎలివేటర్లతో బైప్‌లేన్, స్థిరమైన తీగ క్షితిజ సమాంతర తోకకు మద్దతుగా పైకి వక్రంగా ఉంది. దిగువ ఎలివేటర్ సెంట్రల్ వి-ఆకారపు కటౌట్‌తో రెండు భాగాలుగా ఉంది. విమానాల మధ్య మూడు రెక్కలు ఉన్నాయి, ఒక్కొక్కటి చుక్కాని తీసుకువెళుతున్నాయి; ఎలివేటర్ కదలికను అనుమతించడానికి బయటి జంట ఆకారంలో ట్రాపెజోయిడల్‌లో ఉంది, కాని కేంద్రంగా గుండ్రంగా మరియు లోతుగా ఉంది, ఎలివేటర్ కటౌట్‌లో కదులుతుంది. [1] ట్రిమోటర్ యొక్క మొదటి ఫ్లైట్ యొక్క తేదీ తెలియదు. 1920 ఆగస్టులో ఒక సమకాలీన నివేదిక [3] కాడ్బెక్-ఎన్-కాక్స్ వద్ద లాథమ్ ఫ్యాక్టరీలో పరీక్షలు సంతృప్తికరంగా పూర్తి చేయడాన్ని గుర్తించి, దీనిని కొత్త "ఎత్తైన సముద్రాలు" ఫ్లయింగ్ బోట్ 1920 వసంతకాలంలో ఒక ఆధునిక ఖాతా సూచిస్తుంది, ఇది ఒక ఆధునిక ఖాతా 1919 ఇస్తుంది. [2] నాలుగు ట్రిమోటర్లను మెరైన్ ఫ్రాంకైస్ ఆదేశించారు. [1] [2] మొదటిది పరీక్షించినప్పుడు నేవీ ఫిర్యాదు చేసింది, అలైటింగ్ కాంటాక్ట్ చాలా కష్టమని మరియు లాథమ్ ప్లానింగ్ ఉపరితలాన్ని సవరించాడు, ఇది కఠినమైన చైన్ (ఒక కోణీయ V) ను ఇస్తుంది మరియు ఇతర మూడు నావికాదళ ట్రిమోటర్లలో దీనిని ఉపయోగించింది, అప్పుడు సున్నితమైన ల్యాండింగ్ లక్షణాలను ఇస్తుంది. వారు నాలుగు "పెద్ద" బాంబులను "తీసుకెళ్లగలరు. [1] 1921 లో లాథమ్ హెచ్బి 5 పౌర అభివృద్ధిగా ఉద్దేశించబడింది, సారూప్యంగా కానీ వివరంగా ఒకేలా లేదు మరియు మూడు కాకుండా, కొంచెం తక్కువ శక్తివంతమైన ఇంజిన్ల కంటే నలుగురితో నడిచేది 750 కిలోవాట్ల శక్తి (1,000 హెచ్‌పి).</v>
      </c>
      <c r="E71" s="1" t="s">
        <v>1258</v>
      </c>
      <c r="F71" s="1" t="str">
        <f>IFERROR(__xludf.DUMMYFUNCTION("GOOGLETRANSLATE(E:E, ""en"", ""te"")"),"మిలిటరీ ట్రిమోటర్ ఫ్లయింగ్ బోట్")</f>
        <v>మిలిటరీ ట్రిమోటర్ ఫ్లయింగ్ బోట్</v>
      </c>
      <c r="G71" s="1" t="s">
        <v>113</v>
      </c>
      <c r="H71" s="1" t="str">
        <f>IFERROR(__xludf.DUMMYFUNCTION("GOOGLETRANSLATE(G:G, ""en"", ""te"")"),"ఫ్రాన్స్")</f>
        <v>ఫ్రాన్స్</v>
      </c>
      <c r="I71" s="1" t="s">
        <v>1259</v>
      </c>
      <c r="J71" s="1" t="str">
        <f>IFERROR(__xludf.DUMMYFUNCTION("GOOGLETRANSLATE(I:I, ""en"", ""te"")"),"లాథమ్ ఎట్ సి")</f>
        <v>లాథమ్ ఎట్ సి</v>
      </c>
      <c r="N71" s="1">
        <v>1919.0</v>
      </c>
      <c r="O71" s="1">
        <v>5.0</v>
      </c>
      <c r="P71" s="1" t="s">
        <v>1260</v>
      </c>
      <c r="R71" s="1" t="s">
        <v>1261</v>
      </c>
      <c r="S71" s="1" t="s">
        <v>1262</v>
      </c>
      <c r="T71" s="1" t="s">
        <v>1263</v>
      </c>
      <c r="U71" s="1" t="s">
        <v>1264</v>
      </c>
      <c r="V71" s="1" t="s">
        <v>1265</v>
      </c>
      <c r="W71" s="1" t="s">
        <v>1266</v>
      </c>
      <c r="X71" s="1" t="s">
        <v>1267</v>
      </c>
      <c r="AB71" s="1" t="s">
        <v>1268</v>
      </c>
      <c r="AC71" s="2" t="s">
        <v>713</v>
      </c>
      <c r="AE71" s="1" t="s">
        <v>1269</v>
      </c>
      <c r="AF71" s="1" t="s">
        <v>1270</v>
      </c>
      <c r="AG71" s="1" t="s">
        <v>149</v>
      </c>
      <c r="AJ71" s="1">
        <v>4.0</v>
      </c>
      <c r="AQ71" s="1" t="s">
        <v>1271</v>
      </c>
      <c r="AS71" s="1" t="s">
        <v>1272</v>
      </c>
      <c r="BP71" s="1" t="s">
        <v>1273</v>
      </c>
      <c r="BZ71" s="1" t="s">
        <v>1274</v>
      </c>
      <c r="CA71" s="1" t="s">
        <v>1275</v>
      </c>
      <c r="CC71" s="1" t="s">
        <v>1276</v>
      </c>
      <c r="CE71" s="1" t="s">
        <v>1277</v>
      </c>
      <c r="CF71" s="1" t="s">
        <v>1278</v>
      </c>
      <c r="CI71" s="1" t="s">
        <v>1279</v>
      </c>
      <c r="CO71" s="1" t="s">
        <v>1280</v>
      </c>
    </row>
    <row r="72">
      <c r="A72" s="1" t="s">
        <v>1281</v>
      </c>
      <c r="B72" s="1" t="str">
        <f>IFERROR(__xludf.DUMMYFUNCTION("GOOGLETRANSLATE(A:A, ""en"", ""te"")"),"సూపర్ మేరిన్ రకం 324")</f>
        <v>సూపర్ మేరిన్ రకం 324</v>
      </c>
      <c r="C72" s="1" t="s">
        <v>1282</v>
      </c>
      <c r="D72" s="1" t="str">
        <f>IFERROR(__xludf.DUMMYFUNCTION("GOOGLETRANSLATE(C:C, ""en"", ""te"")"),"సూపర్ మేరిన్ టైప్ 324 మరియు టైప్ 325 సూపర్ మేరిన్ స్పిట్‌ఫైర్ మరియు హాకర్ హరికేన్‌ల స్థానంలో బ్రిటిష్ రెండు ఇంజిన్ ఫైటర్ డిజైన్‌లు ప్రతిపాదించబడ్డాయి. వాటిలో ఏవీ లేదా సవరించిన డిజైన్ - టైప్ 327 - కానన్ తీసుకెళ్లడానికి అభివృద్ధి మరియు ఉత్పత్తి కోసం అంగీకరి"&amp;"ంచబడింది. హరికేన్ మరియు స్పిట్‌ఫైర్ విజయవంతం కావడానికి ఒక విమానంగా, ఎయిర్ మినిస్ట్రీ స్పెసిఫికేషన్ F.18/37 పన్నెండు .303 అంగుళాల మెషిన్ గన్ ఆయుధాలతో 400+ mph (15,000 అడుగుల వద్ద) ఫైటర్ అవసరం. హాకర్ ఎయిర్క్రాఫ్ట్ ఒకే సీటును, రెండు ఇంజిన్లతో సింగిల్ ఇంజిన్ "&amp;"డిజైన్‌ను సమర్పించింది, హాకర్ సుడిగాలి రోల్స్ రాయిస్ రాబందు మరియు హాకర్ టైఫూన్, నేపియర్ సాబెర్ ఇంజిన్‌తో. గ్లోస్టర్ ముక్కులో 12 బ్రౌనింగ్ మెషిన్ గన్‌లతో రెండు సారూప్య ట్విన్-బూమ్ డిజైన్లను మరియు పషర్ సాబెర్ ఇంజిన్‌తో పాటు ముక్కు-మౌంటెడ్ ఆయుధాలతో F.9/37 కు"&amp;" వారి ప్రతిపాదనను అనుసరించడం. బ్రిస్టల్ యొక్క రూపకల్పన మూడు ప్రత్యామ్నాయ ఇంజిన్లతో అందించే ఒక ఎయిర్ఫ్రేమ్. 1938 లో, సూపర్మారైన్ టైప్ 324 (కంపెనీ స్పెసిఫికేషన్ నెం .458 కింద) తో పాటు 325 అని వివరించే బ్రోచర్లను సమర్పించింది. రెండూ కాంపాక్ట్ ట్విన్ -ఇంజిన్ "&amp;"డిజైన్స్ - ఒక ట్రాక్టర్ మరియు ఒక పుషర్ - రోల్స్ రాయిస్ మెర్లిన్ లేదా బ్రిస్టల్ టారస్ ఇంజిన్లతో ఉన్నాయి. హాకర్ యొక్క నమూనాలు - ఏప్రిల్ 1937 నుండి సిడ్నీ కామ్ పనిచేస్తోంది - అంగీకరించబడింది మరియు ప్రతి ఆదేశించిన ప్రోటోటైప్‌లు. టైప్ 324 అనేది తక్కువ-వింగ్, ట"&amp;"్విన్-ఇంజిన్ మోనోప్లేన్, స్పిట్‌ఫైర్ యొక్క ఎలిప్టికల్ వింగ్ ఆకారాన్ని కలిగి ఉంటుంది, ముడుచుకునే ట్రైసైకిల్ అండర్ క్యారేజీతో. జంట ఇంజన్లు గరిష్టంగా 450 mph గరిష్టంగా ఇస్తాయని భావించారు. అదనంగా, ట్విన్ లేఅవుట్ టార్క్ రద్దు, మెరుగైన పైలట్ వీక్షణ, ట్రైసైకిల్ "&amp;"ల్యాండింగ్ గేర్, పనితీరు, మెరుగైన టేకాఫ్ పనితీరు మరియు నిరూపితమైన మెర్లిన్ ఇంజిన్ యొక్క ఉపయోగం యొక్క సాధారణ ప్రయోజనాలను ఇచ్చింది. విమానం యొక్క నిర్మాణం ఆల్క్లాడ్ అల్యూమినియం మిశ్రమం. రెక్కలు విభాగాలలో రూపొందించబడ్డాయి, తద్వారా ప్రత్యామ్నాయ ఇంజన్లు (వృషభం)"&amp;" లేదా ఆయుధాలను వసతి కల్పించవచ్చు. టేకాఫ్/ల్యాండింగ్ కోసం ఫౌలర్ ఫ్లాప్స్ అమర్చబడ్డాయి. పనితీరును మెరుగుపరచడానికి స్పాయిలర్ ఫ్లాప్‌లు అమర్చబడ్డాయి. అనేక ఆయుధ రకాలు పరిగణించబడ్డాయి. ప్రతి వింగ్ uter టర్ విభాగంలో ఆరు యొక్క రెండు ప్యాక్‌లలో ప్రధానమైనది 12 బ్రౌ"&amp;"నింగ్; ఆయుధాల వేగవంతమైన పునర్వ్యవస్థీకరణ మరియు సేవలను అనుమతించడానికి వీటిని మందుగుండు సామగ్రిని పూర్తి చేయవచ్చు. వెస్ట్‌ల్యాండ్ వర్ల్‌విండ్ ఫిరంగి-సాయుధ పోరాట యోధుడిపై వైమానిక మంత్రిత్వ శాఖ పురోగతి చాలా నెమ్మదిగా ఉందని భావించినప్పుడు, వారు F.18/37 టెండర్ల"&amp;"ను 20 మిమీ ఫిరంగి ఆయుధాలతో సవరించాలని కోరారు. సూపర్ మేరిన్ పషర్ డిజైన్‌ను వదులుకుంది మరియు సిక్స్ -కానన్ ఫైటర్‌ను టైప్ 327 గా ప్రతిపాదించింది. మంత్రిత్వ శాఖ దాని ప్రయోజనాలు ఇతర పరిగణనలను అధిగమిస్తాయని భావించలేదు మరియు సుడిగాలి - లేదా బ్రిస్టల్ బ్యూఫోర్ట్ "&amp;"యొక్క అనుసరణ - సూపర్ మేరిన్ రూపకల్పన ముందు సేవలోకి ప్రవేశిస్తుంది. రోల్స్ రాయిస్ మెర్లిన్ గరిష్ట వేగం: 450 mph క్రూయిజ్ స్పీడ్ 15000 అడుగులు: 195 mph స్పాన్ 41 ft x 40 ft రూట్ నటు 9 మిమీ x 9 ft సగటు తీగ 7.08 మిమీ x 7.08 అడుగుల పొడవు 31.5 అడుగులు x 33.5 అడ"&amp;"ుగుల ఎత్తు 10.2 అడుగులు 9.75 అడుగులు")</f>
        <v>సూపర్ మేరిన్ టైప్ 324 మరియు టైప్ 325 సూపర్ మేరిన్ స్పిట్‌ఫైర్ మరియు హాకర్ హరికేన్‌ల స్థానంలో బ్రిటిష్ రెండు ఇంజిన్ ఫైటర్ డిజైన్‌లు ప్రతిపాదించబడ్డాయి. వాటిలో ఏవీ లేదా సవరించిన డిజైన్ - టైప్ 327 - కానన్ తీసుకెళ్లడానికి అభివృద్ధి మరియు ఉత్పత్తి కోసం అంగీకరించబడింది. హరికేన్ మరియు స్పిట్‌ఫైర్ విజయవంతం కావడానికి ఒక విమానంగా, ఎయిర్ మినిస్ట్రీ స్పెసిఫికేషన్ F.18/37 పన్నెండు .303 అంగుళాల మెషిన్ గన్ ఆయుధాలతో 400+ mph (15,000 అడుగుల వద్ద) ఫైటర్ అవసరం. హాకర్ ఎయిర్క్రాఫ్ట్ ఒకే సీటును, రెండు ఇంజిన్లతో సింగిల్ ఇంజిన్ డిజైన్‌ను సమర్పించింది, హాకర్ సుడిగాలి రోల్స్ రాయిస్ రాబందు మరియు హాకర్ టైఫూన్, నేపియర్ సాబెర్ ఇంజిన్‌తో. గ్లోస్టర్ ముక్కులో 12 బ్రౌనింగ్ మెషిన్ గన్‌లతో రెండు సారూప్య ట్విన్-బూమ్ డిజైన్లను మరియు పషర్ సాబెర్ ఇంజిన్‌తో పాటు ముక్కు-మౌంటెడ్ ఆయుధాలతో F.9/37 కు వారి ప్రతిపాదనను అనుసరించడం. బ్రిస్టల్ యొక్క రూపకల్పన మూడు ప్రత్యామ్నాయ ఇంజిన్లతో అందించే ఒక ఎయిర్ఫ్రేమ్. 1938 లో, సూపర్మారైన్ టైప్ 324 (కంపెనీ స్పెసిఫికేషన్ నెం .458 కింద) తో పాటు 325 అని వివరించే బ్రోచర్లను సమర్పించింది. రెండూ కాంపాక్ట్ ట్విన్ -ఇంజిన్ డిజైన్స్ - ఒక ట్రాక్టర్ మరియు ఒక పుషర్ - రోల్స్ రాయిస్ మెర్లిన్ లేదా బ్రిస్టల్ టారస్ ఇంజిన్లతో ఉన్నాయి. హాకర్ యొక్క నమూనాలు - ఏప్రిల్ 1937 నుండి సిడ్నీ కామ్ పనిచేస్తోంది - అంగీకరించబడింది మరియు ప్రతి ఆదేశించిన ప్రోటోటైప్‌లు. టైప్ 324 అనేది తక్కువ-వింగ్, ట్విన్-ఇంజిన్ మోనోప్లేన్, స్పిట్‌ఫైర్ యొక్క ఎలిప్టికల్ వింగ్ ఆకారాన్ని కలిగి ఉంటుంది, ముడుచుకునే ట్రైసైకిల్ అండర్ క్యారేజీతో. జంట ఇంజన్లు గరిష్టంగా 450 mph గరిష్టంగా ఇస్తాయని భావించారు. అదనంగా, ట్విన్ లేఅవుట్ టార్క్ రద్దు, మెరుగైన పైలట్ వీక్షణ, ట్రైసైకిల్ ల్యాండింగ్ గేర్, పనితీరు, మెరుగైన టేకాఫ్ పనితీరు మరియు నిరూపితమైన మెర్లిన్ ఇంజిన్ యొక్క ఉపయోగం యొక్క సాధారణ ప్రయోజనాలను ఇచ్చింది. విమానం యొక్క నిర్మాణం ఆల్క్లాడ్ అల్యూమినియం మిశ్రమం. రెక్కలు విభాగాలలో రూపొందించబడ్డాయి, తద్వారా ప్రత్యామ్నాయ ఇంజన్లు (వృషభం) లేదా ఆయుధాలను వసతి కల్పించవచ్చు. టేకాఫ్/ల్యాండింగ్ కోసం ఫౌలర్ ఫ్లాప్స్ అమర్చబడ్డాయి. పనితీరును మెరుగుపరచడానికి స్పాయిలర్ ఫ్లాప్‌లు అమర్చబడ్డాయి. అనేక ఆయుధ రకాలు పరిగణించబడ్డాయి. ప్రతి వింగ్ uter టర్ విభాగంలో ఆరు యొక్క రెండు ప్యాక్‌లలో ప్రధానమైనది 12 బ్రౌనింగ్; ఆయుధాల వేగవంతమైన పునర్వ్యవస్థీకరణ మరియు సేవలను అనుమతించడానికి వీటిని మందుగుండు సామగ్రిని పూర్తి చేయవచ్చు. వెస్ట్‌ల్యాండ్ వర్ల్‌విండ్ ఫిరంగి-సాయుధ పోరాట యోధుడిపై వైమానిక మంత్రిత్వ శాఖ పురోగతి చాలా నెమ్మదిగా ఉందని భావించినప్పుడు, వారు F.18/37 టెండర్లను 20 మిమీ ఫిరంగి ఆయుధాలతో సవరించాలని కోరారు. సూపర్ మేరిన్ పషర్ డిజైన్‌ను వదులుకుంది మరియు సిక్స్ -కానన్ ఫైటర్‌ను టైప్ 327 గా ప్రతిపాదించింది. మంత్రిత్వ శాఖ దాని ప్రయోజనాలు ఇతర పరిగణనలను అధిగమిస్తాయని భావించలేదు మరియు సుడిగాలి - లేదా బ్రిస్టల్ బ్యూఫోర్ట్ యొక్క అనుసరణ - సూపర్ మేరిన్ రూపకల్పన ముందు సేవలోకి ప్రవేశిస్తుంది. రోల్స్ రాయిస్ మెర్లిన్ గరిష్ట వేగం: 450 mph క్రూయిజ్ స్పీడ్ 15000 అడుగులు: 195 mph స్పాన్ 41 ft x 40 ft రూట్ నటు 9 మిమీ x 9 ft సగటు తీగ 7.08 మిమీ x 7.08 అడుగుల పొడవు 31.5 అడుగులు x 33.5 అడుగుల ఎత్తు 10.2 అడుగులు 9.75 అడుగులు</v>
      </c>
      <c r="E72" s="1" t="s">
        <v>346</v>
      </c>
      <c r="F72" s="1" t="str">
        <f>IFERROR(__xludf.DUMMYFUNCTION("GOOGLETRANSLATE(E:E, ""en"", ""te"")"),"యుద్ధ")</f>
        <v>యుద్ధ</v>
      </c>
      <c r="L72" s="1" t="s">
        <v>1283</v>
      </c>
      <c r="M72" s="2" t="s">
        <v>1284</v>
      </c>
      <c r="AB72" s="2" t="s">
        <v>1285</v>
      </c>
      <c r="AD72" s="1" t="s">
        <v>1286</v>
      </c>
    </row>
    <row r="73">
      <c r="A73" s="1" t="s">
        <v>1287</v>
      </c>
      <c r="B73" s="1" t="str">
        <f>IFERROR(__xludf.DUMMYFUNCTION("GOOGLETRANSLATE(A:A, ""en"", ""te"")"),"విల్లియర్స్ viii")</f>
        <v>విల్లియర్స్ viii</v>
      </c>
      <c r="C73" s="1" t="s">
        <v>1288</v>
      </c>
      <c r="D73" s="1" t="str">
        <f>IFERROR(__xludf.DUMMYFUNCTION("GOOGLETRANSLATE(C:C, ""en"", ""te"")"),"విల్లియర్స్ VIII లేదా 8AMC1 ఒక ఫ్రెంచ్ షిప్‌బోర్డ్ ఫైటర్, ఇది నీటిపై పడగలదు. పోటీ పరీక్షల తరువాత, దీనికి ఉత్పత్తి క్రమాన్ని అందుకోలేదు. 1924 లో, విల్లియర్స్ వారి విల్లియర్స్ II లేదా టైప్ 2AMC2 తో కొంత విజయం సాధించారు, పడవ లాంటి ఫ్యూజ్‌లేజ్ అండర్‌సైడ్‌తో ర"&amp;"ెండు-సీట్ల షిప్‌బోర్డ్ ఫైటర్, ఇది అత్యవసర పరిస్థితుల్లో సముద్రంలో ఉంచడానికి వీలు కల్పించింది. 1926 సింగిల్ సీట్ టైప్ 8AMC1 అదే సామర్థ్యాన్ని కలిగి ఉంది. [1] ఇది ఒక దీర్ఘచతురస్రాకార ప్రణాళికను కలిగి ఉంది, పారాసోల్ వింగ్ దిగువ ఫ్యూజ్‌లేజ్ నుండి ప్రతి వైపు జ"&amp;"తల సమాంతర స్ట్రట్‌లతో కలుపుతారు, ఇది రెక్కను మూడింట రెండు వంతుల వ్యవధిలో కలుసుకుంది. సగం వరకు ఈ స్ట్రట్స్ తేలికైన జ్యూరీ స్ట్రట్స్ వింగ్ సెంటర్ విభాగం అంచుకు పరిగెత్తాయి, ఎగువ ఫ్యూజ్‌లేజ్ నుండి చిన్న కాబేన్ స్ట్రట్‌లను కలుసుకున్నాయి. రెక్కలు ఫాబ్రిక్ కవరి"&amp;"ంగ్‌తో చెక్క నిర్మాణాన్ని కలిగి ఉన్నాయి మరియు పూర్తి స్పాన్ ఐలెరాన్‌లను కలిగి ఉన్నాయి. [1] VIII యొక్క ఫ్యూజ్‌లేజ్ రకం కూడా చెక్క నిర్మాణాన్ని కలిగి ఉంది, కానీ ప్లైవుడ్ కప్పబడి ఉంది. ఇది అన్‌స్టెప్ చేయని ప్లానింగ్ బాటమ్‌ను కలిగి ఉంది మరియు ఫ్యూజ్‌లేజ్ నష్ట"&amp;"ంతో కూడా విమానం తేలుతూ ఉండటానికి అనేక నీటితో నిండిన కంపార్ట్‌మెంట్లుగా విభజించబడింది. నీటిపై అత్యవసర పరిస్థితుల్లో భూమి అండర్ క్యారేజ్ జెట్టిసన్ చేయబడింది మరియు ప్రతి వైపు ఒక ప్లానింగ్ ఫ్లోట్ ద్వారా విమానం స్థిరీకరించబడింది, జ్యూరీ స్ట్రట్స్ దిగువ చివర రె"&amp;"క్క స్ట్రట్స్ మీద అమర్చబడింది. భూమి చక్రాలు ఒకే ఇరుసుపై ఉన్నాయి, దిగువ ఫ్యూజ్‌లేజ్ నుండి రేఖాంశ V- స్ట్రట్‌లు మరియు అదే పాయింట్ల నుండి క్రాస్-సభ్యుల మధ్యలో ఒక విలోమ V చేత ఏర్పడిన ఫ్రేమ్ యొక్క క్రాస్-సభ్యుడు నుండి పుట్టుకొచ్చాయి. పైలట్ యొక్క ఓపెన్ కాక్‌పిట"&amp;"్ వింగ్ వెనుకంజలో ఉన్న ఎడ్జ్ కటౌట్ కింద ఉంది మరియు చిన్న, క్రమబద్ధీకరించిన హెడ్-రెస్ట్ అందించబడింది. అతను రెండు స్థిర 7.7 మిమీ (0.303 అంగుళాలు) సింక్రొనైజ్డ్ మెషిన్ గన్లను ప్రొపెల్లర్ డిస్క్ ద్వారా కాల్చాడు. [1] దీని తోక యూనిట్ సాంప్రదాయంగా ఉంది, విస్తృత "&amp;"తీగతో, క్లిప్డ్ త్రిభుజాకార టెయిల్‌ప్లేన్ ఫ్యూజ్‌లేజ్ పైన అమర్చబడి, ప్రత్యేక, గుండ్రని అంచు, సమతుల్య ఎలివేటర్లతో అమర్చబడి ఉంటుంది. త్రిభుజాకార ఫిన్ మరియు దాని పూర్తి, గుండ్రని అసమతుల్య చుక్కలు కూడా విస్తృతంగా ఉన్నాయి, చుక్కాని కీల్‌కు విస్తరించి, ఎలివేటర్"&amp;"ల మధ్య అంతరంలో పనిచేస్తుంది. [1] VIII యొక్క మొదటి విమాన రకం యొక్క ఖచ్చితమైన తేదీ తెలియదు కాని దీనిని 1926 చివరలో సెయింట్-రాఫెల్ వద్ద సైనిక పరీక్షలలో VIL 8AMC1 గా అంచనా వేశారు. మిలిటరీ తన పోటీదారు, లెవీ-బిచ్ LB 2AMC1 ను ఇష్టపడింది మరియు VIII రకం అభివృద్ధి "&amp;"ముగిసింది. [1] గ్రీన్ మరియు స్వాన్బరో నుండి డేటా (1994) పే .582 [1] సాధారణ లక్షణాలు పనితీరు ఆయుధాలు")</f>
        <v>విల్లియర్స్ VIII లేదా 8AMC1 ఒక ఫ్రెంచ్ షిప్‌బోర్డ్ ఫైటర్, ఇది నీటిపై పడగలదు. పోటీ పరీక్షల తరువాత, దీనికి ఉత్పత్తి క్రమాన్ని అందుకోలేదు. 1924 లో, విల్లియర్స్ వారి విల్లియర్స్ II లేదా టైప్ 2AMC2 తో కొంత విజయం సాధించారు, పడవ లాంటి ఫ్యూజ్‌లేజ్ అండర్‌సైడ్‌తో రెండు-సీట్ల షిప్‌బోర్డ్ ఫైటర్, ఇది అత్యవసర పరిస్థితుల్లో సముద్రంలో ఉంచడానికి వీలు కల్పించింది. 1926 సింగిల్ సీట్ టైప్ 8AMC1 అదే సామర్థ్యాన్ని కలిగి ఉంది. [1] ఇది ఒక దీర్ఘచతురస్రాకార ప్రణాళికను కలిగి ఉంది, పారాసోల్ వింగ్ దిగువ ఫ్యూజ్‌లేజ్ నుండి ప్రతి వైపు జతల సమాంతర స్ట్రట్‌లతో కలుపుతారు, ఇది రెక్కను మూడింట రెండు వంతుల వ్యవధిలో కలుసుకుంది. సగం వరకు ఈ స్ట్రట్స్ తేలికైన జ్యూరీ స్ట్రట్స్ వింగ్ సెంటర్ విభాగం అంచుకు పరిగెత్తాయి, ఎగువ ఫ్యూజ్‌లేజ్ నుండి చిన్న కాబేన్ స్ట్రట్‌లను కలుసుకున్నాయి. రెక్కలు ఫాబ్రిక్ కవరింగ్‌తో చెక్క నిర్మాణాన్ని కలిగి ఉన్నాయి మరియు పూర్తి స్పాన్ ఐలెరాన్‌లను కలిగి ఉన్నాయి. [1] VIII యొక్క ఫ్యూజ్‌లేజ్ రకం కూడా చెక్క నిర్మాణాన్ని కలిగి ఉంది, కానీ ప్లైవుడ్ కప్పబడి ఉంది. ఇది అన్‌స్టెప్ చేయని ప్లానింగ్ బాటమ్‌ను కలిగి ఉంది మరియు ఫ్యూజ్‌లేజ్ నష్టంతో కూడా విమానం తేలుతూ ఉండటానికి అనేక నీటితో నిండిన కంపార్ట్‌మెంట్లుగా విభజించబడింది. నీటిపై అత్యవసర పరిస్థితుల్లో భూమి అండర్ క్యారేజ్ జెట్టిసన్ చేయబడింది మరియు ప్రతి వైపు ఒక ప్లానింగ్ ఫ్లోట్ ద్వారా విమానం స్థిరీకరించబడింది, జ్యూరీ స్ట్రట్స్ దిగువ చివర రెక్క స్ట్రట్స్ మీద అమర్చబడింది. భూమి చక్రాలు ఒకే ఇరుసుపై ఉన్నాయి, దిగువ ఫ్యూజ్‌లేజ్ నుండి రేఖాంశ V- స్ట్రట్‌లు మరియు అదే పాయింట్ల నుండి క్రాస్-సభ్యుల మధ్యలో ఒక విలోమ V చేత ఏర్పడిన ఫ్రేమ్ యొక్క క్రాస్-సభ్యుడు నుండి పుట్టుకొచ్చాయి. పైలట్ యొక్క ఓపెన్ కాక్‌పిట్ వింగ్ వెనుకంజలో ఉన్న ఎడ్జ్ కటౌట్ కింద ఉంది మరియు చిన్న, క్రమబద్ధీకరించిన హెడ్-రెస్ట్ అందించబడింది. అతను రెండు స్థిర 7.7 మిమీ (0.303 అంగుళాలు) సింక్రొనైజ్డ్ మెషిన్ గన్లను ప్రొపెల్లర్ డిస్క్ ద్వారా కాల్చాడు. [1] దీని తోక యూనిట్ సాంప్రదాయంగా ఉంది, విస్తృత తీగతో, క్లిప్డ్ త్రిభుజాకార టెయిల్‌ప్లేన్ ఫ్యూజ్‌లేజ్ పైన అమర్చబడి, ప్రత్యేక, గుండ్రని అంచు, సమతుల్య ఎలివేటర్లతో అమర్చబడి ఉంటుంది. త్రిభుజాకార ఫిన్ మరియు దాని పూర్తి, గుండ్రని అసమతుల్య చుక్కలు కూడా విస్తృతంగా ఉన్నాయి, చుక్కాని కీల్‌కు విస్తరించి, ఎలివేటర్ల మధ్య అంతరంలో పనిచేస్తుంది. [1] VIII యొక్క మొదటి విమాన రకం యొక్క ఖచ్చితమైన తేదీ తెలియదు కాని దీనిని 1926 చివరలో సెయింట్-రాఫెల్ వద్ద సైనిక పరీక్షలలో VIL 8AMC1 గా అంచనా వేశారు. మిలిటరీ తన పోటీదారు, లెవీ-బిచ్ LB 2AMC1 ను ఇష్టపడింది మరియు VIII రకం అభివృద్ధి ముగిసింది. [1] గ్రీన్ మరియు స్వాన్బరో నుండి డేటా (1994) పే .582 [1] సాధారణ లక్షణాలు పనితీరు ఆయుధాలు</v>
      </c>
      <c r="E73" s="1" t="s">
        <v>1289</v>
      </c>
      <c r="F73" s="1" t="str">
        <f>IFERROR(__xludf.DUMMYFUNCTION("GOOGLETRANSLATE(E:E, ""en"", ""te"")"),"సింగిల్ సీట్ మెరైన్ ఫైటర్")</f>
        <v>సింగిల్ సీట్ మెరైన్ ఫైటర్</v>
      </c>
      <c r="G73" s="1" t="s">
        <v>113</v>
      </c>
      <c r="H73" s="1" t="str">
        <f>IFERROR(__xludf.DUMMYFUNCTION("GOOGLETRANSLATE(G:G, ""en"", ""te"")"),"ఫ్రాన్స్")</f>
        <v>ఫ్రాన్స్</v>
      </c>
      <c r="I73" s="1" t="s">
        <v>738</v>
      </c>
      <c r="J73" s="1" t="str">
        <f>IFERROR(__xludf.DUMMYFUNCTION("GOOGLETRANSLATE(I:I, ""en"", ""te"")"),"అటెలియర్స్ డి'ఏవియేషన్ ఫ్రాంకోయిస్ విల్లియర్స్")</f>
        <v>అటెలియర్స్ డి'ఏవియేషన్ ఫ్రాంకోయిస్ విల్లియర్స్</v>
      </c>
      <c r="K73" s="1" t="s">
        <v>739</v>
      </c>
      <c r="N73" s="1">
        <v>1926.0</v>
      </c>
      <c r="O73" s="1" t="s">
        <v>135</v>
      </c>
      <c r="P73" s="1" t="s">
        <v>1290</v>
      </c>
      <c r="Q73" s="1" t="s">
        <v>1291</v>
      </c>
      <c r="R73" s="1" t="s">
        <v>1292</v>
      </c>
      <c r="S73" s="1" t="s">
        <v>1293</v>
      </c>
      <c r="T73" s="1" t="s">
        <v>1294</v>
      </c>
      <c r="U73" s="1" t="s">
        <v>1295</v>
      </c>
      <c r="V73" s="1" t="s">
        <v>1296</v>
      </c>
      <c r="W73" s="1" t="s">
        <v>1297</v>
      </c>
      <c r="AA73" s="1" t="s">
        <v>1298</v>
      </c>
      <c r="AB73" s="1" t="s">
        <v>1299</v>
      </c>
      <c r="AC73" s="2" t="s">
        <v>713</v>
      </c>
      <c r="AF73" s="1" t="s">
        <v>909</v>
      </c>
      <c r="CA73" s="1" t="s">
        <v>1300</v>
      </c>
    </row>
    <row r="74">
      <c r="A74" s="1" t="s">
        <v>1301</v>
      </c>
      <c r="B74" s="1" t="str">
        <f>IFERROR(__xludf.DUMMYFUNCTION("GOOGLETRANSLATE(A:A, ""en"", ""te"")"),"మైక్రోనాటిక్స్ ట్రిటాన్")</f>
        <v>మైక్రోనాటిక్స్ ట్రిటాన్</v>
      </c>
      <c r="C74" s="1" t="s">
        <v>1302</v>
      </c>
      <c r="D74" s="1" t="str">
        <f>IFERROR(__xludf.DUMMYFUNCTION("GOOGLETRANSLATE(C:C, ""en"", ""te"")"),"మైక్రోనాటిక్స్ ట్రిటాన్ ఒక అమెరికన్ 3-5 ప్యాసింజర్ సందర్శనా మరియు విమాన అనుభవ విమానం. ట్రిటాన్ అనేది సింగిల్ ఇంజిన్ పషర్ విమానం, ఇది మూడు ఫ్యూజ్‌లేజ్ విభాగాలతో మిడ్-వింగ్ మరియు డబుల్-వి ఆకారపు టెయిల్‌ప్లేన్‌తో చేరింది. ఉభయచర మరియు ఎలక్ట్రిక్ హైబ్రిడ్ వేరి"&amp;"యంట్లు ప్రణాళిక చేయబడ్డాయి. [1] బాలిస్టిక్ పారాచూట్ డిజైన్‌లో విలీనం చేయబడుతుంది. [2] బాబ్ స్మిత్ ఇండస్ట్రీస్, ఇంక్ యొక్క విభాగం మైక్రోనాటిక్స్ అభివృద్ధిలో ఉంది. అయోపజెనరల్ క్యారెక్టరిస్టిక్స్ పనితీరు పనితీరు విమానం మాస్టర్ పీస్ http://luxebeatmag.com/wp-"&amp;"content/uploads/2014/06/triton.pdfjetgala magazine https: //web.archive. .org/web/20141107233317/http: //www.jetgala.com/downloads/pdf-jetgala-magazine-ission-21.pdfhttp: //www.bsi-inc.com/triton.html.html.html.")</f>
        <v>మైక్రోనాటిక్స్ ట్రిటాన్ ఒక అమెరికన్ 3-5 ప్యాసింజర్ సందర్శనా మరియు విమాన అనుభవ విమానం. ట్రిటాన్ అనేది సింగిల్ ఇంజిన్ పషర్ విమానం, ఇది మూడు ఫ్యూజ్‌లేజ్ విభాగాలతో మిడ్-వింగ్ మరియు డబుల్-వి ఆకారపు టెయిల్‌ప్లేన్‌తో చేరింది. ఉభయచర మరియు ఎలక్ట్రిక్ హైబ్రిడ్ వేరియంట్లు ప్రణాళిక చేయబడ్డాయి. [1] బాలిస్టిక్ పారాచూట్ డిజైన్‌లో విలీనం చేయబడుతుంది. [2] బాబ్ స్మిత్ ఇండస్ట్రీస్, ఇంక్ యొక్క విభాగం మైక్రోనాటిక్స్ అభివృద్ధిలో ఉంది. అయోపజెనరల్ క్యారెక్టరిస్టిక్స్ పనితీరు పనితీరు విమానం మాస్టర్ పీస్ http://luxebeatmag.com/wp-content/uploads/2014/06/triton.pdfjetgala magazine https: //web.archive. .org/web/20141107233317/http: //www.jetgala.com/downloads/pdf-jetgala-magazine-ission-21.pdfhttp: //www.bsi-inc.com/triton.html.html.html.</v>
      </c>
      <c r="E74" s="1" t="s">
        <v>551</v>
      </c>
      <c r="F74" s="1" t="str">
        <f>IFERROR(__xludf.DUMMYFUNCTION("GOOGLETRANSLATE(E:E, ""en"", ""te"")"),"తేలికపాటి విమానం")</f>
        <v>తేలికపాటి విమానం</v>
      </c>
      <c r="G74" s="1" t="s">
        <v>155</v>
      </c>
      <c r="H74" s="1" t="str">
        <f>IFERROR(__xludf.DUMMYFUNCTION("GOOGLETRANSLATE(G:G, ""en"", ""te"")"),"అమెరికా")</f>
        <v>అమెరికా</v>
      </c>
      <c r="I74" s="1" t="s">
        <v>1303</v>
      </c>
      <c r="J74" s="1" t="str">
        <f>IFERROR(__xludf.DUMMYFUNCTION("GOOGLETRANSLATE(I:I, ""en"", ""te"")"),"మైక్రోనాటిక్స్")</f>
        <v>మైక్రోనాటిక్స్</v>
      </c>
      <c r="O74" s="1">
        <v>1.0</v>
      </c>
      <c r="P74" s="1" t="s">
        <v>1304</v>
      </c>
      <c r="Q74" s="1" t="s">
        <v>1305</v>
      </c>
      <c r="R74" s="1" t="s">
        <v>1306</v>
      </c>
      <c r="S74" s="1" t="s">
        <v>1307</v>
      </c>
      <c r="T74" s="1" t="s">
        <v>1308</v>
      </c>
      <c r="U74" s="1" t="s">
        <v>1309</v>
      </c>
      <c r="V74" s="1" t="s">
        <v>1310</v>
      </c>
      <c r="X74" s="1" t="s">
        <v>1311</v>
      </c>
      <c r="AA74" s="1" t="s">
        <v>1312</v>
      </c>
      <c r="AB74" s="1" t="s">
        <v>560</v>
      </c>
      <c r="AC74" s="2" t="s">
        <v>167</v>
      </c>
      <c r="AD74" s="1" t="s">
        <v>682</v>
      </c>
      <c r="AG74" s="1" t="s">
        <v>1313</v>
      </c>
      <c r="AH74" s="1" t="s">
        <v>1314</v>
      </c>
      <c r="AK74" s="7">
        <v>44657.0</v>
      </c>
      <c r="AT74" s="1" t="s">
        <v>1315</v>
      </c>
    </row>
    <row r="75">
      <c r="A75" s="1" t="s">
        <v>1316</v>
      </c>
      <c r="B75" s="1" t="str">
        <f>IFERROR(__xludf.DUMMYFUNCTION("GOOGLETRANSLATE(A:A, ""en"", ""te"")"),"మోయెస్ వెంచురా")</f>
        <v>మోయెస్ వెంచురా</v>
      </c>
      <c r="C75" s="1" t="s">
        <v>1317</v>
      </c>
      <c r="D75" s="1" t="str">
        <f>IFERROR(__xludf.DUMMYFUNCTION("GOOGLETRANSLATE(C:C, ""en"", ""te"")"),"మోయెస్ వెంచురా ఒక ఆస్ట్రేలియన్ హై-వింగ్, సింగిల్-ప్లేస్, హాంగ్ గ్లైడర్, దీనిని న్యూ సౌత్ వేల్స్లోని బోటనీకి చెందిన మోయెస్ డెల్టా గ్లైడర్స్ రూపొందించారు మరియు నిర్మించారు. ఇప్పుడు ఉత్పత్తిలో లేదు, ఇది అందుబాటులో ఉన్నప్పుడు విమానం పూర్తి మరియు సిద్ధంగా ఉండట"&amp;"ానికి సిద్ధంగా ఉంది. [1] వెంచురా అనేది అల్యూమినియం గొట్టాలతో తయారు చేసిన ఒక అనుభవశూన్యుడు-స్థాయి హాంగ్ గ్లైడర్, డాక్రాన్ సెయిల్‌క్లాత్‌లో సింగిల్-ఉపరితల విభాగం ఉంటుంది. ఇది స్పిన్ ప్రూఫ్ మరియు ఎగరడం సులభం అని విక్రయించబడింది. ఎంపికలలో మైలార్ ఇన్సర్ట్‌లు మ"&amp;"రియు స్పీడ్‌బార్ ఉన్నాయి. వేర్వేరు బరువు శ్రేణుల పైలట్లకు వసతి కల్పించడానికి ఈ విమానం దాని రెక్కల ప్రాంతం పేరు పెట్టబడిన రెండు పరిమాణాలలో ఉత్పత్తి చేయబడింది. [1] [2] బెర్ట్రాండ్ నుండి డేటా [1] సాధారణ లక్షణాలు")</f>
        <v>మోయెస్ వెంచురా ఒక ఆస్ట్రేలియన్ హై-వింగ్, సింగిల్-ప్లేస్, హాంగ్ గ్లైడర్, దీనిని న్యూ సౌత్ వేల్స్లోని బోటనీకి చెందిన మోయెస్ డెల్టా గ్లైడర్స్ రూపొందించారు మరియు నిర్మించారు. ఇప్పుడు ఉత్పత్తిలో లేదు, ఇది అందుబాటులో ఉన్నప్పుడు విమానం పూర్తి మరియు సిద్ధంగా ఉండటానికి సిద్ధంగా ఉంది. [1] వెంచురా అనేది అల్యూమినియం గొట్టాలతో తయారు చేసిన ఒక అనుభవశూన్యుడు-స్థాయి హాంగ్ గ్లైడర్, డాక్రాన్ సెయిల్‌క్లాత్‌లో సింగిల్-ఉపరితల విభాగం ఉంటుంది. ఇది స్పిన్ ప్రూఫ్ మరియు ఎగరడం సులభం అని విక్రయించబడింది. ఎంపికలలో మైలార్ ఇన్సర్ట్‌లు మరియు స్పీడ్‌బార్ ఉన్నాయి. వేర్వేరు బరువు శ్రేణుల పైలట్లకు వసతి కల్పించడానికి ఈ విమానం దాని రెక్కల ప్రాంతం పేరు పెట్టబడిన రెండు పరిమాణాలలో ఉత్పత్తి చేయబడింది. [1] [2] బెర్ట్రాండ్ నుండి డేటా [1] సాధారణ లక్షణాలు</v>
      </c>
      <c r="E75" s="1" t="s">
        <v>838</v>
      </c>
      <c r="F75" s="1" t="str">
        <f>IFERROR(__xludf.DUMMYFUNCTION("GOOGLETRANSLATE(E:E, ""en"", ""te"")"),"గ్లైడర్ హాంగ్")</f>
        <v>గ్లైడర్ హాంగ్</v>
      </c>
      <c r="G75" s="1" t="s">
        <v>757</v>
      </c>
      <c r="H75" s="1" t="str">
        <f>IFERROR(__xludf.DUMMYFUNCTION("GOOGLETRANSLATE(G:G, ""en"", ""te"")"),"ఆస్ట్రేలియా")</f>
        <v>ఆస్ట్రేలియా</v>
      </c>
      <c r="I75" s="1" t="s">
        <v>839</v>
      </c>
      <c r="J75" s="1" t="str">
        <f>IFERROR(__xludf.DUMMYFUNCTION("GOOGLETRANSLATE(I:I, ""en"", ""te"")"),"మోయెస్ డెల్టా గ్లైడర్స్")</f>
        <v>మోయెస్ డెల్టా గ్లైడర్స్</v>
      </c>
      <c r="K75" s="1" t="s">
        <v>840</v>
      </c>
      <c r="O75" s="1" t="s">
        <v>135</v>
      </c>
      <c r="Q75" s="1" t="s">
        <v>1063</v>
      </c>
      <c r="S75" s="1" t="s">
        <v>1318</v>
      </c>
      <c r="AB75" s="1" t="s">
        <v>845</v>
      </c>
      <c r="AC75" s="2" t="s">
        <v>763</v>
      </c>
      <c r="AD75" s="1" t="s">
        <v>581</v>
      </c>
      <c r="AR75" s="1" t="s">
        <v>253</v>
      </c>
      <c r="AS75" s="1">
        <v>5.45</v>
      </c>
      <c r="AX75" s="1" t="s">
        <v>984</v>
      </c>
    </row>
    <row r="76">
      <c r="A76" s="1" t="s">
        <v>1319</v>
      </c>
      <c r="B76" s="1" t="str">
        <f>IFERROR(__xludf.DUMMYFUNCTION("GOOGLETRANSLATE(A:A, ""en"", ""te"")"),"వైమానిక దళం 3701")</f>
        <v>వైమానిక దళం 3701</v>
      </c>
      <c r="C76" s="1" t="s">
        <v>1320</v>
      </c>
      <c r="D76" s="1" t="str">
        <f>IFERROR(__xludf.DUMMYFUNCTION("GOOGLETRANSLATE(C:C, ""en"", ""te"")"),"వైమానిక దళం 3701 (సాంప్రదాయ చైనీస్: 空軍 3701; సరళీకృత చైనీస్: 空军 3701; పినిన్: కాంగ్జాన్ 3701) రిపబ్లిక్ ఆఫ్ చైనా (తైవాన్) అధ్యక్షుడికి అధ్యక్ష విమానం. ఈ విమానం బోయింగ్ 737-800 పై ఆధారపడింది మరియు రిపబ్లిక్ ఆఫ్ చైనా వైమానిక దళం చేత నిర్వహించబడుతుంది. [1] ["&amp;"2] ఈ విమానం దాని ఫ్యూజ్‌లేజ్ యొక్క ముందు విభాగం వంటి కొన్ని ప్రాంతాలలో మార్పులకు గురైంది. ఇది ఫ్లైట్ అంతటా నిరంతర కమ్యూనికేషన్ కోసం ఉపగ్రహంతో కూడి ఉంటుంది. అధ్యక్ష ప్రయాణానికి తగినట్లుగా బేస్ విమానాలకు మార్పులు జరుగుతాయి.")</f>
        <v>వైమానిక దళం 3701 (సాంప్రదాయ చైనీస్: 空軍 3701; సరళీకృత చైనీస్: 空军 3701; పినిన్: కాంగ్జాన్ 3701) రిపబ్లిక్ ఆఫ్ చైనా (తైవాన్) అధ్యక్షుడికి అధ్యక్ష విమానం. ఈ విమానం బోయింగ్ 737-800 పై ఆధారపడింది మరియు రిపబ్లిక్ ఆఫ్ చైనా వైమానిక దళం చేత నిర్వహించబడుతుంది. [1] [2] ఈ విమానం దాని ఫ్యూజ్‌లేజ్ యొక్క ముందు విభాగం వంటి కొన్ని ప్రాంతాలలో మార్పులకు గురైంది. ఇది ఫ్లైట్ అంతటా నిరంతర కమ్యూనికేషన్ కోసం ఉపగ్రహంతో కూడి ఉంటుంది. అధ్యక్ష ప్రయాణానికి తగినట్లుగా బేస్ విమానాలకు మార్పులు జరుగుతాయి.</v>
      </c>
      <c r="E76" s="1" t="s">
        <v>1321</v>
      </c>
      <c r="F76" s="1" t="str">
        <f>IFERROR(__xludf.DUMMYFUNCTION("GOOGLETRANSLATE(E:E, ""en"", ""te"")"),"అధ్యక్ష రవాణా")</f>
        <v>అధ్యక్ష రవాణా</v>
      </c>
      <c r="G76" s="1" t="s">
        <v>155</v>
      </c>
      <c r="H76" s="1" t="str">
        <f>IFERROR(__xludf.DUMMYFUNCTION("GOOGLETRANSLATE(G:G, ""en"", ""te"")"),"అమెరికా")</f>
        <v>అమెరికా</v>
      </c>
      <c r="I76" s="1" t="s">
        <v>1322</v>
      </c>
      <c r="J76" s="1" t="str">
        <f>IFERROR(__xludf.DUMMYFUNCTION("GOOGLETRANSLATE(I:I, ""en"", ""te"")"),"బోయింగ్")</f>
        <v>బోయింగ్</v>
      </c>
      <c r="K76" s="2" t="s">
        <v>1323</v>
      </c>
      <c r="N76" s="3">
        <v>36560.0</v>
      </c>
      <c r="AA76" s="1" t="s">
        <v>1324</v>
      </c>
      <c r="AC76" s="2" t="s">
        <v>167</v>
      </c>
      <c r="AJ76" s="1">
        <v>1.0</v>
      </c>
      <c r="AQ76" s="1" t="s">
        <v>1325</v>
      </c>
      <c r="BF76" s="1" t="s">
        <v>1326</v>
      </c>
      <c r="BG76" s="1" t="s">
        <v>1327</v>
      </c>
      <c r="BN76" s="3">
        <v>36603.0</v>
      </c>
      <c r="BP76" s="1" t="s">
        <v>1328</v>
      </c>
    </row>
    <row r="77">
      <c r="A77" s="1" t="s">
        <v>1329</v>
      </c>
      <c r="B77" s="1" t="str">
        <f>IFERROR(__xludf.DUMMYFUNCTION("GOOGLETRANSLATE(A:A, ""en"", ""te"")"),"పవర్‌విజన్ యుఎవి")</f>
        <v>పవర్‌విజన్ యుఎవి</v>
      </c>
      <c r="C77" s="1" t="s">
        <v>1330</v>
      </c>
      <c r="D77" s="1" t="str">
        <f>IFERROR(__xludf.DUMMYFUNCTION("GOOGLETRANSLATE(C:C, ""en"", ""te"")"),"పవర్‌విషన్ యుఎవిలు పవర్‌విషన్ టెక్నాలజీ లిమిటెడ్ (పవర్‌విజన్, 北京 臻迪 智能 有限 有限 公司 公司 公司 公司 公司 公司) చే అభివృద్ధి చేయబడిన చైనీస్ యుఎవిలు, ఇవి మల్టీరోటర్ల నుండి మానవరహిత స్థిర-వింగ్ మరియు రోటరీ వింగ్ విమానాల వరకు ఉంటాయి, వీటిలో ఎక్కువ భాగం వైమానిక సర్వే మిషన్ల "&amp;"కోసం ఉద్దేశించబడ్డాయి. పవర్‌కాప్టర్ సాంప్రదాయిక హెలికాప్టర్ లేఅవుట్‌లో మానవరహిత హెలికాప్టర్, ఇది ల్యాండింగ్ గేర్‌గా ఒక జత స్కిడ్‌లతో ఉంటుంది. హెలికాప్టర్ టర్బో-ఛార్జ్డ్ ఇంజిన్‌ను కలిగి ఉంది, ఇది అధిక ఎత్తులో పనిచేయడానికి వీలు కల్పిస్తుంది మరియు దాని పేలోడ"&amp;"్ గడ్డం కింద వ్యవస్థాపించబడుతుంది. స్పెసిఫికేషన్: [1] 2015 నాటికి, రెండు మల్టీకాప్టర్లు పవిత్రత, క్వాడ్‌కాప్టర్ పవర్‌క్వాడ్ మరియు ఆక్టోకోప్టర్ పవరోక్టా ద్వారా ఫీల్డ్ చేయబడ్డాయి. ఈ మల్టీకాప్టర్లు ప్రధానంగా వైమానిక ఫోటోగ్రఫీ, సినిమాటోగ్రఫీ మరియు సర్వేయింగ్ "&amp;"అనువర్తనాల కోసం ఉద్దేశించబడ్డాయి. పవర్‌సీకర్ అనేది కానార్డ్స్ మరియు వింగ్లెట్స్‌తో తక్కువ వింగ్ కాన్ఫిగరేషన్‌లో స్థిర-వింగ్ యుఎవి, కానీ నిలువు తోక లేకుండా. ప్రొపల్షన్ ఎంపెనేజ్ వద్ద అమర్చిన ప్రొపెల్లర్ నడిచే పషర్ ఇంజిన్ ద్వారా అందించబడుతుంది. ట్రైసైకిల్ ల్"&amp;"యాండింగ్ గేర్ పరిష్కరించబడింది. UAV మాడ్యులర్ డిజైన్‌ను అవలంబిస్తుంది, ఇది ఒక గంటలో వేగంగా సమావేశమవుతుంది లేదా వేరుగా తీసుకోవచ్చు మరియు రెండు మీటర్ల కన్నా తక్కువ పొడవు గల కంటైనర్‌లో నిల్వ చేయబడుతుంది, తద్వారా నిల్వ మరియు రవాణాకు ఇది సులభం అవుతుంది. పవర్‌స"&amp;"ీకర్ ప్రధానంగా వైమానిక సర్వే మిషన్ల కోసం ఉద్దేశించబడింది. స్పెసిఫికేషన్: [6] చైనా యొక్క మానవరహిత వైమానిక వాహనాల జాబితా మానవరహిత వైమానిక వాహనంపై ఈ వ్యాసం ఒక స్టబ్. వికీపీడియా విస్తరించడం ద్వారా మీరు సహాయపడవచ్చు.")</f>
        <v>పవర్‌విషన్ యుఎవిలు పవర్‌విషన్ టెక్నాలజీ లిమిటెడ్ (పవర్‌విజన్, 北京 臻迪 智能 有限 有限 公司 公司 公司 公司 公司 公司) చే అభివృద్ధి చేయబడిన చైనీస్ యుఎవిలు, ఇవి మల్టీరోటర్ల నుండి మానవరహిత స్థిర-వింగ్ మరియు రోటరీ వింగ్ విమానాల వరకు ఉంటాయి, వీటిలో ఎక్కువ భాగం వైమానిక సర్వే మిషన్ల కోసం ఉద్దేశించబడ్డాయి. పవర్‌కాప్టర్ సాంప్రదాయిక హెలికాప్టర్ లేఅవుట్‌లో మానవరహిత హెలికాప్టర్, ఇది ల్యాండింగ్ గేర్‌గా ఒక జత స్కిడ్‌లతో ఉంటుంది. హెలికాప్టర్ టర్బో-ఛార్జ్డ్ ఇంజిన్‌ను కలిగి ఉంది, ఇది అధిక ఎత్తులో పనిచేయడానికి వీలు కల్పిస్తుంది మరియు దాని పేలోడ్ గడ్డం కింద వ్యవస్థాపించబడుతుంది. స్పెసిఫికేషన్: [1] 2015 నాటికి, రెండు మల్టీకాప్టర్లు పవిత్రత, క్వాడ్‌కాప్టర్ పవర్‌క్వాడ్ మరియు ఆక్టోకోప్టర్ పవరోక్టా ద్వారా ఫీల్డ్ చేయబడ్డాయి. ఈ మల్టీకాప్టర్లు ప్రధానంగా వైమానిక ఫోటోగ్రఫీ, సినిమాటోగ్రఫీ మరియు సర్వేయింగ్ అనువర్తనాల కోసం ఉద్దేశించబడ్డాయి. పవర్‌సీకర్ అనేది కానార్డ్స్ మరియు వింగ్లెట్స్‌తో తక్కువ వింగ్ కాన్ఫిగరేషన్‌లో స్థిర-వింగ్ యుఎవి, కానీ నిలువు తోక లేకుండా. ప్రొపల్షన్ ఎంపెనేజ్ వద్ద అమర్చిన ప్రొపెల్లర్ నడిచే పషర్ ఇంజిన్ ద్వారా అందించబడుతుంది. ట్రైసైకిల్ ల్యాండింగ్ గేర్ పరిష్కరించబడింది. UAV మాడ్యులర్ డిజైన్‌ను అవలంబిస్తుంది, ఇది ఒక గంటలో వేగంగా సమావేశమవుతుంది లేదా వేరుగా తీసుకోవచ్చు మరియు రెండు మీటర్ల కన్నా తక్కువ పొడవు గల కంటైనర్‌లో నిల్వ చేయబడుతుంది, తద్వారా నిల్వ మరియు రవాణాకు ఇది సులభం అవుతుంది. పవర్‌సీకర్ ప్రధానంగా వైమానిక సర్వే మిషన్ల కోసం ఉద్దేశించబడింది. స్పెసిఫికేషన్: [6] చైనా యొక్క మానవరహిత వైమానిక వాహనాల జాబితా మానవరహిత వైమానిక వాహనంపై ఈ వ్యాసం ఒక స్టబ్. వికీపీడియా విస్తరించడం ద్వారా మీరు సహాయపడవచ్చు.</v>
      </c>
      <c r="E77" s="1" t="s">
        <v>730</v>
      </c>
      <c r="F77" s="1" t="str">
        <f>IFERROR(__xludf.DUMMYFUNCTION("GOOGLETRANSLATE(E:E, ""en"", ""te"")"),"ఉవ్")</f>
        <v>ఉవ్</v>
      </c>
      <c r="G77" s="1" t="s">
        <v>731</v>
      </c>
      <c r="H77" s="1" t="str">
        <f>IFERROR(__xludf.DUMMYFUNCTION("GOOGLETRANSLATE(G:G, ""en"", ""te"")"),"చైనా")</f>
        <v>చైనా</v>
      </c>
      <c r="I77" s="1" t="s">
        <v>1331</v>
      </c>
      <c r="J77" s="1" t="str">
        <f>IFERROR(__xludf.DUMMYFUNCTION("GOOGLETRANSLATE(I:I, ""en"", ""te"")"),"పవర్")</f>
        <v>పవర్</v>
      </c>
      <c r="K77" s="2" t="s">
        <v>1332</v>
      </c>
      <c r="L77" s="1" t="s">
        <v>1331</v>
      </c>
      <c r="M77" s="2" t="s">
        <v>1332</v>
      </c>
      <c r="N77" s="1">
        <v>2015.0</v>
      </c>
      <c r="AC77" s="2" t="s">
        <v>734</v>
      </c>
      <c r="AD77" s="1" t="s">
        <v>70</v>
      </c>
      <c r="AQ77" s="1" t="s">
        <v>731</v>
      </c>
      <c r="BN77" s="1">
        <v>2015.0</v>
      </c>
      <c r="BP77" s="2" t="s">
        <v>734</v>
      </c>
    </row>
    <row r="78">
      <c r="A78" s="1" t="s">
        <v>1333</v>
      </c>
      <c r="B78" s="1" t="str">
        <f>IFERROR(__xludf.DUMMYFUNCTION("GOOGLETRANSLATE(A:A, ""en"", ""te"")"),"TFX ప్రోగ్రామ్")</f>
        <v>TFX ప్రోగ్రామ్</v>
      </c>
      <c r="C78" s="1" t="s">
        <v>1334</v>
      </c>
      <c r="D78" s="1" t="str">
        <f>IFERROR(__xludf.DUMMYFUNCTION("GOOGLETRANSLATE(C:C, ""en"", ""te"")"),"బోయింగ్ 818 యు.ఎస్. మిలిటరీ యొక్క టిఎఫ్‌ఎక్స్ ఫైటర్ పోటీకి బోయింగ్ అభ్యర్థి. జనవరి 1961 లో రాబర్ట్ మెక్‌నమారాను యు.ఎస్. రక్షణ కార్యదర్శిగా నియమించినప్పుడు అమెరికా వైమానిక దళం మరియు నేవీ రెండూ కొత్త విమానాలను కోరుతున్నాయి. [1] రెండు సాయుధ సేవలు కోరిన విమాన"&amp;"ం భారీ ఆయుధాలు మరియు ఇంధన భారాన్ని మోయవలసిన అవసరాన్ని పంచుకుంది, అధిక సూపర్సోనిక్ స్పీడ్, ట్విన్ ఇంజన్లు మరియు రెండు సీట్లు కలిగి ఉంటుంది మరియు బహుశా వేరియబుల్ జ్యామితి రెక్కలను ఉపయోగించవచ్చు. [2] 14 ఫిబ్రవరి 1961 న, మెక్‌నమారా రెండు అవసరాలను తీర్చగల ఒకే "&amp;"విమానం యొక్క అభివృద్ధిని అధ్యయనం చేయమని అధికారికంగా సేవలను ఆదేశించారు. ప్రారంభ అధ్యయనాలు ఉత్తమ ఎంపిక అని సూచించాయి, డిజైన్‌ను వైమానిక దళ అవసరాలపై ఆధారపడటం మరియు నావికాదళం కోసం సవరించిన సంస్కరణను ఉపయోగించడం. [3] జూన్ 1961 లో, కార్యదర్శి మెక్‌నమారా వారి కార"&amp;"్యక్రమాలను వేరుగా ఉంచడానికి వైమానిక దళం మరియు నేవీ ప్రయత్నాలు చేసినప్పటికీ వ్యూహాత్మక ఫైటర్ ఎక్స్‌పెరిమెంటల్ (టిఎఫ్‌ఎక్స్) కంటే ముందు ఉండాలని ఆదేశించారు. [4] బోయింగ్, జనరల్ డైనమిక్స్, లాక్‌హీడ్, మెక్‌డోనెల్, నార్త్ అమెరికన్ మరియు రిపబ్లిక్ నుండి ప్రతిపాదన"&amp;"లు వచ్చాయి. మూల్యాంకన సమూహం అన్ని ప్రతిపాదనలను కనుగొంది, కాని బోయింగ్ మరియు జనరల్ డైనమిక్స్ మెరుగైన డిజైన్లను సమర్పించడానికి ఎంపిక చేయబడ్డాయి. బోయింగ్ 818 ను జనవరి 1962 లో ఎంపిక బోర్డు సిఫార్సు చేసింది, ఇంజిన్ మినహా, ఇది ఆమోదయోగ్యమైనదిగా పరిగణించబడలేదు. ఎ"&amp;"జెక్షన్ సీట్లకు బదులుగా సిబ్బంది ఎస్కేప్ క్యాప్సూల్‌కు మారడం మరియు రాడార్ మరియు క్షిపణి నిల్వకు మార్పులు కూడా అవసరం. రెండు కంపెనీలు ఏప్రిల్ 1962 లో నవీకరించబడిన ప్రతిపాదనలను అందించాయి. వైమానిక దళ సమీక్షకులు బోయింగ్ యొక్క సమర్పణకు మొగ్గు చూపారు, అయితే నేవీ"&amp;" దాని కార్యకలాపాలకు రెండు సమర్పణలను ఆమోదయోగ్యం కాదని కనుగొన్నారు. ప్రతిపాదనలకు మరో రెండు రౌండ్ల నవీకరణలు జరిగాయి, బోయింగ్ ఎంపిక బోర్డు చేత ఎంపిక చేయబడింది. [5] నవంబర్ 1962 లో, మెక్‌నమారా వైమానిక దళం మరియు నేవీ వెర్షన్ల మధ్య ఎక్కువ సామాన్యత కారణంగా జనరల్ డ"&amp;"ైనమిక్స్ ప్రతిపాదనను ఎంచుకున్నారు. బోయింగ్ విమానం ప్రధాన నిర్మాణ భాగాలలో సగం కంటే తక్కువ పంచుకుంది. జనరల్ డైనమిక్స్ డిసెంబర్ 1962 లో టిఎఫ్‌ఎక్స్ ఒప్పందంపై సంతకం చేసింది. కాంగ్రెస్ దర్యాప్తు జరిగింది, కానీ ఎంపికను మార్చలేకపోయింది. [5] విజేత ప్రతిపాదన తరువా"&amp;"త జనరల్ డైనమిక్స్ ఎఫ్ -111 ఆర్డ్వార్క్ అయింది.")</f>
        <v>బోయింగ్ 818 యు.ఎస్. మిలిటరీ యొక్క టిఎఫ్‌ఎక్స్ ఫైటర్ పోటీకి బోయింగ్ అభ్యర్థి. జనవరి 1961 లో రాబర్ట్ మెక్‌నమారాను యు.ఎస్. రక్షణ కార్యదర్శిగా నియమించినప్పుడు అమెరికా వైమానిక దళం మరియు నేవీ రెండూ కొత్త విమానాలను కోరుతున్నాయి. [1] రెండు సాయుధ సేవలు కోరిన విమానం భారీ ఆయుధాలు మరియు ఇంధన భారాన్ని మోయవలసిన అవసరాన్ని పంచుకుంది, అధిక సూపర్సోనిక్ స్పీడ్, ట్విన్ ఇంజన్లు మరియు రెండు సీట్లు కలిగి ఉంటుంది మరియు బహుశా వేరియబుల్ జ్యామితి రెక్కలను ఉపయోగించవచ్చు. [2] 14 ఫిబ్రవరి 1961 న, మెక్‌నమారా రెండు అవసరాలను తీర్చగల ఒకే విమానం యొక్క అభివృద్ధిని అధ్యయనం చేయమని అధికారికంగా సేవలను ఆదేశించారు. ప్రారంభ అధ్యయనాలు ఉత్తమ ఎంపిక అని సూచించాయి, డిజైన్‌ను వైమానిక దళ అవసరాలపై ఆధారపడటం మరియు నావికాదళం కోసం సవరించిన సంస్కరణను ఉపయోగించడం. [3] జూన్ 1961 లో, కార్యదర్శి మెక్‌నమారా వారి కార్యక్రమాలను వేరుగా ఉంచడానికి వైమానిక దళం మరియు నేవీ ప్రయత్నాలు చేసినప్పటికీ వ్యూహాత్మక ఫైటర్ ఎక్స్‌పెరిమెంటల్ (టిఎఫ్‌ఎక్స్) కంటే ముందు ఉండాలని ఆదేశించారు. [4] బోయింగ్, జనరల్ డైనమిక్స్, లాక్‌హీడ్, మెక్‌డోనెల్, నార్త్ అమెరికన్ మరియు రిపబ్లిక్ నుండి ప్రతిపాదనలు వచ్చాయి. మూల్యాంకన సమూహం అన్ని ప్రతిపాదనలను కనుగొంది, కాని బోయింగ్ మరియు జనరల్ డైనమిక్స్ మెరుగైన డిజైన్లను సమర్పించడానికి ఎంపిక చేయబడ్డాయి. బోయింగ్ 818 ను జనవరి 1962 లో ఎంపిక బోర్డు సిఫార్సు చేసింది, ఇంజిన్ మినహా, ఇది ఆమోదయోగ్యమైనదిగా పరిగణించబడలేదు. ఎజెక్షన్ సీట్లకు బదులుగా సిబ్బంది ఎస్కేప్ క్యాప్సూల్‌కు మారడం మరియు రాడార్ మరియు క్షిపణి నిల్వకు మార్పులు కూడా అవసరం. రెండు కంపెనీలు ఏప్రిల్ 1962 లో నవీకరించబడిన ప్రతిపాదనలను అందించాయి. వైమానిక దళ సమీక్షకులు బోయింగ్ యొక్క సమర్పణకు మొగ్గు చూపారు, అయితే నేవీ దాని కార్యకలాపాలకు రెండు సమర్పణలను ఆమోదయోగ్యం కాదని కనుగొన్నారు. ప్రతిపాదనలకు మరో రెండు రౌండ్ల నవీకరణలు జరిగాయి, బోయింగ్ ఎంపిక బోర్డు చేత ఎంపిక చేయబడింది. [5] నవంబర్ 1962 లో, మెక్‌నమారా వైమానిక దళం మరియు నేవీ వెర్షన్ల మధ్య ఎక్కువ సామాన్యత కారణంగా జనరల్ డైనమిక్స్ ప్రతిపాదనను ఎంచుకున్నారు. బోయింగ్ విమానం ప్రధాన నిర్మాణ భాగాలలో సగం కంటే తక్కువ పంచుకుంది. జనరల్ డైనమిక్స్ డిసెంబర్ 1962 లో టిఎఫ్‌ఎక్స్ ఒప్పందంపై సంతకం చేసింది. కాంగ్రెస్ దర్యాప్తు జరిగింది, కానీ ఎంపికను మార్చలేకపోయింది. [5] విజేత ప్రతిపాదన తరువాత జనరల్ డైనమిక్స్ ఎఫ్ -111 ఆర్డ్వార్క్ అయింది.</v>
      </c>
      <c r="CP78" s="1" t="s">
        <v>1335</v>
      </c>
      <c r="CQ78" s="1" t="s">
        <v>1336</v>
      </c>
      <c r="CR78" s="1" t="s">
        <v>1337</v>
      </c>
      <c r="CS78" s="1" t="s">
        <v>1338</v>
      </c>
      <c r="CT78" s="1" t="s">
        <v>1339</v>
      </c>
    </row>
    <row r="79">
      <c r="A79" s="1" t="s">
        <v>1340</v>
      </c>
      <c r="B79" s="1" t="str">
        <f>IFERROR(__xludf.DUMMYFUNCTION("GOOGLETRANSLATE(A:A, ""en"", ""te"")"),"ఎయిర్-స్పోర్ట్ అజోస్")</f>
        <v>ఎయిర్-స్పోర్ట్ అజోస్</v>
      </c>
      <c r="C79" s="1" t="s">
        <v>1341</v>
      </c>
      <c r="D79" s="1" t="str">
        <f>IFERROR(__xludf.DUMMYFUNCTION("GOOGLETRANSLATE(C:C, ""en"", ""te"")"),"ఎయిర్-స్పోర్ట్ అజోస్ ఒక పోలిష్ సింగిల్-ప్లేస్, పారాగ్లైడర్, దీనిని జాకోపేన్ యొక్క ఎయిర్-స్పోర్ట్ రూపొందించింది మరియు ఉత్పత్తి చేసింది. ఇది ఇప్పుడు ఉత్పత్తికి దూరంగా ఉంది. [1] పోలాండ్‌లో దొరికిన స్థానిక గాలి పేరు పెట్టబడింది. ఇది ఇంటర్మీడియట్ గ్లైడర్‌గా రూ"&amp;"పొందించబడింది మరియు 2003 లో చాలా పోటీగా ఉన్నట్లుగా గుర్తించబడింది. [1] మూడు నమూనాలు ఒక్కొక్కటి చదరపు మీటర్లలో వారి వింగ్ ప్రాంతానికి పేరు పెట్టబడ్డాయి. [1] బెర్ట్రాండ్ నుండి డేటా [1] సాధారణ లక్షణాల పనితీరు")</f>
        <v>ఎయిర్-స్పోర్ట్ అజోస్ ఒక పోలిష్ సింగిల్-ప్లేస్, పారాగ్లైడర్, దీనిని జాకోపేన్ యొక్క ఎయిర్-స్పోర్ట్ రూపొందించింది మరియు ఉత్పత్తి చేసింది. ఇది ఇప్పుడు ఉత్పత్తికి దూరంగా ఉంది. [1] పోలాండ్‌లో దొరికిన స్థానిక గాలి పేరు పెట్టబడింది. ఇది ఇంటర్మీడియట్ గ్లైడర్‌గా రూపొందించబడింది మరియు 2003 లో చాలా పోటీగా ఉన్నట్లుగా గుర్తించబడింది. [1] మూడు నమూనాలు ఒక్కొక్కటి చదరపు మీటర్లలో వారి వింగ్ ప్రాంతానికి పేరు పెట్టబడ్డాయి. [1] బెర్ట్రాండ్ నుండి డేటా [1] సాధారణ లక్షణాల పనితీరు</v>
      </c>
      <c r="E79" s="1" t="s">
        <v>935</v>
      </c>
      <c r="F79" s="1" t="str">
        <f>IFERROR(__xludf.DUMMYFUNCTION("GOOGLETRANSLATE(E:E, ""en"", ""te"")"),"పారాగ్లైడర్")</f>
        <v>పారాగ్లైడర్</v>
      </c>
      <c r="G79" s="1" t="s">
        <v>936</v>
      </c>
      <c r="H79" s="1" t="str">
        <f>IFERROR(__xludf.DUMMYFUNCTION("GOOGLETRANSLATE(G:G, ""en"", ""te"")"),"పోలాండ్")</f>
        <v>పోలాండ్</v>
      </c>
      <c r="I79" s="1" t="s">
        <v>937</v>
      </c>
      <c r="J79" s="1" t="str">
        <f>IFERROR(__xludf.DUMMYFUNCTION("GOOGLETRANSLATE(I:I, ""en"", ""te"")"),"ఎయిర్-స్పోర్ట్")</f>
        <v>ఎయిర్-స్పోర్ట్</v>
      </c>
      <c r="K79" s="2" t="s">
        <v>938</v>
      </c>
      <c r="O79" s="1" t="s">
        <v>135</v>
      </c>
      <c r="Q79" s="1" t="s">
        <v>1342</v>
      </c>
      <c r="S79" s="1" t="s">
        <v>1343</v>
      </c>
      <c r="W79" s="1" t="s">
        <v>1344</v>
      </c>
      <c r="AB79" s="2" t="s">
        <v>942</v>
      </c>
      <c r="AC79" s="2" t="s">
        <v>943</v>
      </c>
      <c r="AD79" s="1" t="s">
        <v>581</v>
      </c>
      <c r="AR79" s="1" t="s">
        <v>253</v>
      </c>
      <c r="AS79" s="1">
        <v>4.8</v>
      </c>
      <c r="AX79" s="1" t="s">
        <v>984</v>
      </c>
      <c r="BD79" s="1" t="s">
        <v>946</v>
      </c>
    </row>
    <row r="80">
      <c r="A80" s="1" t="s">
        <v>1345</v>
      </c>
      <c r="B80" s="1" t="str">
        <f>IFERROR(__xludf.DUMMYFUNCTION("GOOGLETRANSLATE(A:A, ""en"", ""te"")"),"ఎయిర్-స్పోర్ట్ చినూక్")</f>
        <v>ఎయిర్-స్పోర్ట్ చినూక్</v>
      </c>
      <c r="C80" s="1" t="s">
        <v>1346</v>
      </c>
      <c r="D80" s="1" t="str">
        <f>IFERROR(__xludf.DUMMYFUNCTION("GOOGLETRANSLATE(C:C, ""en"", ""te"")"),"ఎయిర్-స్పోర్ట్ చినూక్ ఒక పోలిష్ సింగిల్-ప్లేస్, పారాగ్లైడర్, దీనిని జకోపేన్ యొక్క ఎయిర్-స్పోర్ట్ రూపొందించింది మరియు ఉత్పత్తి చేసింది. ఇది ఇప్పుడు ఉత్పత్తికి దూరంగా ఉంది. [1] గ్లైడర్‌ను పోలిష్‌లోని చినూకా అని కూడా పిలుస్తారు. [2] చినూక్‌కు ఉత్తర అమెరికాలో"&amp;" కనిపించే స్థానిక గాలి పేరు పెట్టబడింది. ఇది క్రాస్ కంట్రీ గ్లైడర్‌గా రూపొందించబడింది మరియు 2003 లో చాలా పోటీ ధరతో గుర్తించబడింది. [1] మోడల్స్ ప్రతి ఒక్కటి చదరపు మీటర్లలో వారి వింగ్ ప్రాంతానికి పేరు పెట్టబడ్డాయి. [1] బెర్ట్రాండ్ నుండి డేటా [1] సాధారణ లక్ష"&amp;"ణాలు")</f>
        <v>ఎయిర్-స్పోర్ట్ చినూక్ ఒక పోలిష్ సింగిల్-ప్లేస్, పారాగ్లైడర్, దీనిని జకోపేన్ యొక్క ఎయిర్-స్పోర్ట్ రూపొందించింది మరియు ఉత్పత్తి చేసింది. ఇది ఇప్పుడు ఉత్పత్తికి దూరంగా ఉంది. [1] గ్లైడర్‌ను పోలిష్‌లోని చినూకా అని కూడా పిలుస్తారు. [2] చినూక్‌కు ఉత్తర అమెరికాలో కనిపించే స్థానిక గాలి పేరు పెట్టబడింది. ఇది క్రాస్ కంట్రీ గ్లైడర్‌గా రూపొందించబడింది మరియు 2003 లో చాలా పోటీ ధరతో గుర్తించబడింది. [1] మోడల్స్ ప్రతి ఒక్కటి చదరపు మీటర్లలో వారి వింగ్ ప్రాంతానికి పేరు పెట్టబడ్డాయి. [1] బెర్ట్రాండ్ నుండి డేటా [1] సాధారణ లక్షణాలు</v>
      </c>
      <c r="E80" s="1" t="s">
        <v>935</v>
      </c>
      <c r="F80" s="1" t="str">
        <f>IFERROR(__xludf.DUMMYFUNCTION("GOOGLETRANSLATE(E:E, ""en"", ""te"")"),"పారాగ్లైడర్")</f>
        <v>పారాగ్లైడర్</v>
      </c>
      <c r="G80" s="1" t="s">
        <v>936</v>
      </c>
      <c r="H80" s="1" t="str">
        <f>IFERROR(__xludf.DUMMYFUNCTION("GOOGLETRANSLATE(G:G, ""en"", ""te"")"),"పోలాండ్")</f>
        <v>పోలాండ్</v>
      </c>
      <c r="I80" s="1" t="s">
        <v>937</v>
      </c>
      <c r="J80" s="1" t="str">
        <f>IFERROR(__xludf.DUMMYFUNCTION("GOOGLETRANSLATE(I:I, ""en"", ""te"")"),"ఎయిర్-స్పోర్ట్")</f>
        <v>ఎయిర్-స్పోర్ట్</v>
      </c>
      <c r="K80" s="2" t="s">
        <v>938</v>
      </c>
      <c r="O80" s="1" t="s">
        <v>135</v>
      </c>
      <c r="AB80" s="2" t="s">
        <v>942</v>
      </c>
      <c r="AC80" s="2" t="s">
        <v>943</v>
      </c>
      <c r="AD80" s="1" t="s">
        <v>581</v>
      </c>
      <c r="AR80" s="1" t="s">
        <v>253</v>
      </c>
      <c r="AX80" s="1" t="s">
        <v>984</v>
      </c>
    </row>
    <row r="81">
      <c r="A81" s="1" t="s">
        <v>1347</v>
      </c>
      <c r="B81" s="1" t="str">
        <f>IFERROR(__xludf.DUMMYFUNCTION("GOOGLETRANSLATE(A:A, ""en"", ""te"")"),"డైనమిక్ స్పోర్ట్ అధిరోహకుడు")</f>
        <v>డైనమిక్ స్పోర్ట్ అధిరోహకుడు</v>
      </c>
      <c r="C81" s="1" t="s">
        <v>1348</v>
      </c>
      <c r="D81" s="1" t="str">
        <f>IFERROR(__xludf.DUMMYFUNCTION("GOOGLETRANSLATE(C:C, ""en"", ""te"")"),"డైనమిక్ స్పోర్ట్ అధిరోహకుడు అనేది శక్తితో కూడిన పారాగ్లైడింగ్ కోసం డైనమిక్ స్పోర్ట్ ఆఫ్ కీల్స్ రూపొందించిన మరియు ఉత్పత్తి చేయబడిన పోలిష్ పారామోటర్ల శ్రేణి. ఇప్పుడు ఉత్పత్తిలో లేదు, ఇది అందుబాటులో ఉన్నప్పుడు విమానం పూర్తి మరియు సిద్ధంగా ఉండటానికి సిద్ధంగా "&amp;"ఉంది. [1] అధిరోహకుడు యుఎస్ ఫార్ 103 అల్ట్రాలైట్ వెహికల్స్ నిబంధనలతో పాటు యూరోపియన్ నిబంధనలను పాటించేలా రూపొందించబడింది. ఇది పారాగ్లైడర్-స్టైల్ వింగ్, సింగిల్-ప్లేస్ వసతి మరియు ఒకే సిమోనిని మినీ 2 ప్లస్ 28 హెచ్‌పి (21 కిలోవాట్) ఇంజిన్‌ను పషర్ కాన్ఫిగరేషన్‌"&amp;"లో 2.4: 1 నిష్పత్తి తగ్గింపు డ్రైవ్‌తో మరియు 100 నుండి 124 సెం.మీ (39 నుండి 49 అంగుళాలు) వ్యాసం కలిగి ఉంది ప్రొపెల్లర్, మోడల్‌ను బట్టి. ఇంధన ట్యాంక్ సామర్థ్యం 5 లీటర్లు (1.1 ఇంప్ గల్; 1.3 యుఎస్ గాల్), 10 లీటర్లు (2.2 ఇంప్ గల్; 2.6 యుఎస్ గాల్) ఐచ్ఛికం. [1]"&amp;"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f>
        <v>డైనమిక్ స్పోర్ట్ అధిరోహకుడు అనేది శక్తితో కూడిన పారాగ్లైడింగ్ కోసం డైనమిక్ స్పోర్ట్ ఆఫ్ కీల్స్ రూపొందించిన మరియు ఉత్పత్తి చేయబడిన పోలిష్ పారామోటర్ల శ్రేణి. ఇప్పుడు ఉత్పత్తిలో లేదు, ఇది అందుబాటులో ఉన్నప్పుడు విమానం పూర్తి మరియు సిద్ధంగా ఉండటానికి సిద్ధంగా ఉంది. [1] అధిరోహకుడు యుఎస్ ఫార్ 103 అల్ట్రాలైట్ వెహికల్స్ నిబంధనలతో పాటు యూరోపియన్ నిబంధనలను పాటించేలా రూపొందించబడింది. ఇది పారాగ్లైడర్-స్టైల్ వింగ్, సింగిల్-ప్లేస్ వసతి మరియు ఒకే సిమోనిని మినీ 2 ప్లస్ 28 హెచ్‌పి (21 కిలోవాట్) ఇంజిన్‌ను పషర్ కాన్ఫిగరేషన్‌లో 2.4: 1 నిష్పత్తి తగ్గింపు డ్రైవ్‌తో మరియు 100 నుండి 124 సెం.మీ (39 నుండి 49 అంగుళాలు) వ్యాసం కలిగి ఉంది ప్రొపెల్లర్, మోడల్‌ను బట్టి. ఇంధన ట్యాంక్ సామర్థ్యం 5 లీటర్లు (1.1 ఇంప్ గల్; 1.3 యుఎస్ గాల్), 10 లీటర్లు (2.2 ఇంప్ గల్; 2.6 యుఎస్ గాల్) ఐచ్ఛికం.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81" s="1" t="s">
        <v>756</v>
      </c>
      <c r="F81" s="1" t="str">
        <f>IFERROR(__xludf.DUMMYFUNCTION("GOOGLETRANSLATE(E:E, ""en"", ""te"")"),"పారామోటర్")</f>
        <v>పారామోటర్</v>
      </c>
      <c r="G81" s="1" t="s">
        <v>936</v>
      </c>
      <c r="H81" s="1" t="str">
        <f>IFERROR(__xludf.DUMMYFUNCTION("GOOGLETRANSLATE(G:G, ""en"", ""te"")"),"పోలాండ్")</f>
        <v>పోలాండ్</v>
      </c>
      <c r="I81" s="1" t="s">
        <v>1349</v>
      </c>
      <c r="J81" s="1" t="str">
        <f>IFERROR(__xludf.DUMMYFUNCTION("GOOGLETRANSLATE(I:I, ""en"", ""te"")"),"డైనమిక్ స్పోర్ట్")</f>
        <v>డైనమిక్ స్పోర్ట్</v>
      </c>
      <c r="K81" s="1" t="s">
        <v>1350</v>
      </c>
      <c r="O81" s="1" t="s">
        <v>135</v>
      </c>
      <c r="T81" s="1" t="s">
        <v>1351</v>
      </c>
      <c r="V81" s="1" t="s">
        <v>1352</v>
      </c>
      <c r="AB81" s="2" t="s">
        <v>762</v>
      </c>
      <c r="AC81" s="2" t="s">
        <v>943</v>
      </c>
      <c r="AD81" s="1" t="s">
        <v>581</v>
      </c>
      <c r="AE81" s="1" t="s">
        <v>1182</v>
      </c>
      <c r="AF81" s="1" t="s">
        <v>1353</v>
      </c>
      <c r="AR81" s="1" t="s">
        <v>253</v>
      </c>
    </row>
    <row r="82">
      <c r="A82" s="1" t="s">
        <v>1354</v>
      </c>
      <c r="B82" s="1" t="str">
        <f>IFERROR(__xludf.DUMMYFUNCTION("GOOGLETRANSLATE(A:A, ""en"", ""te"")"),"పారామోటర్ దోమ")</f>
        <v>పారామోటర్ దోమ</v>
      </c>
      <c r="C82" s="1" t="s">
        <v>1355</v>
      </c>
      <c r="D82" s="1" t="str">
        <f>IFERROR(__xludf.DUMMYFUNCTION("GOOGLETRANSLATE(C:C, ""en"", ""te"")"),"పారామోటర్ దోమ అనేది పోలిష్ పారామోటర్, దీనిని రిజార్డ్ జైగాడియో రూపొందించారు మరియు శక్తితో కూడిన పారాగ్లైడింగ్ కోసం వార్సా యొక్క పారామోటర్ నేపెడీ పారాలోట్నియోవ్ (ఇంగ్లీష్: పారాగ్లైడింగ్ పారామోటర్ డ్రైవ్‌లు) చేత ఉత్పత్తి చేయబడింది. ఇప్పుడు ఉత్పత్తిలో లేదు, "&amp;"ఇది అందుబాటులో ఉన్నప్పుడు విమానం పూర్తి మరియు సిద్ధంగా ఉండటానికి సిద్ధంగా ఉంది. [1] ఈ దోమ యుఎస్ ఫార్ 103 అల్ట్రాలైట్ వాహనాల నిబంధనలతో పాటు యూరోపియన్ నిబంధనలను పాటించేలా రూపొందించబడింది. ఇది పారాగ్లైడర్-స్టైల్ వింగ్, సింగిల్-ప్లేస్ వసతి మరియు రిడక్షన్ డ్రై"&amp;"వ్ మరియు 100 నుండి 125 సెం.మీ (39 నుండి 49 అంగుళాలు) వ్యాసం కలిగిన రెండు-బ్లేడెడ్ కాంపోజిట్ ప్రొపెల్లర్‌ను కలిగి ఉన్న పషర్ కాన్ఫిగరేషన్‌లో ఒకే ఇంజిన్‌ను కలిగి ఉంది, అన్నీ మోడల్‌ను బట్టి ఉంటాయి. ఈ విమానం అల్యూమినియం కలయిక నుండి, స్టెయిన్లెస్ స్టీల్ ట్యూబ్ "&amp;"ప్రొపెల్లర్ కేజ్ తో నిర్మించబడింది.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"&amp;"[1] సాధారణ లక్షణాలు")</f>
        <v>పారామోటర్ దోమ అనేది పోలిష్ పారామోటర్, దీనిని రిజార్డ్ జైగాడియో రూపొందించారు మరియు శక్తితో కూడిన పారాగ్లైడింగ్ కోసం వార్సా యొక్క పారామోటర్ నేపెడీ పారాలోట్నియోవ్ (ఇంగ్లీష్: పారాగ్లైడింగ్ పారామోటర్ డ్రైవ్‌లు) చేత ఉత్పత్తి చేయబడింది. ఇప్పుడు ఉత్పత్తిలో లేదు, ఇది అందుబాటులో ఉన్నప్పుడు విమానం పూర్తి మరియు సిద్ధంగా ఉండటానికి సిద్ధంగా ఉంది. [1] ఈ దోమ యుఎస్ ఫార్ 103 అల్ట్రాలైట్ వాహనాల నిబంధనలతో పాటు యూరోపియన్ నిబంధనలను పాటించేలా రూపొందించబడింది. ఇది పారాగ్లైడర్-స్టైల్ వింగ్, సింగిల్-ప్లేస్ వసతి మరియు రిడక్షన్ డ్రైవ్ మరియు 100 నుండి 125 సెం.మీ (39 నుండి 49 అంగుళాలు) వ్యాసం కలిగిన రెండు-బ్లేడెడ్ కాంపోజిట్ ప్రొపెల్లర్‌ను కలిగి ఉన్న పషర్ కాన్ఫిగరేషన్‌లో ఒకే ఇంజిన్‌ను కలిగి ఉంది, అన్నీ మోడల్‌ను బట్టి ఉంటాయి. ఈ విమానం అల్యూమినియం కలయిక నుండి, స్టెయిన్లెస్ స్టీల్ ట్యూబ్ ప్రొపెల్లర్ కేజ్ తో నిర్మించబడింది.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82" s="1" t="s">
        <v>756</v>
      </c>
      <c r="F82" s="1" t="str">
        <f>IFERROR(__xludf.DUMMYFUNCTION("GOOGLETRANSLATE(E:E, ""en"", ""te"")"),"పారామోటర్")</f>
        <v>పారామోటర్</v>
      </c>
      <c r="G82" s="1" t="s">
        <v>936</v>
      </c>
      <c r="H82" s="1" t="str">
        <f>IFERROR(__xludf.DUMMYFUNCTION("GOOGLETRANSLATE(G:G, ""en"", ""te"")"),"పోలాండ్")</f>
        <v>పోలాండ్</v>
      </c>
      <c r="I82" s="1" t="s">
        <v>1356</v>
      </c>
      <c r="J82" s="1" t="str">
        <f>IFERROR(__xludf.DUMMYFUNCTION("GOOGLETRANSLATE(I:I, ""en"", ""te"")"),"పారామోటర్ నేపెడీ పారాలోట్నియోవ్")</f>
        <v>పారామోటర్ నేపెడీ పారాలోట్నియోవ్</v>
      </c>
      <c r="K82" s="1" t="s">
        <v>1357</v>
      </c>
      <c r="L82" s="1" t="s">
        <v>1358</v>
      </c>
      <c r="O82" s="1" t="s">
        <v>135</v>
      </c>
      <c r="T82" s="1" t="s">
        <v>1359</v>
      </c>
      <c r="V82" s="1" t="s">
        <v>1360</v>
      </c>
      <c r="AB82" s="2" t="s">
        <v>762</v>
      </c>
      <c r="AC82" s="2" t="s">
        <v>943</v>
      </c>
      <c r="AD82" s="1" t="s">
        <v>581</v>
      </c>
      <c r="AE82" s="1" t="s">
        <v>1361</v>
      </c>
      <c r="AF82" s="1" t="s">
        <v>1362</v>
      </c>
      <c r="AR82" s="1" t="s">
        <v>253</v>
      </c>
    </row>
    <row r="83">
      <c r="A83" s="1" t="s">
        <v>1363</v>
      </c>
      <c r="B83" s="1" t="str">
        <f>IFERROR(__xludf.DUMMYFUNCTION("GOOGLETRANSLATE(A:A, ""en"", ""te"")"),"పారాపవర్ పారాపవర్")</f>
        <v>పారాపవర్ పారాపవర్</v>
      </c>
      <c r="C83" s="1" t="s">
        <v>1364</v>
      </c>
      <c r="D83" s="1" t="str">
        <f>IFERROR(__xludf.DUMMYFUNCTION("GOOGLETRANSLATE(C:C, ""en"", ""te"")"),"పారాపవర్ అనేది శక్తితో కూడిన పారాగ్లైడింగ్ కోసం పిల్చోవో యొక్క పారాపవర్ రూపొందించిన మరియు ఉత్పత్తి చేసిన పోలిష్ పారామోటర్. విమానం పూర్తి మరియు రెడీ టు-ఫ్లై సరఫరా చేయబడుతుంది. [1] గందరగోళంగా, తయారీదారు మరియు దాని ఉత్పత్తి రెండూ ఒకే పేరును కలిగి ఉన్నాయి. [1"&amp;"] పారాపవర్ యుఎస్ ఫార్ 103 అల్ట్రాలైట్ వెహికల్స్ రూల్స్ మరియు యూరోపియన్ రెగ్యులేషన్స్ తో పాటించేలా రూపొందించబడింది. ఇది పారాగ్లైడర్-స్టైల్ వింగ్, సింగిల్-ప్లేస్ వసతి మరియు రిడక్షన్ డ్రైవ్ మరియు 112 నుండి 124 సెం.మీ (44 నుండి 49 అంగుళాలు) వ్యాసం కలిగిన రెండ"&amp;"ు-బ్లేడెడ్ కాంపోజిట్ ప్రొపెల్లర్‌తో పషర్ కాన్ఫిగరేషన్‌లో ఒకే సోలో 210 ఇంజిన్‌ను కలిగి ఉంది, మోడల్‌ను బట్టి. ఈ విమానం బోల్ట్ అల్యూమినియం మరియు 4130 స్టీల్ గొట్టాల కలయిక నుండి నిర్మించబడింది, ప్లాస్టిక్ ఇంధన ట్యాంక్ ఇంజిన్ పైన అమర్చబడి ఉంటుంది. [1] అన్ని పా"&amp;"రామోటర్ల మాదిరిగానే, టేకాఫ్ మరియు ల్యాండింగ్ కాలినడకన సాధించబడుతుంది. పందిరి బ్రేక్‌లను అమలు చేసే, రోల్ మరియు యావ్ సృష్టించే హ్యాండిల్స్ ద్వారా ఇన్ఫ్లైట్ స్టీరింగ్ సాధించబడుతుంది. [1] సమీక్షకుడు రెనే కూలన్ 2003 లో ఇలా పేర్కొన్నాడు, ""చట్రం, క్లాసిక్ డిజైన"&amp;"్ అయినప్పటికీ, దృ and మైన మరియు మంచి నాణ్యత కలిగి ఉంది. ధర చాలా పోటీగా ఉంది. [1] బెర్ట్రాండ్ నుండి డేటా [1] సాధారణ లక్షణాలు")</f>
        <v>పారాపవర్ అనేది శక్తితో కూడిన పారాగ్లైడింగ్ కోసం పిల్చోవో యొక్క పారాపవర్ రూపొందించిన మరియు ఉత్పత్తి చేసిన పోలిష్ పారామోటర్. విమానం పూర్తి మరియు రెడీ టు-ఫ్లై సరఫరా చేయబడుతుంది. [1] గందరగోళంగా, తయారీదారు మరియు దాని ఉత్పత్తి రెండూ ఒకే పేరును కలిగి ఉన్నాయి. [1] పారాపవర్ యుఎస్ ఫార్ 103 అల్ట్రాలైట్ వెహికల్స్ రూల్స్ మరియు యూరోపియన్ రెగ్యులేషన్స్ తో పాటించేలా రూపొందించబడింది. ఇది పారాగ్లైడర్-స్టైల్ వింగ్, సింగిల్-ప్లేస్ వసతి మరియు రిడక్షన్ డ్రైవ్ మరియు 112 నుండి 124 సెం.మీ (44 నుండి 49 అంగుళాలు) వ్యాసం కలిగిన రెండు-బ్లేడెడ్ కాంపోజిట్ ప్రొపెల్లర్‌తో పషర్ కాన్ఫిగరేషన్‌లో ఒకే సోలో 210 ఇంజిన్‌ను కలిగి ఉంది, మోడల్‌ను బట్టి. ఈ విమానం బోల్ట్ అల్యూమినియం మరియు 4130 స్టీల్ గొట్టాల కలయిక నుండి నిర్మించబడింది, ప్లాస్టిక్ ఇంధన ట్యాంక్ ఇంజిన్ పైన అమర్చబడి ఉంటుంది.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సమీక్షకుడు రెనే కూలన్ 2003 లో ఇలా పేర్కొన్నాడు, "చట్రం, క్లాసిక్ డిజైన్ అయినప్పటికీ, దృ and మైన మరియు మంచి నాణ్యత కలిగి ఉంది. ధర చాలా పోటీగా ఉంది. [1] బెర్ట్రాండ్ నుండి డేటా [1] సాధారణ లక్షణాలు</v>
      </c>
      <c r="E83" s="1" t="s">
        <v>756</v>
      </c>
      <c r="F83" s="1" t="str">
        <f>IFERROR(__xludf.DUMMYFUNCTION("GOOGLETRANSLATE(E:E, ""en"", ""te"")"),"పారామోటర్")</f>
        <v>పారామోటర్</v>
      </c>
      <c r="G83" s="1" t="s">
        <v>936</v>
      </c>
      <c r="H83" s="1" t="str">
        <f>IFERROR(__xludf.DUMMYFUNCTION("GOOGLETRANSLATE(G:G, ""en"", ""te"")"),"పోలాండ్")</f>
        <v>పోలాండ్</v>
      </c>
      <c r="I83" s="1" t="s">
        <v>1365</v>
      </c>
      <c r="J83" s="1" t="str">
        <f>IFERROR(__xludf.DUMMYFUNCTION("GOOGLETRANSLATE(I:I, ""en"", ""te"")"),"పారాపవర్")</f>
        <v>పారాపవర్</v>
      </c>
      <c r="K83" s="2" t="s">
        <v>1366</v>
      </c>
      <c r="O83" s="1" t="s">
        <v>135</v>
      </c>
      <c r="V83" s="1" t="s">
        <v>1367</v>
      </c>
      <c r="AB83" s="2" t="s">
        <v>762</v>
      </c>
      <c r="AC83" s="2" t="s">
        <v>943</v>
      </c>
      <c r="AD83" s="1" t="s">
        <v>374</v>
      </c>
      <c r="AE83" s="1" t="s">
        <v>1368</v>
      </c>
      <c r="AF83" s="1" t="s">
        <v>1369</v>
      </c>
      <c r="AR83" s="1" t="s">
        <v>253</v>
      </c>
    </row>
    <row r="84">
      <c r="A84" s="1" t="s">
        <v>1370</v>
      </c>
      <c r="B84" s="1" t="str">
        <f>IFERROR(__xludf.DUMMYFUNCTION("GOOGLETRANSLATE(A:A, ""en"", ""te"")"),"జనరల్ డైనమిక్స్ మోడల్ 100")</f>
        <v>జనరల్ డైనమిక్స్ మోడల్ 100</v>
      </c>
      <c r="C84" s="1" t="s">
        <v>1371</v>
      </c>
      <c r="D84" s="1" t="str">
        <f>IFERROR(__xludf.DUMMYFUNCTION("GOOGLETRANSLATE(C:C, ""en"", ""te"")"),"జనరల్ డైనమిక్స్ మోడల్ 100 అనేది అమెరికా వైమానిక దళం (USAF) ఉపయోగం కోసం ఉద్దేశించిన కౌంటర్-తిరుగుబాటు (COIN) గ్రౌండ్ అటాక్ విమానం కోసం 1960 ల ప్రతిపాదన. [1] డగ్లస్ ఎ -1 స్కైరైడర్ స్థానంలో ఒక నాణెం విమానానికి USAF అవసరానికి ప్రతిస్పందనగా మోడల్ 100 ను 1966 ల"&amp;"ో జనరల్ డైనమిక్స్ రూపొందించింది. [2] ప్రారంభ రూపకల్పనలో టర్బోప్రాప్-శక్తితో కూడిన విమానం స్ట్రెయిట్ రెక్కలు మరియు టి-టెయిల్‌తో ఉంది, కాని తరువాత డిజైన్‌లో సాంప్రదాయిక తోక రూపకల్పన ఉంది. మోడల్ 100 ను A-8A గా సూచించినప్పటికీ, USAF ఎప్పుడైనా అధికారికంగా హోదా"&amp;"ను మోడల్ 100 కు కేటాయించారా అనేది అస్పష్టంగా ఉంది. [3] మోడల్ 100 చివరికి A-X కార్యక్రమానికి అనుకూలంగా నిలిపివేయబడింది, దీని ఫలితంగా ఫెయిర్‌చైల్డ్ రిపబ్లిక్ A-10 థండర్‌బోల్ట్ II అభివృద్ధి చెందుతుంది.")</f>
        <v>జనరల్ డైనమిక్స్ మోడల్ 100 అనేది అమెరికా వైమానిక దళం (USAF) ఉపయోగం కోసం ఉద్దేశించిన కౌంటర్-తిరుగుబాటు (COIN) గ్రౌండ్ అటాక్ విమానం కోసం 1960 ల ప్రతిపాదన. [1] డగ్లస్ ఎ -1 స్కైరైడర్ స్థానంలో ఒక నాణెం విమానానికి USAF అవసరానికి ప్రతిస్పందనగా మోడల్ 100 ను 1966 లో జనరల్ డైనమిక్స్ రూపొందించింది. [2] ప్రారంభ రూపకల్పనలో టర్బోప్రాప్-శక్తితో కూడిన విమానం స్ట్రెయిట్ రెక్కలు మరియు టి-టెయిల్‌తో ఉంది, కాని తరువాత డిజైన్‌లో సాంప్రదాయిక తోక రూపకల్పన ఉంది. మోడల్ 100 ను A-8A గా సూచించినప్పటికీ, USAF ఎప్పుడైనా అధికారికంగా హోదాను మోడల్ 100 కు కేటాయించారా అనేది అస్పష్టంగా ఉంది. [3] మోడల్ 100 చివరికి A-X కార్యక్రమానికి అనుకూలంగా నిలిపివేయబడింది, దీని ఫలితంగా ఫెయిర్‌చైల్డ్ రిపబ్లిక్ A-10 థండర్‌బోల్ట్ II అభివృద్ధి చెందుతుంది.</v>
      </c>
      <c r="E84" s="1" t="s">
        <v>1372</v>
      </c>
      <c r="F84" s="1" t="str">
        <f>IFERROR(__xludf.DUMMYFUNCTION("GOOGLETRANSLATE(E:E, ""en"", ""te"")"),"కౌంటర్-తిరుగుబాటు")</f>
        <v>కౌంటర్-తిరుగుబాటు</v>
      </c>
      <c r="G84" s="1" t="s">
        <v>155</v>
      </c>
      <c r="H84" s="1" t="str">
        <f>IFERROR(__xludf.DUMMYFUNCTION("GOOGLETRANSLATE(G:G, ""en"", ""te"")"),"అమెరికా")</f>
        <v>అమెరికా</v>
      </c>
      <c r="I84" s="1" t="s">
        <v>1373</v>
      </c>
      <c r="J84" s="1" t="str">
        <f>IFERROR(__xludf.DUMMYFUNCTION("GOOGLETRANSLATE(I:I, ""en"", ""te"")"),"సాధారణ డైనమిక్స్")</f>
        <v>సాధారణ డైనమిక్స్</v>
      </c>
      <c r="K84" s="1" t="s">
        <v>1374</v>
      </c>
      <c r="AB84" s="2" t="s">
        <v>1375</v>
      </c>
      <c r="AC84" s="2" t="s">
        <v>167</v>
      </c>
      <c r="AJ84" s="1" t="s">
        <v>1175</v>
      </c>
      <c r="AQ84" s="1" t="s">
        <v>1376</v>
      </c>
      <c r="BP84" s="1" t="s">
        <v>1377</v>
      </c>
    </row>
    <row r="85">
      <c r="A85" s="1" t="s">
        <v>1378</v>
      </c>
      <c r="B85" s="1" t="str">
        <f>IFERROR(__xludf.DUMMYFUNCTION("GOOGLETRANSLATE(A:A, ""en"", ""te"")"),"డిట్మార్ HD 153 మోటార్-మావే")</f>
        <v>డిట్మార్ HD 153 మోటార్-మావే</v>
      </c>
      <c r="C85" s="1" t="s">
        <v>1379</v>
      </c>
      <c r="D85" s="1" t="str">
        <f>IFERROR(__xludf.DUMMYFUNCTION("GOOGLETRANSLATE(C:C, ""en"", ""te"")"),"డిట్మార్ HD 153 మోటార్-మావే ఒక పశ్చిమ జర్మన్ లైట్ విమానం, ఇది మొట్టమొదట నవంబర్ 1953 లో ఎగురవేయబడింది. డిట్మార్ HD 53 మావే సెయిల్ ప్లేన్, [1] ఈ సెయిల్ ప్లేన్ యొక్క మోటరైజ్డ్ డెవలప్మెంట్, హీని డిట్మార్ చేత రూపొందించబడిన మోటారు-మేవే, మోటరైజ్డ్ అభివృద్ధి మరియ"&amp;"ు మొదట్లో 48-63 kW (65–85 HP) ఇంజిన్ల ద్వారా శక్తినిచ్చేలా రూపొందించబడింది. HD 153 ప్రోటోటైప్ 48 కిలోవాట్ల (65 హెచ్‌పి) కాంటినెంటల్ ఎ 65 ఇంజిన్‌తో నడిచే రెండు-సీట్ల సైడ్-బై హై వింగ్ మోనోప్లేన్ మరియు అవసరమైనప్పుడు రహదారి రవాణాను సులభతరం చేయడానికి వేరు చేయగ"&amp;"లిగిన రెక్క మరియు తోక సమావేశాలతో చెక్క నిర్మాణంతో ఉంది. రెండవ ప్రోటోటైప్ విమానం 45 kW (60 HP) హిర్త్ ఇంజిన్‌తో అమర్చబడింది. [2] ఈ విమానం ప్రైవేట్ మరియు క్లబ్ ఉపయోగం కోసం రూపొందించబడింది మరియు శిక్షకుడు మరియు గ్లైడర్ టగ్‌గా పనిచేశారు. 1960 లో ఎస్సెన్/ముల్హ"&amp;"ీమ్ విమానాశ్రయం సమీపంలో అతని మోటారు-మేవే క్రాష్ అయినప్పుడు 1960 లో విమాన డిజైనర్ హీని డిట్మార్ చంపబడ్డాడు. ఈ రకాన్ని చిన్న సంఖ్యలో 1960 చివరి నాటికి మరియు 1 జనవరి 1961 న నాలుగు HD 153 మరియు నాలుగు HD 156 మోటారు -మోవెన్ పశ్చిమ జర్మన్ సివిల్ ఎయిర్క్రాఫ్ట్ ర"&amp;"ిజిస్టర్‌లో కనిపించింది. [3] నేను 1965 నాలుగు HD 153 మరియు ఐదు HD 156 మోటార్-మోవెన్ పశ్చిమ జర్మనీలో నమోదు చేయబడ్డాయి. [4] 2007 నాటికి, ఎటువంటి ఉదాహరణలు చురుకుగా ఉన్నట్లు తెలియదు. జేన్ యొక్క అన్ని ప్రపంచ విమానాల నుండి డేటా 1958-59 [5] సాధారణ లక్షణాల పనితీర"&amp;"ు")</f>
        <v>డిట్మార్ HD 153 మోటార్-మావే ఒక పశ్చిమ జర్మన్ లైట్ విమానం, ఇది మొట్టమొదట నవంబర్ 1953 లో ఎగురవేయబడింది. డిట్మార్ HD 53 మావే సెయిల్ ప్లేన్, [1] ఈ సెయిల్ ప్లేన్ యొక్క మోటరైజ్డ్ డెవలప్మెంట్, హీని డిట్మార్ చేత రూపొందించబడిన మోటారు-మేవే, మోటరైజ్డ్ అభివృద్ధి మరియు మొదట్లో 48-63 kW (65–85 HP) ఇంజిన్ల ద్వారా శక్తినిచ్చేలా రూపొందించబడింది. HD 153 ప్రోటోటైప్ 48 కిలోవాట్ల (65 హెచ్‌పి) కాంటినెంటల్ ఎ 65 ఇంజిన్‌తో నడిచే రెండు-సీట్ల సైడ్-బై హై వింగ్ మోనోప్లేన్ మరియు అవసరమైనప్పుడు రహదారి రవాణాను సులభతరం చేయడానికి వేరు చేయగలిగిన రెక్క మరియు తోక సమావేశాలతో చెక్క నిర్మాణంతో ఉంది. రెండవ ప్రోటోటైప్ విమానం 45 kW (60 HP) హిర్త్ ఇంజిన్‌తో అమర్చబడింది. [2] ఈ విమానం ప్రైవేట్ మరియు క్లబ్ ఉపయోగం కోసం రూపొందించబడింది మరియు శిక్షకుడు మరియు గ్లైడర్ టగ్‌గా పనిచేశారు. 1960 లో ఎస్సెన్/ముల్హీమ్ విమానాశ్రయం సమీపంలో అతని మోటారు-మేవే క్రాష్ అయినప్పుడు 1960 లో విమాన డిజైనర్ హీని డిట్మార్ చంపబడ్డాడు. ఈ రకాన్ని చిన్న సంఖ్యలో 1960 చివరి నాటికి మరియు 1 జనవరి 1961 న నాలుగు HD 153 మరియు నాలుగు HD 156 మోటారు -మోవెన్ పశ్చిమ జర్మన్ సివిల్ ఎయిర్క్రాఫ్ట్ రిజిస్టర్‌లో కనిపించింది. [3] నేను 1965 నాలుగు HD 153 మరియు ఐదు HD 156 మోటార్-మోవెన్ పశ్చిమ జర్మనీలో నమోదు చేయబడ్డాయి. [4] 2007 నాటికి, ఎటువంటి ఉదాహరణలు చురుకుగా ఉన్నట్లు తెలియదు. జేన్ యొక్క అన్ని ప్రపంచ విమానాల నుండి డేటా 1958-59 [5] సాధారణ లక్షణాల పనితీరు</v>
      </c>
      <c r="E85" s="1" t="s">
        <v>1380</v>
      </c>
      <c r="F85" s="1" t="str">
        <f>IFERROR(__xludf.DUMMYFUNCTION("GOOGLETRANSLATE(E:E, ""en"", ""te"")"),"లైట్ సివిల్ యుటిలిటీ విమానం")</f>
        <v>లైట్ సివిల్ యుటిలిటీ విమానం</v>
      </c>
      <c r="G85" s="1" t="s">
        <v>1381</v>
      </c>
      <c r="H85" s="1" t="str">
        <f>IFERROR(__xludf.DUMMYFUNCTION("GOOGLETRANSLATE(G:G, ""en"", ""te"")"),"పశ్చిమ జర్మనీ")</f>
        <v>పశ్చిమ జర్మనీ</v>
      </c>
      <c r="I85" s="1" t="s">
        <v>1382</v>
      </c>
      <c r="J85" s="1" t="str">
        <f>IFERROR(__xludf.DUMMYFUNCTION("GOOGLETRANSLATE(I:I, ""en"", ""te"")"),"డిట్మార్")</f>
        <v>డిట్మార్</v>
      </c>
      <c r="L85" s="1" t="s">
        <v>1383</v>
      </c>
      <c r="M85" s="1" t="s">
        <v>1384</v>
      </c>
      <c r="N85" s="4">
        <v>19664.0</v>
      </c>
      <c r="O85" s="1" t="s">
        <v>135</v>
      </c>
      <c r="P85" s="1" t="s">
        <v>1385</v>
      </c>
      <c r="Q85" s="1" t="s">
        <v>591</v>
      </c>
      <c r="R85" s="1" t="s">
        <v>1386</v>
      </c>
      <c r="S85" s="1" t="s">
        <v>1387</v>
      </c>
      <c r="T85" s="1" t="s">
        <v>1388</v>
      </c>
      <c r="U85" s="1" t="s">
        <v>1389</v>
      </c>
      <c r="V85" s="1" t="s">
        <v>1390</v>
      </c>
      <c r="W85" s="1" t="s">
        <v>1391</v>
      </c>
      <c r="X85" s="1" t="s">
        <v>1392</v>
      </c>
      <c r="Y85" s="1" t="s">
        <v>1393</v>
      </c>
      <c r="AA85" s="1" t="s">
        <v>1394</v>
      </c>
      <c r="AD85" s="1" t="s">
        <v>1395</v>
      </c>
      <c r="AE85" s="1" t="s">
        <v>1396</v>
      </c>
      <c r="AF85" s="1" t="s">
        <v>1397</v>
      </c>
      <c r="AG85" s="1" t="s">
        <v>1398</v>
      </c>
      <c r="AK85" s="1" t="s">
        <v>1399</v>
      </c>
      <c r="AP85" s="1" t="s">
        <v>1400</v>
      </c>
      <c r="AQ85" s="1" t="s">
        <v>1401</v>
      </c>
      <c r="AR85" s="1" t="s">
        <v>1402</v>
      </c>
      <c r="AS85" s="1">
        <v>8.5</v>
      </c>
      <c r="AT85" s="1" t="s">
        <v>1403</v>
      </c>
      <c r="BF85" s="1" t="s">
        <v>1404</v>
      </c>
      <c r="BG85" s="1" t="s">
        <v>1405</v>
      </c>
      <c r="BN85" s="1">
        <v>1956.0</v>
      </c>
      <c r="BO85" s="1" t="s">
        <v>1406</v>
      </c>
      <c r="CA85" s="1" t="s">
        <v>1407</v>
      </c>
      <c r="CL85" s="1" t="s">
        <v>1408</v>
      </c>
      <c r="CM85" s="1" t="s">
        <v>1409</v>
      </c>
      <c r="CU85" s="1" t="s">
        <v>1410</v>
      </c>
    </row>
    <row r="86">
      <c r="A86" s="1" t="s">
        <v>1411</v>
      </c>
      <c r="B86" s="1" t="str">
        <f>IFERROR(__xludf.DUMMYFUNCTION("GOOGLETRANSLATE(A:A, ""en"", ""te"")"),"పారా-స్కీ టాప్ గన్")</f>
        <v>పారా-స్కీ టాప్ గన్</v>
      </c>
      <c r="C86" s="1" t="s">
        <v>1412</v>
      </c>
      <c r="D86" s="1" t="str">
        <f>IFERROR(__xludf.DUMMYFUNCTION("GOOGLETRANSLATE(C:C, ""en"", ""te"")"),"పారా-స్కీ టాప్ గన్ కెనడియన్ శక్తితో కూడిన పారాచూట్, దీనిని క్యూబెక్‌లోని మస్కౌచే పారా-స్కీ రూపొందించారు మరియు నిర్మించారు. ఇప్పుడు ఉత్పత్తిలో లేదు, ఇది అందుబాటులో ఉన్నప్పుడు విమానం పూర్తి రెడీ-టు-ఫ్లై-ఎయిర్‌క్రాఫ్ట్‌గా మరియు te త్సాహిక నిర్మాణానికి కిట్‌గ"&amp;"ా కూడా సరఫరా చేయబడింది. [1] [2] టాప్ గన్ 2003 లో ప్రవేశపెట్టబడింది మరియు 2011 లో కంపెనీ వ్యాపారం నుండి బయటపడినప్పుడు ఉత్పత్తి ముగిసింది. [3] టాప్ గన్ కెనడియన్ బేసిక్ అల్ట్రాలైట్ విమానం వర్గానికి అనుగుణంగా రూపొందించబడింది, అలాగే ఫెడెరేషన్ ఏరోనటిక్ ఇంటర్నేష"&amp;"నల్ మైక్రోలైట్ వర్గానికి అనుగుణంగా రూపొందించబడింది. కిట్ రూపంలో ఈ విమానం కెనడియన్ te త్సాహిక-నిర్మిత విమాన నియమాలతో పాటు యుఎస్ ప్రయోగాత్మక-te త్సాహిక-నిర్మిత విమాన నియమాలకు అనుగుణంగా రూపొందించబడింది. ఇది 521 చదరపు అడుగుల (48.4 మీ 2) పారాచూట్-శైలి వింగ్, ర"&amp;"ెండు-సీట్ల-తేమ వసతి, నాలుగు చక్రాల ల్యాండింగ్ గేర్ మరియు ఒకే 64 హెచ్‌పి (48 కిలోవాట్ల) రోటాక్స్ 582 ఇంజిన్‌ను పషర్ కాన్ఫిగరేషన్‌లో కలిగి ఉంది. 65 హెచ్‌పి (48 కిలోవాట్ల) హిర్త్ 3203, 80 హెచ్‌పి (60 కిలోవాట్ల) హిర్త్ ఎఫ్ -30 లేదా 110 హెచ్‌పి (82 కిలోవాట్) హ"&amp;"ిర్త్ ఎఫ్ -30 ఎస్ ఇంజన్లు ఫ్యాక్టరీ ఎంపికలు. పారాచూట్ ఎంపికలలో 400 నుండి 600 చదరపు అడుగుల (37 నుండి 56 మీ 2) చదరపు లేదా ఎలిప్టికల్ కానోపీలు ఉన్నాయి. ల్యాండింగ్ గేర్ ఎంపికలలో స్కిస్ మరియు ఫ్లోట్లు ఉన్నాయి. [1] [4] విమానం క్యారేజ్ వెల్డెడ్ అల్యూమినియం గొట్ట"&amp;"ాల నుండి నిర్మించబడింది మరియు డ్యూయల్ స్క్వేర్ హెడ్‌లైట్‌లను కలుపుకొని ""స్లెడ్జ్ లాంటి"" కాక్‌పిట్ ఫెయిరింగ్ ఉంది. ఫ్లైట్ స్టీరింగ్‌లో పందిరి బ్రేక్‌లను అమలు చేసే హ్యాండిల్ బార్‌ల ద్వారా సాధించబడుతుంది, రోల్ మరియు యావ్ సృష్టిస్తుంది. మైదానంలో విమానంలో ఫ్"&amp;"రంట్ వీల్ స్టీరింగ్ ఉంది. ఇంజిన్ టార్క్ ప్రభావాలను ఆఫ్‌సెట్ చేయడానికి విమానం పెద్ద చుక్కానిని ఉపయోగిస్తుంది. ల్యాండింగ్ గేర్ స్వతంత్ర షాక్ మరియు స్ప్రింగ్ సస్పెన్షన్‌ను కలిగి ఉంటుంది. [1] [5] ఈ విమానం ఖాళీ బరువు 400 ఎల్బి (181 కిలోలు) మరియు స్థూల బరువు 90"&amp;"0 ఎల్బి (408 కిలోలు), ఇది 500 ఎల్బి (227 కిలోల) ఉపయోగకరమైన లోడ్‌ను ఇస్తుంది. 38 లీటర్ల పూర్తి ఇంధనంతో (8.4 ఇంప్ గల్; 10 యుఎస్ గాల్) సిబ్బంది మరియు సామాను కోసం పేలోడ్ 440 ఎల్బి (200 కిలోలు). [1] [5] జూలై 2015 లో రవాణా కెనడాలో మూడు ఉదాహరణలు నమోదు చేయబడ్డాయి"&amp;". [6] బెర్ట్రాండ్ నుండి డేటా [1] మరియు తయారీదారు [4] సాధారణ లక్షణాల పనితీరు")</f>
        <v>పారా-స్కీ టాప్ గన్ కెనడియన్ శక్తితో కూడిన పారాచూట్, దీనిని క్యూబెక్‌లోని మస్కౌచే పారా-స్కీ రూపొందించారు మరియు నిర్మించారు. ఇప్పుడు ఉత్పత్తిలో లేదు, ఇది అందుబాటులో ఉన్నప్పుడు విమానం పూర్తి రెడీ-టు-ఫ్లై-ఎయిర్‌క్రాఫ్ట్‌గా మరియు te త్సాహిక నిర్మాణానికి కిట్‌గా కూడా సరఫరా చేయబడింది. [1] [2] టాప్ గన్ 2003 లో ప్రవేశపెట్టబడింది మరియు 2011 లో కంపెనీ వ్యాపారం నుండి బయటపడినప్పుడు ఉత్పత్తి ముగిసింది. [3] టాప్ గన్ కెనడియన్ బేసిక్ అల్ట్రాలైట్ విమానం వర్గానికి అనుగుణంగా రూపొందించబడింది, అలాగే ఫెడెరేషన్ ఏరోనటిక్ ఇంటర్నేషనల్ మైక్రోలైట్ వర్గానికి అనుగుణంగా రూపొందించబడింది. కిట్ రూపంలో ఈ విమానం కెనడియన్ te త్సాహిక-నిర్మిత విమాన నియమాలతో పాటు యుఎస్ ప్రయోగాత్మక-te త్సాహిక-నిర్మిత విమాన నియమాలకు అనుగుణంగా రూపొందించబడింది. ఇది 521 చదరపు అడుగుల (48.4 మీ 2) పారాచూట్-శైలి వింగ్, రెండు-సీట్ల-తేమ వసతి, నాలుగు చక్రాల ల్యాండింగ్ గేర్ మరియు ఒకే 64 హెచ్‌పి (48 కిలోవాట్ల) రోటాక్స్ 582 ఇంజిన్‌ను పషర్ కాన్ఫిగరేషన్‌లో కలిగి ఉంది. 65 హెచ్‌పి (48 కిలోవాట్ల) హిర్త్ 3203, 80 హెచ్‌పి (60 కిలోవాట్ల) హిర్త్ ఎఫ్ -30 లేదా 110 హెచ్‌పి (82 కిలోవాట్) హిర్త్ ఎఫ్ -30 ఎస్ ఇంజన్లు ఫ్యాక్టరీ ఎంపికలు. పారాచూట్ ఎంపికలలో 400 నుండి 600 చదరపు అడుగుల (37 నుండి 56 మీ 2) చదరపు లేదా ఎలిప్టికల్ కానోపీలు ఉన్నాయి. ల్యాండింగ్ గేర్ ఎంపికలలో స్కిస్ మరియు ఫ్లోట్లు ఉన్నాయి. [1] [4] విమానం క్యారేజ్ వెల్డెడ్ అల్యూమినియం గొట్టాల నుండి నిర్మించబడింది మరియు డ్యూయల్ స్క్వేర్ హెడ్‌లైట్‌లను కలుపుకొని "స్లెడ్జ్ లాంటి" కాక్‌పిట్ ఫెయిరింగ్ ఉంది. ఫ్లైట్ స్టీరింగ్‌లో పందిరి బ్రేక్‌లను అమలు చేసే హ్యాండిల్ బార్‌ల ద్వారా సాధించబడుతుంది, రోల్ మరియు యావ్ సృష్టిస్తుంది. మైదానంలో విమానంలో ఫ్రంట్ వీల్ స్టీరింగ్ ఉంది. ఇంజిన్ టార్క్ ప్రభావాలను ఆఫ్‌సెట్ చేయడానికి విమానం పెద్ద చుక్కానిని ఉపయోగిస్తుంది. ల్యాండింగ్ గేర్ స్వతంత్ర షాక్ మరియు స్ప్రింగ్ సస్పెన్షన్‌ను కలిగి ఉంటుంది. [1] [5] ఈ విమానం ఖాళీ బరువు 400 ఎల్బి (181 కిలోలు) మరియు స్థూల బరువు 900 ఎల్బి (408 కిలోలు), ఇది 500 ఎల్బి (227 కిలోల) ఉపయోగకరమైన లోడ్‌ను ఇస్తుంది. 38 లీటర్ల పూర్తి ఇంధనంతో (8.4 ఇంప్ గల్; 10 యుఎస్ గాల్) సిబ్బంది మరియు సామాను కోసం పేలోడ్ 440 ఎల్బి (200 కిలోలు). [1] [5] జూలై 2015 లో రవాణా కెనడాలో మూడు ఉదాహరణలు నమోదు చేయబడ్డాయి. [6] బెర్ట్రాండ్ నుండి డేటా [1] మరియు తయారీదారు [4] సాధారణ లక్షణాల పనితీరు</v>
      </c>
      <c r="E86" s="1" t="s">
        <v>854</v>
      </c>
      <c r="F86" s="1" t="str">
        <f>IFERROR(__xludf.DUMMYFUNCTION("GOOGLETRANSLATE(E:E, ""en"", ""te"")"),"శక్తితో కూడిన పారాచూట్")</f>
        <v>శక్తితో కూడిన పారాచూట్</v>
      </c>
      <c r="G86" s="1" t="s">
        <v>855</v>
      </c>
      <c r="H86" s="1" t="str">
        <f>IFERROR(__xludf.DUMMYFUNCTION("GOOGLETRANSLATE(G:G, ""en"", ""te"")"),"కెనడా")</f>
        <v>కెనడా</v>
      </c>
      <c r="I86" s="1" t="s">
        <v>1413</v>
      </c>
      <c r="J86" s="1" t="str">
        <f>IFERROR(__xludf.DUMMYFUNCTION("GOOGLETRANSLATE(I:I, ""en"", ""te"")"),"పారా-స్కీ")</f>
        <v>పారా-స్కీ</v>
      </c>
      <c r="K86" s="2" t="s">
        <v>1414</v>
      </c>
      <c r="O86" s="1" t="s">
        <v>135</v>
      </c>
      <c r="Q86" s="1" t="s">
        <v>626</v>
      </c>
      <c r="S86" s="1" t="s">
        <v>1415</v>
      </c>
      <c r="T86" s="1" t="s">
        <v>1416</v>
      </c>
      <c r="U86" s="1" t="s">
        <v>163</v>
      </c>
      <c r="V86" s="1" t="s">
        <v>1213</v>
      </c>
      <c r="W86" s="1" t="s">
        <v>1417</v>
      </c>
      <c r="Z86" s="1" t="s">
        <v>1418</v>
      </c>
      <c r="AB86" s="1" t="s">
        <v>865</v>
      </c>
      <c r="AC86" s="2" t="s">
        <v>866</v>
      </c>
      <c r="AD86" s="1" t="s">
        <v>1419</v>
      </c>
      <c r="AE86" s="1" t="s">
        <v>1420</v>
      </c>
      <c r="AF86" s="1" t="s">
        <v>1421</v>
      </c>
      <c r="AG86" s="1" t="s">
        <v>1422</v>
      </c>
      <c r="AH86" s="1" t="s">
        <v>1423</v>
      </c>
      <c r="AI86" s="1" t="s">
        <v>1424</v>
      </c>
      <c r="AJ86" s="1" t="s">
        <v>1425</v>
      </c>
      <c r="AK86" s="1" t="s">
        <v>195</v>
      </c>
      <c r="AR86" s="1" t="s">
        <v>253</v>
      </c>
      <c r="AS86" s="1">
        <v>1.72</v>
      </c>
      <c r="AX86" s="1" t="s">
        <v>1426</v>
      </c>
    </row>
    <row r="87">
      <c r="A87" s="1" t="s">
        <v>1427</v>
      </c>
      <c r="B87" s="1" t="str">
        <f>IFERROR(__xludf.DUMMYFUNCTION("GOOGLETRANSLATE(A:A, ""en"", ""te"")"),"ARRORE MB 04 SURIS BULLE")</f>
        <v>ARRORE MB 04 SURIS BULLE</v>
      </c>
      <c r="C87" s="1" t="s">
        <v>1428</v>
      </c>
      <c r="D87" s="1" t="str">
        <f>IFERROR(__xludf.DUMMYFUNCTION("GOOGLETRANSLATE(C:C, ""en"", ""te"")"),"ARORE MB 04 SURIS BULLE (ఇంగ్లీష్: బబుల్ మౌస్) అనేది ఒక ఫ్రెంచ్ అల్ట్రాలైట్ విమానం, దీనిని మిచెల్ బారీ రూపొందించారు మరియు సావాగ్నన్ యొక్క అరోర్ సర్ల్ నిర్మించారు. విమానం ఒక కిట్‌గా లేదా te త్సాహిక నిర్మాణానికి ప్రణాళికలుగా సరఫరా చేయబడుతుంది. [1] [2] [3] స"&amp;"ోరిస్ బుల్లె ఫెడరేషన్ ఏరోనటిక్ ఇంటర్నేషనల్ మైక్రోలైట్ నిబంధనలకు అనుగుణంగా రూపొందించబడింది. ఈ విమానం స్ట్రట్-బ్రేస్డ్ హై-వింగ్, బబుల్ పందిరి కింద రెండు-సీట్ల-టెన్డం పరివేష్టిత కాక్‌పిట్, స్థిర సాంప్రదాయ ల్యాండింగ్ గేర్ మరియు ట్రాక్టర్ కాన్ఫిగరేషన్‌లో ఒకే ఇ"&amp;"ంజిన్ కలిగి ఉంది. వెనుక సీటు చాలా పరిమిత దృశ్యమానతను కలిగి ఉంది. [1] [2] ఈ విమానం చెక్కతో తయారు చేయబడింది, దాని ఎగిరే ఉపరితలాలు డోప్డ్ ఎయిర్క్రాఫ్ట్ ఫాబ్రిక్‌లో కప్పబడి ఉంటాయి. దీని 11.25 మీ (36.9 అడుగులు) స్పాన్ వింగ్ సింగిల్ సపోర్టింగ్ స్ట్రట్‌లను ఉపయోగ"&amp;"ిస్తుంది. ప్రామాణిక సిఫార్సు చేసిన ఇంజిన్ 60 హెచ్‌పి (45 కిలోవాట్ల) జెపిఎక్స్ 4 టి టూ-స్ట్రోక్ పవర్‌ప్లాంట్ లేదా 45 హెచ్‌పి (34 కిలోవాట్) వోక్స్వ్యాగన్ ఎయిర్-కూల్డ్ ఇంజిన్. సౌరిస్ బుల్లె గ్లైడ్ నిష్పత్తి 18: 1. [1] [2] [3] ప్రామాణిక రోజు, సముద్ర మట్టం, గా"&amp;"లి లేదు, 45 హెచ్‌పి (34 కిలోవాట్) ఇంజిన్‌తో టేకాఫ్ 52 మీ (171 అడుగులు) మరియు ల్యాండింగ్ రోల్ 91 మీ (299 అడుగులు). [3] 2015 లో ఎయిర్క్రాఫ్ట్ కిట్, 3 13,300 మరియు ప్రణాళికలు € 380 కు అమ్ముడయ్యాయి. [2] తయారీదారు సరఫరా చేసిన కిట్ నుండి నిర్మాణ సమయాన్ని 650 గం"&amp;"టలుగా అంచనా వేస్తాడు. [3] బేయర్ల్ మరియు పర్డీ నుండి డేటా [1] [3] సాధారణ లక్షణాల పనితీరు")</f>
        <v>ARORE MB 04 SURIS BULLE (ఇంగ్లీష్: బబుల్ మౌస్) అనేది ఒక ఫ్రెంచ్ అల్ట్రాలైట్ విమానం, దీనిని మిచెల్ బారీ రూపొందించారు మరియు సావాగ్నన్ యొక్క అరోర్ సర్ల్ నిర్మించారు. విమానం ఒక కిట్‌గా లేదా te త్సాహిక నిర్మాణానికి ప్రణాళికలుగా సరఫరా చేయబడుతుంది. [1] [2] [3] సోరిస్ బుల్లె ఫెడరేషన్ ఏరోనటిక్ ఇంటర్నేషనల్ మైక్రోలైట్ నిబంధనలకు అనుగుణంగా రూపొందించబడింది. ఈ విమానం స్ట్రట్-బ్రేస్డ్ హై-వింగ్, బబుల్ పందిరి కింద రెండు-సీట్ల-టెన్డం పరివేష్టిత కాక్‌పిట్, స్థిర సాంప్రదాయ ల్యాండింగ్ గేర్ మరియు ట్రాక్టర్ కాన్ఫిగరేషన్‌లో ఒకే ఇంజిన్ కలిగి ఉంది. వెనుక సీటు చాలా పరిమిత దృశ్యమానతను కలిగి ఉంది. [1] [2] ఈ విమానం చెక్కతో తయారు చేయబడింది, దాని ఎగిరే ఉపరితలాలు డోప్డ్ ఎయిర్క్రాఫ్ట్ ఫాబ్రిక్‌లో కప్పబడి ఉంటాయి. దీని 11.25 మీ (36.9 అడుగులు) స్పాన్ వింగ్ సింగిల్ సపోర్టింగ్ స్ట్రట్‌లను ఉపయోగిస్తుంది. ప్రామాణిక సిఫార్సు చేసిన ఇంజిన్ 60 హెచ్‌పి (45 కిలోవాట్ల) జెపిఎక్స్ 4 టి టూ-స్ట్రోక్ పవర్‌ప్లాంట్ లేదా 45 హెచ్‌పి (34 కిలోవాట్) వోక్స్వ్యాగన్ ఎయిర్-కూల్డ్ ఇంజిన్. సౌరిస్ బుల్లె గ్లైడ్ నిష్పత్తి 18: 1. [1] [2] [3] ప్రామాణిక రోజు, సముద్ర మట్టం, గాలి లేదు, 45 హెచ్‌పి (34 కిలోవాట్) ఇంజిన్‌తో టేకాఫ్ 52 మీ (171 అడుగులు) మరియు ల్యాండింగ్ రోల్ 91 మీ (299 అడుగులు). [3] 2015 లో ఎయిర్క్రాఫ్ట్ కిట్, 3 13,300 మరియు ప్రణాళికలు € 380 కు అమ్ముడయ్యాయి. [2] తయారీదారు సరఫరా చేసిన కిట్ నుండి నిర్మాణ సమయాన్ని 650 గంటలుగా అంచనా వేస్తాడు. [3] బేయర్ల్ మరియు పర్డీ నుండి డేటా [1] [3] సాధారణ లక్షణాల పనితీరు</v>
      </c>
      <c r="E87" s="1" t="s">
        <v>383</v>
      </c>
      <c r="F87" s="1" t="str">
        <f>IFERROR(__xludf.DUMMYFUNCTION("GOOGLETRANSLATE(E:E, ""en"", ""te"")"),"అల్ట్రాలైట్ విమానం")</f>
        <v>అల్ట్రాలైట్ విమానం</v>
      </c>
      <c r="G87" s="1" t="s">
        <v>113</v>
      </c>
      <c r="H87" s="1" t="str">
        <f>IFERROR(__xludf.DUMMYFUNCTION("GOOGLETRANSLATE(G:G, ""en"", ""te"")"),"ఫ్రాన్స్")</f>
        <v>ఫ్రాన్స్</v>
      </c>
      <c r="I87" s="1" t="s">
        <v>1429</v>
      </c>
      <c r="J87" s="1" t="str">
        <f>IFERROR(__xludf.DUMMYFUNCTION("GOOGLETRANSLATE(I:I, ""en"", ""te"")"),"ARRORE SARL")</f>
        <v>ARRORE SARL</v>
      </c>
      <c r="K87" s="1" t="s">
        <v>1430</v>
      </c>
      <c r="L87" s="1" t="s">
        <v>1431</v>
      </c>
      <c r="O87" s="1" t="s">
        <v>135</v>
      </c>
      <c r="P87" s="1" t="s">
        <v>1432</v>
      </c>
      <c r="Q87" s="1" t="s">
        <v>1433</v>
      </c>
      <c r="S87" s="1" t="s">
        <v>573</v>
      </c>
      <c r="T87" s="1" t="s">
        <v>184</v>
      </c>
      <c r="U87" s="1" t="s">
        <v>185</v>
      </c>
      <c r="V87" s="1" t="s">
        <v>1434</v>
      </c>
      <c r="W87" s="1" t="s">
        <v>1391</v>
      </c>
      <c r="Z87" s="1" t="s">
        <v>142</v>
      </c>
      <c r="AB87" s="1" t="s">
        <v>392</v>
      </c>
      <c r="AC87" s="2" t="s">
        <v>713</v>
      </c>
      <c r="AD87" s="1" t="s">
        <v>426</v>
      </c>
      <c r="AE87" s="1" t="s">
        <v>830</v>
      </c>
      <c r="AF87" s="1" t="s">
        <v>583</v>
      </c>
      <c r="AG87" s="1" t="s">
        <v>1435</v>
      </c>
      <c r="AH87" s="1" t="s">
        <v>1436</v>
      </c>
      <c r="AK87" s="1" t="s">
        <v>195</v>
      </c>
      <c r="BB87" s="1">
        <v>18.0</v>
      </c>
      <c r="BN87" s="1" t="s">
        <v>1437</v>
      </c>
    </row>
    <row r="88">
      <c r="A88" s="1" t="s">
        <v>1438</v>
      </c>
      <c r="B88" s="1" t="str">
        <f>IFERROR(__xludf.DUMMYFUNCTION("GOOGLETRANSLATE(A:A, ""en"", ""te"")"),"బౌన్సాల్ సూపర్ ప్రాస్పెక్టర్")</f>
        <v>బౌన్సాల్ సూపర్ ప్రాస్పెక్టర్</v>
      </c>
      <c r="C88" s="1" t="s">
        <v>1439</v>
      </c>
      <c r="D88" s="1" t="str">
        <f>IFERROR(__xludf.DUMMYFUNCTION("GOOGLETRANSLATE(C:C, ""en"", ""te"")"),"బౌన్సాల్ సూపర్ ప్రాస్పెక్టర్ అనేది ఒక అమెరికన్ స్టోల్ హోమ్‌బిల్ట్ విమానం, దీనిని 1990 లలో ప్రవేశపెట్టిన నెవాడాలోని మెస్క్వైట్ యొక్క బౌన్సాల్ విమానాలచే రూపొందించబడింది మరియు ఉత్పత్తి చేయబడింది. ఇది అందుబాటులో ఉన్నప్పుడు విమానం కిట్‌గా లేదా te త్సాహిక నిర్మ"&amp;"ాణానికి ప్రణాళికల రూపంలో సరఫరా చేయబడింది. [1] సూపర్ ప్రాస్పెక్టర్‌లో స్ట్రట్-బ్రేస్డ్ హై-వింగ్, తలుపులతో సింగిల్-సీట్ల పరివేష్టిత కాక్‌పిట్, స్థిర సాంప్రదాయ ల్యాండింగ్ గేర్ మరియు ట్రాక్టర్ కాన్ఫిగరేషన్‌లో ఒకే ఇంజిన్ ఉన్నాయి. [1] విమానం ఫ్యూజ్‌లేజ్ వెల్డెడ"&amp;"్ 4130 స్టీల్ గొట్టాల నుండి తయారవుతుంది మరియు కిట్‌లో భాగంగా ఐచ్ఛిక ప్రీ-వెల్డెడ్ ఫ్యూజ్‌లేజ్ ఫ్రేమ్ అందుబాటులో ఉంది. రెక్క ప్రధానంగా చెక్క నిర్మాణంలో ఉంది, అన్ని ఉపరితలాలు డోప్డ్ ఎయిర్క్రాఫ్ట్ ఫాబ్రిక్‌లో కప్పబడి ఉంటాయి మరియు జ్యూరీ స్ట్రట్‌లతో ""V"" స్ట"&amp;"్రట్‌లచే మద్దతు ఇస్తాయి. దాని 29.67 అడుగులు (9.0 మీ) స్పాన్ వింగ్ 120.8 చదరపు అడుగుల (11.22 మీ 2) విస్తీర్ణంలో ఉంది. ఆమోదయోగ్యమైన విద్యుత్ పరిధి 50 నుండి 85 హెచ్‌పి (37 నుండి 63 కిలోవాట్) మరియు ఉపయోగించిన ప్రామాణిక పవర్‌ప్లాంట్ 60 హెచ్‌పి (45 కిలోవాట్) వో"&amp;"క్స్వ్యాగన్ ఎయిర్-కూల్డ్ ఇంజిన్. [1] సూపర్ ప్రాస్పెక్టర్ 440 పౌండ్లు (200 కిలోల) యొక్క ఖాళీ బరువు మరియు 800 ఎల్బి (360 కిలోల) స్థూల బరువును కలిగి ఉంది, ఇది 360 ఎల్బి (160 కిలోల) ఉపయోగకరమైన లోడ్ ఇస్తుంది. 12 యు.ఎస్. గ్యాలన్ల పూర్తి ఇంధనంతో (45 ఎల్; 10.0 ఇం"&amp;"ప్ గల్) పైలట్ మరియు సామాను కోసం పేలోడ్ 288 ఎల్బి (131 కిలోలు). [1] ఈ విమానం దాని ఆల్‌రౌండ్ పైలట్ దృశ్యమానత మరియు దాని STOL పనితీరు కోసం ప్రసిద్ది చెందింది. ప్రామాణిక రోజు, సముద్ర మట్టం టేక్ ఆఫ్ దూరం 300 అడుగులు (91 మీ) మరియు ల్యాండింగ్ దూరం 250 అడుగులు (7"&amp;"6 మీ). తయారీదారు సరఫరా చేసిన కిట్ నుండి నిర్మాణ సమయాన్ని 500 గంటలుగా అంచనా వేస్తాడు. [1] 1998 నాటికి కంపెనీ మూడు కిట్లు అమ్ముడైందని నివేదించింది. [1] డిసెంబర్ 2013 లో ఫెడరల్ ఏవియేషన్ అడ్మినిస్ట్రేషన్తో అమెరికాలో ఒక ఉదాహరణ నమోదు చేయబడింది, అయినప్పటికీ ఒక స"&amp;"మయంలో ఐదు నమోదు చేయబడినప్పటికీ. [2] ఏరోక్రాఫ్టర్ నుండి డేటా [1] సాధారణ లక్షణాల పనితీరు")</f>
        <v>బౌన్సాల్ సూపర్ ప్రాస్పెక్టర్ అనేది ఒక అమెరికన్ స్టోల్ హోమ్‌బిల్ట్ విమానం, దీనిని 1990 లలో ప్రవేశపెట్టిన నెవాడాలోని మెస్క్వైట్ యొక్క బౌన్సాల్ విమానాలచే రూపొందించబడింది మరియు ఉత్పత్తి చేయబడింది. ఇది అందుబాటులో ఉన్నప్పుడు విమానం కిట్‌గా లేదా te త్సాహిక నిర్మాణానికి ప్రణాళికల రూపంలో సరఫరా చేయబడింది. [1] సూపర్ ప్రాస్పెక్టర్‌లో స్ట్రట్-బ్రేస్డ్ హై-వింగ్, తలుపులతో సింగిల్-సీట్ల పరివేష్టిత కాక్‌పిట్, స్థిర సాంప్రదాయ ల్యాండింగ్ గేర్ మరియు ట్రాక్టర్ కాన్ఫిగరేషన్‌లో ఒకే ఇంజిన్ ఉన్నాయి. [1] విమానం ఫ్యూజ్‌లేజ్ వెల్డెడ్ 4130 స్టీల్ గొట్టాల నుండి తయారవుతుంది మరియు కిట్‌లో భాగంగా ఐచ్ఛిక ప్రీ-వెల్డెడ్ ఫ్యూజ్‌లేజ్ ఫ్రేమ్ అందుబాటులో ఉంది. రెక్క ప్రధానంగా చెక్క నిర్మాణంలో ఉంది, అన్ని ఉపరితలాలు డోప్డ్ ఎయిర్క్రాఫ్ట్ ఫాబ్రిక్‌లో కప్పబడి ఉంటాయి మరియు జ్యూరీ స్ట్రట్‌లతో "V" స్ట్రట్‌లచే మద్దతు ఇస్తాయి. దాని 29.67 అడుగులు (9.0 మీ) స్పాన్ వింగ్ 120.8 చదరపు అడుగుల (11.22 మీ 2) విస్తీర్ణంలో ఉంది. ఆమోదయోగ్యమైన విద్యుత్ పరిధి 50 నుండి 85 హెచ్‌పి (37 నుండి 63 కిలోవాట్) మరియు ఉపయోగించిన ప్రామాణిక పవర్‌ప్లాంట్ 60 హెచ్‌పి (45 కిలోవాట్) వోక్స్వ్యాగన్ ఎయిర్-కూల్డ్ ఇంజిన్. [1] సూపర్ ప్రాస్పెక్టర్ 440 పౌండ్లు (200 కిలోల) యొక్క ఖాళీ బరువు మరియు 800 ఎల్బి (360 కిలోల) స్థూల బరువును కలిగి ఉంది, ఇది 360 ఎల్బి (160 కిలోల) ఉపయోగకరమైన లోడ్ ఇస్తుంది. 12 యు.ఎస్. గ్యాలన్ల పూర్తి ఇంధనంతో (45 ఎల్; 10.0 ఇంప్ గల్) పైలట్ మరియు సామాను కోసం పేలోడ్ 288 ఎల్బి (131 కిలోలు). [1] ఈ విమానం దాని ఆల్‌రౌండ్ పైలట్ దృశ్యమానత మరియు దాని STOL పనితీరు కోసం ప్రసిద్ది చెందింది. ప్రామాణిక రోజు, సముద్ర మట్టం టేక్ ఆఫ్ దూరం 300 అడుగులు (91 మీ) మరియు ల్యాండింగ్ దూరం 250 అడుగులు (76 మీ). తయారీదారు సరఫరా చేసిన కిట్ నుండి నిర్మాణ సమయాన్ని 500 గంటలుగా అంచనా వేస్తాడు. [1] 1998 నాటికి కంపెనీ మూడు కిట్లు అమ్ముడైందని నివేదించింది. [1] డిసెంబర్ 2013 లో ఫెడరల్ ఏవియేషన్ అడ్మినిస్ట్రేషన్తో అమెరికాలో ఒక ఉదాహరణ నమోదు చేయబడింది, అయినప్పటికీ ఒక సమయంలో ఐదు నమోదు చేయబడినప్పటికీ. [2] ఏరోక్రాఫ్టర్ నుండి డేటా [1] సాధారణ లక్షణాల పనితీరు</v>
      </c>
      <c r="E88" s="1" t="s">
        <v>154</v>
      </c>
      <c r="F88" s="1" t="str">
        <f>IFERROR(__xludf.DUMMYFUNCTION("GOOGLETRANSLATE(E:E, ""en"", ""te"")"),"హోమ్‌బిల్ట్ విమానం")</f>
        <v>హోమ్‌బిల్ట్ విమానం</v>
      </c>
      <c r="G88" s="1" t="s">
        <v>155</v>
      </c>
      <c r="H88" s="1" t="str">
        <f>IFERROR(__xludf.DUMMYFUNCTION("GOOGLETRANSLATE(G:G, ""en"", ""te"")"),"అమెరికా")</f>
        <v>అమెరికా</v>
      </c>
      <c r="I88" s="1" t="s">
        <v>1440</v>
      </c>
      <c r="J88" s="1" t="str">
        <f>IFERROR(__xludf.DUMMYFUNCTION("GOOGLETRANSLATE(I:I, ""en"", ""te"")"),"బౌన్సాల్ విమానం")</f>
        <v>బౌన్సాల్ విమానం</v>
      </c>
      <c r="K88" s="1" t="s">
        <v>1441</v>
      </c>
      <c r="O88" s="1" t="s">
        <v>135</v>
      </c>
      <c r="P88" s="1" t="s">
        <v>1442</v>
      </c>
      <c r="Q88" s="1" t="s">
        <v>1443</v>
      </c>
      <c r="S88" s="1" t="s">
        <v>1444</v>
      </c>
      <c r="T88" s="1" t="s">
        <v>1445</v>
      </c>
      <c r="U88" s="1" t="s">
        <v>1446</v>
      </c>
      <c r="V88" s="1" t="s">
        <v>1447</v>
      </c>
      <c r="W88" s="1" t="s">
        <v>524</v>
      </c>
      <c r="X88" s="1" t="s">
        <v>1448</v>
      </c>
      <c r="Y88" s="1" t="s">
        <v>1449</v>
      </c>
      <c r="Z88" s="1" t="s">
        <v>1450</v>
      </c>
      <c r="AB88" s="1" t="s">
        <v>166</v>
      </c>
      <c r="AC88" s="2" t="s">
        <v>167</v>
      </c>
      <c r="AD88" s="1" t="s">
        <v>581</v>
      </c>
      <c r="AE88" s="1" t="s">
        <v>1451</v>
      </c>
      <c r="AF88" s="1" t="s">
        <v>583</v>
      </c>
      <c r="AG88" s="1" t="s">
        <v>1452</v>
      </c>
      <c r="AH88" s="1" t="s">
        <v>1453</v>
      </c>
      <c r="AI88" s="1" t="s">
        <v>1454</v>
      </c>
      <c r="AJ88" s="1" t="s">
        <v>1455</v>
      </c>
    </row>
    <row r="89">
      <c r="A89" s="1" t="s">
        <v>1456</v>
      </c>
      <c r="B89" s="1" t="str">
        <f>IFERROR(__xludf.DUMMYFUNCTION("GOOGLETRANSLATE(A:A, ""en"", ""te"")"),"కల్ప్ స్పెషల్")</f>
        <v>కల్ప్ స్పెషల్</v>
      </c>
      <c r="C89" s="1" t="s">
        <v>1457</v>
      </c>
      <c r="D89" s="1" t="str">
        <f>IFERROR(__xludf.DUMMYFUNCTION("GOOGLETRANSLATE(C:C, ""en"", ""te"")"),"కల్ప్ స్పెషల్ అనేది ఒక అమెరికన్ ఏరోబాటిక్ హోమ్‌బిల్ట్ విమానం, ఇది పుప్ప్ యొక్క స్పెషాలిటీస్ ఆఫ్ ష్రెవ్‌పోర్ట్, లూసియానా చేత రూపొందించబడింది మరియు నిర్మించబడింది. ఈ విమానం ఒక కిట్‌గా లేదా te త్సాహిక నిర్మాణానికి ప్రణాళికల రూపంలో సరఫరా చేయబడుతుంది. [1] కల్ప"&amp;"్ స్పెషల్ 1930 ల విమానాన్ని పోలి ఉంటుంది. ఇది వైర్ మరియు స్ట్రట్-బ్రేస్డ్ బిప్‌లేన్ లేఅవుట్, డ్యూయల్ విండ్‌షీల్డ్‌లతో రెండు-సీట్ల తేమ ఓపెన్ కాక్‌పిట్, వీల్ ప్యాంటుతో స్థిర సాంప్రదాయ ల్యాండింగ్ గేర్ మరియు ట్రాక్టర్ కాన్ఫిగరేషన్‌లో ఒకే ఇంజిన్ ఉన్నాయి. [1] ఈ"&amp;" విమానం వెల్డెడ్ స్టీల్ గొట్టాలు మరియు కలప నుండి తయారవుతుంది, అన్నీ డోప్డ్ ఎయిర్క్రాఫ్ట్ ఫాబ్రిక్‌లో కప్పబడి ఉంటాయి. దాని 24.00 అడుగుల (7.3 మీ) స్పాన్ వింగ్ రెక్క ప్రాంతం 161 చదరపు అడుగులు (15.0 మీ 2) కలిగి ఉంది. ఉపయోగించిన ప్రామాణిక ఇంజిన్ రష్యన్ 360 హెచ"&amp;"్‌పి (268 కిలోవాట్) వేదెనియెవ్ ఎం 14 పి తొమ్మిది సిలిండర్, ఎయిర్-కూల్డ్, నాలుగు స్ట్రోక్ రేడియల్ ఇంజిన్. [1] [2] కాల్ప్ స్పెషల్ 1,480 ఎల్బి (670 కిలోల) మరియు స్థూల బరువు 2,100 ఎల్బి (950 కిలోలు) ఖాళీ బరువును కలిగి ఉంది, ఇది 620 ఎల్బి (280 కిలోల) ఉపయోగకరమై"&amp;"న లోడ్ ఇస్తుంది. 70 యు.ఎస్. గ్యాలన్ల పూర్తి ఇంధనంతో (260 ఎల్; 58 ఇంప్ గల్) పైలట్, ప్రయాణీకులు మరియు సామాను 200 పౌండ్లు (91 కిలోలు). [1] తయారీదారు నిర్మాణ సమయాన్ని సరఫరా చేసిన కిట్ నుండి 2500 గంటలుగా అంచనా వేస్తాడు. [1] 1998 నాటికి కంపెనీ ఒక విమానం ఎగురుతు"&amp;"న్నట్లు నివేదించింది. [1] డిసెంబర్ 2016 లో, మూడు ఉదాహరణలు అమెరికాలో ఫెడరల్ ఏవియేషన్ అడ్మినిస్ట్రేషన్ మరియు కెనడాలో ట్రాన్స్పోర్ట్ కెనడాతో నమోదు చేయబడ్డాయి. [3] [4] ఏరోక్రాఫ్టర్ మరియు కల్ప్ యొక్క ప్రత్యేకతల నుండి డేటా [1] [2] సాధారణ లక్షణాల పనితీరు")</f>
        <v>కల్ప్ స్పెషల్ అనేది ఒక అమెరికన్ ఏరోబాటిక్ హోమ్‌బిల్ట్ విమానం, ఇది పుప్ప్ యొక్క స్పెషాలిటీస్ ఆఫ్ ష్రెవ్‌పోర్ట్, లూసియానా చేత రూపొందించబడింది మరియు నిర్మించబడింది. ఈ విమానం ఒక కిట్‌గా లేదా te త్సాహిక నిర్మాణానికి ప్రణాళికల రూపంలో సరఫరా చేయబడుతుంది. [1] కల్ప్ స్పెషల్ 1930 ల విమానాన్ని పోలి ఉంటుంది. ఇది వైర్ మరియు స్ట్రట్-బ్రేస్డ్ బిప్‌లేన్ లేఅవుట్, డ్యూయల్ విండ్‌షీల్డ్‌లతో రెండు-సీట్ల తేమ ఓపెన్ కాక్‌పిట్, వీల్ ప్యాంటుతో స్థిర సాంప్రదాయ ల్యాండింగ్ గేర్ మరియు ట్రాక్టర్ కాన్ఫిగరేషన్‌లో ఒకే ఇంజిన్ ఉన్నాయి. [1] ఈ విమానం వెల్డెడ్ స్టీల్ గొట్టాలు మరియు కలప నుండి తయారవుతుంది, అన్నీ డోప్డ్ ఎయిర్క్రాఫ్ట్ ఫాబ్రిక్‌లో కప్పబడి ఉంటాయి. దాని 24.00 అడుగుల (7.3 మీ) స్పాన్ వింగ్ రెక్క ప్రాంతం 161 చదరపు అడుగులు (15.0 మీ 2) కలిగి ఉంది. ఉపయోగించిన ప్రామాణిక ఇంజిన్ రష్యన్ 360 హెచ్‌పి (268 కిలోవాట్) వేదెనియెవ్ ఎం 14 పి తొమ్మిది సిలిండర్, ఎయిర్-కూల్డ్, నాలుగు స్ట్రోక్ రేడియల్ ఇంజిన్. [1] [2] కాల్ప్ స్పెషల్ 1,480 ఎల్బి (670 కిలోల) మరియు స్థూల బరువు 2,100 ఎల్బి (950 కిలోలు) ఖాళీ బరువును కలిగి ఉంది, ఇది 620 ఎల్బి (280 కిలోల) ఉపయోగకరమైన లోడ్ ఇస్తుంది. 70 యు.ఎస్. గ్యాలన్ల పూర్తి ఇంధనంతో (260 ఎల్; 58 ఇంప్ గల్) పైలట్, ప్రయాణీకులు మరియు సామాను 200 పౌండ్లు (91 కిలోలు). [1] తయారీదారు నిర్మాణ సమయాన్ని సరఫరా చేసిన కిట్ నుండి 2500 గంటలుగా అంచనా వేస్తాడు. [1] 1998 నాటికి కంపెనీ ఒక విమానం ఎగురుతున్నట్లు నివేదించింది. [1] డిసెంబర్ 2016 లో, మూడు ఉదాహరణలు అమెరికాలో ఫెడరల్ ఏవియేషన్ అడ్మినిస్ట్రేషన్ మరియు కెనడాలో ట్రాన్స్పోర్ట్ కెనడాతో నమోదు చేయబడ్డాయి. [3] [4] ఏరోక్రాఫ్టర్ మరియు కల్ప్ యొక్క ప్రత్యేకతల నుండి డేటా [1] [2] సాధారణ లక్షణాల పనితీరు</v>
      </c>
      <c r="E89" s="1" t="s">
        <v>154</v>
      </c>
      <c r="F89" s="1" t="str">
        <f>IFERROR(__xludf.DUMMYFUNCTION("GOOGLETRANSLATE(E:E, ""en"", ""te"")"),"హోమ్‌బిల్ట్ విమానం")</f>
        <v>హోమ్‌బిల్ట్ విమానం</v>
      </c>
      <c r="G89" s="1" t="s">
        <v>155</v>
      </c>
      <c r="H89" s="1" t="str">
        <f>IFERROR(__xludf.DUMMYFUNCTION("GOOGLETRANSLATE(G:G, ""en"", ""te"")"),"అమెరికా")</f>
        <v>అమెరికా</v>
      </c>
      <c r="I89" s="1" t="s">
        <v>1458</v>
      </c>
      <c r="J89" s="1" t="str">
        <f>IFERROR(__xludf.DUMMYFUNCTION("GOOGLETRANSLATE(I:I, ""en"", ""te"")"),"కల్ప్ యొక్క ప్రత్యేకతలు")</f>
        <v>కల్ప్ యొక్క ప్రత్యేకతలు</v>
      </c>
      <c r="K89" s="1" t="s">
        <v>1459</v>
      </c>
      <c r="O89" s="1" t="s">
        <v>135</v>
      </c>
      <c r="P89" s="1" t="s">
        <v>1460</v>
      </c>
      <c r="Q89" s="1" t="s">
        <v>1461</v>
      </c>
      <c r="S89" s="1" t="s">
        <v>822</v>
      </c>
      <c r="T89" s="1" t="s">
        <v>1462</v>
      </c>
      <c r="U89" s="1" t="s">
        <v>1463</v>
      </c>
      <c r="V89" s="1" t="s">
        <v>1464</v>
      </c>
      <c r="W89" s="1" t="s">
        <v>1465</v>
      </c>
      <c r="X89" s="1" t="s">
        <v>1466</v>
      </c>
      <c r="Y89" s="1" t="s">
        <v>1449</v>
      </c>
      <c r="Z89" s="1" t="s">
        <v>1467</v>
      </c>
      <c r="AA89" s="1" t="s">
        <v>1468</v>
      </c>
      <c r="AB89" s="1" t="s">
        <v>166</v>
      </c>
      <c r="AC89" s="2" t="s">
        <v>167</v>
      </c>
      <c r="AD89" s="1" t="s">
        <v>1469</v>
      </c>
      <c r="AE89" s="1" t="s">
        <v>1470</v>
      </c>
      <c r="AF89" s="1" t="s">
        <v>1471</v>
      </c>
      <c r="AG89" s="1" t="s">
        <v>1209</v>
      </c>
      <c r="AH89" s="1" t="s">
        <v>825</v>
      </c>
      <c r="AI89" s="1" t="s">
        <v>1472</v>
      </c>
      <c r="AJ89" s="1" t="s">
        <v>1473</v>
      </c>
      <c r="AK89" s="1" t="s">
        <v>195</v>
      </c>
    </row>
    <row r="90">
      <c r="A90" s="1" t="s">
        <v>1474</v>
      </c>
      <c r="B90" s="1" t="str">
        <f>IFERROR(__xludf.DUMMYFUNCTION("GOOGLETRANSLATE(A:A, ""en"", ""te"")"),"చారిత్రక PZL p.11c")</f>
        <v>చారిత్రక PZL p.11c</v>
      </c>
      <c r="C90" s="1" t="s">
        <v>1475</v>
      </c>
      <c r="D90" s="1" t="str">
        <f>IFERROR(__xludf.DUMMYFUNCTION("GOOGLETRANSLATE(C:C, ""en"", ""te"")"),"చారిత్రక PZL P.11C అనేది ఒక అమెరికన్ హోమ్‌బిల్ట్ విమానం, దీనిని కొలరాడోలోని న్యూక్లా యొక్క చారిత్రక విమాన కార్పొరేషన్ రూపొందించింది మరియు ఉత్పత్తి చేసింది. ఈ విమానం పోలిష్ PZL P.11C ఫైటర్ యొక్క 66% స్కేల్ ప్రతిరూపం మరియు అది అందుబాటులో ఉన్నప్పుడు te త్సాహ"&amp;"ిక నిర్మాణానికి కిట్‌గా సరఫరా చేయబడింది. [1] ఈ విమానం స్ట్రట్-బ్రేస్డ్ హై-వింగ్, విండ్‌షీల్డ్‌తో సింగిల్-సీట్ల ఓపెన్ కాక్‌పిట్, స్థిర సాంప్రదాయ ల్యాండింగ్ గేర్ మరియు ట్రాక్టర్ కాన్ఫిగరేషన్‌లో ఒకే ఇంజిన్ కలిగి ఉంది. [1] ఈ విమానం వెల్డెడ్ స్టీల్ గొట్టాలు మర"&amp;"ియు కలప నుండి తయారవుతుంది, దాని ఎగిరే ఉపరితలాలు డోప్డ్ ఎయిర్క్రాఫ్ట్ ఫాబ్రిక్‌లో కప్పబడి ఉంటాయి. దాని 30.00 అడుగుల (9.1 మీ) స్పాన్ వింగ్ NACA 2412 ఎయిర్‌ఫాయిల్‌ను ఉపయోగిస్తుంది మరియు రెక్క ప్రాంతం 84.00 చదరపు అడుగులు (7.804 మీ 2) కలిగి ఉంది. కాక్‌పిట్ వెడ"&amp;"ల్పు 21 లో (53 సెం.మీ). ఉపయోగించిన ప్రామాణిక ఇంజిన్ 100 హెచ్‌పి (75 కిలోవాట్) కామ్ 100 నాలుగు స్ట్రోక్ పవర్‌ప్లాంట్. [1] [2] ఈ విమానం ఒక సాధారణ ఖాళీ బరువు 800 పౌండ్లు (360 కిలోలు) మరియు స్థూల బరువు 1,100 ఎల్బి (500 కిలోలు), 300 ఎల్బి (140 కిలోల) ఉపయోగకరమై"&amp;"న లోడ్‌ను ఇస్తుంది. 11 యు.ఎస్. గ్యాలన్ల పూర్తి ఇంధనంతో (42 ఎల్; 9.2 ఇంప్ గల్) పైలట్ మరియు సామాను కోసం పేలోడ్ 234 ఎల్బి (106 కిలోలు). [1] కిట్‌లో ముందుగా తయారు చేసిన సమావేశాలు, ఇంజిన్ మరియు స్కేల్ ఫిక్స్‌డ్ ఫిక్స్‌డ్ పిచ్ ప్రొపెల్లర్, బేసిక్ విఎఫ్ఆర్ ఇన్స్"&amp;"ట్రుమెంట్స్, ఫాబ్రిక్ మరియు పెయింట్ ఉన్నాయి. ప్రతిరూప 7.9 మిమీ మెషిన్ గన్స్ మరియు రింగ్ గన్ సైట్ కూడా ఉన్నాయి. ఈ డిజైన్ అనుభవం లేని బిల్డర్ల కోసం ఉద్దేశించినదని మరియు సరఫరా చేసిన కిట్ నుండి నిర్మాణ సమయాన్ని 1400 గంటలుగా అంచనా వేసినట్లు తయారీదారు సూచించాడు"&amp;". [1] ఏరోక్రాఫ్టర్ నుండి డేటా మరియు అసంపూర్ణ గైడ్ టు ఎయిర్‌ఫాయిల్ వాడకం [1] [2] సాధారణ లక్షణాలు పనితీరు ఆయుధాలు")</f>
        <v>చారిత్రక PZL P.11C అనేది ఒక అమెరికన్ హోమ్‌బిల్ట్ విమానం, దీనిని కొలరాడోలోని న్యూక్లా యొక్క చారిత్రక విమాన కార్పొరేషన్ రూపొందించింది మరియు ఉత్పత్తి చేసింది. ఈ విమానం పోలిష్ PZL P.11C ఫైటర్ యొక్క 66% స్కేల్ ప్రతిరూపం మరియు అది అందుబాటులో ఉన్నప్పుడు te త్సాహిక నిర్మాణానికి కిట్‌గా సరఫరా చేయబడింది. [1] ఈ విమానం స్ట్రట్-బ్రేస్డ్ హై-వింగ్, విండ్‌షీల్డ్‌తో సింగిల్-సీట్ల ఓపెన్ కాక్‌పిట్, స్థిర సాంప్రదాయ ల్యాండింగ్ గేర్ మరియు ట్రాక్టర్ కాన్ఫిగరేషన్‌లో ఒకే ఇంజిన్ కలిగి ఉంది. [1] ఈ విమానం వెల్డెడ్ స్టీల్ గొట్టాలు మరియు కలప నుండి తయారవుతుంది, దాని ఎగిరే ఉపరితలాలు డోప్డ్ ఎయిర్క్రాఫ్ట్ ఫాబ్రిక్‌లో కప్పబడి ఉంటాయి. దాని 30.00 అడుగుల (9.1 మీ) స్పాన్ వింగ్ NACA 2412 ఎయిర్‌ఫాయిల్‌ను ఉపయోగిస్తుంది మరియు రెక్క ప్రాంతం 84.00 చదరపు అడుగులు (7.804 మీ 2) కలిగి ఉంది. కాక్‌పిట్ వెడల్పు 21 లో (53 సెం.మీ). ఉపయోగించిన ప్రామాణిక ఇంజిన్ 100 హెచ్‌పి (75 కిలోవాట్) కామ్ 100 నాలుగు స్ట్రోక్ పవర్‌ప్లాంట్. [1] [2] ఈ విమానం ఒక సాధారణ ఖాళీ బరువు 800 పౌండ్లు (360 కిలోలు) మరియు స్థూల బరువు 1,100 ఎల్బి (500 కిలోలు), 300 ఎల్బి (140 కిలోల) ఉపయోగకరమైన లోడ్‌ను ఇస్తుంది. 11 యు.ఎస్. గ్యాలన్ల పూర్తి ఇంధనంతో (42 ఎల్; 9.2 ఇంప్ గల్) పైలట్ మరియు సామాను కోసం పేలోడ్ 234 ఎల్బి (106 కిలోలు). [1] కిట్‌లో ముందుగా తయారు చేసిన సమావేశాలు, ఇంజిన్ మరియు స్కేల్ ఫిక్స్‌డ్ ఫిక్స్‌డ్ పిచ్ ప్రొపెల్లర్, బేసిక్ విఎఫ్ఆర్ ఇన్స్ట్రుమెంట్స్, ఫాబ్రిక్ మరియు పెయింట్ ఉన్నాయి. ప్రతిరూప 7.9 మిమీ మెషిన్ గన్స్ మరియు రింగ్ గన్ సైట్ కూడా ఉన్నాయి. ఈ డిజైన్ అనుభవం లేని బిల్డర్ల కోసం ఉద్దేశించినదని మరియు సరఫరా చేసిన కిట్ నుండి నిర్మాణ సమయాన్ని 1400 గంటలుగా అంచనా వేసినట్లు తయారీదారు సూచించాడు. [1] ఏరోక్రాఫ్టర్ నుండి డేటా మరియు అసంపూర్ణ గైడ్ టు ఎయిర్‌ఫాయిల్ వాడకం [1] [2] సాధారణ లక్షణాలు పనితీరు ఆయుధాలు</v>
      </c>
      <c r="E90" s="1" t="s">
        <v>154</v>
      </c>
      <c r="F90" s="1" t="str">
        <f>IFERROR(__xludf.DUMMYFUNCTION("GOOGLETRANSLATE(E:E, ""en"", ""te"")"),"హోమ్‌బిల్ట్ విమానం")</f>
        <v>హోమ్‌బిల్ట్ విమానం</v>
      </c>
      <c r="G90" s="1" t="s">
        <v>155</v>
      </c>
      <c r="H90" s="1" t="str">
        <f>IFERROR(__xludf.DUMMYFUNCTION("GOOGLETRANSLATE(G:G, ""en"", ""te"")"),"అమెరికా")</f>
        <v>అమెరికా</v>
      </c>
      <c r="I90" s="1" t="s">
        <v>1476</v>
      </c>
      <c r="J90" s="1" t="str">
        <f>IFERROR(__xludf.DUMMYFUNCTION("GOOGLETRANSLATE(I:I, ""en"", ""te"")"),"హిస్టారికల్ ఎయిర్క్రాఫ్ట్ కార్పొరేషన్")</f>
        <v>హిస్టారికల్ ఎయిర్క్రాఫ్ట్ కార్పొరేషన్</v>
      </c>
      <c r="K90" s="1" t="s">
        <v>1477</v>
      </c>
      <c r="O90" s="1" t="s">
        <v>135</v>
      </c>
      <c r="P90" s="1" t="s">
        <v>1478</v>
      </c>
      <c r="Q90" s="1" t="s">
        <v>1479</v>
      </c>
      <c r="S90" s="1" t="s">
        <v>1480</v>
      </c>
      <c r="T90" s="1" t="s">
        <v>1446</v>
      </c>
      <c r="U90" s="1" t="s">
        <v>1481</v>
      </c>
      <c r="V90" s="1" t="s">
        <v>1482</v>
      </c>
      <c r="W90" s="1" t="s">
        <v>1205</v>
      </c>
      <c r="X90" s="1" t="s">
        <v>1448</v>
      </c>
      <c r="Y90" s="1" t="s">
        <v>632</v>
      </c>
      <c r="Z90" s="1" t="s">
        <v>424</v>
      </c>
      <c r="AB90" s="1" t="s">
        <v>166</v>
      </c>
      <c r="AC90" s="2" t="s">
        <v>167</v>
      </c>
      <c r="AD90" s="1" t="s">
        <v>581</v>
      </c>
      <c r="AE90" s="1" t="s">
        <v>1483</v>
      </c>
      <c r="AF90" s="1" t="s">
        <v>1484</v>
      </c>
      <c r="AG90" s="1" t="s">
        <v>1452</v>
      </c>
      <c r="AH90" s="1" t="s">
        <v>428</v>
      </c>
      <c r="AI90" s="1" t="s">
        <v>1485</v>
      </c>
      <c r="AT90" s="1" t="s">
        <v>1486</v>
      </c>
      <c r="BF90" s="1" t="s">
        <v>1487</v>
      </c>
      <c r="BG90" s="1" t="s">
        <v>1488</v>
      </c>
      <c r="CC90" s="1" t="s">
        <v>1489</v>
      </c>
    </row>
    <row r="91">
      <c r="A91" s="1" t="s">
        <v>1490</v>
      </c>
      <c r="B91" s="1" t="str">
        <f>IFERROR(__xludf.DUMMYFUNCTION("GOOGLETRANSLATE(A:A, ""en"", ""te"")"),"మిడ్‌వెస్ట్ క్వెస్టార్ స్పోర్ట్")</f>
        <v>మిడ్‌వెస్ట్ క్వెస్టార్ స్పోర్ట్</v>
      </c>
      <c r="C91" s="1" t="s">
        <v>1491</v>
      </c>
      <c r="D91" s="1" t="str">
        <f>IFERROR(__xludf.DUMMYFUNCTION("GOOGLETRANSLATE(C:C, ""en"", ""te"")"),"మిడ్‌వెస్ట్ క్వెస్టార్ స్పోర్ట్ అనేది ఒక అమెరికన్ అల్ట్రాలైట్ విమానం, దీనిని కాన్సాస్‌లోని ఓవర్‌ల్యాండ్ పార్క్ యొక్క మిడ్‌వెస్ట్ ఇంజనీరింగ్ రూపొందించి ఉత్పత్తి చేసింది. ఇది అందుబాటులో ఉన్నప్పుడు ఈ విమానం te త్సాహిక నిర్మాణం కోసం ప్రణాళికల రూపంలో సరఫరా చేయ"&amp;"బడింది, కాని 29 జూన్ 2000 న ప్రణాళికలు ఉపసంహరించబడ్డాయి. [1] [2] క్వెస్టార్ స్పోర్ట్ యుఎస్ ఫార్ 103 అల్ట్రాలైట్ వెహికల్స్ నిబంధనలను పాటించేలా రూపొందించబడింది, ఇందులో వర్గం యొక్క గరిష్ట ఖాళీ బరువు 254 పౌండ్లు (115 కిలోలు). ఈ విమానం ప్రామాణిక ఖాళీ బరువు 160"&amp;" పౌండ్లు (73 కిలోలు). [1] ఈ విమానం స్ట్రట్-బ్రేస్డ్ హై-వింగ్, విండ్‌షీల్డ్ లేకుండా సింగిల్-సీట్ల ఓపెన్ కాక్‌పిట్, వీల్ ప్యాంటు లేకుండా స్థిర సాంప్రదాయ ల్యాండింగ్ గేర్ మరియు ట్రాక్టర్ కాన్ఫిగరేషన్‌లో ఒకే ఇంజిన్ కలిగి ఉంది. [1] క్వెస్టార్ స్పోర్ట్ బోల్ట్-టు"&amp;"గెదర్ 6061-టి 6 అల్యూమినియం గొట్టాల నుండి తయారవుతుంది, దాని ఎగిరే ఉపరితలాలు డోప్డ్ ఎయిర్క్రాఫ్ట్ ఫాబ్రిక్‌లో కప్పబడి ఉంటాయి. దీని 33.25 అడుగుల (10.1 మీ) స్పాన్ వింగ్ రెక్క ప్రాంతాన్ని 165.0 చదరపు అడుగుల (15.33 మీ 2) కలిగి ఉంది, ఇది ""వి"" స్ట్రట్‌లచే మద్ద"&amp;"తు ఇస్తుంది మరియు భూమి రవాణా లేదా నిల్వ కోసం పది నిమిషాల్లో ముడుచుకోవచ్చు. ఆమోదయోగ్యమైన శక్తి పరిధి 30 నుండి 40 హెచ్‌పి (22 నుండి 30 కిలోవాట్) మరియు ఉపయోగించిన ప్రామాణిక ఇంజన్లు చిన్న 30 హెచ్‌పి (22 కిలోవాట్) రెండు-స్ట్రోక్ పవర్‌ప్లాంట్లు. [1] ఈ విమానం ఒక"&amp;" సాధారణ ఖాళీ బరువు 160 పౌండ్లు (73 కిలోలు) మరియు స్థూల బరువు 400 ఎల్బి (180 కిలోలు), ఇది 240 ఎల్బి (110 కిలోల) ఉపయోగకరమైన లోడ్‌ను ఇస్తుంది. 3 యు.ఎస్. గ్యాలన్ల పూర్తి ఇంధనంతో (11 ఎల్; 2.5 ఇంప్ గల్) పైలట్ మరియు సామాను కోసం పేలోడ్ 222 ఎల్బి (101 కిలోలు). [1]"&amp;" ప్రామాణిక రోజు, సముద్ర మట్టం, గాలి లేదు, 30 హెచ్‌పి (22 కిలోవాట్) ఇంజిన్‌తో దూరం టేక్ ఆఫ్ దూరం 120 అడుగులు (37 మీ) మరియు ల్యాండింగ్ రోల్ 80 అడుగులు (24 మీ). [1] తయారీదారు నిర్మాణ సమయాన్ని సరఫరా చేసిన ప్రణాళికల నుండి 80 గంటలుగా అంచనా వేశారు. [1] 1998 నాటి"&amp;"కి 120 సెట్ల ప్రణాళికలు అమ్ముడయ్యాయని మరియు 30 విమానాలు పూర్తయ్యాయని మరియు ఎగురుతున్నాయని కంపెనీ నివేదించింది. [1] ఏరోక్రాఫ్టర్ నుండి డేటా [1] సాధారణ లక్షణాల పనితీరు")</f>
        <v>మిడ్‌వెస్ట్ క్వెస్టార్ స్పోర్ట్ అనేది ఒక అమెరికన్ అల్ట్రాలైట్ విమానం, దీనిని కాన్సాస్‌లోని ఓవర్‌ల్యాండ్ పార్క్ యొక్క మిడ్‌వెస్ట్ ఇంజనీరింగ్ రూపొందించి ఉత్పత్తి చేసింది. ఇది అందుబాటులో ఉన్నప్పుడు ఈ విమానం te త్సాహిక నిర్మాణం కోసం ప్రణాళికల రూపంలో సరఫరా చేయబడింది, కాని 29 జూన్ 2000 న ప్రణాళికలు ఉపసంహరించబడ్డాయి. [1] [2] క్వెస్టార్ స్పోర్ట్ యుఎస్ ఫార్ 103 అల్ట్రాలైట్ వెహికల్స్ నిబంధనలను పాటించేలా రూపొందించబడింది, ఇందులో వర్గం యొక్క గరిష్ట ఖాళీ బరువు 254 పౌండ్లు (115 కిలోలు). ఈ విమానం ప్రామాణిక ఖాళీ బరువు 160 పౌండ్లు (73 కిలోలు). [1] ఈ విమానం స్ట్రట్-బ్రేస్డ్ హై-వింగ్, విండ్‌షీల్డ్ లేకుండా సింగిల్-సీట్ల ఓపెన్ కాక్‌పిట్, వీల్ ప్యాంటు లేకుండా స్థిర సాంప్రదాయ ల్యాండింగ్ గేర్ మరియు ట్రాక్టర్ కాన్ఫిగరేషన్‌లో ఒకే ఇంజిన్ కలిగి ఉంది. [1] క్వెస్టార్ స్పోర్ట్ బోల్ట్-టుగెదర్ 6061-టి 6 అల్యూమినియం గొట్టాల నుండి తయారవుతుంది, దాని ఎగిరే ఉపరితలాలు డోప్డ్ ఎయిర్క్రాఫ్ట్ ఫాబ్రిక్‌లో కప్పబడి ఉంటాయి. దీని 33.25 అడుగుల (10.1 మీ) స్పాన్ వింగ్ రెక్క ప్రాంతాన్ని 165.0 చదరపు అడుగుల (15.33 మీ 2) కలిగి ఉంది, ఇది "వి" స్ట్రట్‌లచే మద్దతు ఇస్తుంది మరియు భూమి రవాణా లేదా నిల్వ కోసం పది నిమిషాల్లో ముడుచుకోవచ్చు. ఆమోదయోగ్యమైన శక్తి పరిధి 30 నుండి 40 హెచ్‌పి (22 నుండి 30 కిలోవాట్) మరియు ఉపయోగించిన ప్రామాణిక ఇంజన్లు చిన్న 30 హెచ్‌పి (22 కిలోవాట్) రెండు-స్ట్రోక్ పవర్‌ప్లాంట్లు. [1] ఈ విమానం ఒక సాధారణ ఖాళీ బరువు 160 పౌండ్లు (73 కిలోలు) మరియు స్థూల బరువు 400 ఎల్బి (180 కిలోలు), ఇది 240 ఎల్బి (110 కిలోల) ఉపయోగకరమైన లోడ్‌ను ఇస్తుంది. 3 యు.ఎస్. గ్యాలన్ల పూర్తి ఇంధనంతో (11 ఎల్; 2.5 ఇంప్ గల్) పైలట్ మరియు సామాను కోసం పేలోడ్ 222 ఎల్బి (101 కిలోలు). [1] ప్రామాణిక రోజు, సముద్ర మట్టం, గాలి లేదు, 30 హెచ్‌పి (22 కిలోవాట్) ఇంజిన్‌తో దూరం టేక్ ఆఫ్ దూరం 120 అడుగులు (37 మీ) మరియు ల్యాండింగ్ రోల్ 80 అడుగులు (24 మీ). [1] తయారీదారు నిర్మాణ సమయాన్ని సరఫరా చేసిన ప్రణాళికల నుండి 80 గంటలుగా అంచనా వేశారు. [1] 1998 నాటికి 120 సెట్ల ప్రణాళికలు అమ్ముడయ్యాయని మరియు 30 విమానాలు పూర్తయ్యాయని మరియు ఎగురుతున్నాయని కంపెనీ నివేదించింది. [1] ఏరోక్రాఫ్టర్ నుండి డేటా [1] సాధారణ లక్షణాల పనితీరు</v>
      </c>
      <c r="E91" s="1" t="s">
        <v>383</v>
      </c>
      <c r="F91" s="1" t="str">
        <f>IFERROR(__xludf.DUMMYFUNCTION("GOOGLETRANSLATE(E:E, ""en"", ""te"")"),"అల్ట్రాలైట్ విమానం")</f>
        <v>అల్ట్రాలైట్ విమానం</v>
      </c>
      <c r="G91" s="1" t="s">
        <v>155</v>
      </c>
      <c r="H91" s="1" t="str">
        <f>IFERROR(__xludf.DUMMYFUNCTION("GOOGLETRANSLATE(G:G, ""en"", ""te"")"),"అమెరికా")</f>
        <v>అమెరికా</v>
      </c>
      <c r="I91" s="1" t="s">
        <v>1492</v>
      </c>
      <c r="J91" s="1" t="str">
        <f>IFERROR(__xludf.DUMMYFUNCTION("GOOGLETRANSLATE(I:I, ""en"", ""te"")"),"మిడ్‌వెస్ట్ ఇంజనీరింగ్")</f>
        <v>మిడ్‌వెస్ట్ ఇంజనీరింగ్</v>
      </c>
      <c r="K91" s="1" t="s">
        <v>1493</v>
      </c>
      <c r="O91" s="1" t="s">
        <v>135</v>
      </c>
      <c r="P91" s="1" t="s">
        <v>1494</v>
      </c>
      <c r="Q91" s="1" t="s">
        <v>1495</v>
      </c>
      <c r="S91" s="1" t="s">
        <v>1496</v>
      </c>
      <c r="T91" s="1" t="s">
        <v>1497</v>
      </c>
      <c r="U91" s="1" t="s">
        <v>1416</v>
      </c>
      <c r="V91" s="1" t="s">
        <v>1498</v>
      </c>
      <c r="W91" s="1" t="s">
        <v>1499</v>
      </c>
      <c r="X91" s="1" t="s">
        <v>1500</v>
      </c>
      <c r="Y91" s="1" t="s">
        <v>1200</v>
      </c>
      <c r="Z91" s="1" t="s">
        <v>473</v>
      </c>
      <c r="AB91" s="1" t="s">
        <v>392</v>
      </c>
      <c r="AC91" s="2" t="s">
        <v>167</v>
      </c>
      <c r="AE91" s="1" t="s">
        <v>1501</v>
      </c>
      <c r="AF91" s="1" t="s">
        <v>583</v>
      </c>
      <c r="AG91" s="1" t="s">
        <v>1502</v>
      </c>
      <c r="AH91" s="1" t="s">
        <v>1503</v>
      </c>
      <c r="AI91" s="1" t="s">
        <v>1504</v>
      </c>
      <c r="AJ91" s="1" t="s">
        <v>1505</v>
      </c>
      <c r="CV91" s="1" t="s">
        <v>1506</v>
      </c>
    </row>
    <row r="92">
      <c r="A92" s="1" t="s">
        <v>1507</v>
      </c>
      <c r="B92" s="1" t="str">
        <f>IFERROR(__xludf.DUMMYFUNCTION("GOOGLETRANSLATE(A:A, ""en"", ""te"")"),"రిఫ్లెక్స్ మెరుపు బగ్")</f>
        <v>రిఫ్లెక్స్ మెరుపు బగ్</v>
      </c>
      <c r="C92" s="1" t="s">
        <v>1508</v>
      </c>
      <c r="D92" s="1" t="str">
        <f>IFERROR(__xludf.DUMMYFUNCTION("GOOGLETRANSLATE(C:C, ""en"", ""te"")"),"రిఫ్లెక్స్ మెరుపు బగ్, ది జోన్స్ మెరుపు బగ్ అని కూడా పిలుస్తారు, ఇది ఒక అమెరికన్ హోమ్‌బిల్ట్ విమానం, దీనిని నిక్ జోన్స్ రూపొందించారు మరియు దక్షిణ కరోలినాలోని వాల్టర్‌బోరో యొక్క రిఫ్లెక్స్ ఫైబర్‌గ్లాస్ వర్క్స్ చేత నిర్మించబడింది, ఇది 1990 ల మధ్యలో ప్రవేశపె"&amp;"ట్టబడింది. ఇది అందుబాటులో ఉన్నప్పుడు విమానం te త్సాహిక నిర్మాణానికి కిట్‌గా సరఫరా చేయబడింది. [1] మెరుపు బగ్‌లో కాంటిలివర్ లో-వింగ్, బబుల్ పందిరి కింద సింగిల్-సీట్ల పరివేష్టిత కాక్‌పిట్, వీల్ ప్యాంటుతో స్థిర ట్రైసైకిల్ ల్యాండింగ్ గేర్, ముడుచుకునే ముక్కు చక"&amp;"్రం మరియు ట్రాక్టర్ కాన్ఫిగరేషన్‌లో ఒకే ఇంజిన్ ఉన్నాయి. [1] ఈ విమానం స్టెయిన్లెస్ స్టీల్ మరియు ఫైబర్గ్లాస్ కలయిక నుండి తయారవుతుంది. దీని 17.83 అడుగుల (5.4 మీ) స్పాన్ వింగ్ రెక్క ప్రాంతం 40.00 చదరపు అడుగులు (3.716 మీ 2). క్యాబిన్ వెడల్పు 25 లో (64 సెం.మీ)."&amp;" ఉపయోగించిన ప్రామాణిక ఇంజిన్ 100 HP (75 kW) AMW 808 ఇన్-లైన్ త్రీ సిలిండర్, లిక్విడ్-కూల్డ్, టూ-స్ట్రోక్, డ్యూయల్ జ్వలన, విమాన ఇంజిన్. ఆ ఇంజిన్‌తో విమానం 225 mph (362 కిమీ/గం) వద్ద క్రూజ్ చేయవచ్చు. [1] మెరుపు బగ్ 475 lb (215 kg) యొక్క సాధారణ ఖాళీ బరువు మర"&amp;"ియు 800 lb (360 kg) స్థూల బరువు కలిగి ఉంది, ఇది 325 lb (147 kg) యొక్క ఉపయోగకరమైన లోడ్‌ను ఇస్తుంది. 23 యు.ఎస్. గ్యాలన్ల పూర్తి ఇంధనంతో (87 ఎల్; 19 ఇంప్ గాల్) పైలట్ మరియు సామాను కోసం పేలోడ్ 187 ఎల్బి (85 కిలోలు). ఈ విమానం 750 పౌండ్లు (340 కిలోలు) స్థూల బరువ"&amp;"ుతో అమెరికన్ ఫార్ 23 ఏరోబాటిక్ వర్గం అవసరాలను కలుస్తుంది. [1] ప్రామాణిక రోజు, సముద్ర మట్టం, విండ్ లేదు, 100 హెచ్‌పి (75 కిలోవాట్ ) స్టాల్ వేగం. [1] తయారీదారు నిర్మాణ సమయాన్ని సరఫరా చేసిన కిట్ నుండి 300 గంటలుగా అంచనా వేశారు. [1] ఫిబ్రవరి 2014 లో ఫెడరల్ ఏవి"&amp;"యేషన్ అడ్మినిస్ట్రేషన్తో అమెరికాలో రెండు ఉదాహరణలు నమోదు చేయబడ్డాయి, అయినప్పటికీ మొత్తం తొమ్మిది ఒకేసారి నమోదు చేయబడింది. [2] ఏరోక్రాఫ్టర్ నుండి డేటా [1] సాధారణ లక్షణాల పనితీరు")</f>
        <v>రిఫ్లెక్స్ మెరుపు బగ్, ది జోన్స్ మెరుపు బగ్ అని కూడా పిలుస్తారు, ఇది ఒక అమెరికన్ హోమ్‌బిల్ట్ విమానం, దీనిని నిక్ జోన్స్ రూపొందించారు మరియు దక్షిణ కరోలినాలోని వాల్టర్‌బోరో యొక్క రిఫ్లెక్స్ ఫైబర్‌గ్లాస్ వర్క్స్ చేత నిర్మించబడింది, ఇది 1990 ల మధ్యలో ప్రవేశపెట్టబడింది. ఇది అందుబాటులో ఉన్నప్పుడు విమానం te త్సాహిక నిర్మాణానికి కిట్‌గా సరఫరా చేయబడింది. [1] మెరుపు బగ్‌లో కాంటిలివర్ లో-వింగ్, బబుల్ పందిరి కింద సింగిల్-సీట్ల పరివేష్టిత కాక్‌పిట్, వీల్ ప్యాంటుతో స్థిర ట్రైసైకిల్ ల్యాండింగ్ గేర్, ముడుచుకునే ముక్కు చక్రం మరియు ట్రాక్టర్ కాన్ఫిగరేషన్‌లో ఒకే ఇంజిన్ ఉన్నాయి. [1] ఈ విమానం స్టెయిన్లెస్ స్టీల్ మరియు ఫైబర్గ్లాస్ కలయిక నుండి తయారవుతుంది. దీని 17.83 అడుగుల (5.4 మీ) స్పాన్ వింగ్ రెక్క ప్రాంతం 40.00 చదరపు అడుగులు (3.716 మీ 2). క్యాబిన్ వెడల్పు 25 లో (64 సెం.మీ). ఉపయోగించిన ప్రామాణిక ఇంజిన్ 100 HP (75 kW) AMW 808 ఇన్-లైన్ త్రీ సిలిండర్, లిక్విడ్-కూల్డ్, టూ-స్ట్రోక్, డ్యూయల్ జ్వలన, విమాన ఇంజిన్. ఆ ఇంజిన్‌తో విమానం 225 mph (362 కిమీ/గం) వద్ద క్రూజ్ చేయవచ్చు. [1] మెరుపు బగ్ 475 lb (215 kg) యొక్క సాధారణ ఖాళీ బరువు మరియు 800 lb (360 kg) స్థూల బరువు కలిగి ఉంది, ఇది 325 lb (147 kg) యొక్క ఉపయోగకరమైన లోడ్‌ను ఇస్తుంది. 23 యు.ఎస్. గ్యాలన్ల పూర్తి ఇంధనంతో (87 ఎల్; 19 ఇంప్ గాల్) పైలట్ మరియు సామాను కోసం పేలోడ్ 187 ఎల్బి (85 కిలోలు). ఈ విమానం 750 పౌండ్లు (340 కిలోలు) స్థూల బరువుతో అమెరికన్ ఫార్ 23 ఏరోబాటిక్ వర్గం అవసరాలను కలుస్తుంది. [1] ప్రామాణిక రోజు, సముద్ర మట్టం, విండ్ లేదు, 100 హెచ్‌పి (75 కిలోవాట్ ) స్టాల్ వేగం. [1] తయారీదారు నిర్మాణ సమయాన్ని సరఫరా చేసిన కిట్ నుండి 300 గంటలుగా అంచనా వేశారు. [1] ఫిబ్రవరి 2014 లో ఫెడరల్ ఏవియేషన్ అడ్మినిస్ట్రేషన్తో అమెరికాలో రెండు ఉదాహరణలు నమోదు చేయబడ్డాయి, అయినప్పటికీ మొత్తం తొమ్మిది ఒకేసారి నమోదు చేయబడింది. [2] ఏరోక్రాఫ్టర్ నుండి డేటా [1] సాధారణ లక్షణాల పనితీరు</v>
      </c>
      <c r="E92" s="1" t="s">
        <v>154</v>
      </c>
      <c r="F92" s="1" t="str">
        <f>IFERROR(__xludf.DUMMYFUNCTION("GOOGLETRANSLATE(E:E, ""en"", ""te"")"),"హోమ్‌బిల్ట్ విమానం")</f>
        <v>హోమ్‌బిల్ట్ విమానం</v>
      </c>
      <c r="G92" s="1" t="s">
        <v>155</v>
      </c>
      <c r="H92" s="1" t="str">
        <f>IFERROR(__xludf.DUMMYFUNCTION("GOOGLETRANSLATE(G:G, ""en"", ""te"")"),"అమెరికా")</f>
        <v>అమెరికా</v>
      </c>
      <c r="I92" s="1" t="s">
        <v>1509</v>
      </c>
      <c r="J92" s="1" t="str">
        <f>IFERROR(__xludf.DUMMYFUNCTION("GOOGLETRANSLATE(I:I, ""en"", ""te"")"),"రిఫ్లెక్స్ ఫైబర్గ్లాస్ పనిచేస్తుంది")</f>
        <v>రిఫ్లెక్స్ ఫైబర్గ్లాస్ పనిచేస్తుంది</v>
      </c>
      <c r="K92" s="1" t="s">
        <v>1510</v>
      </c>
      <c r="L92" s="1" t="s">
        <v>1511</v>
      </c>
      <c r="O92" s="1" t="s">
        <v>135</v>
      </c>
      <c r="P92" s="1" t="s">
        <v>1512</v>
      </c>
      <c r="Q92" s="1" t="s">
        <v>1513</v>
      </c>
      <c r="S92" s="1" t="s">
        <v>1514</v>
      </c>
      <c r="T92" s="1" t="s">
        <v>1515</v>
      </c>
      <c r="U92" s="1" t="s">
        <v>1446</v>
      </c>
      <c r="V92" s="1" t="s">
        <v>1516</v>
      </c>
      <c r="W92" s="1" t="s">
        <v>1517</v>
      </c>
      <c r="X92" s="1" t="s">
        <v>1518</v>
      </c>
      <c r="Y92" s="1" t="s">
        <v>1519</v>
      </c>
      <c r="Z92" s="1" t="s">
        <v>1520</v>
      </c>
      <c r="AA92" s="1" t="s">
        <v>1521</v>
      </c>
      <c r="AB92" s="1" t="s">
        <v>166</v>
      </c>
      <c r="AC92" s="2" t="s">
        <v>167</v>
      </c>
      <c r="AD92" s="1" t="s">
        <v>581</v>
      </c>
      <c r="AE92" s="1" t="s">
        <v>1522</v>
      </c>
      <c r="AF92" s="1" t="s">
        <v>1204</v>
      </c>
      <c r="AG92" s="1" t="s">
        <v>1523</v>
      </c>
      <c r="AH92" s="1" t="s">
        <v>1524</v>
      </c>
      <c r="AI92" s="1" t="s">
        <v>1525</v>
      </c>
      <c r="AJ92" s="1" t="s">
        <v>1526</v>
      </c>
      <c r="BN92" s="1" t="s">
        <v>1527</v>
      </c>
    </row>
    <row r="93">
      <c r="A93" s="1" t="s">
        <v>1528</v>
      </c>
      <c r="B93" s="1" t="str">
        <f>IFERROR(__xludf.DUMMYFUNCTION("GOOGLETRANSLATE(A:A, ""en"", ""te"")"),"రోజర్స్ స్పోర్టేర్")</f>
        <v>రోజర్స్ స్పోర్టేర్</v>
      </c>
      <c r="C93" s="1" t="s">
        <v>1529</v>
      </c>
      <c r="D93" s="1" t="str">
        <f>IFERROR(__xludf.DUMMYFUNCTION("GOOGLETRANSLATE(C:C, ""en"", ""te"")"),"రోజర్స్ స్పోర్టేర్ అనేది ఒక అమెరికన్ హోమ్‌బిల్ట్ విమానం, దీనిని డేవిడ్ ఎం. రోజర్స్ రూపకల్పన చేశారు మరియు 1959 లో ప్రవేశపెట్టిన రోజర్స్ ఎయిర్‌క్రాఫ్ట్ ఆఫ్ రివర్‌సైడ్ ఆఫ్ రివర్‌సైడ్. ఒకటి మాత్రమే నిర్మించబడింది. [1] [2] ఈ విమానం ఒక కాంటిలివర్ లో-వింగ్, బబుల"&amp;"్ పందిరి కింద రెండు-సైడ్-ఇన్-సైడ్ కాన్ఫిగరేషన్ పరివేష్టిత కాక్‌పిట్, స్థిర ట్రైసైకిల్ ల్యాండింగ్ గేర్ మరియు ట్రాక్టర్ కాన్ఫిగరేషన్‌లో ఒకే ఇంజిన్. [1] విమానం ఫ్యూజ్‌లేజ్ వెల్డెడ్ స్టీల్ గొట్టాల నుండి తయారవుతుంది, చెక్కతో తయారు చేసిన 26.3 అడుగుల (8.0 మీ) స్"&amp;"పాన్ వింగ్, అన్నీ డోప్డ్ ఎయిర్‌క్రాఫ్ట్ ఫాబ్రిక్‌తో కప్పబడి ఉంటాయి. ఏకైక ఉదాహరణలో ఉపయోగించిన ఇంజిన్ 125 హెచ్‌పి (93 కిలోవాట్) లైమింగ్ ఓ -290 పవర్‌ప్లాంట్. [1] [2] ఈ విమానం ఖాళీ బరువు 984 పౌండ్లు (446 కిలోలు) మరియు స్థూల బరువు 1,600 ఎల్బి (730 కిలోలు), 616"&amp;" పౌండ్లు (279 కిలోల) ఉపయోగకరమైన లోడ్ ఇస్తుంది. 22 యు.ఎస్. గ్యాలన్ల పూర్తి ఇంధనంతో (83 ఎల్; 18 ఇంప్ గల్) పేలోడ్ 484 ఎల్బి (220 కిలోలు). [1] అక్టోబర్ 2013 నాటికి ఫెడరల్ ఏవియేషన్ అడ్మినిస్ట్రేషన్తో అమెరికాలో ఒక ఉదాహరణ మాత్రమే నమోదు చేయబడింది. [2] విమానం మరియ"&amp;"ు పైలట్ నుండి డేటా [1] సాధారణ లక్షణాల పనితీరు")</f>
        <v>రోజర్స్ స్పోర్టేర్ అనేది ఒక అమెరికన్ హోమ్‌బిల్ట్ విమానం, దీనిని డేవిడ్ ఎం. రోజర్స్ రూపకల్పన చేశారు మరియు 1959 లో ప్రవేశపెట్టిన రోజర్స్ ఎయిర్‌క్రాఫ్ట్ ఆఫ్ రివర్‌సైడ్ ఆఫ్ రివర్‌సైడ్. ఒకటి మాత్రమే నిర్మించబడింది. [1] [2] ఈ విమానం ఒక కాంటిలివర్ లో-వింగ్, బబుల్ పందిరి కింద రెండు-సైడ్-ఇన్-సైడ్ కాన్ఫిగరేషన్ పరివేష్టిత కాక్‌పిట్, స్థిర ట్రైసైకిల్ ల్యాండింగ్ గేర్ మరియు ట్రాక్టర్ కాన్ఫిగరేషన్‌లో ఒకే ఇంజిన్. [1] విమానం ఫ్యూజ్‌లేజ్ వెల్డెడ్ స్టీల్ గొట్టాల నుండి తయారవుతుంది, చెక్కతో తయారు చేసిన 26.3 అడుగుల (8.0 మీ) స్పాన్ వింగ్, అన్నీ డోప్డ్ ఎయిర్‌క్రాఫ్ట్ ఫాబ్రిక్‌తో కప్పబడి ఉంటాయి. ఏకైక ఉదాహరణలో ఉపయోగించిన ఇంజిన్ 125 హెచ్‌పి (93 కిలోవాట్) లైమింగ్ ఓ -290 పవర్‌ప్లాంట్. [1] [2] ఈ విమానం ఖాళీ బరువు 984 పౌండ్లు (446 కిలోలు) మరియు స్థూల బరువు 1,600 ఎల్బి (730 కిలోలు), 616 పౌండ్లు (279 కిలోల) ఉపయోగకరమైన లోడ్ ఇస్తుంది. 22 యు.ఎస్. గ్యాలన్ల పూర్తి ఇంధనంతో (83 ఎల్; 18 ఇంప్ గల్) పేలోడ్ 484 ఎల్బి (220 కిలోలు). [1] అక్టోబర్ 2013 నాటికి ఫెడరల్ ఏవియేషన్ అడ్మినిస్ట్రేషన్తో అమెరికాలో ఒక ఉదాహరణ మాత్రమే నమోదు చేయబడింది. [2] విమానం మరియు పైలట్ నుండి డేటా [1] సాధారణ లక్షణాల పనితీరు</v>
      </c>
      <c r="E93" s="1" t="s">
        <v>154</v>
      </c>
      <c r="F93" s="1" t="str">
        <f>IFERROR(__xludf.DUMMYFUNCTION("GOOGLETRANSLATE(E:E, ""en"", ""te"")"),"హోమ్‌బిల్ట్ విమానం")</f>
        <v>హోమ్‌బిల్ట్ విమానం</v>
      </c>
      <c r="G93" s="1" t="s">
        <v>155</v>
      </c>
      <c r="H93" s="1" t="str">
        <f>IFERROR(__xludf.DUMMYFUNCTION("GOOGLETRANSLATE(G:G, ""en"", ""te"")"),"అమెరికా")</f>
        <v>అమెరికా</v>
      </c>
      <c r="I93" s="1" t="s">
        <v>1530</v>
      </c>
      <c r="J93" s="1" t="str">
        <f>IFERROR(__xludf.DUMMYFUNCTION("GOOGLETRANSLATE(I:I, ""en"", ""te"")"),"రోజర్స్ విమానం")</f>
        <v>రోజర్స్ విమానం</v>
      </c>
      <c r="L93" s="1" t="s">
        <v>1531</v>
      </c>
      <c r="O93" s="1" t="s">
        <v>135</v>
      </c>
      <c r="P93" s="1" t="s">
        <v>1532</v>
      </c>
      <c r="Q93" s="1" t="s">
        <v>1533</v>
      </c>
      <c r="T93" s="1" t="s">
        <v>1534</v>
      </c>
      <c r="U93" s="1" t="s">
        <v>1535</v>
      </c>
      <c r="V93" s="1" t="s">
        <v>1536</v>
      </c>
      <c r="W93" s="1" t="s">
        <v>1537</v>
      </c>
      <c r="X93" s="1" t="s">
        <v>1199</v>
      </c>
      <c r="Z93" s="1" t="s">
        <v>1229</v>
      </c>
      <c r="AB93" s="1" t="s">
        <v>166</v>
      </c>
      <c r="AC93" s="2" t="s">
        <v>167</v>
      </c>
      <c r="AD93" s="1" t="s">
        <v>1538</v>
      </c>
      <c r="AE93" s="1" t="s">
        <v>1539</v>
      </c>
      <c r="AG93" s="1" t="s">
        <v>1209</v>
      </c>
      <c r="AH93" s="1" t="s">
        <v>428</v>
      </c>
      <c r="AJ93" s="1" t="s">
        <v>1208</v>
      </c>
      <c r="AK93" s="1" t="s">
        <v>195</v>
      </c>
      <c r="AX93" s="1">
        <v>1959.0</v>
      </c>
    </row>
    <row r="94">
      <c r="A94" s="1" t="s">
        <v>1540</v>
      </c>
      <c r="B94" s="1" t="str">
        <f>IFERROR(__xludf.DUMMYFUNCTION("GOOGLETRANSLATE(A:A, ""en"", ""te"")"),"రౌలీ పి -40 ఎఫ్")</f>
        <v>రౌలీ పి -40 ఎఫ్</v>
      </c>
      <c r="C94" s="1" t="s">
        <v>1541</v>
      </c>
      <c r="D94" s="1" t="str">
        <f>IFERROR(__xludf.DUMMYFUNCTION("GOOGLETRANSLATE(C:C, ""en"", ""te"")"),"రౌలీ పి -40 ఎఫ్ ఒక అమెరికన్ హోమ్‌బిల్ట్ విమానం, దీనిని రిచర్డ్ జె రౌలీ రూపొందించారు మరియు కొలరాడోలోని మేడో లేక్ విమానాశ్రయానికి చెందిన అతని కంపెనీ 76 వ ఫైటర్ స్క్వాడ్రన్ ఇంక్ చేత విక్రయించబడింది. ఇది మొదట 1986 లో ఎగిరింది. ఇది అందుబాటులో ఉన్నప్పుడు ఈ విమా"&amp;"నం రూపంలో సరఫరా చేయబడింది Te త్సాహిక నిర్మాణం కోసం ప్రణాళికలు. [1] రౌలీ పి -40 ఎఫ్ రెండవ ప్రపంచ యుద్ధం కర్టిస్ పి -40 వార్హాక్ యొక్క 3/4 స్కేల్ ప్రతిరూపం. [1] 76 వ ఫైటర్ స్క్వాడ్రన్ ఇంక్, ఈ సంస్థ 76 వ ఫైటర్ స్క్వాడ్రన్ కోసం ఎంపికైంది, గతంలో ఫ్లయింగ్ టైగర్"&amp;"స్ యూనిట్ పి -40 లలో ఎగురుతుంది. పి -40 ఎఫ్‌లో కాంటిలివర్ లో వింగ్, స్లైడింగ్ పందిరి కింద సింగిల్-సీట్ల పరివేష్టిత కాక్‌పిట్, సాంప్రదాయిక ల్యాండింగ్ గేర్ మరియు ట్రాక్టర్ కాన్ఫిగరేషన్‌లో ఒకే ఇంజిన్ ఉన్నాయి. విమానం ఏరోబాటిక్స్ చేయగలదు. [1] [2] విమానం ఫ్యూజ్"&amp;"‌లేజ్ వెల్డెడ్ 4130 స్టీల్ గొట్టాల నుండి తయారు చేయబడింది, ఇది షీట్ 2024-టి 3 అల్యూమినియంలో కప్పబడి ఉంది. 28.00 అడుగుల (8.5 మీ) స్పాన్ రెక్కలను స్ప్రూస్ వుడ్ బాక్స్ స్పార్‌తో తయారు చేశారు, అల్యూమినియం ఫ్రంట్ షీర్‌తో మరియు 128.0 చదరపు అడుగుల (11.89 మీ 2) రె"&amp;"క్క ప్రాంతాన్ని కలిగి ఉంది. ఆమోదయోగ్యమైన శక్తి శ్రేణి 95 నుండి 125 హెచ్‌పి (71 నుండి 93 కిలోవాట్) మరియు ఉపయోగించిన అసలు ఇంజిన్ 100 హెచ్‌పి (75 కిలోవాట్ పి -40 ఎఫ్ ప్రోటోటైప్ 750 ఎల్బి (340 కిలోల) మరియు స్థూల బరువు 1,200 ఎల్బి (540 కిలోలు) ఖాళీ బరువును కలి"&amp;"గి ఉంది, ఇది 450 ఎల్బి (200 కిలోల) ఉపయోగకరమైన లోడ్ ఇస్తుంది. 22 యు.ఎస్. గ్యాలన్ల పూర్తి ఇంధనంతో (83 ఎల్; 18 ఇంప్ గల్) పైలట్ మరియు సామాను కోసం పేలోడ్ 318 ఎల్బి (144 కిలోలు). [1] ప్రామాణిక రోజు, సముద్ర మట్టం, 100 హెచ్‌పి (75 కిలోవాట్) ఇంజిన్‌తో నో-విండ్ టేక"&amp;"ాఫ్ 800 అడుగులు (244 మీ) మరియు ల్యాండింగ్ రోల్ 700 అడుగులు (213 మీ). [2] 2 జూలై 2000 ఆదివారం, కొలరాడోలోని పేటన్ మరియు ఏకైక ఉదాహరణలో, N42915 ను నమోదు చేసి, క్రాష్ అయ్యింది, విమానం యొక్క డిజైనర్/బిల్డర్‌ను చంపింది. నేషనల్ ట్రాన్స్‌పోర్టేషన్ సేఫ్టీ బోర్డ్ ఈ "&amp;"సంఘటనలను సంగ్రహించింది: ""పైలట్ రన్‌వే 33 పై తక్కువ ఫ్లై-బై చేస్తున్నాడు, మరియు విమానం బయలుదేరే ముగింపుకు చేరుకున్నప్పుడు, ఇంజిన్ శక్తిని కోల్పోయింది. సాక్షులు పైలట్ రన్‌వే 15 వైపు ఎడమవైపు తిరిగి వచ్చాడని చెప్పారు . "" NTSB కారణ కారకాలను కేటాయించింది: ""బ"&amp;"లవంతపు ల్యాండింగ్ కోసం రన్‌వే వైపు తిరగడానికి పైలట్ యొక్క సరిపోని నిర్ణయం. తగ్గింపు గేర్ వైఫల్యం కారణంగా ఇంజిన్ శక్తిని కోల్పోవడం."" [4] ఏకైక ఉదాహరణ. "" అమెరికాలో ఫెడరల్ ఏవియేషన్ అడ్మినిస్ట్రేషన్ రిజిస్ట్రేషన్ 30 సెప్టెంబర్ 2013 తో ముగిసింది. [3] ఏరోక్రాఫ"&amp;"్టర్ నుండి డేటా [1] సాధారణ లక్షణాల పనితీరు")</f>
        <v>రౌలీ పి -40 ఎఫ్ ఒక అమెరికన్ హోమ్‌బిల్ట్ విమానం, దీనిని రిచర్డ్ జె రౌలీ రూపొందించారు మరియు కొలరాడోలోని మేడో లేక్ విమానాశ్రయానికి చెందిన అతని కంపెనీ 76 వ ఫైటర్ స్క్వాడ్రన్ ఇంక్ చేత విక్రయించబడింది. ఇది మొదట 1986 లో ఎగిరింది. ఇది అందుబాటులో ఉన్నప్పుడు ఈ విమానం రూపంలో సరఫరా చేయబడింది Te త్సాహిక నిర్మాణం కోసం ప్రణాళికలు. [1] రౌలీ పి -40 ఎఫ్ రెండవ ప్రపంచ యుద్ధం కర్టిస్ పి -40 వార్హాక్ యొక్క 3/4 స్కేల్ ప్రతిరూపం. [1] 76 వ ఫైటర్ స్క్వాడ్రన్ ఇంక్, ఈ సంస్థ 76 వ ఫైటర్ స్క్వాడ్రన్ కోసం ఎంపికైంది, గతంలో ఫ్లయింగ్ టైగర్స్ యూనిట్ పి -40 లలో ఎగురుతుంది. పి -40 ఎఫ్‌లో కాంటిలివర్ లో వింగ్, స్లైడింగ్ పందిరి కింద సింగిల్-సీట్ల పరివేష్టిత కాక్‌పిట్, సాంప్రదాయిక ల్యాండింగ్ గేర్ మరియు ట్రాక్టర్ కాన్ఫిగరేషన్‌లో ఒకే ఇంజిన్ ఉన్నాయి. విమానం ఏరోబాటిక్స్ చేయగలదు. [1] [2] విమానం ఫ్యూజ్‌లేజ్ వెల్డెడ్ 4130 స్టీల్ గొట్టాల నుండి తయారు చేయబడింది, ఇది షీట్ 2024-టి 3 అల్యూమినియంలో కప్పబడి ఉంది. 28.00 అడుగుల (8.5 మీ) స్పాన్ రెక్కలను స్ప్రూస్ వుడ్ బాక్స్ స్పార్‌తో తయారు చేశారు, అల్యూమినియం ఫ్రంట్ షీర్‌తో మరియు 128.0 చదరపు అడుగుల (11.89 మీ 2) రెక్క ప్రాంతాన్ని కలిగి ఉంది. ఆమోదయోగ్యమైన శక్తి శ్రేణి 95 నుండి 125 హెచ్‌పి (71 నుండి 93 కిలోవాట్) మరియు ఉపయోగించిన అసలు ఇంజిన్ 100 హెచ్‌పి (75 కిలోవాట్ పి -40 ఎఫ్ ప్రోటోటైప్ 750 ఎల్బి (340 కిలోల) మరియు స్థూల బరువు 1,200 ఎల్బి (540 కిలోలు) ఖాళీ బరువును కలిగి ఉంది, ఇది 450 ఎల్బి (200 కిలోల) ఉపయోగకరమైన లోడ్ ఇస్తుంది. 22 యు.ఎస్. గ్యాలన్ల పూర్తి ఇంధనంతో (83 ఎల్; 18 ఇంప్ గల్) పైలట్ మరియు సామాను కోసం పేలోడ్ 318 ఎల్బి (144 కిలోలు). [1] ప్రామాణిక రోజు, సముద్ర మట్టం, 100 హెచ్‌పి (75 కిలోవాట్) ఇంజిన్‌తో నో-విండ్ టేకాఫ్ 800 అడుగులు (244 మీ) మరియు ల్యాండింగ్ రోల్ 700 అడుగులు (213 మీ). [2] 2 జూలై 2000 ఆదివారం, కొలరాడోలోని పేటన్ మరియు ఏకైక ఉదాహరణలో, N42915 ను నమోదు చేసి, క్రాష్ అయ్యింది, విమానం యొక్క డిజైనర్/బిల్డర్‌ను చంపింది. నేషనల్ ట్రాన్స్‌పోర్టేషన్ సేఫ్టీ బోర్డ్ ఈ సంఘటనలను సంగ్రహించింది: "పైలట్ రన్‌వే 33 పై తక్కువ ఫ్లై-బై చేస్తున్నాడు, మరియు విమానం బయలుదేరే ముగింపుకు చేరుకున్నప్పుడు, ఇంజిన్ శక్తిని కోల్పోయింది. సాక్షులు పైలట్ రన్‌వే 15 వైపు ఎడమవైపు తిరిగి వచ్చాడని చెప్పారు . " NTSB కారణ కారకాలను కేటాయించింది: "బలవంతపు ల్యాండింగ్ కోసం రన్‌వే వైపు తిరగడానికి పైలట్ యొక్క సరిపోని నిర్ణయం. తగ్గింపు గేర్ వైఫల్యం కారణంగా ఇంజిన్ శక్తిని కోల్పోవడం." [4] ఏకైక ఉదాహరణ. " అమెరికాలో ఫెడరల్ ఏవియేషన్ అడ్మినిస్ట్రేషన్ రిజిస్ట్రేషన్ 30 సెప్టెంబర్ 2013 తో ముగిసింది. [3] ఏరోక్రాఫ్టర్ నుండి డేటా [1] సాధారణ లక్షణాల పనితీరు</v>
      </c>
      <c r="E94" s="1" t="s">
        <v>154</v>
      </c>
      <c r="F94" s="1" t="str">
        <f>IFERROR(__xludf.DUMMYFUNCTION("GOOGLETRANSLATE(E:E, ""en"", ""te"")"),"హోమ్‌బిల్ట్ విమానం")</f>
        <v>హోమ్‌బిల్ట్ విమానం</v>
      </c>
      <c r="G94" s="1" t="s">
        <v>155</v>
      </c>
      <c r="H94" s="1" t="str">
        <f>IFERROR(__xludf.DUMMYFUNCTION("GOOGLETRANSLATE(G:G, ""en"", ""te"")"),"అమెరికా")</f>
        <v>అమెరికా</v>
      </c>
      <c r="I94" s="1" t="s">
        <v>1542</v>
      </c>
      <c r="J94" s="1" t="str">
        <f>IFERROR(__xludf.DUMMYFUNCTION("GOOGLETRANSLATE(I:I, ""en"", ""te"")"),"76 వ ఫైటర్ స్క్వాడ్రన్ ఇంక్")</f>
        <v>76 వ ఫైటర్ స్క్వాడ్రన్ ఇంక్</v>
      </c>
      <c r="K94" s="1" t="s">
        <v>1543</v>
      </c>
      <c r="L94" s="1" t="s">
        <v>1544</v>
      </c>
      <c r="N94" s="1">
        <v>1986.0</v>
      </c>
      <c r="O94" s="1" t="s">
        <v>135</v>
      </c>
      <c r="P94" s="1" t="s">
        <v>1545</v>
      </c>
      <c r="Q94" s="1" t="s">
        <v>1546</v>
      </c>
      <c r="S94" s="1" t="s">
        <v>1547</v>
      </c>
      <c r="T94" s="1" t="s">
        <v>368</v>
      </c>
      <c r="U94" s="1" t="s">
        <v>1548</v>
      </c>
      <c r="V94" s="1" t="s">
        <v>1549</v>
      </c>
      <c r="W94" s="1" t="s">
        <v>558</v>
      </c>
      <c r="X94" s="1" t="s">
        <v>1550</v>
      </c>
      <c r="Y94" s="1" t="s">
        <v>1551</v>
      </c>
      <c r="Z94" s="1" t="s">
        <v>1552</v>
      </c>
      <c r="AA94" s="1" t="s">
        <v>1553</v>
      </c>
      <c r="AB94" s="1" t="s">
        <v>166</v>
      </c>
      <c r="AC94" s="2" t="s">
        <v>167</v>
      </c>
      <c r="AD94" s="1" t="s">
        <v>1554</v>
      </c>
      <c r="AE94" s="1" t="s">
        <v>1539</v>
      </c>
      <c r="AF94" s="1" t="s">
        <v>1555</v>
      </c>
      <c r="AG94" s="1" t="s">
        <v>1556</v>
      </c>
      <c r="AH94" s="1" t="s">
        <v>1499</v>
      </c>
      <c r="AI94" s="1" t="s">
        <v>1557</v>
      </c>
      <c r="AJ94" s="1" t="s">
        <v>1208</v>
      </c>
      <c r="BF94" s="1" t="s">
        <v>1558</v>
      </c>
      <c r="BG94" s="1" t="s">
        <v>1559</v>
      </c>
    </row>
    <row r="95">
      <c r="A95" s="1" t="s">
        <v>1560</v>
      </c>
      <c r="B95" s="1" t="str">
        <f>IFERROR(__xludf.DUMMYFUNCTION("GOOGLETRANSLATE(A:A, ""en"", ""te"")"),"సాసర్ పి 6 ఇ")</f>
        <v>సాసర్ పి 6 ఇ</v>
      </c>
      <c r="C95" s="1" t="s">
        <v>1561</v>
      </c>
      <c r="D95" s="1" t="str">
        <f>IFERROR(__xludf.DUMMYFUNCTION("GOOGLETRANSLATE(C:C, ""en"", ""te"")"),"సాసర్ పి 6 ఇ అనేది ఒక అమెరికన్ హోమ్‌బిల్ట్ విమానం, దీనిని కాలిఫోర్నియాలోని టస్టిన్ యొక్క డోనాల్డ్ సాజర్ రూపొందించారు మరియు నిర్మించారు. ఈ విమానం 1920 ల కర్టిస్ పి -6 హాక్ యొక్క 82% స్కేల్ పునరుత్పత్తి. ఇది అందుబాటులో ఉన్నప్పుడు, ఈ విమానం సాసర్ ఎయిర్క్రాఫ్"&amp;"ట్ కంపెనీ te త్సాహిక నిర్మాణానికి ప్రణాళికల రూపంలో సరఫరా చేయబడింది. [1] [2] విమానం మాదిరిగానే, సాసర్ పి 6 లో స్ట్రట్-బ్రేస్డ్ బిప్‌లేన్ లేఅవుట్, విండ్‌షీల్డ్‌తో సింగిల్-సీట్ల ఓపెన్ కాక్‌పిట్, వీల్ ప్యాంటుతో స్థిర సాంప్రదాయ ల్యాండింగ్ గేర్ మరియు ట్రాక్టర్ "&amp;"కాన్ఫిగరేషన్‌లో ఒకే ఇంజిన్ ఉన్నాయి. [1] ఈ విమానం వెల్డెడ్ స్టీల్ గొట్టాలు మరియు కలప నుండి తయారవుతుంది, దాని ఎగిరే ఉపరితలాలు డోప్డ్ ఎయిర్క్రాఫ్ట్ ఫాబ్రిక్‌లో కప్పబడి ఉంటాయి. దీని 25.83 అడుగుల (7.9 మీ) స్పాన్ వింగ్ వింగ్ ఏరియా 170.0 చదరపు అడుగులు (15.79 మీ "&amp;"2). ఆమోదయోగ్యమైన శక్తి శ్రేణి 180 నుండి 260 హెచ్‌పి (134 నుండి 194 కిలోవాట్) మరియు ఉపయోగించిన ప్రామాణిక ఇంజిన్ 212 హెచ్‌పి (158 కిలోవాట్) చేవ్రొలెట్ చిన్న-బ్లాక్ వి -8 ఆటోమోటివ్ మార్పిడి పవర్‌ప్లాంట్. [1] సాసర్ పి 6 ఇ ఖాళీ బరువు 1,425 ఎల్బి (646 కిలోలు) మ"&amp;"రియు స్థూల బరువు 2,040 ఎల్బి (930 కిలోలు), 615 పౌండ్లు (279 కిలోల) ఉపయోగకరమైన లోడ్ ఇస్తుంది. 27 యు.ఎస్. గ్యాలన్ల పూర్తి ఇంధనంతో (100 ఎల్; 22 ఇంప్ గల్) పైలట్ మరియు సామాను 453 ఎల్బి (205 కిలోలు). [1] సాసర్ పి 6 లు యుఎస్ ఫెడరల్ ఏవియేషన్ అడ్మినిస్ట్రేషన్‌లో వ"&amp;"ివిధ రకాల హోదా కింద నమోదు చేయబడ్డాయి, అవి కేటలాగ్‌కు కష్టతరం చేస్తాయి. నమోదు చేయబడిన రకాలు సాసర్ క్యూసి, జాన్సన్ ఎఫ్ 11 సి -2 పిజె (ఎఫ్ 11 సి -2 ప్రతిరూపంగా నిర్మించబడ్డాయి), వూల్డ్‌రిడ్జ్ సాకో పి 6-ఇ హాక్ మరియు పైకప్పు కర్టిస్ హాక్ పి 6 ఇ. [3] [4] [5] [6"&amp;"] ఏరోక్రాఫ్టర్ నుండి డేటా [1] సాధారణ లక్షణాల పనితీరు")</f>
        <v>సాసర్ పి 6 ఇ అనేది ఒక అమెరికన్ హోమ్‌బిల్ట్ విమానం, దీనిని కాలిఫోర్నియాలోని టస్టిన్ యొక్క డోనాల్డ్ సాజర్ రూపొందించారు మరియు నిర్మించారు. ఈ విమానం 1920 ల కర్టిస్ పి -6 హాక్ యొక్క 82% స్కేల్ పునరుత్పత్తి. ఇది అందుబాటులో ఉన్నప్పుడు, ఈ విమానం సాసర్ ఎయిర్క్రాఫ్ట్ కంపెనీ te త్సాహిక నిర్మాణానికి ప్రణాళికల రూపంలో సరఫరా చేయబడింది. [1] [2] విమానం మాదిరిగానే, సాసర్ పి 6 లో స్ట్రట్-బ్రేస్డ్ బిప్‌లేన్ లేఅవుట్, విండ్‌షీల్డ్‌తో సింగిల్-సీట్ల ఓపెన్ కాక్‌పిట్, వీల్ ప్యాంటుతో స్థిర సాంప్రదాయ ల్యాండింగ్ గేర్ మరియు ట్రాక్టర్ కాన్ఫిగరేషన్‌లో ఒకే ఇంజిన్ ఉన్నాయి. [1] ఈ విమానం వెల్డెడ్ స్టీల్ గొట్టాలు మరియు కలప నుండి తయారవుతుంది, దాని ఎగిరే ఉపరితలాలు డోప్డ్ ఎయిర్క్రాఫ్ట్ ఫాబ్రిక్‌లో కప్పబడి ఉంటాయి. దీని 25.83 అడుగుల (7.9 మీ) స్పాన్ వింగ్ వింగ్ ఏరియా 170.0 చదరపు అడుగులు (15.79 మీ 2). ఆమోదయోగ్యమైన శక్తి శ్రేణి 180 నుండి 260 హెచ్‌పి (134 నుండి 194 కిలోవాట్) మరియు ఉపయోగించిన ప్రామాణిక ఇంజిన్ 212 హెచ్‌పి (158 కిలోవాట్) చేవ్రొలెట్ చిన్న-బ్లాక్ వి -8 ఆటోమోటివ్ మార్పిడి పవర్‌ప్లాంట్. [1] సాసర్ పి 6 ఇ ఖాళీ బరువు 1,425 ఎల్బి (646 కిలోలు) మరియు స్థూల బరువు 2,040 ఎల్బి (930 కిలోలు), 615 పౌండ్లు (279 కిలోల) ఉపయోగకరమైన లోడ్ ఇస్తుంది. 27 యు.ఎస్. గ్యాలన్ల పూర్తి ఇంధనంతో (100 ఎల్; 22 ఇంప్ గల్) పైలట్ మరియు సామాను 453 ఎల్బి (205 కిలోలు). [1] సాసర్ పి 6 లు యుఎస్ ఫెడరల్ ఏవియేషన్ అడ్మినిస్ట్రేషన్‌లో వివిధ రకాల హోదా కింద నమోదు చేయబడ్డాయి, అవి కేటలాగ్‌కు కష్టతరం చేస్తాయి. నమోదు చేయబడిన రకాలు సాసర్ క్యూసి, జాన్సన్ ఎఫ్ 11 సి -2 పిజె (ఎఫ్ 11 సి -2 ప్రతిరూపంగా నిర్మించబడ్డాయి), వూల్డ్‌రిడ్జ్ సాకో పి 6-ఇ హాక్ మరియు పైకప్పు కర్టిస్ హాక్ పి 6 ఇ. [3] [4] [5] [6] ఏరోక్రాఫ్టర్ నుండి డేటా [1] సాధారణ లక్షణాల పనితీరు</v>
      </c>
      <c r="E95" s="1" t="s">
        <v>154</v>
      </c>
      <c r="F95" s="1" t="str">
        <f>IFERROR(__xludf.DUMMYFUNCTION("GOOGLETRANSLATE(E:E, ""en"", ""te"")"),"హోమ్‌బిల్ట్ విమానం")</f>
        <v>హోమ్‌బిల్ట్ విమానం</v>
      </c>
      <c r="G95" s="1" t="s">
        <v>155</v>
      </c>
      <c r="H95" s="1" t="str">
        <f>IFERROR(__xludf.DUMMYFUNCTION("GOOGLETRANSLATE(G:G, ""en"", ""te"")"),"అమెరికా")</f>
        <v>అమెరికా</v>
      </c>
      <c r="L95" s="1" t="s">
        <v>1562</v>
      </c>
      <c r="O95" s="1" t="s">
        <v>135</v>
      </c>
      <c r="P95" s="1" t="s">
        <v>1563</v>
      </c>
      <c r="Q95" s="1" t="s">
        <v>1564</v>
      </c>
      <c r="S95" s="1" t="s">
        <v>1565</v>
      </c>
      <c r="T95" s="1" t="s">
        <v>1566</v>
      </c>
      <c r="U95" s="1" t="s">
        <v>1567</v>
      </c>
      <c r="V95" s="1" t="s">
        <v>1568</v>
      </c>
      <c r="W95" s="1" t="s">
        <v>1569</v>
      </c>
      <c r="X95" s="1" t="s">
        <v>1570</v>
      </c>
      <c r="AA95" s="1" t="s">
        <v>1571</v>
      </c>
      <c r="AB95" s="1" t="s">
        <v>166</v>
      </c>
      <c r="AC95" s="2" t="s">
        <v>167</v>
      </c>
      <c r="AD95" s="1" t="s">
        <v>1572</v>
      </c>
      <c r="AE95" s="1" t="s">
        <v>1573</v>
      </c>
      <c r="AF95" s="1" t="s">
        <v>1574</v>
      </c>
      <c r="AG95" s="1" t="s">
        <v>558</v>
      </c>
      <c r="AH95" s="1" t="s">
        <v>832</v>
      </c>
      <c r="AI95" s="1" t="s">
        <v>1575</v>
      </c>
      <c r="AJ95" s="1">
        <v>4.0</v>
      </c>
      <c r="BF95" s="1" t="s">
        <v>1576</v>
      </c>
      <c r="BG95" s="1" t="s">
        <v>1577</v>
      </c>
    </row>
    <row r="96">
      <c r="A96" s="1" t="s">
        <v>1578</v>
      </c>
      <c r="B96" s="1" t="str">
        <f>IFERROR(__xludf.DUMMYFUNCTION("GOOGLETRANSLATE(A:A, ""en"", ""te"")"),"స్మిత్ టెర్మైట్")</f>
        <v>స్మిత్ టెర్మైట్</v>
      </c>
      <c r="C96" s="1" t="s">
        <v>1579</v>
      </c>
      <c r="D96" s="1" t="str">
        <f>IFERROR(__xludf.DUMMYFUNCTION("GOOGLETRANSLATE(C:C, ""en"", ""te"")"),"స్మిత్ స్పెషల్ ""స్మిట్టి టెర్మైట్"" లేదా స్మిత్ టెర్మైట్ అని కూడా పిలుస్తారు, ఇది ప్రధానంగా చెక్కతో నిర్మించిన హోమ్‌బిల్ట్ విమానం. [1] విల్బర్ ఎల్. స్మిత్, అనుభవజ్ఞుడైన చెక్క నిర్మాణ విమానం హోమ్‌బిల్డర్, 1930 లో పీటెన్‌పోల్ స్కై స్కౌట్‌ను నిర్మించారు. అత"&amp;"ను బేస్మెంట్ అంతస్తులో సుద్దను ఉపయోగించి టెర్మైట్‌ను రూపొందించాడు. డాన్ కుక్‌మాన్ తరువాత ప్రణాళికలను రూపొందించాడు. ఈ విమానం ఆల్-వుడ్ నిర్మాణంతో ఒక బ్రేస్డ్ పారాసోల్ వింగ్ మోనోప్లేన్. మినహాయింపు మోటారు మౌంట్, స్ట్రట్స్ మరియు ల్యాండింగ్ గేర్ ఉక్కుతో తయారు చ"&amp;"ేయబడతాయి. ఇది ఏరోంకా విమానం నుండి ఇంజిన్‌ను ఉపయోగించటానికి రూపొందించబడింది. స్ప్రూస్‌ను బిర్చ్ ప్లైవుడ్ కవరింగ్‌తో నిర్మాణాత్మక పదార్థంగా ఉపయోగించారు. స్పార్స్ ఏరోంకా కె నుండి. నియంత్రణలు పైపర్ పిల్ల నుండి సవరించబడతాయి. విమానానికి బ్రేక్‌లు లేదా టెయిల్‌వీ"&amp;"ల్ లేదు. [3] ఇంజిన్ వైఫల్యం బలవంతంగా ల్యాండింగ్ అయిన తరువాత కాంటినెంటల్ A-40 వ్యవస్థాపించబడింది, పరీక్ష సమయంలో విమానం దాని వెనుక భాగంలో తిప్పికొట్టింది. [3] స్మిత్ స్పెషల్ ""టెర్మైట్"" ఒరెగాన్లోని యూజీన్ లోని ఒరెగాన్ ఎయిర్ &amp; స్పేస్ మ్యూజియంలో ప్రదర్శించబడ"&amp;"ుతుంది. అన్ని కలప నిర్మాణాలను చూపించడానికి ఫాబ్రిక్ కవరింగ్ తొలగించబడింది. [4] పోల్చదగిన పాత్ర, కాన్ఫిగరేషన్ మరియు ERA యొక్క స్పోర్ట్ ఏవియేషన్ జనరల్ లక్షణాల నుండి డేటా పనితీరు విమానం")</f>
        <v>స్మిత్ స్పెషల్ "స్మిట్టి టెర్మైట్" లేదా స్మిత్ టెర్మైట్ అని కూడా పిలుస్తారు, ఇది ప్రధానంగా చెక్కతో నిర్మించిన హోమ్‌బిల్ట్ విమానం. [1] విల్బర్ ఎల్. స్మిత్, అనుభవజ్ఞుడైన చెక్క నిర్మాణ విమానం హోమ్‌బిల్డర్, 1930 లో పీటెన్‌పోల్ స్కై స్కౌట్‌ను నిర్మించారు. అతను బేస్మెంట్ అంతస్తులో సుద్దను ఉపయోగించి టెర్మైట్‌ను రూపొందించాడు. డాన్ కుక్‌మాన్ తరువాత ప్రణాళికలను రూపొందించాడు. ఈ విమానం ఆల్-వుడ్ నిర్మాణంతో ఒక బ్రేస్డ్ పారాసోల్ వింగ్ మోనోప్లేన్. మినహాయింపు మోటారు మౌంట్, స్ట్రట్స్ మరియు ల్యాండింగ్ గేర్ ఉక్కుతో తయారు చేయబడతాయి. ఇది ఏరోంకా విమానం నుండి ఇంజిన్‌ను ఉపయోగించటానికి రూపొందించబడింది. స్ప్రూస్‌ను బిర్చ్ ప్లైవుడ్ కవరింగ్‌తో నిర్మాణాత్మక పదార్థంగా ఉపయోగించారు. స్పార్స్ ఏరోంకా కె నుండి. నియంత్రణలు పైపర్ పిల్ల నుండి సవరించబడతాయి. విమానానికి బ్రేక్‌లు లేదా టెయిల్‌వీల్ లేదు. [3] ఇంజిన్ వైఫల్యం బలవంతంగా ల్యాండింగ్ అయిన తరువాత కాంటినెంటల్ A-40 వ్యవస్థాపించబడింది, పరీక్ష సమయంలో విమానం దాని వెనుక భాగంలో తిప్పికొట్టింది. [3] స్మిత్ స్పెషల్ "టెర్మైట్" ఒరెగాన్లోని యూజీన్ లోని ఒరెగాన్ ఎయిర్ &amp; స్పేస్ మ్యూజియంలో ప్రదర్శించబడుతుంది. అన్ని కలప నిర్మాణాలను చూపించడానికి ఫాబ్రిక్ కవరింగ్ తొలగించబడింది. [4] పోల్చదగిన పాత్ర, కాన్ఫిగరేషన్ మరియు ERA యొక్క స్పోర్ట్ ఏవియేషన్ జనరల్ లక్షణాల నుండి డేటా పనితీరు విమానం</v>
      </c>
      <c r="E96" s="1" t="s">
        <v>1580</v>
      </c>
      <c r="F96" s="1" t="str">
        <f>IFERROR(__xludf.DUMMYFUNCTION("GOOGLETRANSLATE(E:E, ""en"", ""te"")"),"సింగిల్-సీట్ హోమ్‌బిల్ట్ విమానం")</f>
        <v>సింగిల్-సీట్ హోమ్‌బిల్ట్ విమానం</v>
      </c>
      <c r="G96" s="1" t="s">
        <v>155</v>
      </c>
      <c r="H96" s="1" t="str">
        <f>IFERROR(__xludf.DUMMYFUNCTION("GOOGLETRANSLATE(G:G, ""en"", ""te"")"),"అమెరికా")</f>
        <v>అమెరికా</v>
      </c>
      <c r="I96" s="1" t="s">
        <v>1581</v>
      </c>
      <c r="J96" s="1" t="str">
        <f>IFERROR(__xludf.DUMMYFUNCTION("GOOGLETRANSLATE(I:I, ""en"", ""te"")"),"టెర్మైట్ విమానం")</f>
        <v>టెర్మైట్ విమానం</v>
      </c>
      <c r="K96" s="1" t="s">
        <v>1582</v>
      </c>
      <c r="L96" s="1" t="s">
        <v>1583</v>
      </c>
      <c r="M96" s="1" t="s">
        <v>1584</v>
      </c>
      <c r="N96" s="8">
        <v>20861.0</v>
      </c>
      <c r="P96" s="1" t="s">
        <v>1585</v>
      </c>
      <c r="Q96" s="1" t="s">
        <v>1586</v>
      </c>
      <c r="T96" s="1" t="s">
        <v>1587</v>
      </c>
      <c r="U96" s="1" t="s">
        <v>1588</v>
      </c>
      <c r="V96" s="1" t="s">
        <v>1589</v>
      </c>
      <c r="W96" s="1" t="s">
        <v>1590</v>
      </c>
      <c r="X96" s="1" t="s">
        <v>1591</v>
      </c>
      <c r="Y96" s="1" t="s">
        <v>1592</v>
      </c>
      <c r="Z96" s="1" t="s">
        <v>1593</v>
      </c>
      <c r="AA96" s="1" t="s">
        <v>1594</v>
      </c>
      <c r="AB96" s="1" t="s">
        <v>1595</v>
      </c>
      <c r="AF96" s="1" t="s">
        <v>909</v>
      </c>
      <c r="AG96" s="1" t="s">
        <v>1596</v>
      </c>
      <c r="AH96" s="1" t="s">
        <v>1597</v>
      </c>
      <c r="AK96" s="1">
        <v>1.0</v>
      </c>
      <c r="AT96" s="1" t="s">
        <v>1598</v>
      </c>
    </row>
    <row r="97">
      <c r="A97" s="1" t="s">
        <v>1599</v>
      </c>
      <c r="B97" s="1" t="str">
        <f>IFERROR(__xludf.DUMMYFUNCTION("GOOGLETRANSLATE(A:A, ""en"", ""te"")"),"టీమ్ మినీ-మాక్స్ హై-మాక్స్")</f>
        <v>టీమ్ మినీ-మాక్స్ హై-మాక్స్</v>
      </c>
      <c r="C97" s="1" t="s">
        <v>1600</v>
      </c>
      <c r="D97" s="1" t="str">
        <f>IFERROR(__xludf.DUMMYFUNCTION("GOOGLETRANSLATE(C:C, ""en"", ""te"")"),"టీమ్ మినీ-మాక్స్ హై-మాక్స్ సింగిల్-సీట్, హై వింగ్, స్ట్రట్-బ్రేస్డ్, సింగిల్ ఇంజిన్ విమానం te త్సాహిక నిర్మాణం కోసం కిట్ రూపంలో లభిస్తుంది. ఇది మొదట 1987 లో ప్రయాణించింది మరియు ఇది మినీ-మాక్స్ యొక్క అధిక వింగ్ అభివృద్ధి, అందుకే దాని మోడల్ పేరు. [1] [2] [3"&amp;"] [4] [5] [6] [7] హై-మాక్స్ మొదట టేనస్సీలోని బ్రాడీవిల్లేతో కూడిన టీమ్ ఇన్కార్పొరేటెడ్ చేత నిర్మించబడింది. ఆ సంస్థ తరువాత ఒక దావా ఉత్పత్తి ద్వారా దివాళా తీసిన తరువాత, టేనస్సీలోని బ్రాడీవిల్లేకు చెందిన ఐసన్ విమానానికి మరియు ఇండియానాలోని నాప్పనీకి చెందిన జె"&amp;"డిటి మినీ-మాక్స్ పక్కన. ఈ సంస్థ 2012 లో టీమ్ మినీ-మాక్స్ గా పేరు మార్చబడింది మరియు మిచిగాన్‌లోని నైల్స్‌కు వెళ్లారు. [1] [2] [3] [4] [5] [6] [8] హై-మాక్స్ సింగిల్ సీట్ కిట్ విమానాల మధ్య-రెక్కల మినీ-మాక్స్ కుటుంబం నుండి అభివృద్ధి చేయబడింది మరియు ఇది మునుపట"&amp;"ి డిజైన్‌తో అనేక సారూప్య లక్షణాలను పంచుకుంటుంది. [6] హై-మాక్స్ ప్రధానంగా కలప ట్రస్ నుండి ప్లైవుడ్ గుస్సెట్స్‌తో నిర్మించబడింది మరియు డోప్డ్ ఎయిర్‌క్రాఫ్ట్ ఫాబ్రిక్‌తో కప్పబడి ఉంటుంది. విండ్‌షీల్డ్ లెక్సాన్ మరియు వెచ్చని వాతావరణ కార్యకలాపాలకు సైడ్ విండోస్ "&amp;"తొలగించగలవు. ఈ విమానం షార్ట్-స్పాన్ వింగ్ కేవలం 25 అడుగుల (7.6 మీ) మరియు ఫైబర్గ్లాస్ ఇంజిన్ కౌలింగ్ మాత్రమే కలిగి ఉంది. రెక్కలు మరియు క్షితిజ సమాంతర స్టెబిలైజర్ రెండూ స్ట్రట్-బ్రేస్డ్, తోక క్షితిజ సమాంతర తోక ఉపరితలం పైన ఫిన్ కు. [5] [6] [9] ఈ విమానం సాంప్"&amp;"రదాయ ల్యాండింగ్ గేర్‌ను కలిగి ఉంది, వీల్ ప్యాంటు ఒక ఎంపికగా ఉంటుంది. కిట్ నుండి 350–400 గంటల్లో బిల్డర్ విమానం పూర్తి చేయగలడని కంపెనీ పేర్కొంది. [5] [9] ఈ విమానం మొదట యుఎస్ ఫార్ 103 అల్ట్రాలైట్ వెహికల్స్ కేటగిరీ యొక్క అవసరాలను తీర్చడానికి ఉద్దేశించబడింది,"&amp;" ఆ వర్గం యొక్క గరిష్ట 254 పౌండ్లు (115 కిలోల) ఖాళీ బరువుతో సహా. ఇది 28 హెచ్‌పి (21 కిలోవాట్ల) రోటాక్స్ 277 తో తక్కువ ఖాళీ బరువును మాత్రమే సాధించగలిగింది, ఇది ఉపాంత పనితీరును అందించింది. ఈ రోజు ప్రామాణిక పేర్కొన్న ఇంజిన్ 40 హెచ్‌పి (30 కిలోవాట్) రోటాక్స్ 4"&amp;"47 ఏరోక్రాఫ్టర్, క్లిచ్, కిట్‌ప్లాన్స్ &amp; జెడిటి వెబ్‌సైట్ [1] [2] [3] [4] [5] [6] [9] పోల్చదగిన పాత్ర, కాన్ఫిగరేషన్ మరియు యుగం యొక్క సాధారణ లక్షణాల పనితీరు విమానం నుండి డేటా")</f>
        <v>టీమ్ మినీ-మాక్స్ హై-మాక్స్ సింగిల్-సీట్, హై వింగ్, స్ట్రట్-బ్రేస్డ్, సింగిల్ ఇంజిన్ విమానం te త్సాహిక నిర్మాణం కోసం కిట్ రూపంలో లభిస్తుంది. ఇది మొదట 1987 లో ప్రయాణించింది మరియు ఇది మినీ-మాక్స్ యొక్క అధిక వింగ్ అభివృద్ధి, అందుకే దాని మోడల్ పేరు. [1] [2] [3] [4] [5] [6] [7] హై-మాక్స్ మొదట టేనస్సీలోని బ్రాడీవిల్లేతో కూడిన టీమ్ ఇన్కార్పొరేటెడ్ చేత నిర్మించబడింది. ఆ సంస్థ తరువాత ఒక దావా ఉత్పత్తి ద్వారా దివాళా తీసిన తరువాత, టేనస్సీలోని బ్రాడీవిల్లేకు చెందిన ఐసన్ విమానానికి మరియు ఇండియానాలోని నాప్పనీకి చెందిన జెడిటి మినీ-మాక్స్ పక్కన. ఈ సంస్థ 2012 లో టీమ్ మినీ-మాక్స్ గా పేరు మార్చబడింది మరియు మిచిగాన్‌లోని నైల్స్‌కు వెళ్లారు. [1] [2] [3] [4] [5] [6] [8] హై-మాక్స్ సింగిల్ సీట్ కిట్ విమానాల మధ్య-రెక్కల మినీ-మాక్స్ కుటుంబం నుండి అభివృద్ధి చేయబడింది మరియు ఇది మునుపటి డిజైన్‌తో అనేక సారూప్య లక్షణాలను పంచుకుంటుంది. [6] హై-మాక్స్ ప్రధానంగా కలప ట్రస్ నుండి ప్లైవుడ్ గుస్సెట్స్‌తో నిర్మించబడింది మరియు డోప్డ్ ఎయిర్‌క్రాఫ్ట్ ఫాబ్రిక్‌తో కప్పబడి ఉంటుంది. విండ్‌షీల్డ్ లెక్సాన్ మరియు వెచ్చని వాతావరణ కార్యకలాపాలకు సైడ్ విండోస్ తొలగించగలవు. ఈ విమానం షార్ట్-స్పాన్ వింగ్ కేవలం 25 అడుగుల (7.6 మీ) మరియు ఫైబర్గ్లాస్ ఇంజిన్ కౌలింగ్ మాత్రమే కలిగి ఉంది. రెక్కలు మరియు క్షితిజ సమాంతర స్టెబిలైజర్ రెండూ స్ట్రట్-బ్రేస్డ్, తోక క్షితిజ సమాంతర తోక ఉపరితలం పైన ఫిన్ కు. [5] [6] [9] ఈ విమానం సాంప్రదాయ ల్యాండింగ్ గేర్‌ను కలిగి ఉంది, వీల్ ప్యాంటు ఒక ఎంపికగా ఉంటుంది. కిట్ నుండి 350–400 గంటల్లో బిల్డర్ విమానం పూర్తి చేయగలడని కంపెనీ పేర్కొంది. [5] [9] ఈ విమానం మొదట యుఎస్ ఫార్ 103 అల్ట్రాలైట్ వెహికల్స్ కేటగిరీ యొక్క అవసరాలను తీర్చడానికి ఉద్దేశించబడింది, ఆ వర్గం యొక్క గరిష్ట 254 పౌండ్లు (115 కిలోల) ఖాళీ బరువుతో సహా. ఇది 28 హెచ్‌పి (21 కిలోవాట్ల) రోటాక్స్ 277 తో తక్కువ ఖాళీ బరువును మాత్రమే సాధించగలిగింది, ఇది ఉపాంత పనితీరును అందించింది. ఈ రోజు ప్రామాణిక పేర్కొన్న ఇంజిన్ 40 హెచ్‌పి (30 కిలోవాట్) రోటాక్స్ 447 ఏరోక్రాఫ్టర్, క్లిచ్, కిట్‌ప్లాన్స్ &amp; జెడిటి వెబ్‌సైట్ [1] [2] [3] [4] [5] [6] [9] పోల్చదగిన పాత్ర, కాన్ఫిగరేషన్ మరియు యుగం యొక్క సాధారణ లక్షణాల పనితీరు విమానం నుండి డేటా</v>
      </c>
      <c r="E97" s="1" t="s">
        <v>621</v>
      </c>
      <c r="F97" s="1" t="str">
        <f>IFERROR(__xludf.DUMMYFUNCTION("GOOGLETRANSLATE(E:E, ""en"", ""te"")"),"కిట్ విమానం")</f>
        <v>కిట్ విమానం</v>
      </c>
      <c r="G97" s="1" t="s">
        <v>155</v>
      </c>
      <c r="H97" s="1" t="str">
        <f>IFERROR(__xludf.DUMMYFUNCTION("GOOGLETRANSLATE(G:G, ""en"", ""te"")"),"అమెరికా")</f>
        <v>అమెరికా</v>
      </c>
      <c r="I97" s="1" t="s">
        <v>1601</v>
      </c>
      <c r="J97" s="1" t="str">
        <f>IFERROR(__xludf.DUMMYFUNCTION("GOOGLETRANSLATE(I:I, ""en"", ""te"")"),"JDT మినీ-మాక్స్టీమ్ మినీ-మాక్స్")</f>
        <v>JDT మినీ-మాక్స్టీమ్ మినీ-మాక్స్</v>
      </c>
      <c r="K97" s="1" t="s">
        <v>1602</v>
      </c>
      <c r="L97" s="1" t="s">
        <v>1603</v>
      </c>
      <c r="M97" s="1" t="s">
        <v>1604</v>
      </c>
      <c r="N97" s="1">
        <v>1987.0</v>
      </c>
      <c r="O97" s="1" t="s">
        <v>135</v>
      </c>
      <c r="P97" s="1" t="s">
        <v>1605</v>
      </c>
      <c r="Q97" s="1" t="s">
        <v>1606</v>
      </c>
      <c r="R97" s="1" t="s">
        <v>1607</v>
      </c>
      <c r="S97" s="1" t="s">
        <v>1608</v>
      </c>
      <c r="T97" s="1" t="s">
        <v>1609</v>
      </c>
      <c r="U97" s="1" t="s">
        <v>1610</v>
      </c>
      <c r="V97" s="1" t="s">
        <v>1611</v>
      </c>
      <c r="W97" s="1" t="s">
        <v>1612</v>
      </c>
      <c r="X97" s="1" t="s">
        <v>1613</v>
      </c>
      <c r="Y97" s="1" t="s">
        <v>1200</v>
      </c>
      <c r="Z97" s="1" t="s">
        <v>1614</v>
      </c>
      <c r="AA97" s="1" t="s">
        <v>1615</v>
      </c>
      <c r="AB97" s="1" t="s">
        <v>635</v>
      </c>
      <c r="AC97" s="2" t="s">
        <v>167</v>
      </c>
      <c r="AD97" s="1" t="s">
        <v>1616</v>
      </c>
      <c r="AE97" s="1" t="s">
        <v>1617</v>
      </c>
      <c r="AG97" s="1" t="s">
        <v>825</v>
      </c>
      <c r="AH97" s="1" t="s">
        <v>1618</v>
      </c>
      <c r="AJ97" s="1" t="s">
        <v>1619</v>
      </c>
      <c r="AR97" s="1" t="s">
        <v>1620</v>
      </c>
      <c r="AY97" s="1" t="s">
        <v>524</v>
      </c>
      <c r="BA97" s="1" t="s">
        <v>1621</v>
      </c>
      <c r="BF97" s="1" t="s">
        <v>1622</v>
      </c>
      <c r="BG97" s="2" t="s">
        <v>1623</v>
      </c>
      <c r="BN97" s="1">
        <v>1987.0</v>
      </c>
    </row>
    <row r="98">
      <c r="A98" s="1" t="s">
        <v>1624</v>
      </c>
      <c r="B98" s="1" t="str">
        <f>IFERROR(__xludf.DUMMYFUNCTION("GOOGLETRANSLATE(A:A, ""en"", ""te"")"),"హోల్డెబెర్గ్ మారథాన్")</f>
        <v>హోల్డెబెర్గ్ మారథాన్</v>
      </c>
      <c r="C98" s="1" t="s">
        <v>1625</v>
      </c>
      <c r="D98" s="1" t="str">
        <f>IFERROR(__xludf.DUMMYFUNCTION("GOOGLETRANSLATE(C:C, ""en"", ""te"")"),"ది బ్లూ హెరాన్ మారథాన్ అని పిలువబడే హోల్డెబెర్గ్ మారథాన్, ఒక అమెరికన్ శక్తితో కూడిన పారాచూట్, దీనిని న్యూయార్క్‌లోని ఆల్టామోంట్ యొక్క హోల్డెబెర్గ్ డిజైన్స్ రూపొందించి ఉత్పత్తి చేసింది. [1] [2] [3] ఈ మారథాన్ యుఎస్ ఫార్ 103 అల్ట్రాలైట్ వెహికల్స్ రెండు-సీట్ల"&amp;" ట్రైనర్ నిబంధనలను పాటించేలా రూపొందించబడింది మరియు ఈ రోజు లైట్-స్పోర్ట్ విమానంగా విక్రయించబడింది. ఈ విమానం దాని పేరును దాని పేరును లాంగ్ రేంజ్ మరియు ఓర్పుతో కూడిన విమానం యొక్క డిజైన్ లక్ష్యం నుండి తీసుకుంటుంది మరియు 115 మైళ్ళు (185 కిమీ) పరిధిని కలిగి ఉంద"&amp;"ి. ఇది పారాచూట్-శైలి హై-వింగ్, రెండు-సీట్ల-టెన్డం వసతి, ట్రైసైకిల్ ల్యాండింగ్ గేర్ మరియు మొదట పషర్ కాన్ఫిగరేషన్‌లో ఒకే 50 హెచ్‌పి (37 కిలోవాట్) రోటాక్స్ 503 ఇంజిన్‌ను కలిగి ఉంది. 64 HP (48 kW) రోటాక్స్ 582 తరువాత మోడళ్లలో ఉపయోగించే ప్రామాణిక ఇంజిన్. [1] ["&amp;"4] ఈ విమానం బోల్ట్ డ్యూరల్ అల్యూమినియం మరియు స్టెయిన్లెస్ స్టీల్ గొట్టాల కలయిక నుండి నిర్మించబడింది. ఇది రోల్-ఓవర్ పరీక్షించబడిన డబుల్ రింగ్ ప్రొపెల్లర్ గార్డును కలిగి ఉంది. 10 యు.ఎస్. గ్యాలన్లు (38 ఎల్; 8.3 ఇంప్ గల్) ఇంధన ట్యాంక్ అల్యూమినియం నుండి తయారవు"&amp;"తుంది. ఫ్లైట్ స్టీరింగ్‌లో ఫుట్ పెడల్స్ లేదా ఐచ్ఛికంగా కంట్రోల్ స్టిక్ ద్వారా సాధించబడుతుంది, ఇవి పందిరి బ్రేక్‌లను అమలు చేస్తాయి, రోల్ మరియు యావ్ సృష్టిస్తాయి. మైదానంలో విమానంలో లివర్-నియంత్రిత నోస్‌వీల్ స్టీరింగ్ ఉంది. ప్రధాన ల్యాండింగ్ గేర్ గ్యాస్ స్ట్"&amp;"రట్ సస్పెన్షన్‌ను కలిగి ఉంటుంది. ఈ విమానం ఫ్యాక్టరీ, ఇది అసెంబ్లీ కిట్ రూపంలో సరఫరా చేయబడింది, ఇది పూర్తి చేయడానికి 30-50 గంటలు అవసరం. [1] [3] వాస్తవానికి ఫ్యాక్టరీ వారి స్వంత పేరుతో విక్రయించబడింది, ఈ విమానం తరువాత బ్లూ హెరాన్ అనే బ్రాండ్ పేరుతో విక్రయిం"&amp;"చబడింది, అయినప్పటికీ తయారీదారు అదే విధంగా ఉన్నాడు. [1] [3] [4] తయారీదారు నుండి డేటా [4] సాధారణ లక్షణాల పనితీరు")</f>
        <v>ది బ్లూ హెరాన్ మారథాన్ అని పిలువబడే హోల్డెబెర్గ్ మారథాన్, ఒక అమెరికన్ శక్తితో కూడిన పారాచూట్, దీనిని న్యూయార్క్‌లోని ఆల్టామోంట్ యొక్క హోల్డెబెర్గ్ డిజైన్స్ రూపొందించి ఉత్పత్తి చేసింది. [1] [2] [3] ఈ మారథాన్ యుఎస్ ఫార్ 103 అల్ట్రాలైట్ వెహికల్స్ రెండు-సీట్ల ట్రైనర్ నిబంధనలను పాటించేలా రూపొందించబడింది మరియు ఈ రోజు లైట్-స్పోర్ట్ విమానంగా విక్రయించబడింది. ఈ విమానం దాని పేరును దాని పేరును లాంగ్ రేంజ్ మరియు ఓర్పుతో కూడిన విమానం యొక్క డిజైన్ లక్ష్యం నుండి తీసుకుంటుంది మరియు 115 మైళ్ళు (185 కిమీ) పరిధిని కలిగి ఉంది. ఇది పారాచూట్-శైలి హై-వింగ్, రెండు-సీట్ల-టెన్డం వసతి, ట్రైసైకిల్ ల్యాండింగ్ గేర్ మరియు మొదట పషర్ కాన్ఫిగరేషన్‌లో ఒకే 50 హెచ్‌పి (37 కిలోవాట్) రోటాక్స్ 503 ఇంజిన్‌ను కలిగి ఉంది. 64 HP (48 kW) రోటాక్స్ 582 తరువాత మోడళ్లలో ఉపయోగించే ప్రామాణిక ఇంజిన్. [1] [4] ఈ విమానం బోల్ట్ డ్యూరల్ అల్యూమినియం మరియు స్టెయిన్లెస్ స్టీల్ గొట్టాల కలయిక నుండి నిర్మించబడింది. ఇది రోల్-ఓవర్ పరీక్షించబడిన డబుల్ రింగ్ ప్రొపెల్లర్ గార్డును కలిగి ఉంది. 10 యు.ఎస్. గ్యాలన్లు (38 ఎల్; 8.3 ఇంప్ గల్) ఇంధన ట్యాంక్ అల్యూమినియం నుండి తయారవుతుంది. ఫ్లైట్ స్టీరింగ్‌లో ఫుట్ పెడల్స్ లేదా ఐచ్ఛికంగా కంట్రోల్ స్టిక్ ద్వారా సాధించబడుతుంది, ఇవి పందిరి బ్రేక్‌లను అమలు చేస్తాయి, రోల్ మరియు యావ్ సృష్టిస్తాయి. మైదానంలో విమానంలో లివర్-నియంత్రిత నోస్‌వీల్ స్టీరింగ్ ఉంది. ప్రధాన ల్యాండింగ్ గేర్ గ్యాస్ స్ట్రట్ సస్పెన్షన్‌ను కలిగి ఉంటుంది. ఈ విమానం ఫ్యాక్టరీ, ఇది అసెంబ్లీ కిట్ రూపంలో సరఫరా చేయబడింది, ఇది పూర్తి చేయడానికి 30-50 గంటలు అవసరం. [1] [3] వాస్తవానికి ఫ్యాక్టరీ వారి స్వంత పేరుతో విక్రయించబడింది, ఈ విమానం తరువాత బ్లూ హెరాన్ అనే బ్రాండ్ పేరుతో విక్రయించబడింది, అయినప్పటికీ తయారీదారు అదే విధంగా ఉన్నాడు. [1] [3] [4] తయారీదారు నుండి డేటా [4] సాధారణ లక్షణాల పనితీరు</v>
      </c>
      <c r="E98" s="1" t="s">
        <v>854</v>
      </c>
      <c r="F98" s="1" t="str">
        <f>IFERROR(__xludf.DUMMYFUNCTION("GOOGLETRANSLATE(E:E, ""en"", ""te"")"),"శక్తితో కూడిన పారాచూట్")</f>
        <v>శక్తితో కూడిన పారాచూట్</v>
      </c>
      <c r="G98" s="1" t="s">
        <v>155</v>
      </c>
      <c r="H98" s="1" t="str">
        <f>IFERROR(__xludf.DUMMYFUNCTION("GOOGLETRANSLATE(G:G, ""en"", ""te"")"),"అమెరికా")</f>
        <v>అమెరికా</v>
      </c>
      <c r="I98" s="1" t="s">
        <v>1626</v>
      </c>
      <c r="J98" s="1" t="str">
        <f>IFERROR(__xludf.DUMMYFUNCTION("GOOGLETRANSLATE(I:I, ""en"", ""te"")"),"హోల్డెబెర్గ్ నమూనాలు")</f>
        <v>హోల్డెబెర్గ్ నమూనాలు</v>
      </c>
      <c r="K98" s="1" t="s">
        <v>1627</v>
      </c>
      <c r="O98" s="1" t="s">
        <v>135</v>
      </c>
      <c r="P98" s="1" t="s">
        <v>1628</v>
      </c>
      <c r="Q98" s="1" t="s">
        <v>1629</v>
      </c>
      <c r="R98" s="1" t="s">
        <v>334</v>
      </c>
      <c r="S98" s="1" t="s">
        <v>860</v>
      </c>
      <c r="T98" s="1" t="s">
        <v>1630</v>
      </c>
      <c r="U98" s="1" t="s">
        <v>1631</v>
      </c>
      <c r="V98" s="1" t="s">
        <v>1213</v>
      </c>
      <c r="X98" s="1" t="s">
        <v>1632</v>
      </c>
      <c r="Z98" s="1" t="s">
        <v>1614</v>
      </c>
      <c r="AB98" s="1" t="s">
        <v>865</v>
      </c>
      <c r="AC98" s="2" t="s">
        <v>167</v>
      </c>
      <c r="AD98" s="1" t="s">
        <v>581</v>
      </c>
      <c r="AE98" s="1" t="s">
        <v>1214</v>
      </c>
      <c r="AG98" s="1" t="s">
        <v>1633</v>
      </c>
      <c r="AI98" s="1" t="s">
        <v>1215</v>
      </c>
      <c r="AK98" s="1" t="s">
        <v>195</v>
      </c>
    </row>
    <row r="99">
      <c r="A99" s="1" t="s">
        <v>1634</v>
      </c>
      <c r="B99" s="1" t="str">
        <f>IFERROR(__xludf.DUMMYFUNCTION("GOOGLETRANSLATE(A:A, ""en"", ""te"")"),"జుర్కా గ్నాట్సం")</f>
        <v>జుర్కా గ్నాట్సం</v>
      </c>
      <c r="C99" s="1" t="s">
        <v>1635</v>
      </c>
      <c r="D99" s="1" t="str">
        <f>IFERROR(__xludf.DUMMYFUNCTION("GOOGLETRANSLATE(C:C, ""en"", ""te"")"),"జుర్కా గ్నాట్సం అనేది ఉత్తర అమెరికా పి -51 ముస్తాంగ్ ఆధారంగా ఒక ఫ్రెంచ్ హోమ్‌బిల్ట్ సమీప స్కేల్ రెప్లికా విమానం. [1] రొమేనియన్ డిజైనర్ మార్సెల్ జుర్కా నుండి వచ్చిన అనేక చెక్క హోమ్‌బిల్ట్ డిజైన్లలో గ్నాట్సం (ముస్తాంగ్ వెనుకకు స్పెల్లింగ్) ఒకటి. రెండవ ప్రపం"&amp;"చ యుద్ధంలో హెన్షెల్ హెచ్ఎస్ 129 పైలట్ అయిన జురా, మిత్రరాజ్యాల నార్త్ అమెరికన్ పి -51 ముస్తాంగ్ ఫైటర్‌ను చేర్చడానికి తన వార్బర్డ్ ప్రతిరూప డిజైన్లను విస్తరించాడు. [2] గ్నాట్సం తక్కువ-వింగ్, కాంటిలివర్ మోనోప్లేన్, ఇది పరివేష్టిత సింగిల్-సీట్ల కాక్‌పిట్ మరియ"&amp;"ు జురా సిరోకో ఆధారంగా మానవీయంగా ముడుచుకునే టెయిల్‌వీల్ ల్యాండింగ్ గేర్. [3] 200 హెచ్‌పి (149 కిలోవాట్) సుమారు అనేక ఇంజిన్‌లకు అనుకూలం, గ్నాట్సం కోసం ప్రణాళికలు 2/3 స్కేల్ MJ-7 మరియు 3/4 స్కేల్ MJ-77, అలాగే MJ-70 పూర్తి-పరిమాణ ప్రాతినిధ్యం . అన్ని సంస్కరణల"&amp;"ు కలప నుండి ఫాబ్రిక్ కవరింగ్ తో నిర్మించబడ్డాయి మరియు కిట్ విమానాలకు తయారీ హక్కులు ఫాల్కోనార్ ఏవియా చేత పొందబడ్డాయి. [4] MJ-77 కోసం ప్రణాళికలు ఏవియన్ల మార్సెల్ జుర్కా నుండి లభిస్తాయి. [5] MJ-7 గ్నాట్సమ్ సిరీస్‌కు అనువైన కొన్ని ఇంజన్లు:- [8] సాధారణ లక్షణాల"&amp;" నుండి డేటా పోల్చదగిన పాత్ర, కాన్ఫిగరేషన్ మరియు ERA యొక్క పనితీరు విమానం")</f>
        <v>జుర్కా గ్నాట్సం అనేది ఉత్తర అమెరికా పి -51 ముస్తాంగ్ ఆధారంగా ఒక ఫ్రెంచ్ హోమ్‌బిల్ట్ సమీప స్కేల్ రెప్లికా విమానం. [1] రొమేనియన్ డిజైనర్ మార్సెల్ జుర్కా నుండి వచ్చిన అనేక చెక్క హోమ్‌బిల్ట్ డిజైన్లలో గ్నాట్సం (ముస్తాంగ్ వెనుకకు స్పెల్లింగ్) ఒకటి. రెండవ ప్రపంచ యుద్ధంలో హెన్షెల్ హెచ్ఎస్ 129 పైలట్ అయిన జురా, మిత్రరాజ్యాల నార్త్ అమెరికన్ పి -51 ముస్తాంగ్ ఫైటర్‌ను చేర్చడానికి తన వార్బర్డ్ ప్రతిరూప డిజైన్లను విస్తరించాడు. [2] గ్నాట్సం తక్కువ-వింగ్, కాంటిలివర్ మోనోప్లేన్, ఇది పరివేష్టిత సింగిల్-సీట్ల కాక్‌పిట్ మరియు జురా సిరోకో ఆధారంగా మానవీయంగా ముడుచుకునే టెయిల్‌వీల్ ల్యాండింగ్ గేర్. [3] 200 హెచ్‌పి (149 కిలోవాట్) సుమారు అనేక ఇంజిన్‌లకు అనుకూలం, గ్నాట్సం కోసం ప్రణాళికలు 2/3 స్కేల్ MJ-7 మరియు 3/4 స్కేల్ MJ-77, అలాగే MJ-70 పూర్తి-పరిమాణ ప్రాతినిధ్యం . అన్ని సంస్కరణలు కలప నుండి ఫాబ్రిక్ కవరింగ్ తో నిర్మించబడ్డాయి మరియు కిట్ విమానాలకు తయారీ హక్కులు ఫాల్కోనార్ ఏవియా చేత పొందబడ్డాయి. [4] MJ-77 కోసం ప్రణాళికలు ఏవియన్ల మార్సెల్ జుర్కా నుండి లభిస్తాయి. [5] MJ-7 గ్నాట్సమ్ సిరీస్‌కు అనువైన కొన్ని ఇంజన్లు:- [8] సాధారణ లక్షణాల నుండి డేటా పోల్చదగిన పాత్ర, కాన్ఫిగరేషన్ మరియు ERA యొక్క పనితీరు విమానం</v>
      </c>
      <c r="E99" s="1" t="s">
        <v>1636</v>
      </c>
      <c r="F99" s="1" t="str">
        <f>IFERROR(__xludf.DUMMYFUNCTION("GOOGLETRANSLATE(E:E, ""en"", ""te"")"),"హోమ్‌బిల్ట్ దగ్గర స్కేల్ ప్రతిరూప వార్బర్డ్")</f>
        <v>హోమ్‌బిల్ట్ దగ్గర స్కేల్ ప్రతిరూప వార్బర్డ్</v>
      </c>
      <c r="G99" s="1" t="s">
        <v>113</v>
      </c>
      <c r="H99" s="1" t="str">
        <f>IFERROR(__xludf.DUMMYFUNCTION("GOOGLETRANSLATE(G:G, ""en"", ""te"")"),"ఫ్రాన్స్")</f>
        <v>ఫ్రాన్స్</v>
      </c>
      <c r="L99" s="1" t="s">
        <v>1637</v>
      </c>
      <c r="M99" s="1" t="s">
        <v>1638</v>
      </c>
      <c r="N99" s="1">
        <v>1969.0</v>
      </c>
      <c r="O99" s="1" t="s">
        <v>1639</v>
      </c>
      <c r="P99" s="1" t="s">
        <v>1640</v>
      </c>
      <c r="Q99" s="1" t="s">
        <v>1641</v>
      </c>
      <c r="S99" s="1" t="s">
        <v>1642</v>
      </c>
      <c r="T99" s="1" t="s">
        <v>1643</v>
      </c>
      <c r="U99" s="1" t="s">
        <v>1644</v>
      </c>
      <c r="V99" s="1" t="s">
        <v>1645</v>
      </c>
      <c r="W99" s="1" t="s">
        <v>1646</v>
      </c>
      <c r="X99" s="1" t="s">
        <v>1647</v>
      </c>
      <c r="Z99" s="1" t="s">
        <v>1648</v>
      </c>
      <c r="AA99" s="1" t="s">
        <v>1649</v>
      </c>
      <c r="AB99" s="1" t="s">
        <v>1650</v>
      </c>
      <c r="AC99" s="2" t="s">
        <v>713</v>
      </c>
      <c r="AE99" s="1" t="s">
        <v>1651</v>
      </c>
      <c r="AF99" s="1" t="s">
        <v>1270</v>
      </c>
      <c r="AG99" s="1" t="s">
        <v>1652</v>
      </c>
      <c r="AH99" s="1" t="s">
        <v>1653</v>
      </c>
      <c r="AJ99" s="1" t="s">
        <v>1654</v>
      </c>
      <c r="AK99" s="1" t="s">
        <v>1655</v>
      </c>
      <c r="AR99" s="1" t="s">
        <v>253</v>
      </c>
      <c r="BI99" s="2" t="s">
        <v>1656</v>
      </c>
      <c r="BJ99" s="1" t="s">
        <v>1657</v>
      </c>
    </row>
    <row r="100">
      <c r="A100" s="1" t="s">
        <v>1658</v>
      </c>
      <c r="B100" s="1" t="str">
        <f>IFERROR(__xludf.DUMMYFUNCTION("GOOGLETRANSLATE(A:A, ""en"", ""te"")"),"లామ్కో యూరోకబ్")</f>
        <v>లామ్కో యూరోకబ్</v>
      </c>
      <c r="C100" s="1" t="s">
        <v>1659</v>
      </c>
      <c r="D100" s="1" t="str">
        <f>IFERROR(__xludf.DUMMYFUNCTION("GOOGLETRANSLATE(C:C, ""en"", ""te"")"),"లామ్కో యూరోకబ్ అనేది హంగేరియన్ అల్ట్రాలైట్ విమానం, ఇది స్థిర సాంప్రదాయ ల్యాండింగ్ గేర్‌తో ఉంటుంది, దీనిని డానెక్స్ ఇంజనీరింగ్ KFT తయారు చేస్తుంది. ఇది ప్రధానంగా విమాన శిక్షణ, పర్యటన మరియు వ్యక్తిగత ఫ్లయింగ్ కోసం ఉపయోగించబడుతుంది. ఈ విమానం ప్రస్తుతం ఉత్పత్"&amp;"తిలో లేదు మరియు డిజైన్ కోసం కొనుగోలుదారుడు, జిగ్స్ మరియు హక్కులను కోరుతున్నారు. లామ్కో యూరోకబ్ సింగిల్-ఇంజిన్, హై-వింగ్ మోనోప్లేన్, సైడ్-బై-సైడ్ కాన్ఫిగరేషన్‌లో రెండు సీట్లు ఉన్నాయి. యూరోకబ్‌ను 80 హెచ్‌పి (60 కిలోవాట్ల) రోటాక్స్ 912 యుఎల్ ఇంజిన్ లేదా 100 "&amp;"హెచ్‌పి (75 కిలోవాట్) రోటాక్స్ 912 యుఎల్‌ఎస్ ఇంజిన్‌తో తయారు చేస్తారు. 2.43: 1 తగ్గింపు నిష్పత్తితో గేర్‌బాక్స్ ద్వారా గ్రౌండ్-సర్దుబాటు చేయగల పిచ్‌ను కలిగి ఉన్న ప్రొపెల్లర్‌ను ఇంజిన్ నడుపుతుంది. విమానం యొక్క ఫ్యూజ్‌లేజ్, స్టెబిలైజర్లు, రడ్డర్లు మరియు ల్య"&amp;"ాండింగ్ గేర్లను వెల్డెడ్ స్టీల్ గొట్టాలతో నిర్మించారు. వింగ్ స్పార్స్ ఎక్స్‌ట్రూడెడ్ డ్యూరల్ 6061-టి 6 అల్యూమినియంతో తయారు చేయబడ్డాయి. ఈ విమానం సెకోనైట్ ఎయిర్క్రాఫ్ట్ ఫాబ్రిక్ కవరింగ్‌లో కప్పబడి ఉంటుంది. ఫైర్‌వాల్ స్టెయిన్‌లెస్ స్టీల్‌తో తయారు చేయబడింది. "&amp;"పైలట్ యొక్క ఆపరేటింగ్ హ్యాండ్‌బుక్ నుండి డేటా [1] సాధారణ లక్షణాల పనితీరు")</f>
        <v>లామ్కో యూరోకబ్ అనేది హంగేరియన్ అల్ట్రాలైట్ విమానం, ఇది స్థిర సాంప్రదాయ ల్యాండింగ్ గేర్‌తో ఉంటుంది, దీనిని డానెక్స్ ఇంజనీరింగ్ KFT తయారు చేస్తుంది. ఇది ప్రధానంగా విమాన శిక్షణ, పర్యటన మరియు వ్యక్తిగత ఫ్లయింగ్ కోసం ఉపయోగించబడుతుంది. ఈ విమానం ప్రస్తుతం ఉత్పత్తిలో లేదు మరియు డిజైన్ కోసం కొనుగోలుదారుడు, జిగ్స్ మరియు హక్కులను కోరుతున్నారు. లామ్కో యూరోకబ్ సింగిల్-ఇంజిన్, హై-వింగ్ మోనోప్లేన్, సైడ్-బై-సైడ్ కాన్ఫిగరేషన్‌లో రెండు సీట్లు ఉన్నాయి. యూరోకబ్‌ను 80 హెచ్‌పి (60 కిలోవాట్ల) రోటాక్స్ 912 యుఎల్ ఇంజిన్ లేదా 100 హెచ్‌పి (75 కిలోవాట్) రోటాక్స్ 912 యుఎల్‌ఎస్ ఇంజిన్‌తో తయారు చేస్తారు. 2.43: 1 తగ్గింపు నిష్పత్తితో గేర్‌బాక్స్ ద్వారా గ్రౌండ్-సర్దుబాటు చేయగల పిచ్‌ను కలిగి ఉన్న ప్రొపెల్లర్‌ను ఇంజిన్ నడుపుతుంది. విమానం యొక్క ఫ్యూజ్‌లేజ్, స్టెబిలైజర్లు, రడ్డర్లు మరియు ల్యాండింగ్ గేర్లను వెల్డెడ్ స్టీల్ గొట్టాలతో నిర్మించారు. వింగ్ స్పార్స్ ఎక్స్‌ట్రూడెడ్ డ్యూరల్ 6061-టి 6 అల్యూమినియంతో తయారు చేయబడ్డాయి. ఈ విమానం సెకోనైట్ ఎయిర్క్రాఫ్ట్ ఫాబ్రిక్ కవరింగ్‌లో కప్పబడి ఉంటుంది. ఫైర్‌వాల్ స్టెయిన్‌లెస్ స్టీల్‌తో తయారు చేయబడింది. పైలట్ యొక్క ఆపరేటింగ్ హ్యాండ్‌బుక్ నుండి డేటా [1] సాధారణ లక్షణాల పనితీరు</v>
      </c>
      <c r="E100" s="1" t="s">
        <v>1660</v>
      </c>
      <c r="F100" s="1" t="str">
        <f>IFERROR(__xludf.DUMMYFUNCTION("GOOGLETRANSLATE(E:E, ""en"", ""te"")"),"స్థిర వింగ్ అల్ట్రాలైట్ విమానం")</f>
        <v>స్థిర వింగ్ అల్ట్రాలైట్ విమానం</v>
      </c>
      <c r="I100" s="1" t="s">
        <v>1661</v>
      </c>
      <c r="J100" s="1" t="str">
        <f>IFERROR(__xludf.DUMMYFUNCTION("GOOGLETRANSLATE(I:I, ""en"", ""te"")"),"డానెక్స్ ఇంజనీరింగ్ KFT")</f>
        <v>డానెక్స్ ఇంజనీరింగ్ KFT</v>
      </c>
      <c r="O100" s="1" t="s">
        <v>135</v>
      </c>
      <c r="P100" s="1" t="s">
        <v>1662</v>
      </c>
      <c r="Q100" s="1" t="s">
        <v>1663</v>
      </c>
      <c r="S100" s="1" t="s">
        <v>1664</v>
      </c>
      <c r="U100" s="1" t="s">
        <v>185</v>
      </c>
      <c r="V100" s="1" t="s">
        <v>1665</v>
      </c>
      <c r="AA100" s="1" t="s">
        <v>1666</v>
      </c>
      <c r="AD100" s="1" t="s">
        <v>1667</v>
      </c>
      <c r="AE100" s="1" t="s">
        <v>1668</v>
      </c>
      <c r="AF100" s="1" t="s">
        <v>1669</v>
      </c>
      <c r="AH100" s="1" t="s">
        <v>1670</v>
      </c>
      <c r="AK100" s="1" t="s">
        <v>195</v>
      </c>
      <c r="AY100" s="1" t="s">
        <v>1671</v>
      </c>
    </row>
    <row r="101">
      <c r="A101" s="1" t="s">
        <v>1672</v>
      </c>
      <c r="B101" s="1" t="str">
        <f>IFERROR(__xludf.DUMMYFUNCTION("GOOGLETRANSLATE(A:A, ""en"", ""te"")"),"మార్స్కే మోనార్క్")</f>
        <v>మార్స్కే మోనార్క్</v>
      </c>
      <c r="C101" s="1" t="s">
        <v>1673</v>
      </c>
      <c r="D101" s="1" t="str">
        <f>IFERROR(__xludf.DUMMYFUNCTION("GOOGLETRANSLATE(C:C, ""en"", ""te"")"),"మార్స్కే మోనార్క్ సింగిల్-సీట్, హై-వింగ్, స్ట్రట్-బ్రెస్డ్, టైలెస్ అల్ట్రాలైట్ గ్లైడర్ మరియు మోటార్ గ్లైడర్, ఇది ప్రణాళికలుగా మరియు మార్స్కే విమానం ద్వారా te త్సాహిక నిర్మాణానికి ఒక కిట్ రెండింటినీ అందించింది. [1] [2] [3] మోనార్క్ మొట్టమొదట 1974 లో ప్రయాణ"&amp;"ించాడు మరియు ఇంజిన్ అమర్చబడిందా అనే దానిపై ఆధారపడి, శక్తితో కూడిన స్వీయ-లాంచింగ్ సెయిల్‌ప్లేన్ మరియు స్వచ్ఛమైన గ్లైడర్ రెండింటికీ రూపొందించబడింది. గ్లైడర్ వెర్షన్ కార్-టో లేదా వించ్-లాంచింగ్ కోసం అనుకూలంగా ఉంటుంది. [1] [2] ఈ విమానం ఫైబర్గ్లాస్ మరియు ఎపోక్"&amp;"సీ లామినేట్ల నుండి నిర్మించబడింది. రెక్క డి-సెల్ లీడింగ్ అంచుని ఉపయోగిస్తుంది. ఐచ్ఛిక ఇంజిన్‌ను పషర్ కాన్ఫిగరేషన్‌లో పైలట్ వెనుక నిటారుగా అమర్చవచ్చు, ఇంధన ట్యాంకులు ప్రముఖ అంచు డి-సెల్‌లో ఉన్నాయి. అసలు పవర్‌ప్లాంట్ 12 హెచ్‌పి (9 కిలోవాట్) ను ఉత్పత్తి చేసి"&amp;"ంది, కాని 24 హెచ్‌పి (18 కిలోవాట్) వరకు ఇంజిన్‌లను అమర్చవచ్చు. తక్కువ-శక్తితో పనిచేసే ఇంజిన్ వ్యవస్థాపించబడినప్పుడు, గురుత్వాకర్షణ కేంద్రాన్ని నిర్వహించడానికి రెక్కను ముందుకు మార్చారు. పెద్ద ఇంజిన్‌తో రెక్క వెనుకకు తరలించబడుతుంది. ప్రామాణిక నియంత్రణ కర్ర "&amp;"పై నుండి అమర్చబడి ఉంటుంది, నియంత్రణ నియంత్రణను హై వింగ్‌కు సరళీకృతం చేస్తుంది. విమానం 9 g కు రుజువు పరీక్షించబడింది. [1] [2] సాంప్రదాయిక ఫ్లోర్-మౌంటెడ్ కంట్రోల్ స్టిక్‌ను మౌంట్ చేయడం సహా దాని కోసం చక్రవర్తి దాని కోసం అనేక మార్పులను కలిగి ఉంది. ఇతర మార్పుల"&amp;"లో తక్కువ-స్పీడ్ హ్యాండ్లింగ్ లక్షణాలను మెరుగుపరచడానికి పెద్ద ఐలెరాన్లు మరియు చుక్కాని ఉన్నాయి. [1] [2] సెయిల్‌ప్లేన్ డైరెక్టరీ, సోరింగ్ అండ్ జేన్ యొక్క ఆల్ ది వరల్డ్స్ విమానాలు 1988-89 [1] [2] [5] పోల్చదగిన పాత్ర, కాన్ఫిగరేషన్ మరియు యుగం యొక్క సాధారణ లక్"&amp;"షణాల పనితీరు విమానం")</f>
        <v>మార్స్కే మోనార్క్ సింగిల్-సీట్, హై-వింగ్, స్ట్రట్-బ్రెస్డ్, టైలెస్ అల్ట్రాలైట్ గ్లైడర్ మరియు మోటార్ గ్లైడర్, ఇది ప్రణాళికలుగా మరియు మార్స్కే విమానం ద్వారా te త్సాహిక నిర్మాణానికి ఒక కిట్ రెండింటినీ అందించింది. [1] [2] [3] మోనార్క్ మొట్టమొదట 1974 లో ప్రయాణించాడు మరియు ఇంజిన్ అమర్చబడిందా అనే దానిపై ఆధారపడి, శక్తితో కూడిన స్వీయ-లాంచింగ్ సెయిల్‌ప్లేన్ మరియు స్వచ్ఛమైన గ్లైడర్ రెండింటికీ రూపొందించబడింది. గ్లైడర్ వెర్షన్ కార్-టో లేదా వించ్-లాంచింగ్ కోసం అనుకూలంగా ఉంటుంది. [1] [2] ఈ విమానం ఫైబర్గ్లాస్ మరియు ఎపోక్సీ లామినేట్ల నుండి నిర్మించబడింది. రెక్క డి-సెల్ లీడింగ్ అంచుని ఉపయోగిస్తుంది. ఐచ్ఛిక ఇంజిన్‌ను పషర్ కాన్ఫిగరేషన్‌లో పైలట్ వెనుక నిటారుగా అమర్చవచ్చు, ఇంధన ట్యాంకులు ప్రముఖ అంచు డి-సెల్‌లో ఉన్నాయి. అసలు పవర్‌ప్లాంట్ 12 హెచ్‌పి (9 కిలోవాట్) ను ఉత్పత్తి చేసింది, కాని 24 హెచ్‌పి (18 కిలోవాట్) వరకు ఇంజిన్‌లను అమర్చవచ్చు. తక్కువ-శక్తితో పనిచేసే ఇంజిన్ వ్యవస్థాపించబడినప్పుడు, గురుత్వాకర్షణ కేంద్రాన్ని నిర్వహించడానికి రెక్కను ముందుకు మార్చారు. పెద్ద ఇంజిన్‌తో రెక్క వెనుకకు తరలించబడుతుంది. ప్రామాణిక నియంత్రణ కర్ర పై నుండి అమర్చబడి ఉంటుంది, నియంత్రణ నియంత్రణను హై వింగ్‌కు సరళీకృతం చేస్తుంది. విమానం 9 g కు రుజువు పరీక్షించబడింది. [1] [2] సాంప్రదాయిక ఫ్లోర్-మౌంటెడ్ కంట్రోల్ స్టిక్‌ను మౌంట్ చేయడం సహా దాని కోసం చక్రవర్తి దాని కోసం అనేక మార్పులను కలిగి ఉంది. ఇతర మార్పులలో తక్కువ-స్పీడ్ హ్యాండ్లింగ్ లక్షణాలను మెరుగుపరచడానికి పెద్ద ఐలెరాన్లు మరియు చుక్కాని ఉన్నాయి. [1] [2] సెయిల్‌ప్లేన్ డైరెక్టరీ, సోరింగ్ అండ్ జేన్ యొక్క ఆల్ ది వరల్డ్స్ విమానాలు 1988-89 [1] [2] [5] పోల్చదగిన పాత్ర, కాన్ఫిగరేషన్ మరియు యుగం యొక్క సాధారణ లక్షణాల పనితీరు విమానం</v>
      </c>
      <c r="E101" s="1" t="s">
        <v>1674</v>
      </c>
      <c r="F101" s="1" t="str">
        <f>IFERROR(__xludf.DUMMYFUNCTION("GOOGLETRANSLATE(E:E, ""en"", ""te"")"),"మోటారు గ్లైడర్")</f>
        <v>మోటారు గ్లైడర్</v>
      </c>
      <c r="G101" s="1" t="s">
        <v>155</v>
      </c>
      <c r="H101" s="1" t="str">
        <f>IFERROR(__xludf.DUMMYFUNCTION("GOOGLETRANSLATE(G:G, ""en"", ""te"")"),"అమెరికా")</f>
        <v>అమెరికా</v>
      </c>
      <c r="I101" s="1" t="s">
        <v>1675</v>
      </c>
      <c r="J101" s="1" t="str">
        <f>IFERROR(__xludf.DUMMYFUNCTION("GOOGLETRANSLATE(I:I, ""en"", ""te"")"),"మార్స్కే ఎయిర్క్రాఫ్ట్ కార్పొరేషన్")</f>
        <v>మార్స్కే ఎయిర్క్రాఫ్ట్ కార్పొరేషన్</v>
      </c>
      <c r="K101" s="1" t="s">
        <v>1676</v>
      </c>
      <c r="L101" s="1" t="s">
        <v>1677</v>
      </c>
      <c r="M101" s="1" t="s">
        <v>1678</v>
      </c>
      <c r="N101" s="1">
        <v>1974.0</v>
      </c>
      <c r="O101" s="1" t="s">
        <v>135</v>
      </c>
      <c r="P101" s="1" t="s">
        <v>1679</v>
      </c>
      <c r="Q101" s="1" t="s">
        <v>1680</v>
      </c>
      <c r="R101" s="1" t="s">
        <v>1681</v>
      </c>
      <c r="S101" s="1" t="s">
        <v>1682</v>
      </c>
      <c r="T101" s="1" t="s">
        <v>1683</v>
      </c>
      <c r="U101" s="1" t="s">
        <v>1684</v>
      </c>
      <c r="V101" s="1" t="s">
        <v>1685</v>
      </c>
      <c r="AA101" s="1" t="s">
        <v>1686</v>
      </c>
      <c r="AB101" s="1" t="s">
        <v>1687</v>
      </c>
      <c r="AC101" s="2" t="s">
        <v>167</v>
      </c>
      <c r="AF101" s="1" t="s">
        <v>1555</v>
      </c>
      <c r="AI101" s="1" t="s">
        <v>1688</v>
      </c>
      <c r="AR101" s="1" t="s">
        <v>253</v>
      </c>
      <c r="AS101" s="1">
        <v>9.5</v>
      </c>
      <c r="AT101" s="1" t="s">
        <v>1689</v>
      </c>
      <c r="AY101" s="1" t="s">
        <v>1690</v>
      </c>
      <c r="BA101" s="1" t="s">
        <v>1691</v>
      </c>
      <c r="BB101" s="1">
        <v>19.0</v>
      </c>
      <c r="BC101" s="1" t="s">
        <v>1692</v>
      </c>
      <c r="BD101" s="1" t="s">
        <v>1693</v>
      </c>
      <c r="BN101" s="1">
        <v>1974.0</v>
      </c>
      <c r="CW101" s="1" t="s">
        <v>1694</v>
      </c>
    </row>
    <row r="102">
      <c r="A102" s="1" t="s">
        <v>1695</v>
      </c>
      <c r="B102" s="1" t="str">
        <f>IFERROR(__xludf.DUMMYFUNCTION("GOOGLETRANSLATE(A:A, ""en"", ""te"")"),"స్పోర్ట్ రేసర్")</f>
        <v>స్పోర్ట్ రేసర్</v>
      </c>
      <c r="C102" s="1" t="s">
        <v>1696</v>
      </c>
      <c r="D102" s="1" t="str">
        <f>IFERROR(__xludf.DUMMYFUNCTION("GOOGLETRANSLATE(C:C, ""en"", ""te"")"),"స్పోర్ట్ రేసర్ అనేది ఒక అమెరికన్ హోమ్‌బిల్ట్ రేసింగ్ విమానం, దీనిని కాన్సాస్‌లోని వ్యాలీ సెంటర్‌కు చెందిన స్పోర్ట్ రేసర్ ఇంక్ రూపొందించారు మరియు నిర్మించింది. ఇది అందుబాటులో ఉన్నప్పుడు విమానం te త్సాహిక నిర్మాణం కోసం ప్రణాళికల రూపంలో సరఫరా చేయబడింది. [1] "&amp;"స్పోర్ట్ రేసర్ ఒక కాంటిలివర్ మిడ్-వింగ్, బబుల్ పందిరి కింద రెండు-సీట్ల-రుచిగల పరివేష్టిత కాక్‌పిట్, వీల్ ప్యాంటుతో స్థిర సాంప్రదాయ ల్యాండింగ్ గేర్ మరియు ట్రాక్టర్ కాన్ఫిగరేషన్‌లో ఒకే ఇంజిన్ ఉన్నాయి. [1] విమానం ఫ్యూజ్‌లేజ్ వెల్డెడ్ 4130 స్టీల్ గొట్టాల నుండ"&amp;"ి తయారవుతుంది. 22.00 అడుగుల (6.7 మీ) స్పాన్ వింగ్ ఒక చెక్క నిర్మాణాన్ని కలిగి ఉంది, ఇది డోప్డ్ ఎయిర్క్రాఫ్ట్ ఫాబ్రిక్‌లో కప్పబడి 81.00 చదరపు అడుగుల (7.525 మీ 2) రెక్కల విస్తీర్ణాన్ని కలిగి ఉంది. ఉపయోగించిన ప్రామాణిక ఇంజిన్ 230 హెచ్‌పి (172 కిలోవాట్) ఫోర్డ"&amp;"్ మోటార్ కంపెనీ వి -6 ఆటోమోటివ్ మార్పిడి పవర్‌ప్లాంట్. [1] స్పోర్ట్ రేసర్ 1,175 ఎల్బి (533 కిలోల) మరియు స్థూల బరువు 1,850 ఎల్బి (840 కిలోలు) ఖాళీ బరువును కలిగి ఉంది, ఇది 675 పౌండ్లు (306 కిలోల) ఉపయోగకరమైన లోడ్ ఇస్తుంది. 30 యు.ఎస్. గ్యాలన్ల పూర్తి ఇంధనంతో "&amp;"(110 ఎల్; 25 ఇంప్ గల్) పైలట్, ప్రయాణీకుడు మరియు సామాను 495 ఎల్బి (225 కిలోలు). [1] ప్రామాణిక రోజు, సముద్ర మట్టం, గాలి లేదు, 230 హెచ్‌పి (172 కిలోవాట్) ఇంజిన్‌తో టేకాఫ్ 1,500 అడుగులు (457 మీ) మరియు ల్యాండింగ్ రోల్ 1,600 అడుగులు (488 మీ). [1] తయారీదారు నిర్"&amp;"మాణ సమయాన్ని 1600 గంటలుగా అంచనా వేశారు. [1] ఏరోక్రాఫ్టర్ నుండి డేటా [1] సాధారణ లక్షణాల పనితీరు")</f>
        <v>స్పోర్ట్ రేసర్ అనేది ఒక అమెరికన్ హోమ్‌బిల్ట్ రేసింగ్ విమానం, దీనిని కాన్సాస్‌లోని వ్యాలీ సెంటర్‌కు చెందిన స్పోర్ట్ రేసర్ ఇంక్ రూపొందించారు మరియు నిర్మించింది. ఇది అందుబాటులో ఉన్నప్పుడు విమానం te త్సాహిక నిర్మాణం కోసం ప్రణాళికల రూపంలో సరఫరా చేయబడింది. [1] స్పోర్ట్ రేసర్ ఒక కాంటిలివర్ మిడ్-వింగ్, బబుల్ పందిరి కింద రెండు-సీట్ల-రుచిగల పరివేష్టిత కాక్‌పిట్, వీల్ ప్యాంటుతో స్థిర సాంప్రదాయ ల్యాండింగ్ గేర్ మరియు ట్రాక్టర్ కాన్ఫిగరేషన్‌లో ఒకే ఇంజిన్ ఉన్నాయి. [1] విమానం ఫ్యూజ్‌లేజ్ వెల్డెడ్ 4130 స్టీల్ గొట్టాల నుండి తయారవుతుంది. 22.00 అడుగుల (6.7 మీ) స్పాన్ వింగ్ ఒక చెక్క నిర్మాణాన్ని కలిగి ఉంది, ఇది డోప్డ్ ఎయిర్క్రాఫ్ట్ ఫాబ్రిక్‌లో కప్పబడి 81.00 చదరపు అడుగుల (7.525 మీ 2) రెక్కల విస్తీర్ణాన్ని కలిగి ఉంది. ఉపయోగించిన ప్రామాణిక ఇంజిన్ 230 హెచ్‌పి (172 కిలోవాట్) ఫోర్డ్ మోటార్ కంపెనీ వి -6 ఆటోమోటివ్ మార్పిడి పవర్‌ప్లాంట్. [1] స్పోర్ట్ రేసర్ 1,175 ఎల్బి (533 కిలోల) మరియు స్థూల బరువు 1,850 ఎల్బి (840 కిలోలు) ఖాళీ బరువును కలిగి ఉంది, ఇది 675 పౌండ్లు (306 కిలోల) ఉపయోగకరమైన లోడ్ ఇస్తుంది. 30 యు.ఎస్. గ్యాలన్ల పూర్తి ఇంధనంతో (110 ఎల్; 25 ఇంప్ గల్) పైలట్, ప్రయాణీకుడు మరియు సామాను 495 ఎల్బి (225 కిలోలు). [1] ప్రామాణిక రోజు, సముద్ర మట్టం, గాలి లేదు, 230 హెచ్‌పి (172 కిలోవాట్) ఇంజిన్‌తో టేకాఫ్ 1,500 అడుగులు (457 మీ) మరియు ల్యాండింగ్ రోల్ 1,600 అడుగులు (488 మీ). [1] తయారీదారు నిర్మాణ సమయాన్ని 1600 గంటలుగా అంచనా వేశారు. [1] ఏరోక్రాఫ్టర్ నుండి డేటా [1] సాధారణ లక్షణాల పనితీరు</v>
      </c>
      <c r="E102" s="1" t="s">
        <v>154</v>
      </c>
      <c r="F102" s="1" t="str">
        <f>IFERROR(__xludf.DUMMYFUNCTION("GOOGLETRANSLATE(E:E, ""en"", ""te"")"),"హోమ్‌బిల్ట్ విమానం")</f>
        <v>హోమ్‌బిల్ట్ విమానం</v>
      </c>
      <c r="G102" s="1" t="s">
        <v>155</v>
      </c>
      <c r="H102" s="1" t="str">
        <f>IFERROR(__xludf.DUMMYFUNCTION("GOOGLETRANSLATE(G:G, ""en"", ""te"")"),"అమెరికా")</f>
        <v>అమెరికా</v>
      </c>
      <c r="I102" s="1" t="s">
        <v>1697</v>
      </c>
      <c r="J102" s="1" t="str">
        <f>IFERROR(__xludf.DUMMYFUNCTION("GOOGLETRANSLATE(I:I, ""en"", ""te"")"),"స్పోర్ట్ రేసర్ ఇంక్")</f>
        <v>స్పోర్ట్ రేసర్ ఇంక్</v>
      </c>
      <c r="K102" s="1" t="s">
        <v>1698</v>
      </c>
      <c r="O102" s="1" t="s">
        <v>135</v>
      </c>
      <c r="P102" s="1" t="s">
        <v>1699</v>
      </c>
      <c r="Q102" s="1" t="s">
        <v>1700</v>
      </c>
      <c r="S102" s="1" t="s">
        <v>1701</v>
      </c>
      <c r="T102" s="1" t="s">
        <v>1702</v>
      </c>
      <c r="U102" s="1" t="s">
        <v>1703</v>
      </c>
      <c r="V102" s="1" t="s">
        <v>1704</v>
      </c>
      <c r="W102" s="1" t="s">
        <v>1523</v>
      </c>
      <c r="X102" s="1" t="s">
        <v>1705</v>
      </c>
      <c r="Y102" s="1" t="s">
        <v>1706</v>
      </c>
      <c r="Z102" s="1" t="s">
        <v>1614</v>
      </c>
      <c r="AB102" s="1" t="s">
        <v>166</v>
      </c>
      <c r="AC102" s="2" t="s">
        <v>167</v>
      </c>
      <c r="AD102" s="1" t="s">
        <v>581</v>
      </c>
      <c r="AE102" s="1" t="s">
        <v>1707</v>
      </c>
      <c r="AF102" s="1" t="s">
        <v>1708</v>
      </c>
      <c r="AG102" s="1" t="s">
        <v>1709</v>
      </c>
      <c r="AH102" s="1" t="s">
        <v>1524</v>
      </c>
      <c r="AI102" s="1" t="s">
        <v>1710</v>
      </c>
      <c r="AJ102" s="1" t="s">
        <v>871</v>
      </c>
      <c r="AK102" s="1" t="s">
        <v>195</v>
      </c>
    </row>
    <row r="103">
      <c r="A103" s="1" t="s">
        <v>1711</v>
      </c>
      <c r="B103" s="1" t="str">
        <f>IFERROR(__xludf.DUMMYFUNCTION("GOOGLETRANSLATE(A:A, ""en"", ""te"")"),"హెండర్సన్ లిటిల్ బేర్")</f>
        <v>హెండర్సన్ లిటిల్ బేర్</v>
      </c>
      <c r="C103" s="1" t="s">
        <v>1712</v>
      </c>
      <c r="D103" s="1" t="str">
        <f>IFERROR(__xludf.DUMMYFUNCTION("GOOGLETRANSLATE(C:C, ""en"", ""te"")"),"హెండర్సన్ లిటిల్ బేర్ అనేది 1993 లో ప్రవేశపెట్టిన డెలావేర్లోని ఫెల్టన్ యొక్క హెండర్సన్ ఏరో స్పెషాలిటీలచే రూపొందించబడింది మరియు ఉత్పత్తి చేయబడింది. ఈ విమానం పైపర్ జె -3 పిల్ల యొక్క ప్రతిరూపం (కొద్దిగా ఎలుగుబంటి ""కబ్""). ఇది అందుబాటులో ఉన్నప్పుడు విమానం కి"&amp;"ట్‌గా లేదా te త్సాహిక నిర్మాణానికి ప్రణాళికల రూపంలో సరఫరా చేయబడింది. [1] లిటిల్ బేర్‌లో స్ట్రట్-బ్రేస్డ్ హై-వింగ్, రెండు-సీట్ల-టెన్డం పరివేష్టిత కాక్‌పిట్ తలుపుల ద్వారా యాక్సెస్ చేయబడింది, స్థిర సాంప్రదాయ ల్యాండింగ్ గేర్ మరియు ట్రాక్టర్ కాన్ఫిగరేషన్‌లో ఒక"&amp;"ే ఇంజిన్. [1] విమానం ఫ్యూజ్‌లేజ్ వెల్డెడ్ స్టీల్ నుండి తయారు చేయబడింది, డోప్డ్ ఎయిర్క్రాఫ్ట్ ఫాబ్రిక్‌లో కప్పబడిన అన్ని ఉపరితలాలు ఉంటాయి. దాని 35.00 అడుగుల (10.7 మీ) స్పాన్ వింగ్ USA 35B ఎయిర్‌ఫాయిల్‌ను ఉపయోగిస్తుంది, ఇది 178.0 చదరపు అడుగుల (16.54 మీ 2) ర"&amp;"ెక్కల విస్తీర్ణాన్ని కలిగి ఉంది మరియు దీనికి ""V"" స్ట్రట్స్ మరియు జ్యూరీ స్ట్రట్స్ మద్దతు ఇస్తున్నాయి. క్యాబిన్ వెడల్పు 28 లో (71 సెం.మీ). ఆమోదయోగ్యమైన శక్తి పరిధి 65 నుండి 100 హెచ్‌పి (48 నుండి 75 కిలోవాట్) మరియు ఉపయోగించిన ప్రామాణిక ఇంజిన్ 65 హెచ్‌పి ("&amp;"48 కిలోవాట్) ఖండాంతర A65. [1] చిన్న ఎలుగుబంటిలో సాధారణ ఖాళీ బరువు 700 ఎల్బి (320 కిలోలు) మరియు స్థూల బరువు 1,220 ఎల్బి (550 కిలోలు), 520 పౌండ్లు (240 కిలోలు) ఉపయోగకరమైన లోడ్ ఇస్తుంది. 12 యు.ఎస్. గ్యాలన్ల పూర్తి ఇంధనంతో (45 ఎల్; 10.0 ఇంప్ గల్) పైలట్, ప్రయా"&amp;"ణీకుడు మరియు సామాను 448 ఎల్బి (203 కిలోలు) కోసం పేలోడ్. [1] తయారీదారు సరఫరా చేసిన కిట్ నుండి నిర్మాణ సమయాన్ని 400 గంటలుగా అంచనా వేశారు. [1] 1998 నాటికి ఐదు కిట్లు అమ్ముడయ్యాయని మరియు రెండు విమానాలు పూర్తయ్యాయని మరియు ఎగురుతున్నాయని కంపెనీ నివేదించింది. [1"&amp;"] డిసెంబర్ 2013 లో ఫెడరల్ ఏవియేషన్ అడ్మినిస్ట్రేషన్తో అమెరికాలో ఒక ఉదాహరణ నమోదు చేయబడింది. [2] ఏరోక్రాఫ్టర్ నుండి డేటా [1] సాధారణ లక్షణాల పనితీరు")</f>
        <v>హెండర్సన్ లిటిల్ బేర్ అనేది 1993 లో ప్రవేశపెట్టిన డెలావేర్లోని ఫెల్టన్ యొక్క హెండర్సన్ ఏరో స్పెషాలిటీలచే రూపొందించబడింది మరియు ఉత్పత్తి చేయబడింది. ఈ విమానం పైపర్ జె -3 పిల్ల యొక్క ప్రతిరూపం (కొద్దిగా ఎలుగుబంటి "కబ్"). ఇది అందుబాటులో ఉన్నప్పుడు విమానం కిట్‌గా లేదా te త్సాహిక నిర్మాణానికి ప్రణాళికల రూపంలో సరఫరా చేయబడింది. [1] లిటిల్ బేర్‌లో స్ట్రట్-బ్రేస్డ్ హై-వింగ్, రెండు-సీట్ల-టెన్డం పరివేష్టిత కాక్‌పిట్ తలుపుల ద్వారా యాక్సెస్ చేయబడింది, స్థిర సాంప్రదాయ ల్యాండింగ్ గేర్ మరియు ట్రాక్టర్ కాన్ఫిగరేషన్‌లో ఒకే ఇంజిన్. [1] విమానం ఫ్యూజ్‌లేజ్ వెల్డెడ్ స్టీల్ నుండి తయారు చేయబడింది, డోప్డ్ ఎయిర్క్రాఫ్ట్ ఫాబ్రిక్‌లో కప్పబడిన అన్ని ఉపరితలాలు ఉంటాయి. దాని 35.00 అడుగుల (10.7 మీ) స్పాన్ వింగ్ USA 35B ఎయిర్‌ఫాయిల్‌ను ఉపయోగిస్తుంది, ఇది 178.0 చదరపు అడుగుల (16.54 మీ 2) రెక్కల విస్తీర్ణాన్ని కలిగి ఉంది మరియు దీనికి "V" స్ట్రట్స్ మరియు జ్యూరీ స్ట్రట్స్ మద్దతు ఇస్తున్నాయి. క్యాబిన్ వెడల్పు 28 లో (71 సెం.మీ). ఆమోదయోగ్యమైన శక్తి పరిధి 65 నుండి 100 హెచ్‌పి (48 నుండి 75 కిలోవాట్) మరియు ఉపయోగించిన ప్రామాణిక ఇంజిన్ 65 హెచ్‌పి (48 కిలోవాట్) ఖండాంతర A65. [1] చిన్న ఎలుగుబంటిలో సాధారణ ఖాళీ బరువు 700 ఎల్బి (320 కిలోలు) మరియు స్థూల బరువు 1,220 ఎల్బి (550 కిలోలు), 520 పౌండ్లు (240 కిలోలు) ఉపయోగకరమైన లోడ్ ఇస్తుంది. 12 యు.ఎస్. గ్యాలన్ల పూర్తి ఇంధనంతో (45 ఎల్; 10.0 ఇంప్ గల్) పైలట్, ప్రయాణీకుడు మరియు సామాను 448 ఎల్బి (203 కిలోలు) కోసం పేలోడ్. [1] తయారీదారు సరఫరా చేసిన కిట్ నుండి నిర్మాణ సమయాన్ని 400 గంటలుగా అంచనా వేశారు. [1] 1998 నాటికి ఐదు కిట్లు అమ్ముడయ్యాయని మరియు రెండు విమానాలు పూర్తయ్యాయని మరియు ఎగురుతున్నాయని కంపెనీ నివేదించింది. [1] డిసెంబర్ 2013 లో ఫెడరల్ ఏవియేషన్ అడ్మినిస్ట్రేషన్తో అమెరికాలో ఒక ఉదాహరణ నమోదు చేయబడింది. [2] ఏరోక్రాఫ్టర్ నుండి డేటా [1] సాధారణ లక్షణాల పనితీరు</v>
      </c>
      <c r="E103" s="1" t="s">
        <v>154</v>
      </c>
      <c r="F103" s="1" t="str">
        <f>IFERROR(__xludf.DUMMYFUNCTION("GOOGLETRANSLATE(E:E, ""en"", ""te"")"),"హోమ్‌బిల్ట్ విమానం")</f>
        <v>హోమ్‌బిల్ట్ విమానం</v>
      </c>
      <c r="G103" s="1" t="s">
        <v>155</v>
      </c>
      <c r="H103" s="1" t="str">
        <f>IFERROR(__xludf.DUMMYFUNCTION("GOOGLETRANSLATE(G:G, ""en"", ""te"")"),"అమెరికా")</f>
        <v>అమెరికా</v>
      </c>
      <c r="I103" s="1" t="s">
        <v>1713</v>
      </c>
      <c r="J103" s="1" t="str">
        <f>IFERROR(__xludf.DUMMYFUNCTION("GOOGLETRANSLATE(I:I, ""en"", ""te"")"),"హెండర్సన్ ఏరో స్పెషాలిటీలు")</f>
        <v>హెండర్సన్ ఏరో స్పెషాలిటీలు</v>
      </c>
      <c r="K103" s="1" t="s">
        <v>1714</v>
      </c>
      <c r="N103" s="1">
        <v>1993.0</v>
      </c>
      <c r="O103" s="1" t="s">
        <v>135</v>
      </c>
      <c r="P103" s="1" t="s">
        <v>1715</v>
      </c>
      <c r="Q103" s="1" t="s">
        <v>1716</v>
      </c>
      <c r="S103" s="1" t="s">
        <v>1717</v>
      </c>
      <c r="T103" s="1" t="s">
        <v>1718</v>
      </c>
      <c r="U103" s="1" t="s">
        <v>1719</v>
      </c>
      <c r="V103" s="1" t="s">
        <v>1720</v>
      </c>
      <c r="W103" s="1" t="s">
        <v>1721</v>
      </c>
      <c r="X103" s="1" t="s">
        <v>514</v>
      </c>
      <c r="Y103" s="1" t="s">
        <v>1722</v>
      </c>
      <c r="Z103" s="1" t="s">
        <v>1201</v>
      </c>
      <c r="AB103" s="1" t="s">
        <v>166</v>
      </c>
      <c r="AC103" s="2" t="s">
        <v>167</v>
      </c>
      <c r="AD103" s="1" t="s">
        <v>581</v>
      </c>
      <c r="AE103" s="1" t="s">
        <v>1451</v>
      </c>
      <c r="AF103" s="1" t="s">
        <v>583</v>
      </c>
      <c r="AH103" s="1" t="s">
        <v>1502</v>
      </c>
      <c r="AI103" s="1" t="s">
        <v>1723</v>
      </c>
      <c r="AJ103" s="1" t="s">
        <v>897</v>
      </c>
      <c r="AK103" s="1" t="s">
        <v>195</v>
      </c>
      <c r="AT103" s="1" t="s">
        <v>1724</v>
      </c>
      <c r="BF103" s="1" t="s">
        <v>1725</v>
      </c>
      <c r="BG103" s="1" t="s">
        <v>1726</v>
      </c>
    </row>
    <row r="104">
      <c r="A104" s="1" t="s">
        <v>1727</v>
      </c>
      <c r="B104" s="1" t="str">
        <f>IFERROR(__xludf.DUMMYFUNCTION("GOOGLETRANSLATE(A:A, ""en"", ""te"")"),"చారిత్రక పి -51 ముస్తాంగ్")</f>
        <v>చారిత్రక పి -51 ముస్తాంగ్</v>
      </c>
      <c r="C104" s="1" t="s">
        <v>1728</v>
      </c>
      <c r="D104" s="1" t="str">
        <f>IFERROR(__xludf.DUMMYFUNCTION("GOOGLETRANSLATE(C:C, ""en"", ""te"")"),"చారిత్రక P-51 ముస్తాంగ్ అనేది ఒక అమెరికన్ హోమ్‌బిల్ట్ విమానం, దీనిని కొలరాడోలోని న్యూక్లా యొక్క చారిత్రక విమాన కార్పొరేషన్ రూపొందించి ఉత్పత్తి చేసింది. ఈ విమానం అసలు నార్త్ అమెరికన్ పి -51 ముస్తాంగ్ యొక్క 62.5% స్కేల్ ప్రతిరూపం మరియు అది అందుబాటులో ఉన్నప్"&amp;"పుడు te త్సాహిక నిర్మాణానికి కిట్‌గా సరఫరా చేయబడింది. [1] ఈ విమానం కాంటిలివర్ లో-వింగ్, బబుల్ పందిరి కింద సింగిల్-సీట్ల పరివేష్టిత కాక్‌పిట్, ముడుచుకునే సాంప్రదాయ ల్యాండింగ్ గేర్ మరియు ట్రాక్టర్ కాన్ఫిగరేషన్‌లో ఒకే ఇంజిన్ ఉన్నాయి. [1] ఈ విమానం పాలియురేతేన"&amp;"్ నురుగు మరియు ఫైబర్‌గ్లాస్ షెల్ లో కప్పబడిన వెల్డెడ్ స్టీల్ గొట్టాల నుండి తయారవుతుంది. దాని 24.00 అడుగుల (7.3 మీ) స్పాన్ వింగ్, ఫ్లాప్‌లను మౌంట్ చేస్తుంది మరియు రెక్క ప్రాంతాన్ని 100.00 చదరపు అడుగులు (9.290 మీ 2) కలిగి ఉంటుంది. కాక్‌పిట్ వెడల్పు 21 లో (5"&amp;"3 సెం.మీ). ఉపయోగించిన ప్రామాణిక ఇంజిన్ 230 హెచ్‌పి (172 కిలోవాట్) ఫోర్డ్ మోటార్ కంపెనీ వి -6 ఆటోమోటివ్ మార్పిడి పవర్‌ప్లాంట్. [1] ఈ విమానం ఒక సాధారణ ఖాళీ బరువు 1,354 lb (614 kg) మరియు స్థూల బరువు 1,954 lb (886 kg), 600 lb (270 kg) ఉపయోగకరమైన లోడ్‌ను ఇస్తు"&amp;"ంది. 41 యు.ఎస్. గ్యాలన్ల పూర్తి ఇంధనంతో (160 ఎల్; 34 ఇంప్ గల్) పైలట్ మరియు సామాను కోసం పేలోడ్ 354 ఎల్బి (161 కిలోలు). [1] ఈ విమానం ప్రామాణిక రోజు సముద్ర మట్టం టేకాఫ్ దూరం 1,200 అడుగులు (366 మీ) మరియు 1,500 అడుగుల (457 మీ) ల్యాండింగ్ దూరం. [1] కిట్‌లో ముంద"&amp;"ుగా నిర్మించిన సమావేశాలు, ఇంజిన్ మరియు స్కేల్ ఫిక్స్‌డ్ పిచ్ ప్రొపెల్లర్, ఇన్స్ట్రుమెంట్స్ మరియు ఏవియానిక్స్ ఉన్నాయి. తయారీదారు నిర్మాణ సమయాన్ని సరఫరా చేసిన కిట్ నుండి 2000 గంటలుగా అంచనా వేశారు. [1] ఏరోక్రాఫ్టర్ నుండి డేటా [1] సాధారణ లక్షణాల పనితీరు")</f>
        <v>చారిత్రక P-51 ముస్తాంగ్ అనేది ఒక అమెరికన్ హోమ్‌బిల్ట్ విమానం, దీనిని కొలరాడోలోని న్యూక్లా యొక్క చారిత్రక విమాన కార్పొరేషన్ రూపొందించి ఉత్పత్తి చేసింది. ఈ విమానం అసలు నార్త్ అమెరికన్ పి -51 ముస్తాంగ్ యొక్క 62.5% స్కేల్ ప్రతిరూపం మరియు అది అందుబాటులో ఉన్నప్పుడు te త్సాహిక నిర్మాణానికి కిట్‌గా సరఫరా చేయబడింది. [1] ఈ విమానం కాంటిలివర్ లో-వింగ్, బబుల్ పందిరి కింద సింగిల్-సీట్ల పరివేష్టిత కాక్‌పిట్, ముడుచుకునే సాంప్రదాయ ల్యాండింగ్ గేర్ మరియు ట్రాక్టర్ కాన్ఫిగరేషన్‌లో ఒకే ఇంజిన్ ఉన్నాయి. [1] ఈ విమానం పాలియురేతేన్ నురుగు మరియు ఫైబర్‌గ్లాస్ షెల్ లో కప్పబడిన వెల్డెడ్ స్టీల్ గొట్టాల నుండి తయారవుతుంది. దాని 24.00 అడుగుల (7.3 మీ) స్పాన్ వింగ్, ఫ్లాప్‌లను మౌంట్ చేస్తుంది మరియు రెక్క ప్రాంతాన్ని 100.00 చదరపు అడుగులు (9.290 మీ 2) కలిగి ఉంటుంది. కాక్‌పిట్ వెడల్పు 21 లో (53 సెం.మీ). ఉపయోగించిన ప్రామాణిక ఇంజిన్ 230 హెచ్‌పి (172 కిలోవాట్) ఫోర్డ్ మోటార్ కంపెనీ వి -6 ఆటోమోటివ్ మార్పిడి పవర్‌ప్లాంట్. [1] ఈ విమానం ఒక సాధారణ ఖాళీ బరువు 1,354 lb (614 kg) మరియు స్థూల బరువు 1,954 lb (886 kg), 600 lb (270 kg) ఉపయోగకరమైన లోడ్‌ను ఇస్తుంది. 41 యు.ఎస్. గ్యాలన్ల పూర్తి ఇంధనంతో (160 ఎల్; 34 ఇంప్ గల్) పైలట్ మరియు సామాను కోసం పేలోడ్ 354 ఎల్బి (161 కిలోలు). [1] ఈ విమానం ప్రామాణిక రోజు సముద్ర మట్టం టేకాఫ్ దూరం 1,200 అడుగులు (366 మీ) మరియు 1,500 అడుగుల (457 మీ) ల్యాండింగ్ దూరం. [1] కిట్‌లో ముందుగా నిర్మించిన సమావేశాలు, ఇంజిన్ మరియు స్కేల్ ఫిక్స్‌డ్ పిచ్ ప్రొపెల్లర్, ఇన్స్ట్రుమెంట్స్ మరియు ఏవియానిక్స్ ఉన్నాయి. తయారీదారు నిర్మాణ సమయాన్ని సరఫరా చేసిన కిట్ నుండి 2000 గంటలుగా అంచనా వేశారు. [1] ఏరోక్రాఫ్టర్ నుండి డేటా [1] సాధారణ లక్షణాల పనితీరు</v>
      </c>
      <c r="E104" s="1" t="s">
        <v>154</v>
      </c>
      <c r="F104" s="1" t="str">
        <f>IFERROR(__xludf.DUMMYFUNCTION("GOOGLETRANSLATE(E:E, ""en"", ""te"")"),"హోమ్‌బిల్ట్ విమానం")</f>
        <v>హోమ్‌బిల్ట్ విమానం</v>
      </c>
      <c r="G104" s="1" t="s">
        <v>155</v>
      </c>
      <c r="H104" s="1" t="str">
        <f>IFERROR(__xludf.DUMMYFUNCTION("GOOGLETRANSLATE(G:G, ""en"", ""te"")"),"అమెరికా")</f>
        <v>అమెరికా</v>
      </c>
      <c r="I104" s="1" t="s">
        <v>1476</v>
      </c>
      <c r="J104" s="1" t="str">
        <f>IFERROR(__xludf.DUMMYFUNCTION("GOOGLETRANSLATE(I:I, ""en"", ""te"")"),"హిస్టారికల్ ఎయిర్క్రాఫ్ట్ కార్పొరేషన్")</f>
        <v>హిస్టారికల్ ఎయిర్క్రాఫ్ట్ కార్పొరేషన్</v>
      </c>
      <c r="K104" s="1" t="s">
        <v>1477</v>
      </c>
      <c r="O104" s="1" t="s">
        <v>135</v>
      </c>
      <c r="P104" s="1" t="s">
        <v>1729</v>
      </c>
      <c r="Q104" s="1" t="s">
        <v>1730</v>
      </c>
      <c r="S104" s="1" t="s">
        <v>1731</v>
      </c>
      <c r="T104" s="1" t="s">
        <v>1732</v>
      </c>
      <c r="U104" s="1" t="s">
        <v>1733</v>
      </c>
      <c r="V104" s="1" t="s">
        <v>1734</v>
      </c>
      <c r="W104" s="1" t="s">
        <v>1735</v>
      </c>
      <c r="X104" s="1" t="s">
        <v>1736</v>
      </c>
      <c r="Y104" s="1" t="s">
        <v>1737</v>
      </c>
      <c r="Z104" s="1" t="s">
        <v>1738</v>
      </c>
      <c r="AB104" s="1" t="s">
        <v>166</v>
      </c>
      <c r="AC104" s="2" t="s">
        <v>167</v>
      </c>
      <c r="AD104" s="1" t="s">
        <v>581</v>
      </c>
      <c r="AE104" s="1" t="s">
        <v>1739</v>
      </c>
      <c r="AF104" s="1" t="s">
        <v>1740</v>
      </c>
      <c r="AG104" s="1" t="s">
        <v>1741</v>
      </c>
      <c r="AH104" s="1" t="s">
        <v>1742</v>
      </c>
      <c r="AI104" s="1" t="s">
        <v>1743</v>
      </c>
      <c r="BF104" s="1" t="s">
        <v>1744</v>
      </c>
      <c r="BG104" s="1" t="s">
        <v>1745</v>
      </c>
    </row>
    <row r="105">
      <c r="A105" s="1" t="s">
        <v>1746</v>
      </c>
      <c r="B105" s="1" t="str">
        <f>IFERROR(__xludf.DUMMYFUNCTION("GOOGLETRANSLATE(A:A, ""en"", ""te"")"),"మిడ్‌వెస్ట్ క్వెస్టార్ బాణం స్టార్")</f>
        <v>మిడ్‌వెస్ట్ క్వెస్టార్ బాణం స్టార్</v>
      </c>
      <c r="C105" s="1" t="s">
        <v>1747</v>
      </c>
      <c r="D105" s="1" t="str">
        <f>IFERROR(__xludf.DUMMYFUNCTION("GOOGLETRANSLATE(C:C, ""en"", ""te"")"),"మిడ్‌వెస్ట్ క్వెస్టార్ బాణం స్టార్ ఒక అమెరికన్ అల్ట్రాలైట్ విమానం, దీనిని కాన్సాస్‌లోని ఓవర్‌ల్యాండ్ పార్క్ యొక్క మిడ్‌వెస్ట్ ఇంజనీరింగ్ రూపొందించి ఉత్పత్తి చేసింది. ఇది అందుబాటులో ఉన్నప్పుడు ఈ విమానం te త్సాహిక నిర్మాణం కోసం ప్రణాళికల రూపంలో సరఫరా చేయబడి"&amp;"ంది, కాని 29 జూన్ 2000 న ప్రణాళికలు ఉపసంహరించబడ్డాయి. [1] [2] క్వెస్టార్ బాణం స్టార్ యుఎస్ ఫార్ 103 అల్ట్రాలైట్ వెహికల్స్ నిబంధనలను పాటించేలా రూపొందించబడింది, ఇందులో వర్గం యొక్క గరిష్ట ఖాళీ బరువు 254 ఎల్బి (115 కిలోలు). ఈ విమానం ప్రామాణిక ఖాళీ బరువు 230 l"&amp;"b (104 kg). [1] ఈ విమానం స్ట్రట్-బ్రేస్డ్ హై-వింగ్, విండ్‌షీల్డ్ లేకుండా సింగిల్-సీట్ల ఓపెన్ కాక్‌పిట్, వీల్ ప్యాంటు లేకుండా స్థిర ట్రైసైకిల్ ల్యాండింగ్ గేర్ మరియు ట్రాక్టర్ కాన్ఫిగరేషన్‌లో ఒకే ఇంజిన్ ఉన్నాయి. [1] క్వెస్టార్ బాణం స్టార్ బోల్ట్-టుగేథర్ 606"&amp;"1-టి 6 అల్యూమినియం గొట్టాల నుండి తయారవుతుంది, దాని ఎగిరే ఉపరితలాలు డోప్డ్ ఎయిర్క్రాఫ్ట్ ఫాబ్రిక్‌లో కప్పబడి ఉంటాయి. దాని 27.25 అడుగుల (8.3 మీ) స్పాన్ వింగ్ 130.0 చదరపు అడుగుల (12.08 మీ 2) రెక్క ప్రాంతాన్ని కలిగి ఉంది, ఇది ""V"" స్ట్రట్స్ చేత మద్దతు ఇస్తుం"&amp;"ది మరియు భూమి రవాణా లేదా నిల్వ కోసం రెక్కను పది నిమిషాల్లో వేరు చేయవచ్చు. ఆమోదయోగ్యమైన శక్తి పరిధి 30 నుండి 40 హెచ్‌పి (22 నుండి 30 కిలోవాట్) మరియు ఉపయోగించిన ప్రామాణిక ఇంజన్లు చిన్న 30 హెచ్‌పి (22 కిలోవాట్) రెండు-స్ట్రోక్ పవర్‌ప్లాంట్లు. [1] ఈ విమానం 230"&amp;" ఎల్బి (100 కిలోల) మరియు స్థూల బరువు 450 ఎల్బి (200 కిలోలు) ఖాళీ బరువును కలిగి ఉంది, ఇది 220 ఎల్బి (100 కిలోల) ఉపయోగకరమైన లోడ్ ఇస్తుంది. 3 యు.ఎస్. గ్యాలన్ల పూర్తి ఇంధనంతో (11 ఎల్; 2.5 ఇంప్ గల్) పైలట్ మరియు సామాను కోసం పేలోడ్ 202 ఎల్బి (92 కిలోలు). [1] ప్ర"&amp;"ామాణిక రోజు, సముద్ర మట్టం, గాలి లేదు, 30 హెచ్‌పి (22 కిలోవాట్) ఇంజిన్‌తో దూరం టేక్ ఆఫ్ దూరం 100 అడుగులు (30 మీ) మరియు ల్యాండింగ్ రోల్ 80 అడుగులు (24 మీ). [1] తయారీదారు నిర్మాణ సమయాన్ని సరఫరా చేసిన ప్రణాళికల నుండి 80 గంటలుగా అంచనా వేశారు. [1] 1998 నాటికి 1"&amp;"70 సెట్ల ప్రణాళికలు అమ్ముడయ్యాయని మరియు 60 విమానాలు పూర్తయ్యాయని మరియు ఎగురుతున్నాయని కంపెనీ నివేదించింది. [1] ఏరోక్రాఫ్టర్ నుండి డేటా [1] సాధారణ లక్షణాల పనితీరు")</f>
        <v>మిడ్‌వెస్ట్ క్వెస్టార్ బాణం స్టార్ ఒక అమెరికన్ అల్ట్రాలైట్ విమానం, దీనిని కాన్సాస్‌లోని ఓవర్‌ల్యాండ్ పార్క్ యొక్క మిడ్‌వెస్ట్ ఇంజనీరింగ్ రూపొందించి ఉత్పత్తి చేసింది. ఇది అందుబాటులో ఉన్నప్పుడు ఈ విమానం te త్సాహిక నిర్మాణం కోసం ప్రణాళికల రూపంలో సరఫరా చేయబడింది, కాని 29 జూన్ 2000 న ప్రణాళికలు ఉపసంహరించబడ్డాయి. [1] [2] క్వెస్టార్ బాణం స్టార్ యుఎస్ ఫార్ 103 అల్ట్రాలైట్ వెహికల్స్ నిబంధనలను పాటించేలా రూపొందించబడింది, ఇందులో వర్గం యొక్క గరిష్ట ఖాళీ బరువు 254 ఎల్బి (115 కిలోలు). ఈ విమానం ప్రామాణిక ఖాళీ బరువు 230 lb (104 kg). [1] ఈ విమానం స్ట్రట్-బ్రేస్డ్ హై-వింగ్, విండ్‌షీల్డ్ లేకుండా సింగిల్-సీట్ల ఓపెన్ కాక్‌పిట్, వీల్ ప్యాంటు లేకుండా స్థిర ట్రైసైకిల్ ల్యాండింగ్ గేర్ మరియు ట్రాక్టర్ కాన్ఫిగరేషన్‌లో ఒకే ఇంజిన్ ఉన్నాయి. [1] క్వెస్టార్ బాణం స్టార్ బోల్ట్-టుగేథర్ 6061-టి 6 అల్యూమినియం గొట్టాల నుండి తయారవుతుంది, దాని ఎగిరే ఉపరితలాలు డోప్డ్ ఎయిర్క్రాఫ్ట్ ఫాబ్రిక్‌లో కప్పబడి ఉంటాయి. దాని 27.25 అడుగుల (8.3 మీ) స్పాన్ వింగ్ 130.0 చదరపు అడుగుల (12.08 మీ 2) రెక్క ప్రాంతాన్ని కలిగి ఉంది, ఇది "V" స్ట్రట్స్ చేత మద్దతు ఇస్తుంది మరియు భూమి రవాణా లేదా నిల్వ కోసం రెక్కను పది నిమిషాల్లో వేరు చేయవచ్చు. ఆమోదయోగ్యమైన శక్తి పరిధి 30 నుండి 40 హెచ్‌పి (22 నుండి 30 కిలోవాట్) మరియు ఉపయోగించిన ప్రామాణిక ఇంజన్లు చిన్న 30 హెచ్‌పి (22 కిలోవాట్) రెండు-స్ట్రోక్ పవర్‌ప్లాంట్లు. [1] ఈ విమానం 230 ఎల్బి (100 కిలోల) మరియు స్థూల బరువు 450 ఎల్బి (200 కిలోలు) ఖాళీ బరువును కలిగి ఉంది, ఇది 220 ఎల్బి (100 కిలోల) ఉపయోగకరమైన లోడ్ ఇస్తుంది. 3 యు.ఎస్. గ్యాలన్ల పూర్తి ఇంధనంతో (11 ఎల్; 2.5 ఇంప్ గల్) పైలట్ మరియు సామాను కోసం పేలోడ్ 202 ఎల్బి (92 కిలోలు). [1] ప్రామాణిక రోజు, సముద్ర మట్టం, గాలి లేదు, 30 హెచ్‌పి (22 కిలోవాట్) ఇంజిన్‌తో దూరం టేక్ ఆఫ్ దూరం 100 అడుగులు (30 మీ) మరియు ల్యాండింగ్ రోల్ 80 అడుగులు (24 మీ). [1] తయారీదారు నిర్మాణ సమయాన్ని సరఫరా చేసిన ప్రణాళికల నుండి 80 గంటలుగా అంచనా వేశారు. [1] 1998 నాటికి 170 సెట్ల ప్రణాళికలు అమ్ముడయ్యాయని మరియు 60 విమానాలు పూర్తయ్యాయని మరియు ఎగురుతున్నాయని కంపెనీ నివేదించింది. [1] ఏరోక్రాఫ్టర్ నుండి డేటా [1] సాధారణ లక్షణాల పనితీరు</v>
      </c>
      <c r="E105" s="1" t="s">
        <v>383</v>
      </c>
      <c r="F105" s="1" t="str">
        <f>IFERROR(__xludf.DUMMYFUNCTION("GOOGLETRANSLATE(E:E, ""en"", ""te"")"),"అల్ట్రాలైట్ విమానం")</f>
        <v>అల్ట్రాలైట్ విమానం</v>
      </c>
      <c r="G105" s="1" t="s">
        <v>155</v>
      </c>
      <c r="H105" s="1" t="str">
        <f>IFERROR(__xludf.DUMMYFUNCTION("GOOGLETRANSLATE(G:G, ""en"", ""te"")"),"అమెరికా")</f>
        <v>అమెరికా</v>
      </c>
      <c r="I105" s="1" t="s">
        <v>1492</v>
      </c>
      <c r="J105" s="1" t="str">
        <f>IFERROR(__xludf.DUMMYFUNCTION("GOOGLETRANSLATE(I:I, ""en"", ""te"")"),"మిడ్‌వెస్ట్ ఇంజనీరింగ్")</f>
        <v>మిడ్‌వెస్ట్ ఇంజనీరింగ్</v>
      </c>
      <c r="K105" s="1" t="s">
        <v>1493</v>
      </c>
      <c r="O105" s="1" t="s">
        <v>135</v>
      </c>
      <c r="P105" s="1" t="s">
        <v>1748</v>
      </c>
      <c r="Q105" s="1" t="s">
        <v>1749</v>
      </c>
      <c r="S105" s="1" t="s">
        <v>1750</v>
      </c>
      <c r="T105" s="1" t="s">
        <v>1751</v>
      </c>
      <c r="U105" s="1" t="s">
        <v>1684</v>
      </c>
      <c r="V105" s="1" t="s">
        <v>1498</v>
      </c>
      <c r="W105" s="1" t="s">
        <v>1752</v>
      </c>
      <c r="Y105" s="1" t="s">
        <v>1200</v>
      </c>
      <c r="Z105" s="1" t="s">
        <v>1450</v>
      </c>
      <c r="AB105" s="1" t="s">
        <v>392</v>
      </c>
      <c r="AC105" s="2" t="s">
        <v>167</v>
      </c>
      <c r="AE105" s="1" t="s">
        <v>1501</v>
      </c>
      <c r="AF105" s="1" t="s">
        <v>583</v>
      </c>
      <c r="AG105" s="1" t="s">
        <v>1499</v>
      </c>
      <c r="AH105" s="1" t="s">
        <v>1753</v>
      </c>
      <c r="AI105" s="1" t="s">
        <v>1754</v>
      </c>
      <c r="AJ105" s="1" t="s">
        <v>1755</v>
      </c>
      <c r="CV105" s="1" t="s">
        <v>1506</v>
      </c>
    </row>
    <row r="106">
      <c r="A106" s="1" t="s">
        <v>1756</v>
      </c>
      <c r="B106" s="1" t="str">
        <f>IFERROR(__xludf.DUMMYFUNCTION("GOOGLETRANSLATE(A:A, ""en"", ""te"")"),"పెరిస్ జెఎన్ -1")</f>
        <v>పెరిస్ జెఎన్ -1</v>
      </c>
      <c r="C106" s="1" t="s">
        <v>1757</v>
      </c>
      <c r="D106" s="1" t="str">
        <f>IFERROR(__xludf.DUMMYFUNCTION("GOOGLETRANSLATE(C:C, ""en"", ""te"")"),"పెరిస్ జెఎన్ -1 అనేది ఒక అమెరికన్ హోమ్‌బిల్ట్ విమానం, దీనిని పెన్సిల్వేనియాలోని లాంకాస్టర్‌కు చెందిన జిమ్ పెరిస్ రూపొందించారు. ఇది అందుబాటులో ఉన్నప్పుడు విమానం te త్సాహిక నిర్మాణం కోసం ప్రణాళికల రూపంలో సరఫరా చేయబడింది. [1] [2] [3] JN-1 కోసం ప్రణాళికలను మొ"&amp;"దట డిజైనర్ మరియు తరువాత అతని మరణం తరువాత, అతని భార్య నాన్సీ పెరిస్ చేత విక్రయించారు. ఆమె మరణం తరువాత ప్రణాళికలు ఇకపై అందుబాటులో లేవు. [2] JN-1 నిర్మించడానికి మరియు ఎగరడానికి చాలా ఆర్థిక విమానంగా రూపొందించబడింది. ఈ నమూనా 1980 ల మధ్యలో US $ 2500 కు నిర్మించ"&amp;"బడింది. ఇది స్ట్రట్-బ్రేస్డ్ హై-వింగ్, ఒకే-సీటు, ఒక తలుపు ద్వారా యాక్సెస్ చేయబడిన పరివేష్టిత కాక్‌పిట్, వీల్ ప్యాంటుతో స్థిర సాంప్రదాయ ల్యాండింగ్ గేర్ మరియు ట్రాక్టర్ కాన్ఫిగరేషన్‌లో ఒకే ఇంజిన్ కలిగి ఉంది. [1] [2] ఈ విమానం కలప, నురుగు మరియు ఫైబర్గ్లాస్ కల"&amp;"యికతో తయారు చేయబడింది. ప్రధాన నిర్మాణం షీట్ నురుగు నుండి నిర్మించబడింది మరియు ఫైబర్‌గ్లాస్‌తో కప్పబడి ఉంటుంది, ఫ్యూజ్‌లేజ్ బల్క్‌హెడ్స్, వింగ్ పక్కటెముకలు, స్టెబిలైజర్లు మరియు చుక్కాని. ఫ్యూజ్‌లేజ్ లాంగన్స్, వింగ్ మరియు టెయిల్ స్పార్స్, ల్యాండింగ్ గేర్ మౌ"&amp;"ంట్‌లు మరియు ఫైర్‌వాల్ అన్నీ డగ్లస్ ఫిర్ నుండి తయారవుతాయి, స్పార్స్ ఘనంతో, లామినేట్లు కాదు. ఫార్మర్లు నురుగు నుండి తయారవుతాయి, బలం కోసం రెండు వైపులా ఫైబర్గ్లాస్డ్. అన్ని అమరికలు 4130 స్టీల్ నుండి తయారు చేయబడతాయి. ల్యాండింగ్ గేర్ 3-అంగుళాల ఫైబర్గ్లాస్ మరియ"&amp;"ు మౌంట్ వీల్‌బారో చక్రాలతో చుట్టబడిన ఆటోమోటివ్ లీఫ్ స్ప్రింగ్ నుండి తయారు చేయబడింది. చక్రాల ప్యాంటు నురుగు నుండి తయారవుతుంది, ఫైబర్గ్లాస్‌తో కప్పబడి, ఆపై ఖాళీగా ఉంటుంది. దాని 30.00 అడుగుల (9.1 మీ) స్పాన్ వింగ్‌కు ఫ్లాప్‌లు లేవు, రెక్క ప్రాంతం 140.0 చదరపు "&amp;"అడుగులు (13.01 మీ 2) మరియు గ్రౌండ్ స్టోరేజ్ లేదా రవాణా కోసం మడతలు ఉన్నాయి. ఆమోదయోగ్యమైన శక్తి పరిధి 38 నుండి 50 హెచ్‌పి (28 నుండి 37 కిలోవాట్) మరియు ఉపయోగించిన ప్రామాణిక ఇంజిన్ 38 హెచ్‌పి (28 కిలోవాట్) కవాసాకి 440 స్నోమొబైల్ పవర్‌ప్లాంట్. [1] [2] [3] JN-1"&amp;" లో 320 lb (150 kg) యొక్క ఖాళీ బరువు మరియు 600 lb (270 కిలోల) స్థూల బరువు, 280 lb (130 kg) ఉపయోగకరమైన లోడ్ ఇస్తుంది. 5 యు.ఎస్. గ్యాలన్ల పూర్తి ఇంధనంతో (19 ఎల్; 4.2 ఇంప్ గల్) పైలట్ మరియు సామాను కోసం పేలోడ్ 250 ఎల్బి (110 కిలోలు). [1] [3] ప్రామాణిక రోజు, సమ"&amp;"ుద్ర మట్టం, గాలి లేదు, 38 హెచ్‌పి (28 కిలోవాట్) ఇంజిన్‌తో ల్యాండింగ్ రోల్ 250 అడుగులు (76 మీ). [1] [3] తయారీదారు నిర్మాణ సమయాన్ని సరఫరా చేసిన ప్రణాళికల నుండి 800 గంటలుగా అంచనా వేస్తాడు. [1] ప్రణాళికలు చాలా స్పష్టంగా లేదా పూర్తి కాదని బిల్డర్లు సూచించారు మ"&amp;"రియు గుర్తించడానికి బిల్డర్ వరకు చాలా ఎక్కువ మిగిలి ఉన్నాయి. [2] డిజైనర్ ఈ విమానం గురించి ఇలా అన్నాడు: ""నేను హైటెక్ విధమైన విమానం కోసం వెళ్ళలేదు; ఇది రూపకల్పన మరియు నిర్మించడానికి సరదాగా ఉంది. నిజంగా చాలా చవకైన అభిరుచి! మీరు కొన్ని సంవత్సరాలలో, 500 2,500"&amp;" ఖర్చు చేయగలరని నేను ess హిస్తున్నాను లేదా బౌలింగ్. టెస్ట్ ఫ్లైట్ కొన్ని గంటల నిడివి ఉంది, మరియు మేము J-4 పిల్ల 60 mph. టేకాఫ్ 250 అడుగులలో 40 mph వద్ద ఆరోహణతో ఉంది. రేటు ఎక్కే రేటు నిమిషం. విమానం పూర్తయింది మరియు ఎగురుతుంది. [1] జనవరి 2014 లో ఫెడరల్ ఏవియ"&amp;"ేషన్ అడ్మినిస్ట్రేషన్తో అమెరికాలో మూడు ఉదాహరణలు నమోదు చేయబడ్డాయి, అయినప్పటికీ మొత్తం ఏడు ఒకేసారి నమోదు చేయబడ్డాయి. [4] ఏరోక్రాఫ్టర్ మరియు పైలట్ ఫ్రెండ్ నుండి డేటా [1] [3] సాధారణ లక్షణాల పనితీరు")</f>
        <v>పెరిస్ జెఎన్ -1 అనేది ఒక అమెరికన్ హోమ్‌బిల్ట్ విమానం, దీనిని పెన్సిల్వేనియాలోని లాంకాస్టర్‌కు చెందిన జిమ్ పెరిస్ రూపొందించారు. ఇది అందుబాటులో ఉన్నప్పుడు విమానం te త్సాహిక నిర్మాణం కోసం ప్రణాళికల రూపంలో సరఫరా చేయబడింది. [1] [2] [3] JN-1 కోసం ప్రణాళికలను మొదట డిజైనర్ మరియు తరువాత అతని మరణం తరువాత, అతని భార్య నాన్సీ పెరిస్ చేత విక్రయించారు. ఆమె మరణం తరువాత ప్రణాళికలు ఇకపై అందుబాటులో లేవు. [2] JN-1 నిర్మించడానికి మరియు ఎగరడానికి చాలా ఆర్థిక విమానంగా రూపొందించబడింది. ఈ నమూనా 1980 ల మధ్యలో US $ 2500 కు నిర్మించబడింది. ఇది స్ట్రట్-బ్రేస్డ్ హై-వింగ్, ఒకే-సీటు, ఒక తలుపు ద్వారా యాక్సెస్ చేయబడిన పరివేష్టిత కాక్‌పిట్, వీల్ ప్యాంటుతో స్థిర సాంప్రదాయ ల్యాండింగ్ గేర్ మరియు ట్రాక్టర్ కాన్ఫిగరేషన్‌లో ఒకే ఇంజిన్ కలిగి ఉంది. [1] [2] ఈ విమానం కలప, నురుగు మరియు ఫైబర్గ్లాస్ కలయికతో తయారు చేయబడింది. ప్రధాన నిర్మాణం షీట్ నురుగు నుండి నిర్మించబడింది మరియు ఫైబర్‌గ్లాస్‌తో కప్పబడి ఉంటుంది, ఫ్యూజ్‌లేజ్ బల్క్‌హెడ్స్, వింగ్ పక్కటెముకలు, స్టెబిలైజర్లు మరియు చుక్కాని. ఫ్యూజ్‌లేజ్ లాంగన్స్, వింగ్ మరియు టెయిల్ స్పార్స్, ల్యాండింగ్ గేర్ మౌంట్‌లు మరియు ఫైర్‌వాల్ అన్నీ డగ్లస్ ఫిర్ నుండి తయారవుతాయి, స్పార్స్ ఘనంతో, లామినేట్లు కాదు. ఫార్మర్లు నురుగు నుండి తయారవుతాయి, బలం కోసం రెండు వైపులా ఫైబర్గ్లాస్డ్. అన్ని అమరికలు 4130 స్టీల్ నుండి తయారు చేయబడతాయి. ల్యాండింగ్ గేర్ 3-అంగుళాల ఫైబర్గ్లాస్ మరియు మౌంట్ వీల్‌బారో చక్రాలతో చుట్టబడిన ఆటోమోటివ్ లీఫ్ స్ప్రింగ్ నుండి తయారు చేయబడింది. చక్రాల ప్యాంటు నురుగు నుండి తయారవుతుంది, ఫైబర్గ్లాస్‌తో కప్పబడి, ఆపై ఖాళీగా ఉంటుంది. దాని 30.00 అడుగుల (9.1 మీ) స్పాన్ వింగ్‌కు ఫ్లాప్‌లు లేవు, రెక్క ప్రాంతం 140.0 చదరపు అడుగులు (13.01 మీ 2) మరియు గ్రౌండ్ స్టోరేజ్ లేదా రవాణా కోసం మడతలు ఉన్నాయి. ఆమోదయోగ్యమైన శక్తి పరిధి 38 నుండి 50 హెచ్‌పి (28 నుండి 37 కిలోవాట్) మరియు ఉపయోగించిన ప్రామాణిక ఇంజిన్ 38 హెచ్‌పి (28 కిలోవాట్) కవాసాకి 440 స్నోమొబైల్ పవర్‌ప్లాంట్. [1] [2] [3] JN-1 లో 320 lb (150 kg) యొక్క ఖాళీ బరువు మరియు 600 lb (270 కిలోల) స్థూల బరువు, 280 lb (130 kg) ఉపయోగకరమైన లోడ్ ఇస్తుంది. 5 యు.ఎస్. గ్యాలన్ల పూర్తి ఇంధనంతో (19 ఎల్; 4.2 ఇంప్ గల్) పైలట్ మరియు సామాను కోసం పేలోడ్ 250 ఎల్బి (110 కిలోలు). [1] [3] ప్రామాణిక రోజు, సముద్ర మట్టం, గాలి లేదు, 38 హెచ్‌పి (28 కిలోవాట్) ఇంజిన్‌తో ల్యాండింగ్ రోల్ 250 అడుగులు (76 మీ). [1] [3] తయారీదారు నిర్మాణ సమయాన్ని సరఫరా చేసిన ప్రణాళికల నుండి 800 గంటలుగా అంచనా వేస్తాడు. [1] ప్రణాళికలు చాలా స్పష్టంగా లేదా పూర్తి కాదని బిల్డర్లు సూచించారు మరియు గుర్తించడానికి బిల్డర్ వరకు చాలా ఎక్కువ మిగిలి ఉన్నాయి. [2] డిజైనర్ ఈ విమానం గురించి ఇలా అన్నాడు: "నేను హైటెక్ విధమైన విమానం కోసం వెళ్ళలేదు; ఇది రూపకల్పన మరియు నిర్మించడానికి సరదాగా ఉంది. నిజంగా చాలా చవకైన అభిరుచి! మీరు కొన్ని సంవత్సరాలలో, 500 2,500 ఖర్చు చేయగలరని నేను ess హిస్తున్నాను లేదా బౌలింగ్. టెస్ట్ ఫ్లైట్ కొన్ని గంటల నిడివి ఉంది, మరియు మేము J-4 పిల్ల 60 mph. టేకాఫ్ 250 అడుగులలో 40 mph వద్ద ఆరోహణతో ఉంది. రేటు ఎక్కే రేటు నిమిషం. విమానం పూర్తయింది మరియు ఎగురుతుంది. [1] జనవరి 2014 లో ఫెడరల్ ఏవియేషన్ అడ్మినిస్ట్రేషన్తో అమెరికాలో మూడు ఉదాహరణలు నమోదు చేయబడ్డాయి, అయినప్పటికీ మొత్తం ఏడు ఒకేసారి నమోదు చేయబడ్డాయి. [4] ఏరోక్రాఫ్టర్ మరియు పైలట్ ఫ్రెండ్ నుండి డేటా [1] [3] సాధారణ లక్షణాల పనితీరు</v>
      </c>
      <c r="E106" s="1" t="s">
        <v>154</v>
      </c>
      <c r="F106" s="1" t="str">
        <f>IFERROR(__xludf.DUMMYFUNCTION("GOOGLETRANSLATE(E:E, ""en"", ""te"")"),"హోమ్‌బిల్ట్ విమానం")</f>
        <v>హోమ్‌బిల్ట్ విమానం</v>
      </c>
      <c r="G106" s="1" t="s">
        <v>155</v>
      </c>
      <c r="H106" s="1" t="str">
        <f>IFERROR(__xludf.DUMMYFUNCTION("GOOGLETRANSLATE(G:G, ""en"", ""te"")"),"అమెరికా")</f>
        <v>అమెరికా</v>
      </c>
      <c r="L106" s="1" t="s">
        <v>1758</v>
      </c>
      <c r="O106" s="1" t="s">
        <v>135</v>
      </c>
      <c r="P106" s="1" t="s">
        <v>365</v>
      </c>
      <c r="Q106" s="1" t="s">
        <v>626</v>
      </c>
      <c r="S106" s="1" t="s">
        <v>1759</v>
      </c>
      <c r="T106" s="1" t="s">
        <v>1760</v>
      </c>
      <c r="U106" s="1" t="s">
        <v>1761</v>
      </c>
      <c r="V106" s="1" t="s">
        <v>1762</v>
      </c>
      <c r="W106" s="1" t="s">
        <v>1763</v>
      </c>
      <c r="X106" s="1" t="s">
        <v>1764</v>
      </c>
      <c r="Y106" s="1" t="s">
        <v>1200</v>
      </c>
      <c r="Z106" s="1" t="s">
        <v>1450</v>
      </c>
      <c r="AB106" s="1" t="s">
        <v>166</v>
      </c>
      <c r="AC106" s="2" t="s">
        <v>167</v>
      </c>
      <c r="AD106" s="1" t="s">
        <v>1765</v>
      </c>
      <c r="AE106" s="1" t="s">
        <v>1766</v>
      </c>
      <c r="AF106" s="1" t="s">
        <v>583</v>
      </c>
      <c r="AG106" s="1" t="s">
        <v>832</v>
      </c>
      <c r="AH106" s="1" t="s">
        <v>519</v>
      </c>
      <c r="AI106" s="1" t="s">
        <v>1767</v>
      </c>
      <c r="AJ106" s="1">
        <v>20.0</v>
      </c>
    </row>
    <row r="107">
      <c r="A107" s="1" t="s">
        <v>1768</v>
      </c>
      <c r="B107" s="1" t="str">
        <f>IFERROR(__xludf.DUMMYFUNCTION("GOOGLETRANSLATE(A:A, ""en"", ""te"")"),"సదరన్ ఏరోనాటికల్ స్కాంప్")</f>
        <v>సదరన్ ఏరోనాటికల్ స్కాంప్</v>
      </c>
      <c r="C107" s="1" t="s">
        <v>1769</v>
      </c>
      <c r="D107" s="1" t="str">
        <f>IFERROR(__xludf.DUMMYFUNCTION("GOOGLETRANSLATE(C:C, ""en"", ""te"")"),"సదరన్ ఏరోనాటికల్ స్కాంప్ అనేది స్వదేశీ నిర్మాణం మరియు ఫార్ములా V ఎయిర్ రేసింగ్ కోసం రూపొందించిన ఒక అమెరికన్ విమానం. స్కాంప్ సాంప్రదాయిక ల్యాండింగ్ గేర్‌తో ఒకే ప్రదేశం, మిడ్-వింగ్ విమానం. ఫ్యూజ్‌లేజ్ స్టీల్ గొట్టాలతో నిర్మించబడింది మరియు ఫాబ్రిక్‌తో కప్పబడ"&amp;"ి ఉంటుంది. రెక్కలు అన్ని కలప నిర్మాణాలలో ఉన్నాయి. [1] ఎయిర్ ట్రైల్స్ జనరల్ లక్షణాల నుండి డేటా 1960 ల విమానంలో పోల్చదగిన పాత్ర, కాన్ఫిగరేషన్ మరియు యుగం యొక్క పనితీరు విమానం ఒక స్టబ్. వికీపీడియా విస్తరించడం ద్వారా మీరు సహాయపడవచ్చు.")</f>
        <v>సదరన్ ఏరోనాటికల్ స్కాంప్ అనేది స్వదేశీ నిర్మాణం మరియు ఫార్ములా V ఎయిర్ రేసింగ్ కోసం రూపొందించిన ఒక అమెరికన్ విమానం. స్కాంప్ సాంప్రదాయిక ల్యాండింగ్ గేర్‌తో ఒకే ప్రదేశం, మిడ్-వింగ్ విమానం. ఫ్యూజ్‌లేజ్ స్టీల్ గొట్టాలతో నిర్మించబడింది మరియు ఫాబ్రిక్‌తో కప్పబడి ఉంటుంది. రెక్కలు అన్ని కలప నిర్మాణాలలో ఉన్నాయి. [1] ఎయిర్ ట్రైల్స్ జనరల్ లక్షణాల నుండి డేటా 1960 ల విమానంలో పోల్చదగిన పాత్ర, కాన్ఫిగరేషన్ మరియు యుగం యొక్క పనితీరు విమానం ఒక స్టబ్. వికీపీడియా విస్తరించడం ద్వారా మీరు సహాయపడవచ్చు.</v>
      </c>
      <c r="E107" s="1" t="s">
        <v>154</v>
      </c>
      <c r="F107" s="1" t="str">
        <f>IFERROR(__xludf.DUMMYFUNCTION("GOOGLETRANSLATE(E:E, ""en"", ""te"")"),"హోమ్‌బిల్ట్ విమానం")</f>
        <v>హోమ్‌బిల్ట్ విమానం</v>
      </c>
      <c r="G107" s="1" t="s">
        <v>155</v>
      </c>
      <c r="H107" s="1" t="str">
        <f>IFERROR(__xludf.DUMMYFUNCTION("GOOGLETRANSLATE(G:G, ""en"", ""te"")"),"అమెరికా")</f>
        <v>అమెరికా</v>
      </c>
      <c r="I107" s="1" t="s">
        <v>1770</v>
      </c>
      <c r="J107" s="1" t="str">
        <f>IFERROR(__xludf.DUMMYFUNCTION("GOOGLETRANSLATE(I:I, ""en"", ""te"")"),"సదరన్ ఏరోనాటికల్ కార్పొరేషన్")</f>
        <v>సదరన్ ఏరోనాటికల్ కార్పొరేషన్</v>
      </c>
      <c r="K107" s="1" t="s">
        <v>1771</v>
      </c>
      <c r="O107" s="1" t="s">
        <v>135</v>
      </c>
      <c r="P107" s="1" t="s">
        <v>1772</v>
      </c>
      <c r="Q107" s="1" t="s">
        <v>1773</v>
      </c>
      <c r="R107" s="1" t="s">
        <v>1774</v>
      </c>
      <c r="S107" s="1" t="s">
        <v>1775</v>
      </c>
      <c r="T107" s="1" t="s">
        <v>1416</v>
      </c>
      <c r="U107" s="1" t="s">
        <v>1718</v>
      </c>
      <c r="V107" s="1" t="s">
        <v>1776</v>
      </c>
      <c r="W107" s="1" t="s">
        <v>1777</v>
      </c>
      <c r="X107" s="1" t="s">
        <v>1778</v>
      </c>
      <c r="Y107" s="1" t="s">
        <v>1200</v>
      </c>
      <c r="Z107" s="1" t="s">
        <v>1229</v>
      </c>
      <c r="AB107" s="1" t="s">
        <v>166</v>
      </c>
      <c r="AC107" s="2" t="s">
        <v>167</v>
      </c>
      <c r="AE107" s="1" t="s">
        <v>1214</v>
      </c>
      <c r="AF107" s="1" t="s">
        <v>583</v>
      </c>
      <c r="AG107" s="1" t="s">
        <v>1779</v>
      </c>
      <c r="AH107" s="1" t="s">
        <v>1780</v>
      </c>
    </row>
    <row r="108">
      <c r="A108" s="1" t="s">
        <v>1781</v>
      </c>
      <c r="B108" s="1" t="str">
        <f>IFERROR(__xludf.DUMMYFUNCTION("GOOGLETRANSLATE(A:A, ""en"", ""te"")"),"స్టీవర్ట్ ఎస్ -51 డి ముస్తాంగ్")</f>
        <v>స్టీవర్ట్ ఎస్ -51 డి ముస్తాంగ్</v>
      </c>
      <c r="C108" s="1" t="s">
        <v>1782</v>
      </c>
      <c r="D108" s="1" t="str">
        <f>IFERROR(__xludf.DUMMYFUNCTION("GOOGLETRANSLATE(C:C, ""en"", ""te"")"),"స్టీవర్ట్ ఎస్ -51 డి ముస్తాంగ్ అనేది ఒక అమెరికన్ ఏరోబాటిక్ హోమ్‌బిల్ట్ విమానం, దీనిని జిమ్ స్టీవర్ట్ రూపొందించారు మరియు ఫ్లోరిడాలోని వెరో బీచ్‌కు చెందిన స్టీవర్ట్ 51 చేత నిర్మించబడింది, ఇది 1994 లో పరిచయం చేయబడింది. ఇది అందుబాటులో ఉన్నప్పుడు ఈ విమానం te త"&amp;"్సాహిక నిర్మాణానికి కిట్‌గా సరఫరా చేయబడింది. [1 నటించు S-51D అనేది రెండవ ప్రపంచ యుద్ధం P-51D ముస్తాంగ్ ఫైటర్ విమానం యొక్క 70% స్కేల్ వెర్షన్. [1] డిజైనర్ జిమ్ స్టీవర్ట్ 1989 లో తన యజమాని ప్రాట్ &amp; విట్నీ నుండి S-51D యొక్క సాధనం మరియు రూపకల్పనలో పనిచేయడానిక"&amp;"ి సెలవు తీసుకున్నాడు. ఈ నమూనా 30 మార్చి 1994 న విమానంలో ప్రయాణించింది మరియు జూన్ చివరి నాటికి దాని 40 గంటల పరీక్ష ఎగురుతూ ఉంది. [1] S-51D ముస్తాంగ్ ఒక కాంటిలివర్ లో-వింగ్, బబుల్ పందిరి కింద రెండు-సీట్ల-టెన్డం పరివేష్టిత కాక్‌పిట్, ముడుచుకునే సాంప్రదాయ ల్య"&amp;"ాండింగ్ గేర్ మరియు ట్రాక్టర్ కాన్ఫిగరేషన్‌లో ఒకే ఇంజిన్ ఉన్నాయి. [1] ఈ విమానం షీట్ అల్యూమినియం నుండి తయారు చేయబడింది. దాని 26.00 అడుగుల (7.9 మీ) స్పాన్ వింగ్ ఫ్లాప్‌లను మౌంట్ చేస్తుంది మరియు వింగ్ ఏరియా 123.0 చదరపు అడుగులు (11.43 మీ 2) కలిగి ఉంది. క్యాబిన"&amp;"్ వెడల్పు 21 లో (53 సెం.మీ). ఆమోదయోగ్యమైన విద్యుత్ పరిధి 300 నుండి 600 హెచ్‌పి (224 నుండి 447 కిలోవాట్). పేర్కొన్న ప్రొపెల్లర్ 91 ఇన్ (2.31 మీ) వ్యాసం, స్థిరమైన వేగం నాలుగు-బ్లేడెడ్ హార్ట్జెల్ ప్రొపెల్లర్ యూనిట్, ఇది ఒక (2.13: 1) తగ్గింపు నిష్పత్తితో స్పర"&amp;"్ గేర్ ద్వారా నడపబడుతుంది. [1] [2] S-51D ముస్తాంగ్ ఒక సాధారణ ఖాళీ బరువు 2,200 lb (1,000 కిలోలు) మరియు స్థూల బరువు 3,000 పౌండ్లు (1,400 కిలోలు), ఇది 800 పౌండ్లు (360 కిలోల) ఉపయోగకరమైన లోడ్ ఇస్తుంది. 70 యు.ఎస్. గ్యాలన్ల పూర్తి ఇంధనంతో (260 ఎల్; 58 ఇంప్ గల్)"&amp;" పైలట్, ప్రయాణీకుడు మరియు సామాను 380 ఎల్బి (170 కిలోలు). [1] ప్రామాణిక రోజు, సముద్ర మట్టం, విండ్ లేదు, 400 హెచ్‌పి (298 కిలోవాట్) ఇంజిన్‌తో టేకాఫ్ 1,080 అడుగులు (329 మీ) మరియు ల్యాండింగ్ రోల్ 1,800 అడుగులు (549 మీ). [1] తయారీదారు నిర్మాణ సమయాన్ని సరఫరా చే"&amp;"సిన ప్రామాణిక కిట్ నుండి 2000 గంటలుగా అంచనా వేశారు. ఫాస్ట్-బిల్డ్ కిట్ కూడా అందుబాటులో ఉంది. [1] 1998 నాటికి 72 కిట్లు విక్రయించబడ్డాయి మరియు రెండు విమానాలు పూర్తయ్యాయని మరియు ఎగురుతున్నాయని కంపెనీ నివేదించింది. [1] మార్చి 2014 లో, ఫెడరల్ ఏవియేషన్ అడ్మిని"&amp;"స్ట్రేషన్ తో 12 ఉదాహరణలు అమెరికాలో నమోదు చేయబడ్డాయి, అయినప్పటికీ మొత్తం 19 ఒకేసారి నమోదు చేయబడ్డాయి. [3] ఏరోక్రాఫ్టర్ మరియు ఎయిర్క్రాఫ్ట్ స్ప్రూస్ నుండి డేటా [1] [2] సాధారణ లక్షణాల పనితీరు")</f>
        <v>స్టీవర్ట్ ఎస్ -51 డి ముస్తాంగ్ అనేది ఒక అమెరికన్ ఏరోబాటిక్ హోమ్‌బిల్ట్ విమానం, దీనిని జిమ్ స్టీవర్ట్ రూపొందించారు మరియు ఫ్లోరిడాలోని వెరో బీచ్‌కు చెందిన స్టీవర్ట్ 51 చేత నిర్మించబడింది, ఇది 1994 లో పరిచయం చేయబడింది. ఇది అందుబాటులో ఉన్నప్పుడు ఈ విమానం te త్సాహిక నిర్మాణానికి కిట్‌గా సరఫరా చేయబడింది. [1 నటించు S-51D అనేది రెండవ ప్రపంచ యుద్ధం P-51D ముస్తాంగ్ ఫైటర్ విమానం యొక్క 70% స్కేల్ వెర్షన్. [1] డిజైనర్ జిమ్ స్టీవర్ట్ 1989 లో తన యజమాని ప్రాట్ &amp; విట్నీ నుండి S-51D యొక్క సాధనం మరియు రూపకల్పనలో పనిచేయడానికి సెలవు తీసుకున్నాడు. ఈ నమూనా 30 మార్చి 1994 న విమానంలో ప్రయాణించింది మరియు జూన్ చివరి నాటికి దాని 40 గంటల పరీక్ష ఎగురుతూ ఉంది. [1] S-51D ముస్తాంగ్ ఒక కాంటిలివర్ లో-వింగ్, బబుల్ పందిరి కింద రెండు-సీట్ల-టెన్డం పరివేష్టిత కాక్‌పిట్, ముడుచుకునే సాంప్రదాయ ల్యాండింగ్ గేర్ మరియు ట్రాక్టర్ కాన్ఫిగరేషన్‌లో ఒకే ఇంజిన్ ఉన్నాయి. [1] ఈ విమానం షీట్ అల్యూమినియం నుండి తయారు చేయబడింది. దాని 26.00 అడుగుల (7.9 మీ) స్పాన్ వింగ్ ఫ్లాప్‌లను మౌంట్ చేస్తుంది మరియు వింగ్ ఏరియా 123.0 చదరపు అడుగులు (11.43 మీ 2) కలిగి ఉంది. క్యాబిన్ వెడల్పు 21 లో (53 సెం.మీ). ఆమోదయోగ్యమైన విద్యుత్ పరిధి 300 నుండి 600 హెచ్‌పి (224 నుండి 447 కిలోవాట్). పేర్కొన్న ప్రొపెల్లర్ 91 ఇన్ (2.31 మీ) వ్యాసం, స్థిరమైన వేగం నాలుగు-బ్లేడెడ్ హార్ట్జెల్ ప్రొపెల్లర్ యూనిట్, ఇది ఒక (2.13: 1) తగ్గింపు నిష్పత్తితో స్పర్ గేర్ ద్వారా నడపబడుతుంది. [1] [2] S-51D ముస్తాంగ్ ఒక సాధారణ ఖాళీ బరువు 2,200 lb (1,000 కిలోలు) మరియు స్థూల బరువు 3,000 పౌండ్లు (1,400 కిలోలు), ఇది 800 పౌండ్లు (360 కిలోల) ఉపయోగకరమైన లోడ్ ఇస్తుంది. 70 యు.ఎస్. గ్యాలన్ల పూర్తి ఇంధనంతో (260 ఎల్; 58 ఇంప్ గల్) పైలట్, ప్రయాణీకుడు మరియు సామాను 380 ఎల్బి (170 కిలోలు). [1] ప్రామాణిక రోజు, సముద్ర మట్టం, విండ్ లేదు, 400 హెచ్‌పి (298 కిలోవాట్) ఇంజిన్‌తో టేకాఫ్ 1,080 అడుగులు (329 మీ) మరియు ల్యాండింగ్ రోల్ 1,800 అడుగులు (549 మీ). [1] తయారీదారు నిర్మాణ సమయాన్ని సరఫరా చేసిన ప్రామాణిక కిట్ నుండి 2000 గంటలుగా అంచనా వేశారు. ఫాస్ట్-బిల్డ్ కిట్ కూడా అందుబాటులో ఉంది. [1] 1998 నాటికి 72 కిట్లు విక్రయించబడ్డాయి మరియు రెండు విమానాలు పూర్తయ్యాయని మరియు ఎగురుతున్నాయని కంపెనీ నివేదించింది. [1] మార్చి 2014 లో, ఫెడరల్ ఏవియేషన్ అడ్మినిస్ట్రేషన్ తో 12 ఉదాహరణలు అమెరికాలో నమోదు చేయబడ్డాయి, అయినప్పటికీ మొత్తం 19 ఒకేసారి నమోదు చేయబడ్డాయి. [3] ఏరోక్రాఫ్టర్ మరియు ఎయిర్క్రాఫ్ట్ స్ప్రూస్ నుండి డేటా [1] [2] సాధారణ లక్షణాల పనితీరు</v>
      </c>
      <c r="E108" s="1" t="s">
        <v>154</v>
      </c>
      <c r="F108" s="1" t="str">
        <f>IFERROR(__xludf.DUMMYFUNCTION("GOOGLETRANSLATE(E:E, ""en"", ""te"")"),"హోమ్‌బిల్ట్ విమానం")</f>
        <v>హోమ్‌బిల్ట్ విమానం</v>
      </c>
      <c r="G108" s="1" t="s">
        <v>155</v>
      </c>
      <c r="H108" s="1" t="str">
        <f>IFERROR(__xludf.DUMMYFUNCTION("GOOGLETRANSLATE(G:G, ""en"", ""te"")"),"అమెరికా")</f>
        <v>అమెరికా</v>
      </c>
      <c r="I108" s="1" t="s">
        <v>1783</v>
      </c>
      <c r="J108" s="1" t="str">
        <f>IFERROR(__xludf.DUMMYFUNCTION("GOOGLETRANSLATE(I:I, ""en"", ""te"")"),"స్టీవర్ట్ 51")</f>
        <v>స్టీవర్ట్ 51</v>
      </c>
      <c r="K108" s="1" t="s">
        <v>1784</v>
      </c>
      <c r="L108" s="1" t="s">
        <v>1785</v>
      </c>
      <c r="N108" s="3">
        <v>34423.0</v>
      </c>
      <c r="O108" s="1" t="s">
        <v>135</v>
      </c>
      <c r="P108" s="1" t="s">
        <v>1786</v>
      </c>
      <c r="Q108" s="1" t="s">
        <v>1787</v>
      </c>
      <c r="S108" s="1" t="s">
        <v>1788</v>
      </c>
      <c r="T108" s="1" t="s">
        <v>1789</v>
      </c>
      <c r="U108" s="1" t="s">
        <v>1790</v>
      </c>
      <c r="V108" s="1" t="s">
        <v>1791</v>
      </c>
      <c r="W108" s="1" t="s">
        <v>1792</v>
      </c>
      <c r="X108" s="1" t="s">
        <v>443</v>
      </c>
      <c r="Y108" s="1" t="s">
        <v>1793</v>
      </c>
      <c r="Z108" s="1" t="s">
        <v>1794</v>
      </c>
      <c r="AB108" s="1" t="s">
        <v>166</v>
      </c>
      <c r="AC108" s="2" t="s">
        <v>167</v>
      </c>
      <c r="AD108" s="1" t="s">
        <v>581</v>
      </c>
      <c r="AE108" s="1" t="s">
        <v>1470</v>
      </c>
      <c r="AF108" s="1" t="s">
        <v>1795</v>
      </c>
      <c r="AG108" s="1" t="s">
        <v>1796</v>
      </c>
      <c r="AH108" s="1" t="s">
        <v>1797</v>
      </c>
      <c r="AI108" s="1" t="s">
        <v>1798</v>
      </c>
      <c r="AJ108" s="1" t="s">
        <v>1799</v>
      </c>
      <c r="AK108" s="1" t="s">
        <v>195</v>
      </c>
      <c r="BA108" s="1" t="s">
        <v>1800</v>
      </c>
      <c r="BF108" s="1" t="s">
        <v>1801</v>
      </c>
      <c r="BG108" s="1" t="s">
        <v>1802</v>
      </c>
      <c r="BN108" s="1">
        <v>1994.0</v>
      </c>
    </row>
    <row r="109">
      <c r="A109" s="1" t="s">
        <v>1803</v>
      </c>
      <c r="B109" s="1" t="str">
        <f>IFERROR(__xludf.DUMMYFUNCTION("GOOGLETRANSLATE(A:A, ""en"", ""te"")"),"ప్రిసెప్టర్ స్ట్రింగర్")</f>
        <v>ప్రిసెప్టర్ స్ట్రింగర్</v>
      </c>
      <c r="C109" s="1" t="s">
        <v>1804</v>
      </c>
      <c r="D109" s="1" t="str">
        <f>IFERROR(__xludf.DUMMYFUNCTION("GOOGLETRANSLATE(C:C, ""en"", ""te"")"),"ప్రిసెప్టర్ స్ట్రింగర్ అనేది ఒక అమెరికన్ హోమ్‌బిల్ట్ విమానం, దీనిని నార్త్ కరోలినాలోని రూథర్‌ఫోర్టన్ యొక్క ప్రిసెప్టర్ విమానాలచే రూపొందించబడింది మరియు ఉత్పత్తి చేయబడింది. ఇది అందుబాటులో ఉన్నప్పుడు విమానం ప్రణాళికలుగా లేదా te త్సాహిక నిర్మాణానికి కిట్‌గా స"&amp;"రఫరా చేయబడింది. [1] [2] సంస్థ 2012 లో వ్యాపారం నుండి బయటపడినట్లు కనిపిస్తోంది మరియు ఉత్పత్తిని తగ్గించారు. [3] స్ట్రింగర్ అనేది ప్రిసెప్టర్ ఎన్ 3 పప్ యొక్క అభివృద్ధి. ఇది స్ట్రట్-బ్రేస్డ్ పారాసోల్ వింగ్, సింగిల్-సీట్, ఓపెన్ కాక్‌పిట్, స్థిర సాంప్రదాయ ల్యా"&amp;"ండింగ్ గేర్ మరియు ట్రాక్టర్ కాన్ఫిగరేషన్‌లో ఒకే ఇంజిన్ కలిగి ఉంది. [1] ఈ విమానం డోప్డ్ ఎయిర్క్రాఫ్ట్ ఫాబ్రిక్‌లో కప్పబడిన వెల్డెడ్ స్టీల్ గొట్టాల నుండి తయారవుతుంది. దీని 30.5 అడుగుల (9.3 మీ) స్పాన్ వింగ్ కుక్కపిల్లపై ఉపయోగించినట్లుగా ఉంటుంది మరియు వింగ్ ఏ"&amp;"రియా 122.0 చదరపు అడుగులు (11.33 మీ 2) కలిగి ఉంటుంది. రెక్కకు కాబేన్ స్ట్రట్స్ మరియు ""వి"" స్ట్రట్స్, జ్యూరీ స్ట్రట్స్ తో మద్దతు ఇస్తున్నాయి. కాక్‌పిట్ వెడల్పు 22.8 (58 సెం.మీ). ఆమోదయోగ్యమైన విద్యుత్ శ్రేణి 35 నుండి 50 హెచ్‌పి (26 నుండి 37 కిలోవాట్) మరియు"&amp;" ఉపయోగించిన ప్రామాణిక ఇంజిన్ 50 హెచ్‌పి (37 కిలోవాట్) వోక్స్వ్యాగన్ 1600 సిసి, నాలుగు సిలిండర్, ఎయిర్-కూల్డ్, నాలుగు స్ట్రోక్ ఆటోమోటివ్ కన్వర్షన్ పవర్‌ప్లాంట్. ప్రామాణిక రోజు, సముద్ర మట్టం, గాలి లేదు, 50 హెచ్‌పి (37 కిలోవాట్) ఇంజిన్‌తో టేకాఫ్ 100 అడుగులు "&amp;"(30 మీ) మరియు ల్యాండింగ్ రోల్ 150 అడుగులు (46 మీ). [1] [2] ఈ విమానం ఒక సాధారణ ఖాళీ బరువు 400 పౌండ్లు (180 కిలోలు) మరియు స్థూల బరువు 660 ఎల్బి (300 కిలోలు), ఇది 260 ఎల్బి (120 కిలోల) ఉపయోగకరమైన లోడ్‌ను ఇస్తుంది. 10 యు.ఎస్. గ్యాలన్ల పూర్తి ఇంధనంతో (38 ఎల్; "&amp;"8.3 ఇంప్ గల్) పైలట్ మరియు సామాను కోసం పేలోడ్ 200 ఎల్బి (91 కిలోలు). [2] తయారీదారు నిర్మాణ సమయాన్ని సరఫరా చేసిన కిట్ నుండి 450 గంటలుగా అంచనా వేశారు మరియు 2011 లో విమానం US $ 22,000-26,000 వద్ద విమానాన్ని పూర్తి చేయడానికి అయ్యే ఖర్చు. [2] 1998 నాటికి కంపెనీ"&amp;" మూడు కిట్లు విక్రయించబడిందని మరియు ఒక విమానం పూర్తయిందని మరియు ఎగురుతున్నట్లు కంపెనీ నివేదించింది. [1] 2011 నాటికి కంపెనీ రెండు ఎగురుతున్నట్లు నివేదించింది. [2] ఏరోక్రాఫ్టర్ మరియు కిట్‌ప్లాన్‌ల నుండి డేటా [1] [2] సాధారణ లక్షణాల పనితీరు")</f>
        <v>ప్రిసెప్టర్ స్ట్రింగర్ అనేది ఒక అమెరికన్ హోమ్‌బిల్ట్ విమానం, దీనిని నార్త్ కరోలినాలోని రూథర్‌ఫోర్టన్ యొక్క ప్రిసెప్టర్ విమానాలచే రూపొందించబడింది మరియు ఉత్పత్తి చేయబడింది. ఇది అందుబాటులో ఉన్నప్పుడు విమానం ప్రణాళికలుగా లేదా te త్సాహిక నిర్మాణానికి కిట్‌గా సరఫరా చేయబడింది. [1] [2] సంస్థ 2012 లో వ్యాపారం నుండి బయటపడినట్లు కనిపిస్తోంది మరియు ఉత్పత్తిని తగ్గించారు. [3] స్ట్రింగర్ అనేది ప్రిసెప్టర్ ఎన్ 3 పప్ యొక్క అభివృద్ధి. ఇది స్ట్రట్-బ్రేస్డ్ పారాసోల్ వింగ్, సింగిల్-సీట్, ఓపెన్ కాక్‌పిట్, స్థిర సాంప్రదాయ ల్యాండింగ్ గేర్ మరియు ట్రాక్టర్ కాన్ఫిగరేషన్‌లో ఒకే ఇంజిన్ కలిగి ఉంది. [1] ఈ విమానం డోప్డ్ ఎయిర్క్రాఫ్ట్ ఫాబ్రిక్‌లో కప్పబడిన వెల్డెడ్ స్టీల్ గొట్టాల నుండి తయారవుతుంది. దీని 30.5 అడుగుల (9.3 మీ) స్పాన్ వింగ్ కుక్కపిల్లపై ఉపయోగించినట్లుగా ఉంటుంది మరియు వింగ్ ఏరియా 122.0 చదరపు అడుగులు (11.33 మీ 2) కలిగి ఉంటుంది. రెక్కకు కాబేన్ స్ట్రట్స్ మరియు "వి" స్ట్రట్స్, జ్యూరీ స్ట్రట్స్ తో మద్దతు ఇస్తున్నాయి. కాక్‌పిట్ వెడల్పు 22.8 (58 సెం.మీ). ఆమోదయోగ్యమైన విద్యుత్ శ్రేణి 35 నుండి 50 హెచ్‌పి (26 నుండి 37 కిలోవాట్) మరియు ఉపయోగించిన ప్రామాణిక ఇంజిన్ 50 హెచ్‌పి (37 కిలోవాట్) వోక్స్వ్యాగన్ 1600 సిసి, నాలుగు సిలిండర్, ఎయిర్-కూల్డ్, నాలుగు స్ట్రోక్ ఆటోమోటివ్ కన్వర్షన్ పవర్‌ప్లాంట్. ప్రామాణిక రోజు, సముద్ర మట్టం, గాలి లేదు, 50 హెచ్‌పి (37 కిలోవాట్) ఇంజిన్‌తో టేకాఫ్ 100 అడుగులు (30 మీ) మరియు ల్యాండింగ్ రోల్ 150 అడుగులు (46 మీ). [1] [2] ఈ విమానం ఒక సాధారణ ఖాళీ బరువు 400 పౌండ్లు (180 కిలోలు) మరియు స్థూల బరువు 660 ఎల్బి (300 కిలోలు), ఇది 260 ఎల్బి (120 కిలోల) ఉపయోగకరమైన లోడ్‌ను ఇస్తుంది. 10 యు.ఎస్. గ్యాలన్ల పూర్తి ఇంధనంతో (38 ఎల్; 8.3 ఇంప్ గల్) పైలట్ మరియు సామాను కోసం పేలోడ్ 200 ఎల్బి (91 కిలోలు). [2] తయారీదారు నిర్మాణ సమయాన్ని సరఫరా చేసిన కిట్ నుండి 450 గంటలుగా అంచనా వేశారు మరియు 2011 లో విమానం US $ 22,000-26,000 వద్ద విమానాన్ని పూర్తి చేయడానికి అయ్యే ఖర్చు. [2] 1998 నాటికి కంపెనీ మూడు కిట్లు విక్రయించబడిందని మరియు ఒక విమానం పూర్తయిందని మరియు ఎగురుతున్నట్లు కంపెనీ నివేదించింది. [1] 2011 నాటికి కంపెనీ రెండు ఎగురుతున్నట్లు నివేదించింది. [2] ఏరోక్రాఫ్టర్ మరియు కిట్‌ప్లాన్‌ల నుండి డేటా [1] [2] సాధారణ లక్షణాల పనితీరు</v>
      </c>
      <c r="E109" s="1" t="s">
        <v>154</v>
      </c>
      <c r="F109" s="1" t="str">
        <f>IFERROR(__xludf.DUMMYFUNCTION("GOOGLETRANSLATE(E:E, ""en"", ""te"")"),"హోమ్‌బిల్ట్ విమానం")</f>
        <v>హోమ్‌బిల్ట్ విమానం</v>
      </c>
      <c r="G109" s="1" t="s">
        <v>155</v>
      </c>
      <c r="H109" s="1" t="str">
        <f>IFERROR(__xludf.DUMMYFUNCTION("GOOGLETRANSLATE(G:G, ""en"", ""te"")"),"అమెరికా")</f>
        <v>అమెరికా</v>
      </c>
      <c r="I109" s="1" t="s">
        <v>1805</v>
      </c>
      <c r="J109" s="1" t="str">
        <f>IFERROR(__xludf.DUMMYFUNCTION("GOOGLETRANSLATE(I:I, ""en"", ""te"")"),"ప్రిసెప్టర్ విమానం")</f>
        <v>ప్రిసెప్టర్ విమానం</v>
      </c>
      <c r="K109" s="1" t="s">
        <v>1806</v>
      </c>
      <c r="O109" s="1" t="s">
        <v>135</v>
      </c>
      <c r="P109" s="1" t="s">
        <v>1807</v>
      </c>
      <c r="Q109" s="1" t="s">
        <v>1808</v>
      </c>
      <c r="S109" s="1" t="s">
        <v>1809</v>
      </c>
      <c r="T109" s="1" t="s">
        <v>1416</v>
      </c>
      <c r="U109" s="1" t="s">
        <v>1810</v>
      </c>
      <c r="V109" s="1" t="s">
        <v>1811</v>
      </c>
      <c r="X109" s="1" t="s">
        <v>1448</v>
      </c>
      <c r="Z109" s="1" t="s">
        <v>1229</v>
      </c>
      <c r="AB109" s="1" t="s">
        <v>166</v>
      </c>
      <c r="AC109" s="2" t="s">
        <v>167</v>
      </c>
      <c r="AD109" s="1" t="s">
        <v>1812</v>
      </c>
      <c r="AE109" s="1" t="s">
        <v>1214</v>
      </c>
      <c r="AF109" s="1" t="s">
        <v>1555</v>
      </c>
      <c r="AG109" s="1" t="s">
        <v>1612</v>
      </c>
      <c r="AH109" s="1" t="s">
        <v>1417</v>
      </c>
      <c r="AI109" s="1" t="s">
        <v>1813</v>
      </c>
      <c r="AJ109" s="1" t="s">
        <v>897</v>
      </c>
      <c r="BF109" s="1" t="s">
        <v>1814</v>
      </c>
      <c r="BG109" s="1" t="s">
        <v>1815</v>
      </c>
    </row>
    <row r="110">
      <c r="A110" s="1" t="s">
        <v>1816</v>
      </c>
      <c r="B110" s="1" t="str">
        <f>IFERROR(__xludf.DUMMYFUNCTION("GOOGLETRANSLATE(A:A, ""en"", ""te"")"),"రాన్స్ ఎస్ -20 రావెన్")</f>
        <v>రాన్స్ ఎస్ -20 రావెన్</v>
      </c>
      <c r="C110" s="1" t="s">
        <v>1817</v>
      </c>
      <c r="D110" s="1" t="str">
        <f>IFERROR(__xludf.DUMMYFUNCTION("GOOGLETRANSLATE(C:C, ""en"", ""te"")"),"రాన్స్ ఎస్ -20 రావెన్ అనేది ఒక అమెరికన్ హోమ్‌బిల్ట్ విమానం, దీనిని రాండి ష్లిట్టర్ రూపొందించారు మరియు ఆగస్టు 2013 లో ఎయిర్‌వెంచర్‌లో ప్రవేశపెట్టిన కాన్సాస్‌లోని హేస్ యొక్క రాన్స్ డిజైన్లచే నిర్మించబడింది. ఈ విమానం te త్సాహిక నిర్మాణానికి కిట్‌గా సరఫరా చేయ"&amp;"బడుతుంది మరియు అది is హించబడింది ఇది తరువాత లైట్-స్పోర్ట్ విమాన వర్గంలో పూర్తి రెడీ-టు-ఫ్లై-ఎయిర్‌క్రాఫ్ట్‌గా అందించబడుతుంది. [1] [2] S-20 RANS S-6 కొయెట్ II మరియు RANS S-7 కొరియర్ మోడళ్ల నుండి లక్షణాలను మిళితం చేస్తుంది. ఇది S-6 నుండి వెల్డెడ్ 4130 స్టీల"&amp;"్ గొట్టాల నుండి తయారైన మొత్తం ఫ్యూజ్‌లేజ్‌ను కాక్‌పిట్ కేజ్ మాత్రమే కాదు మరియు ఇది S-7 యొక్క రెక్కలను ఉపయోగిస్తుంది. [1] [2] [3] ఈ విమానం స్ట్రట్-బ్రేస్డ్ హై-వింగ్, రెండు-సీట్ల-సైడ్-సైడ్-సైడ్ కాన్ఫిగరేషన్ పరివేష్టిత కాక్‌పిట్, పెరిగిన భుజం గది, స్థిర సాంప"&amp;"్రదాయ ల్యాండింగ్ గేర్ లేదా ఐచ్ఛికంగా ట్రైసైకిల్ ల్యాండింగ్ గేర్ ఇవ్వడానికి వంగి ఉన్న అగ్రస్థాన తలుపుల ద్వారా యాక్సెస్ చేయబడింది 7075 అల్యూమినియం నుండి వీల్ ప్యాంటు మరియు ట్రాక్టర్ కాన్ఫిగరేషన్‌లో ఒకే ఇంజిన్ నుండి తయారు చేయబడింది. [1] [2] [4] విమానం ఫ్యూజ్"&amp;"‌లేజ్ వెల్డెడ్ 4130 స్టీల్ గొట్టాల నుండి తయారవుతుంది, రెక్కలు అల్యూమినియం నిర్మాణంలో ఉన్నాయి, అన్ని ఉపరితలాలు డోప్డ్ ఎయిర్క్రాఫ్ట్ ఫాబ్రిక్‌లో కప్పబడి ఉంటాయి. దాని 30.25 అడుగుల (9.2 మీ) స్పాన్ వింగ్ మౌంట్స్ ఫ్లాప్స్, 152.7 చదరపు అడుగుల (14.19 మీ 2) రెక్క "&amp;"ప్రాంతాన్ని కలిగి ఉంది మరియు జ్యూరీ స్ట్రట్‌లతో ""వి"" స్ట్రట్‌లచే మద్దతు ఉంది. క్యాబిన్ వెడల్పు 46 అంగుళాల (120 సెం.మీ) కలిగి ఉంది మరియు పెద్ద ఓవర్ హెడ్ స్కైలైట్ కలిగి ఉంది. ఆమోదయోగ్యమైన శక్తి శ్రేణి 100 నుండి 160 హెచ్‌పి (75 నుండి 119 కిలోవాట్) మరియు ఉప"&amp;"యోగించిన ప్రామాణిక ఇంజన్లు 100 హెచ్‌పి (75 కిలోవాట్ ఈ విమానం సాధారణ ఖాళీ బరువు 740 పౌండ్లు (340 కిలోలు) మరియు స్థూల బరువు 1,320 పౌండ్లు (600 కిలోలు), ఇది 580 పౌండ్లు (260 కిలోల) ఉపయోగకరమైన లోడ్ ఇస్తుంది. 26 యు.ఎస్. గ్యాలన్ల పూర్తి ఇంధనంతో (98 ఎల్; 22 ఇంప్"&amp;" గల్) పైలట్, ప్రయాణీకుడు మరియు సామాను 424 ఎల్బి (192 కిలోలు). [4] తయారీదారు సరఫరా చేసిన కిట్ నుండి నిర్మాణ సమయాన్ని 500–700 గంటలుగా అంచనా వేశాడు, ఫిబ్రవరి 2014 లో కిట్స్ షిప్పింగ్ ప్రారంభమవుతుందని అంచనా. $ 120,000. [1] [4] [5] జనవరి 2014 లో ఫెడరల్ ఏవియేషన"&amp;"్ అడ్మినిస్ట్రేషన్ తో అమెరికాలో ఒక ఉదాహరణ నమోదు చేయబడింది, అయినప్పటికీ మొత్తం రెండు ఒకేసారి నమోదు చేయబడ్డాయి. [6] AVWEB మరియు RANS నుండి డేటా [1] [4] సాధారణ లక్షణాల పనితీరు")</f>
        <v>రాన్స్ ఎస్ -20 రావెన్ అనేది ఒక అమెరికన్ హోమ్‌బిల్ట్ విమానం, దీనిని రాండి ష్లిట్టర్ రూపొందించారు మరియు ఆగస్టు 2013 లో ఎయిర్‌వెంచర్‌లో ప్రవేశపెట్టిన కాన్సాస్‌లోని హేస్ యొక్క రాన్స్ డిజైన్లచే నిర్మించబడింది. ఈ విమానం te త్సాహిక నిర్మాణానికి కిట్‌గా సరఫరా చేయబడుతుంది మరియు అది is హించబడింది ఇది తరువాత లైట్-స్పోర్ట్ విమాన వర్గంలో పూర్తి రెడీ-టు-ఫ్లై-ఎయిర్‌క్రాఫ్ట్‌గా అందించబడుతుంది. [1] [2] S-20 RANS S-6 కొయెట్ II మరియు RANS S-7 కొరియర్ మోడళ్ల నుండి లక్షణాలను మిళితం చేస్తుంది. ఇది S-6 నుండి వెల్డెడ్ 4130 స్టీల్ గొట్టాల నుండి తయారైన మొత్తం ఫ్యూజ్‌లేజ్‌ను కాక్‌పిట్ కేజ్ మాత్రమే కాదు మరియు ఇది S-7 యొక్క రెక్కలను ఉపయోగిస్తుంది. [1] [2] [3] ఈ విమానం స్ట్రట్-బ్రేస్డ్ హై-వింగ్, రెండు-సీట్ల-సైడ్-సైడ్-సైడ్ కాన్ఫిగరేషన్ పరివేష్టిత కాక్‌పిట్, పెరిగిన భుజం గది, స్థిర సాంప్రదాయ ల్యాండింగ్ గేర్ లేదా ఐచ్ఛికంగా ట్రైసైకిల్ ల్యాండింగ్ గేర్ ఇవ్వడానికి వంగి ఉన్న అగ్రస్థాన తలుపుల ద్వారా యాక్సెస్ చేయబడింది 7075 అల్యూమినియం నుండి వీల్ ప్యాంటు మరియు ట్రాక్టర్ కాన్ఫిగరేషన్‌లో ఒకే ఇంజిన్ నుండి తయారు చేయబడింది. [1] [2] [4] విమానం ఫ్యూజ్‌లేజ్ వెల్డెడ్ 4130 స్టీల్ గొట్టాల నుండి తయారవుతుంది, రెక్కలు అల్యూమినియం నిర్మాణంలో ఉన్నాయి, అన్ని ఉపరితలాలు డోప్డ్ ఎయిర్క్రాఫ్ట్ ఫాబ్రిక్‌లో కప్పబడి ఉంటాయి. దాని 30.25 అడుగుల (9.2 మీ) స్పాన్ వింగ్ మౌంట్స్ ఫ్లాప్స్, 152.7 చదరపు అడుగుల (14.19 మీ 2) రెక్క ప్రాంతాన్ని కలిగి ఉంది మరియు జ్యూరీ స్ట్రట్‌లతో "వి" స్ట్రట్‌లచే మద్దతు ఉంది. క్యాబిన్ వెడల్పు 46 అంగుళాల (120 సెం.మీ) కలిగి ఉంది మరియు పెద్ద ఓవర్ హెడ్ స్కైలైట్ కలిగి ఉంది. ఆమోదయోగ్యమైన శక్తి శ్రేణి 100 నుండి 160 హెచ్‌పి (75 నుండి 119 కిలోవాట్) మరియు ఉపయోగించిన ప్రామాణిక ఇంజన్లు 100 హెచ్‌పి (75 కిలోవాట్ ఈ విమానం సాధారణ ఖాళీ బరువు 740 పౌండ్లు (340 కిలోలు) మరియు స్థూల బరువు 1,320 పౌండ్లు (600 కిలోలు), ఇది 580 పౌండ్లు (260 కిలోల) ఉపయోగకరమైన లోడ్ ఇస్తుంది. 26 యు.ఎస్. గ్యాలన్ల పూర్తి ఇంధనంతో (98 ఎల్; 22 ఇంప్ గల్) పైలట్, ప్రయాణీకుడు మరియు సామాను 424 ఎల్బి (192 కిలోలు). [4] తయారీదారు సరఫరా చేసిన కిట్ నుండి నిర్మాణ సమయాన్ని 500–700 గంటలుగా అంచనా వేశాడు, ఫిబ్రవరి 2014 లో కిట్స్ షిప్పింగ్ ప్రారంభమవుతుందని అంచనా. $ 120,000. [1] [4] [5] జనవరి 2014 లో ఫెడరల్ ఏవియేషన్ అడ్మినిస్ట్రేషన్ తో అమెరికాలో ఒక ఉదాహరణ నమోదు చేయబడింది, అయినప్పటికీ మొత్తం రెండు ఒకేసారి నమోదు చేయబడ్డాయి. [6] AVWEB మరియు RANS నుండి డేటా [1] [4] సాధారణ లక్షణాల పనితీరు</v>
      </c>
      <c r="E110" s="1" t="s">
        <v>1818</v>
      </c>
      <c r="F110" s="1" t="str">
        <f>IFERROR(__xludf.DUMMYFUNCTION("GOOGLETRANSLATE(E:E, ""en"", ""te"")"),"హోమ్‌బిల్ట్ విమానం, లైట్-స్పోర్ట్ విమానం")</f>
        <v>హోమ్‌బిల్ట్ విమానం, లైట్-స్పోర్ట్ విమానం</v>
      </c>
      <c r="G110" s="1" t="s">
        <v>155</v>
      </c>
      <c r="H110" s="1" t="str">
        <f>IFERROR(__xludf.DUMMYFUNCTION("GOOGLETRANSLATE(G:G, ""en"", ""te"")"),"అమెరికా")</f>
        <v>అమెరికా</v>
      </c>
      <c r="I110" s="1" t="s">
        <v>1819</v>
      </c>
      <c r="J110" s="1" t="str">
        <f>IFERROR(__xludf.DUMMYFUNCTION("GOOGLETRANSLATE(I:I, ""en"", ""te"")"),"రాన్స్ డిజైన్స్")</f>
        <v>రాన్స్ డిజైన్స్</v>
      </c>
      <c r="K110" s="1" t="s">
        <v>1820</v>
      </c>
      <c r="L110" s="1" t="s">
        <v>1821</v>
      </c>
      <c r="O110" s="1" t="s">
        <v>135</v>
      </c>
      <c r="P110" s="1" t="s">
        <v>1460</v>
      </c>
      <c r="Q110" s="1" t="s">
        <v>1822</v>
      </c>
      <c r="R110" s="1" t="s">
        <v>1823</v>
      </c>
      <c r="T110" s="1" t="s">
        <v>1824</v>
      </c>
      <c r="U110" s="1" t="s">
        <v>1825</v>
      </c>
      <c r="V110" s="1" t="s">
        <v>1826</v>
      </c>
      <c r="X110" s="1" t="s">
        <v>1827</v>
      </c>
      <c r="Y110" s="1" t="s">
        <v>1828</v>
      </c>
      <c r="Z110" s="1" t="s">
        <v>1614</v>
      </c>
      <c r="AA110" s="1" t="s">
        <v>1829</v>
      </c>
      <c r="AB110" s="1" t="s">
        <v>1830</v>
      </c>
      <c r="AC110" s="2" t="s">
        <v>167</v>
      </c>
      <c r="AD110" s="1" t="s">
        <v>374</v>
      </c>
      <c r="AE110" s="1" t="s">
        <v>1831</v>
      </c>
      <c r="AF110" s="1" t="s">
        <v>1832</v>
      </c>
      <c r="AG110" s="1" t="s">
        <v>1833</v>
      </c>
      <c r="AH110" s="1" t="s">
        <v>1834</v>
      </c>
      <c r="AI110" s="1" t="s">
        <v>1835</v>
      </c>
      <c r="AK110" s="1" t="s">
        <v>195</v>
      </c>
      <c r="AP110" s="1" t="s">
        <v>1836</v>
      </c>
      <c r="AY110" s="1" t="s">
        <v>1837</v>
      </c>
      <c r="BA110" s="1" t="s">
        <v>835</v>
      </c>
      <c r="BB110" s="1">
        <v>9.4</v>
      </c>
      <c r="BF110" s="1" t="s">
        <v>1838</v>
      </c>
      <c r="BG110" s="1" t="s">
        <v>1839</v>
      </c>
      <c r="BN110" s="4">
        <v>41487.0</v>
      </c>
    </row>
    <row r="111">
      <c r="A111" s="1" t="s">
        <v>1840</v>
      </c>
      <c r="B111" s="1" t="str">
        <f>IFERROR(__xludf.DUMMYFUNCTION("GOOGLETRANSLATE(A:A, ""en"", ""te"")"),"స్కైడాన్సర్ SD-260")</f>
        <v>స్కైడాన్సర్ SD-260</v>
      </c>
      <c r="C111" s="1" t="s">
        <v>1841</v>
      </c>
      <c r="D111" s="1" t="str">
        <f>IFERROR(__xludf.DUMMYFUNCTION("GOOGLETRANSLATE(C:C, ""en"", ""te"")"),"స్కైడాన్సర్ SD-260 ఒక అమెరికన్ ఏరోబాటిక్ హోమ్‌బిల్ట్ బైప్‌లేన్, దీనిని 1990 ల మధ్యలో ప్రవేశపెట్టిన కెంటుకీలోని లూయిస్విల్లేకు చెందిన స్కైడాన్సర్ ఏవియేషన్ రూపొందించింది మరియు నిర్మించింది. ఇది అందుబాటులో ఉన్నప్పుడు విమానం కిట్‌గా సరఫరా చేయబడింది. [1] SD-26"&amp;"0 లో స్ట్రట్-బ్రేస్డ్ బిప్‌లేన్ లేఅవుట్, రెండు-సీట్ల తేమ ఓపెన్ కాక్‌పిట్, ఐచ్ఛిక బబుల్ పందిరి, వీల్ ప్యాంటుతో స్థిర సాంప్రదాయ ల్యాండింగ్ గేర్ మరియు ట్రాక్టర్ కాన్ఫిగరేషన్‌లో ఒకే ఇంజిన్ ఉన్నాయి. [1] విమానం ఫ్యూజ్‌లేజ్ వెల్డెడ్ 4130 స్టీల్ గొట్టాల నుండి తయా"&amp;"రు చేయబడింది. దాని 22.00 అడుగుల (6.7 మీ) స్పాన్ నాలుగు ఐలెరాన్‌లతో చెక్క నిర్మాణాన్ని కలిగి ఉంది, ఇది 135.0 చదరపు అడుగుల (12.54 మీ 2) రెక్క ప్రాంతం మరియు డోప్డ్ ఎయిర్‌క్రాఫ్ట్ ఫాబ్రిక్‌లో కప్పబడి ఉంది. రెక్కకు ఇంటర్‌ప్లేన్ స్ట్రట్స్, కాబేన్ స్ట్రట్స్ మరియ"&amp;"ు ఫ్లయింగ్ వైర్లు మద్దతు ఇచ్చాయి. ఆమోదయోగ్యమైన శక్తి శ్రేణి 200 నుండి 400 హెచ్‌పి (149 నుండి 298 కిలోవాట్) మరియు ఉపయోగించిన ప్రామాణిక ఇంజిన్ 260 హెచ్‌పి (194 కిలోవాట్) లైమింగ్ IO-540 పవర్‌ప్లాంట్. [1] SD-260 లో సాధారణ ఖాళీ బరువు 1,250 lb (570 kg) మరియు స్"&amp;"థూల బరువు 1,850 lb (840 kg), 600 lb (270 kg) ఉపయోగకరమైన లోడ్ ఇస్తుంది. 29 యు.ఎస్. గ్యాలన్ల (110 ఎల్; 24 ఇంప్ గల్) పూర్తి ఇంధనంతో, పైలట్, ప్రయాణీకుడు మరియు సామాను 426 ఎల్బి (193 కిలోలు). [1] ప్రామాణిక రోజు, సముద్ర మట్టం, గాలి, 260 హెచ్‌పి (194 కిలోవాట్) ఇం"&amp;"జిన్‌తో టేకాఫ్ 600 అడుగులు (183 మీ) మరియు ల్యాండింగ్ రోల్ 800 అడుగులు (244 మీ). [1] తయారీదారు సరఫరా చేసిన కిట్ నుండి నిర్మాణ సమయాన్ని 1200 గంటలుగా అంచనా వేశారు. [1] మార్చి 2014 లో ఫెడరల్ ఏవియేషన్ అడ్మినిస్ట్రేషన్తో అమెరికాలో ఎటువంటి ఉదాహరణలు నమోదు కాలేదు,"&amp;" అయినప్పటికీ మొత్తం రెండు ఒకేసారి నమోదు చేయబడ్డాయి. ఇది ఉనికిలో ఉండటానికి అవకాశం లేదు. [2] ఏరోక్రాఫ్టర్ నుండి డేటా [1] సాధారణ లక్షణాల పనితీరు")</f>
        <v>స్కైడాన్సర్ SD-260 ఒక అమెరికన్ ఏరోబాటిక్ హోమ్‌బిల్ట్ బైప్‌లేన్, దీనిని 1990 ల మధ్యలో ప్రవేశపెట్టిన కెంటుకీలోని లూయిస్విల్లేకు చెందిన స్కైడాన్సర్ ఏవియేషన్ రూపొందించింది మరియు నిర్మించింది. ఇది అందుబాటులో ఉన్నప్పుడు విమానం కిట్‌గా సరఫరా చేయబడింది. [1] SD-260 లో స్ట్రట్-బ్రేస్డ్ బిప్‌లేన్ లేఅవుట్, రెండు-సీట్ల తేమ ఓపెన్ కాక్‌పిట్, ఐచ్ఛిక బబుల్ పందిరి, వీల్ ప్యాంటుతో స్థిర సాంప్రదాయ ల్యాండింగ్ గేర్ మరియు ట్రాక్టర్ కాన్ఫిగరేషన్‌లో ఒకే ఇంజిన్ ఉన్నాయి. [1] విమానం ఫ్యూజ్‌లేజ్ వెల్డెడ్ 4130 స్టీల్ గొట్టాల నుండి తయారు చేయబడింది. దాని 22.00 అడుగుల (6.7 మీ) స్పాన్ నాలుగు ఐలెరాన్‌లతో చెక్క నిర్మాణాన్ని కలిగి ఉంది, ఇది 135.0 చదరపు అడుగుల (12.54 మీ 2) రెక్క ప్రాంతం మరియు డోప్డ్ ఎయిర్‌క్రాఫ్ట్ ఫాబ్రిక్‌లో కప్పబడి ఉంది. రెక్కకు ఇంటర్‌ప్లేన్ స్ట్రట్స్, కాబేన్ స్ట్రట్స్ మరియు ఫ్లయింగ్ వైర్లు మద్దతు ఇచ్చాయి. ఆమోదయోగ్యమైన శక్తి శ్రేణి 200 నుండి 400 హెచ్‌పి (149 నుండి 298 కిలోవాట్) మరియు ఉపయోగించిన ప్రామాణిక ఇంజిన్ 260 హెచ్‌పి (194 కిలోవాట్) లైమింగ్ IO-540 పవర్‌ప్లాంట్. [1] SD-260 లో సాధారణ ఖాళీ బరువు 1,250 lb (570 kg) మరియు స్థూల బరువు 1,850 lb (840 kg), 600 lb (270 kg) ఉపయోగకరమైన లోడ్ ఇస్తుంది. 29 యు.ఎస్. గ్యాలన్ల (110 ఎల్; 24 ఇంప్ గల్) పూర్తి ఇంధనంతో, పైలట్, ప్రయాణీకుడు మరియు సామాను 426 ఎల్బి (193 కిలోలు). [1] ప్రామాణిక రోజు, సముద్ర మట్టం, గాలి, 260 హెచ్‌పి (194 కిలోవాట్) ఇంజిన్‌తో టేకాఫ్ 600 అడుగులు (183 మీ) మరియు ల్యాండింగ్ రోల్ 800 అడుగులు (244 మీ). [1] తయారీదారు సరఫరా చేసిన కిట్ నుండి నిర్మాణ సమయాన్ని 1200 గంటలుగా అంచనా వేశారు. [1] మార్చి 2014 లో ఫెడరల్ ఏవియేషన్ అడ్మినిస్ట్రేషన్తో అమెరికాలో ఎటువంటి ఉదాహరణలు నమోదు కాలేదు, అయినప్పటికీ మొత్తం రెండు ఒకేసారి నమోదు చేయబడ్డాయి. ఇది ఉనికిలో ఉండటానికి అవకాశం లేదు. [2] ఏరోక్రాఫ్టర్ నుండి డేటా [1] సాధారణ లక్షణాల పనితీరు</v>
      </c>
      <c r="E111" s="1" t="s">
        <v>154</v>
      </c>
      <c r="F111" s="1" t="str">
        <f>IFERROR(__xludf.DUMMYFUNCTION("GOOGLETRANSLATE(E:E, ""en"", ""te"")"),"హోమ్‌బిల్ట్ విమానం")</f>
        <v>హోమ్‌బిల్ట్ విమానం</v>
      </c>
      <c r="G111" s="1" t="s">
        <v>155</v>
      </c>
      <c r="H111" s="1" t="str">
        <f>IFERROR(__xludf.DUMMYFUNCTION("GOOGLETRANSLATE(G:G, ""en"", ""te"")"),"అమెరికా")</f>
        <v>అమెరికా</v>
      </c>
      <c r="I111" s="1" t="s">
        <v>1842</v>
      </c>
      <c r="J111" s="1" t="str">
        <f>IFERROR(__xludf.DUMMYFUNCTION("GOOGLETRANSLATE(I:I, ""en"", ""te"")"),"స్కైడాన్సర్ ఏవియేషన్")</f>
        <v>స్కైడాన్సర్ ఏవియేషన్</v>
      </c>
      <c r="K111" s="1" t="s">
        <v>1843</v>
      </c>
      <c r="O111" s="1" t="s">
        <v>135</v>
      </c>
      <c r="P111" s="1" t="s">
        <v>1460</v>
      </c>
      <c r="Q111" s="1" t="s">
        <v>1786</v>
      </c>
      <c r="S111" s="1" t="s">
        <v>1844</v>
      </c>
      <c r="T111" s="1" t="s">
        <v>369</v>
      </c>
      <c r="U111" s="1" t="s">
        <v>1703</v>
      </c>
      <c r="V111" s="1" t="s">
        <v>1845</v>
      </c>
      <c r="W111" s="1" t="s">
        <v>1569</v>
      </c>
      <c r="X111" s="1" t="s">
        <v>1846</v>
      </c>
      <c r="Y111" s="1" t="s">
        <v>1706</v>
      </c>
      <c r="Z111" s="1" t="s">
        <v>1847</v>
      </c>
      <c r="AA111" s="1" t="s">
        <v>1848</v>
      </c>
      <c r="AB111" s="1" t="s">
        <v>166</v>
      </c>
      <c r="AC111" s="2" t="s">
        <v>167</v>
      </c>
      <c r="AD111" s="1" t="s">
        <v>581</v>
      </c>
      <c r="AE111" s="1" t="s">
        <v>1849</v>
      </c>
      <c r="AF111" s="1" t="s">
        <v>1850</v>
      </c>
      <c r="AG111" s="1" t="s">
        <v>1537</v>
      </c>
      <c r="AH111" s="1" t="s">
        <v>1851</v>
      </c>
      <c r="AI111" s="1" t="s">
        <v>1852</v>
      </c>
      <c r="AJ111" s="1" t="s">
        <v>1853</v>
      </c>
      <c r="AK111" s="1" t="s">
        <v>195</v>
      </c>
      <c r="AR111" s="1" t="s">
        <v>253</v>
      </c>
    </row>
    <row r="112">
      <c r="A112" s="1" t="s">
        <v>1854</v>
      </c>
      <c r="B112" s="1" t="str">
        <f>IFERROR(__xludf.DUMMYFUNCTION("GOOGLETRANSLATE(A:A, ""en"", ""te"")"),"టైమ్ వార్ప్ స్పిట్‌ఫైర్ MK V")</f>
        <v>టైమ్ వార్ప్ స్పిట్‌ఫైర్ MK V</v>
      </c>
      <c r="C112" s="1" t="s">
        <v>1855</v>
      </c>
      <c r="D112" s="1" t="str">
        <f>IFERROR(__xludf.DUMMYFUNCTION("GOOGLETRANSLATE(C:C, ""en"", ""te"")"),"టైమ్ వార్ప్ స్పిట్‌ఫైర్ MK V అనేది ఒక అమెరికన్ హోమ్‌బిల్ట్ విమానం, దీనిని ఫ్లోరిడాలోని లేక్ ల్యాండ్ యొక్క టైమ్ వార్ప్ విమానం రూపొందించిన మరియు ఉత్పత్తి చేసింది, 1996 లో సన్ ఎన్ ఫన్ వద్ద ప్రవేశపెట్టబడింది. ఇది అందుబాటులో ఉన్నప్పుడు విమానం te త్సాహిక నిర్మా"&amp;"ణానికి కిట్‌గా సరఫరా చేయబడింది. [1] ఈ విమానం రెండవ ప్రపంచ యుద్ధం బ్రిటిష్ సూపర్ మేరిన్ స్పిట్‌ఫైర్ యొక్క 60% స్కేల్ వెర్షన్. [1] స్పిట్‌ఫైర్ MK V లో కాంటిలివర్ లో-వింగ్, బబుల్ పందిరి కింద ఒకే-సీటు పరివేష్టిత కాక్‌పిట్, సాంప్రదాయిక ల్యాండింగ్ గేర్ మరియు ట్"&amp;"రాక్టర్ కాన్ఫిగరేషన్‌లో ఒకే ఇంజిన్ ఉన్నాయి. [1] ఈ విమానం కలప మరియు మిశ్రమాల నుండి తయారవుతుంది. దాని 23.00 అడుగుల (7.0 మీ) స్పాన్ వింగ్, ఫ్లాప్‌లను మౌంట్ చేస్తుంది మరియు రెక్క ప్రాంతం 81.66 చదరపు అడుగులు (7.586 మీ 2) ఉంది. ఉపయోగించిన ప్రామాణిక ఇంజిన్ 100 హ"&amp;"ెచ్‌పి (75 కిలోవాట్) జియో స్టార్మ్ 1.6 లీటర్ లిక్విడ్-కూల్డ్ ఆటోమోటివ్ మార్పిడి పవర్‌ప్లాంట్. [1] స్పిట్‌ఫైర్ MK V లో 699 lb (317 kg) యొక్క ఖాళీ బరువు మరియు 1,100 lb (500 కిలోల) స్థూల బరువు ఉంటుంది, ఇది 500 lb (230 kg) ఉపయోగకరమైన లోడ్‌ను ఇస్తుంది. 27 యు.ఎ"&amp;"స్. గ్యాలన్ల పూర్తి ఇంధనంతో (100 ఎల్; 22 ఇంప్ గల్) పైలట్ మరియు సామాను కోసం పేలోడ్ 338 ఎల్బి (153 కిలోలు). [1] తయారీదారు నిర్మాణ సమయాన్ని సరఫరా చేసిన కిట్ నుండి 600 గంటలుగా అంచనా వేశారు. [1] 1998 నాటికి కంపెనీ ఒక విమానం పూర్తయిందని మరియు ఎగురుతున్నట్లు నివ"&amp;"ేదించింది. [1] మార్చి 2014 లో ఫెడరల్ ఏవియేషన్ అడ్మినిస్ట్రేషన్ తో అమెరికాలో రెండు ఉదాహరణలు నమోదు చేయబడ్డాయి. [2] ఏరోక్రాఫ్టర్ మరియు lishplanes.org నుండి డేటా [1] [3] సాధారణ లక్షణాల పనితీరు")</f>
        <v>టైమ్ వార్ప్ స్పిట్‌ఫైర్ MK V అనేది ఒక అమెరికన్ హోమ్‌బిల్ట్ విమానం, దీనిని ఫ్లోరిడాలోని లేక్ ల్యాండ్ యొక్క టైమ్ వార్ప్ విమానం రూపొందించిన మరియు ఉత్పత్తి చేసింది, 1996 లో సన్ ఎన్ ఫన్ వద్ద ప్రవేశపెట్టబడింది. ఇది అందుబాటులో ఉన్నప్పుడు విమానం te త్సాహిక నిర్మాణానికి కిట్‌గా సరఫరా చేయబడింది. [1] ఈ విమానం రెండవ ప్రపంచ యుద్ధం బ్రిటిష్ సూపర్ మేరిన్ స్పిట్‌ఫైర్ యొక్క 60% స్కేల్ వెర్షన్. [1] స్పిట్‌ఫైర్ MK V లో కాంటిలివర్ లో-వింగ్, బబుల్ పందిరి కింద ఒకే-సీటు పరివేష్టిత కాక్‌పిట్, సాంప్రదాయిక ల్యాండింగ్ గేర్ మరియు ట్రాక్టర్ కాన్ఫిగరేషన్‌లో ఒకే ఇంజిన్ ఉన్నాయి. [1] ఈ విమానం కలప మరియు మిశ్రమాల నుండి తయారవుతుంది. దాని 23.00 అడుగుల (7.0 మీ) స్పాన్ వింగ్, ఫ్లాప్‌లను మౌంట్ చేస్తుంది మరియు రెక్క ప్రాంతం 81.66 చదరపు అడుగులు (7.586 మీ 2) ఉంది. ఉపయోగించిన ప్రామాణిక ఇంజిన్ 100 హెచ్‌పి (75 కిలోవాట్) జియో స్టార్మ్ 1.6 లీటర్ లిక్విడ్-కూల్డ్ ఆటోమోటివ్ మార్పిడి పవర్‌ప్లాంట్. [1] స్పిట్‌ఫైర్ MK V లో 699 lb (317 kg) యొక్క ఖాళీ బరువు మరియు 1,100 lb (500 కిలోల) స్థూల బరువు ఉంటుంది, ఇది 500 lb (230 kg) ఉపయోగకరమైన లోడ్‌ను ఇస్తుంది. 27 యు.ఎస్. గ్యాలన్ల పూర్తి ఇంధనంతో (100 ఎల్; 22 ఇంప్ గల్) పైలట్ మరియు సామాను కోసం పేలోడ్ 338 ఎల్బి (153 కిలోలు). [1] తయారీదారు నిర్మాణ సమయాన్ని సరఫరా చేసిన కిట్ నుండి 600 గంటలుగా అంచనా వేశారు. [1] 1998 నాటికి కంపెనీ ఒక విమానం పూర్తయిందని మరియు ఎగురుతున్నట్లు నివేదించింది. [1] మార్చి 2014 లో ఫెడరల్ ఏవియేషన్ అడ్మినిస్ట్రేషన్ తో అమెరికాలో రెండు ఉదాహరణలు నమోదు చేయబడ్డాయి. [2] ఏరోక్రాఫ్టర్ మరియు lishplanes.org నుండి డేటా [1] [3] సాధారణ లక్షణాల పనితీరు</v>
      </c>
      <c r="E112" s="1" t="s">
        <v>154</v>
      </c>
      <c r="F112" s="1" t="str">
        <f>IFERROR(__xludf.DUMMYFUNCTION("GOOGLETRANSLATE(E:E, ""en"", ""te"")"),"హోమ్‌బిల్ట్ విమానం")</f>
        <v>హోమ్‌బిల్ట్ విమానం</v>
      </c>
      <c r="G112" s="1" t="s">
        <v>155</v>
      </c>
      <c r="H112" s="1" t="str">
        <f>IFERROR(__xludf.DUMMYFUNCTION("GOOGLETRANSLATE(G:G, ""en"", ""te"")"),"అమెరికా")</f>
        <v>అమెరికా</v>
      </c>
      <c r="I112" s="1" t="s">
        <v>1856</v>
      </c>
      <c r="J112" s="1" t="str">
        <f>IFERROR(__xludf.DUMMYFUNCTION("GOOGLETRANSLATE(I:I, ""en"", ""te"")"),"టైమ్ వార్ప్ విమానం")</f>
        <v>టైమ్ వార్ప్ విమానం</v>
      </c>
      <c r="K112" s="1" t="s">
        <v>1857</v>
      </c>
      <c r="O112" s="1" t="s">
        <v>135</v>
      </c>
      <c r="P112" s="1" t="s">
        <v>1858</v>
      </c>
      <c r="Q112" s="1" t="s">
        <v>1545</v>
      </c>
      <c r="R112" s="1" t="s">
        <v>1859</v>
      </c>
      <c r="S112" s="1" t="s">
        <v>1860</v>
      </c>
      <c r="T112" s="1" t="s">
        <v>1761</v>
      </c>
      <c r="U112" s="1" t="s">
        <v>1481</v>
      </c>
      <c r="V112" s="1" t="s">
        <v>1861</v>
      </c>
      <c r="W112" s="1" t="s">
        <v>1862</v>
      </c>
      <c r="X112" s="1" t="s">
        <v>1863</v>
      </c>
      <c r="Z112" s="1" t="s">
        <v>1864</v>
      </c>
      <c r="AB112" s="1" t="s">
        <v>166</v>
      </c>
      <c r="AC112" s="2" t="s">
        <v>167</v>
      </c>
      <c r="AD112" s="1" t="s">
        <v>581</v>
      </c>
      <c r="AE112" s="1" t="s">
        <v>1573</v>
      </c>
      <c r="AF112" s="1" t="s">
        <v>1865</v>
      </c>
      <c r="AG112" s="1" t="s">
        <v>1866</v>
      </c>
      <c r="AH112" s="1" t="s">
        <v>1867</v>
      </c>
      <c r="AI112" s="1" t="s">
        <v>1868</v>
      </c>
      <c r="AJ112" s="1" t="s">
        <v>897</v>
      </c>
      <c r="BF112" s="1" t="s">
        <v>1869</v>
      </c>
      <c r="BG112" s="1" t="s">
        <v>1870</v>
      </c>
    </row>
    <row r="113">
      <c r="A113" s="1" t="s">
        <v>1871</v>
      </c>
      <c r="B113" s="1" t="str">
        <f>IFERROR(__xludf.DUMMYFUNCTION("GOOGLETRANSLATE(A:A, ""en"", ""te"")"),"ప్రారంభ పక్షి స్పాడ్ 13")</f>
        <v>ప్రారంభ పక్షి స్పాడ్ 13</v>
      </c>
      <c r="C113" s="1" t="s">
        <v>1872</v>
      </c>
      <c r="D113" s="1" t="str">
        <f>IFERROR(__xludf.DUMMYFUNCTION("GOOGLETRANSLATE(C:C, ""en"", ""te"")"),"ఎర్లీ బర్డ్ స్పాడ్ 13 (స్పాడ్ 13 కూడా) అనేది ఒక అమెరికన్ హోమ్‌బిల్ట్ విమానం, దీనిని కొలరాడోలోని ఎరీ యొక్క ఎర్లీ బర్డ్ ఎయిర్‌క్రాఫ్ట్ కంపెనీ రూపొందించింది మరియు ఉత్పత్తి చేసింది. ఇది అందుబాటులో ఉన్నప్పుడు విమానం కిట్‌గా మరియు te త్సాహిక నిర్మాణానికి ప్రణాళ"&amp;"ికల రూపంలో కూడా సరఫరా చేయబడింది. [1] స్పాడ్ 13 మొదటి ప్రపంచ యుద్ధం S.XIII యొక్క 80% స్కేల్ ప్రతిరూపం. ఇది స్ట్రట్-బ్రేస్డ్ బిప్‌లేన్ లేఅవుట్, సింగిల్-సీట్ ఓపెన్ కాక్‌పిట్, స్థిర సాంప్రదాయ ల్యాండింగ్ గేర్ మరియు ట్రాక్టర్ కాన్ఫిగరేషన్‌లో ఒకే ఇంజిన్ కలిగి ఉం"&amp;"ది. [1] ఈ విమానం ఉక్కు మరియు అల్యూమినియం గొట్టాల మిశ్రమం నుండి తయారు చేయబడింది, కొన్ని చెక్క భాగాలు మరియు దాని ఎగిరే ఉపరితలాలు డోప్డ్ ఎయిర్క్రాఫ్ట్ ఫాబ్రిక్‌తో కప్పబడి ఉంటాయి. దాని 20.17 అడుగుల (6.1 మీ) స్పాన్ వింగ్ రెక్క ప్రాంతం 142.0 చదరపు అడుగులు (13.1"&amp;"9 మీ 2) కలిగి ఉంది. కాక్‌పిట్ వెడల్పు 24 అంగుళాలు (61 సెం.మీ). ఆమోదయోగ్యమైన శక్తి శ్రేణి 80 నుండి 100 హెచ్‌పి (60 నుండి 75 కిలోవాట్) మరియు ఉపయోగించిన ప్రామాణిక ఇంజిన్ 85 హెచ్‌పి (63 కిలోవాట్ ] SPAD 13 లో 550 lb (250 kg) యొక్క ఖాళీ బరువు మరియు 800 lb (360 "&amp;"కిలోల) స్థూల బరువు ఉంది, ఇది 250 lb (110 kg) ఉపయోగకరమైన లోడ్ ఇస్తుంది. 9 యు.ఎస్. గ్యాలన్ల పూర్తి ఇంధనంతో (34 ఎల్; 7.5 ఇంప్ గల్) పైలట్ మరియు సామాను కోసం పేలోడ్ 196 ఎల్బి (89 కిలోలు). [1] సరఫరా చేసిన కిట్‌లో ట్రాకర్ ఇంజిన్ ఉంది. తయారీదారు కిట్ నుండి నిర్మాణ"&amp;" సమయాన్ని 600 గంటలుగా అంచనా వేశారు. [1] 1998 నాటికి 35 కిట్లు అమ్ముడయ్యాయని మరియు ఒక విమానం ఎగురుతున్నట్లు కంపెనీ నివేదించింది. [1] ఏరోక్రాఫ్టర్ నుండి డేటా [1] సాధారణ లక్షణాల పనితీరు")</f>
        <v>ఎర్లీ బర్డ్ స్పాడ్ 13 (స్పాడ్ 13 కూడా) అనేది ఒక అమెరికన్ హోమ్‌బిల్ట్ విమానం, దీనిని కొలరాడోలోని ఎరీ యొక్క ఎర్లీ బర్డ్ ఎయిర్‌క్రాఫ్ట్ కంపెనీ రూపొందించింది మరియు ఉత్పత్తి చేసింది. ఇది అందుబాటులో ఉన్నప్పుడు విమానం కిట్‌గా మరియు te త్సాహిక నిర్మాణానికి ప్రణాళికల రూపంలో కూడా సరఫరా చేయబడింది. [1] స్పాడ్ 13 మొదటి ప్రపంచ యుద్ధం S.XIII యొక్క 80% స్కేల్ ప్రతిరూపం. ఇది స్ట్రట్-బ్రేస్డ్ బిప్‌లేన్ లేఅవుట్, సింగిల్-సీట్ ఓపెన్ కాక్‌పిట్, స్థిర సాంప్రదాయ ల్యాండింగ్ గేర్ మరియు ట్రాక్టర్ కాన్ఫిగరేషన్‌లో ఒకే ఇంజిన్ కలిగి ఉంది. [1] ఈ విమానం ఉక్కు మరియు అల్యూమినియం గొట్టాల మిశ్రమం నుండి తయారు చేయబడింది, కొన్ని చెక్క భాగాలు మరియు దాని ఎగిరే ఉపరితలాలు డోప్డ్ ఎయిర్క్రాఫ్ట్ ఫాబ్రిక్‌తో కప్పబడి ఉంటాయి. దాని 20.17 అడుగుల (6.1 మీ) స్పాన్ వింగ్ రెక్క ప్రాంతం 142.0 చదరపు అడుగులు (13.19 మీ 2) కలిగి ఉంది. కాక్‌పిట్ వెడల్పు 24 అంగుళాలు (61 సెం.మీ). ఆమోదయోగ్యమైన శక్తి శ్రేణి 80 నుండి 100 హెచ్‌పి (60 నుండి 75 కిలోవాట్) మరియు ఉపయోగించిన ప్రామాణిక ఇంజిన్ 85 హెచ్‌పి (63 కిలోవాట్ ] SPAD 13 లో 550 lb (250 kg) యొక్క ఖాళీ బరువు మరియు 800 lb (360 కిలోల) స్థూల బరువు ఉంది, ఇది 250 lb (110 kg) ఉపయోగకరమైన లోడ్ ఇస్తుంది. 9 యు.ఎస్. గ్యాలన్ల పూర్తి ఇంధనంతో (34 ఎల్; 7.5 ఇంప్ గల్) పైలట్ మరియు సామాను కోసం పేలోడ్ 196 ఎల్బి (89 కిలోలు). [1] సరఫరా చేసిన కిట్‌లో ట్రాకర్ ఇంజిన్ ఉంది. తయారీదారు కిట్ నుండి నిర్మాణ సమయాన్ని 600 గంటలుగా అంచనా వేశారు. [1] 1998 నాటికి 35 కిట్లు అమ్ముడయ్యాయని మరియు ఒక విమానం ఎగురుతున్నట్లు కంపెనీ నివేదించింది. [1] ఏరోక్రాఫ్టర్ నుండి డేటా [1] సాధారణ లక్షణాల పనితీరు</v>
      </c>
      <c r="E113" s="1" t="s">
        <v>154</v>
      </c>
      <c r="F113" s="1" t="str">
        <f>IFERROR(__xludf.DUMMYFUNCTION("GOOGLETRANSLATE(E:E, ""en"", ""te"")"),"హోమ్‌బిల్ట్ విమానం")</f>
        <v>హోమ్‌బిల్ట్ విమానం</v>
      </c>
      <c r="G113" s="1" t="s">
        <v>155</v>
      </c>
      <c r="H113" s="1" t="str">
        <f>IFERROR(__xludf.DUMMYFUNCTION("GOOGLETRANSLATE(G:G, ""en"", ""te"")"),"అమెరికా")</f>
        <v>అమెరికా</v>
      </c>
      <c r="I113" s="1" t="s">
        <v>1873</v>
      </c>
      <c r="J113" s="1" t="str">
        <f>IFERROR(__xludf.DUMMYFUNCTION("GOOGLETRANSLATE(I:I, ""en"", ""te"")"),"ప్రారంభ పక్షి విమాన సంస్థ")</f>
        <v>ప్రారంభ పక్షి విమాన సంస్థ</v>
      </c>
      <c r="K113" s="1" t="s">
        <v>1874</v>
      </c>
      <c r="O113" s="1" t="s">
        <v>135</v>
      </c>
      <c r="P113" s="1" t="s">
        <v>1875</v>
      </c>
      <c r="Q113" s="1" t="s">
        <v>1876</v>
      </c>
      <c r="S113" s="1" t="s">
        <v>1877</v>
      </c>
      <c r="T113" s="1" t="s">
        <v>1878</v>
      </c>
      <c r="U113" s="1" t="s">
        <v>1446</v>
      </c>
      <c r="V113" s="1" t="s">
        <v>1879</v>
      </c>
      <c r="W113" s="1" t="s">
        <v>1452</v>
      </c>
      <c r="X113" s="1" t="s">
        <v>1880</v>
      </c>
      <c r="Y113" s="1" t="s">
        <v>1881</v>
      </c>
      <c r="Z113" s="1" t="s">
        <v>424</v>
      </c>
      <c r="AB113" s="1" t="s">
        <v>166</v>
      </c>
      <c r="AC113" s="2" t="s">
        <v>167</v>
      </c>
      <c r="AD113" s="1" t="s">
        <v>581</v>
      </c>
      <c r="AE113" s="1" t="s">
        <v>1882</v>
      </c>
      <c r="AF113" s="1" t="s">
        <v>583</v>
      </c>
      <c r="AG113" s="1" t="s">
        <v>1612</v>
      </c>
      <c r="AH113" s="1" t="s">
        <v>1883</v>
      </c>
      <c r="AI113" s="1" t="s">
        <v>1884</v>
      </c>
      <c r="BF113" s="1" t="s">
        <v>1885</v>
      </c>
      <c r="BG113" s="1" t="s">
        <v>1886</v>
      </c>
    </row>
    <row r="114">
      <c r="A114" s="1" t="s">
        <v>1887</v>
      </c>
      <c r="B114" s="1" t="str">
        <f>IFERROR(__xludf.DUMMYFUNCTION("GOOGLETRANSLATE(A:A, ""en"", ""te"")"),"ఫ్రాంటియర్ MD-II")</f>
        <v>ఫ్రాంటియర్ MD-II</v>
      </c>
      <c r="C114" s="1" t="s">
        <v>1888</v>
      </c>
      <c r="D114" s="1" t="str">
        <f>IFERROR(__xludf.DUMMYFUNCTION("GOOGLETRANSLATE(C:C, ""en"", ""te"")"),"ఫ్రాంటియర్ MD-II అనేది ఒక అమెరికన్ హోమ్‌బిల్ట్ విమానం, దీనిని 1990 లలో ప్రవేశపెట్టిన కొలరాడోలోని వైల్ యొక్క ఫ్రాంటియర్ ఎయిర్క్రాఫ్ట్ ఇంక్ చేత కిట్‌గా రూపొందించబడింది మరియు సరఫరా చేయబడింది. [1] MD-II లో స్ట్రట్-బ్రేస్డ్ హై-వింగ్, రెండు-సీట్ల-సైడ్-సైడ్-సైడ్"&amp;" కాన్ఫిగరేషన్ పరివేష్టిత కాక్‌పిట్ తలుపుల ద్వారా యాక్సెస్ చేయబడింది, వీల్ ప్యాంటుతో స్థిర సాంప్రదాయ ల్యాండింగ్ గేర్ మరియు ఒకే ట్రాక్టర్ ఇంజిన్‌ను కలిగి ఉంది. [1] ఈ విమానం 2024-టి 3 అల్యూమినియం షీట్ నుండి కల్పించబడింది. దాని 29.50 అడుగుల (9.0 మీ) స్పాన్ వి"&amp;"ంగ్ USA 35B ఎయిర్‌ఫాయిల్‌ను ఉపయోగించింది, మౌంట్ చేసిన ఫ్లాప్‌లను కలిగి ఉంది మరియు 177.0 చదరపు అడుగుల (16.44 మీ 2) విస్తీర్ణంలో ఉంది. క్యాబిన్ వెడల్పు 41 అంగుళాలు (100 సెం.మీ). ఆమోదయోగ్యమైన విద్యుత్ పరిధి 65 నుండి 200 హెచ్‌పి (48 నుండి 149 కిలోవాట్) మరియు "&amp;"ఉపయోగించిన ప్రామాణిక పవర్‌ప్లాంట్ 140 హెచ్‌పి (104 కిలోవాట్) అవియా ఎమ్ 332 (ఎల్‌ఎమ్) నాలుగు సిలిండర్, విలోమ, ఎయిర్-కూల్డ్, సూపర్ఛార్జ్డ్, ఇన్లైన్ ఎయిర్‌క్రాఫ్ట్ ఇంజిన్. 1] AVIA ఇంజిన్‌తో MD-II ఒక సాధారణ ఖాళీ బరువు 1,150 lb (520 kg) మరియు స్థూల బరువు 2,000"&amp;" lb (910 kg), 850 lb (390 kg) ఉపయోగకరమైన లోడ్‌ను ఇస్తుంది. 43 యు.ఎస్. గ్యాలన్ల (160 ఎల్; 36 ఇంప్ గల్) పూర్తి ఇంధనంతో పైలట్, ప్రయాణీకుడు మరియు సామాను 592 ఎల్బి (269 కిలోలు). [1] తయారీదారు 1500 గంటలకు సరఫరా చేసిన కిట్ నుండి నిర్మాణ సమయాన్ని అంచనా వేశారు. [1"&amp;"] 1998 నాటికి, రెండు విమానాలు పూర్తి మరియు ఎగురుతూ రెండు కిట్లను విక్రయించినట్లు కంపెనీ నివేదించింది. [1] డిసెంబర్ 2013 లో, యుఎస్ ఫెడరల్ ఏవియేషన్ అడ్మినిస్ట్రేషన్‌లో ఉదాహరణలు నమోదు కాలేదు. [2] ఏరోక్రాఫ్టర్ నుండి డేటా [1] సాధారణ లక్షణాల పనితీరు")</f>
        <v>ఫ్రాంటియర్ MD-II అనేది ఒక అమెరికన్ హోమ్‌బిల్ట్ విమానం, దీనిని 1990 లలో ప్రవేశపెట్టిన కొలరాడోలోని వైల్ యొక్క ఫ్రాంటియర్ ఎయిర్క్రాఫ్ట్ ఇంక్ చేత కిట్‌గా రూపొందించబడింది మరియు సరఫరా చేయబడింది. [1] MD-II లో స్ట్రట్-బ్రేస్డ్ హై-వింగ్, రెండు-సీట్ల-సైడ్-సైడ్-సైడ్ కాన్ఫిగరేషన్ పరివేష్టిత కాక్‌పిట్ తలుపుల ద్వారా యాక్సెస్ చేయబడింది, వీల్ ప్యాంటుతో స్థిర సాంప్రదాయ ల్యాండింగ్ గేర్ మరియు ఒకే ట్రాక్టర్ ఇంజిన్‌ను కలిగి ఉంది. [1] ఈ విమానం 2024-టి 3 అల్యూమినియం షీట్ నుండి కల్పించబడింది. దాని 29.50 అడుగుల (9.0 మీ) స్పాన్ వింగ్ USA 35B ఎయిర్‌ఫాయిల్‌ను ఉపయోగించింది, మౌంట్ చేసిన ఫ్లాప్‌లను కలిగి ఉంది మరియు 177.0 చదరపు అడుగుల (16.44 మీ 2) విస్తీర్ణంలో ఉంది. క్యాబిన్ వెడల్పు 41 అంగుళాలు (100 సెం.మీ). ఆమోదయోగ్యమైన విద్యుత్ పరిధి 65 నుండి 200 హెచ్‌పి (48 నుండి 149 కిలోవాట్) మరియు ఉపయోగించిన ప్రామాణిక పవర్‌ప్లాంట్ 140 హెచ్‌పి (104 కిలోవాట్) అవియా ఎమ్ 332 (ఎల్‌ఎమ్) నాలుగు సిలిండర్, విలోమ, ఎయిర్-కూల్డ్, సూపర్ఛార్జ్డ్, ఇన్లైన్ ఎయిర్‌క్రాఫ్ట్ ఇంజిన్. 1] AVIA ఇంజిన్‌తో MD-II ఒక సాధారణ ఖాళీ బరువు 1,150 lb (520 kg) మరియు స్థూల బరువు 2,000 lb (910 kg), 850 lb (390 kg) ఉపయోగకరమైన లోడ్‌ను ఇస్తుంది. 43 యు.ఎస్. గ్యాలన్ల (160 ఎల్; 36 ఇంప్ గల్) పూర్తి ఇంధనంతో పైలట్, ప్రయాణీకుడు మరియు సామాను 592 ఎల్బి (269 కిలోలు). [1] తయారీదారు 1500 గంటలకు సరఫరా చేసిన కిట్ నుండి నిర్మాణ సమయాన్ని అంచనా వేశారు. [1] 1998 నాటికి, రెండు విమానాలు పూర్తి మరియు ఎగురుతూ రెండు కిట్లను విక్రయించినట్లు కంపెనీ నివేదించింది. [1] డిసెంబర్ 2013 లో, యుఎస్ ఫెడరల్ ఏవియేషన్ అడ్మినిస్ట్రేషన్‌లో ఉదాహరణలు నమోదు కాలేదు. [2] ఏరోక్రాఫ్టర్ నుండి డేటా [1] సాధారణ లక్షణాల పనితీరు</v>
      </c>
      <c r="E114" s="1" t="s">
        <v>154</v>
      </c>
      <c r="F114" s="1" t="str">
        <f>IFERROR(__xludf.DUMMYFUNCTION("GOOGLETRANSLATE(E:E, ""en"", ""te"")"),"హోమ్‌బిల్ట్ విమానం")</f>
        <v>హోమ్‌బిల్ట్ విమానం</v>
      </c>
      <c r="G114" s="1" t="s">
        <v>155</v>
      </c>
      <c r="H114" s="1" t="str">
        <f>IFERROR(__xludf.DUMMYFUNCTION("GOOGLETRANSLATE(G:G, ""en"", ""te"")"),"అమెరికా")</f>
        <v>అమెరికా</v>
      </c>
      <c r="I114" s="1" t="s">
        <v>1889</v>
      </c>
      <c r="J114" s="1" t="str">
        <f>IFERROR(__xludf.DUMMYFUNCTION("GOOGLETRANSLATE(I:I, ""en"", ""te"")"),"ఫ్రాంటియర్ ఎయిర్క్రాఫ్ట్ ఇంక్")</f>
        <v>ఫ్రాంటియర్ ఎయిర్క్రాఫ్ట్ ఇంక్</v>
      </c>
      <c r="K114" s="1" t="s">
        <v>1890</v>
      </c>
      <c r="O114" s="1" t="s">
        <v>135</v>
      </c>
      <c r="P114" s="1" t="s">
        <v>1891</v>
      </c>
      <c r="Q114" s="1" t="s">
        <v>1892</v>
      </c>
      <c r="S114" s="1" t="s">
        <v>1893</v>
      </c>
      <c r="T114" s="1" t="s">
        <v>1197</v>
      </c>
      <c r="U114" s="1" t="s">
        <v>440</v>
      </c>
      <c r="V114" s="1" t="s">
        <v>1894</v>
      </c>
      <c r="W114" s="1" t="s">
        <v>1895</v>
      </c>
      <c r="X114" s="1" t="s">
        <v>1896</v>
      </c>
      <c r="Y114" s="1" t="s">
        <v>1551</v>
      </c>
      <c r="Z114" s="1" t="s">
        <v>1520</v>
      </c>
      <c r="AA114" s="1" t="s">
        <v>1897</v>
      </c>
      <c r="AB114" s="1" t="s">
        <v>166</v>
      </c>
      <c r="AC114" s="2" t="s">
        <v>167</v>
      </c>
      <c r="AD114" s="1" t="s">
        <v>581</v>
      </c>
      <c r="AE114" s="1" t="s">
        <v>1898</v>
      </c>
      <c r="AF114" s="1" t="s">
        <v>1899</v>
      </c>
      <c r="AG114" s="1" t="s">
        <v>1900</v>
      </c>
      <c r="AH114" s="1" t="s">
        <v>1901</v>
      </c>
      <c r="AI114" s="1" t="s">
        <v>1902</v>
      </c>
      <c r="AJ114" s="1">
        <v>2.0</v>
      </c>
      <c r="AK114" s="1" t="s">
        <v>195</v>
      </c>
      <c r="AT114" s="1" t="s">
        <v>1724</v>
      </c>
      <c r="BN114" s="1" t="s">
        <v>1527</v>
      </c>
    </row>
    <row r="115">
      <c r="A115" s="1" t="s">
        <v>1903</v>
      </c>
      <c r="B115" s="1" t="str">
        <f>IFERROR(__xludf.DUMMYFUNCTION("GOOGLETRANSLATE(A:A, ""en"", ""te"")"),"మెర్కెల్ మార్క్ II")</f>
        <v>మెర్కెల్ మార్క్ II</v>
      </c>
      <c r="C115" s="1" t="s">
        <v>1904</v>
      </c>
      <c r="D115" s="1" t="str">
        <f>IFERROR(__xludf.DUMMYFUNCTION("GOOGLETRANSLATE(C:C, ""en"", ""te"")"),"మెర్కెల్ మార్క్ II అనేది ఒక అమెరికన్ హోమ్‌బిల్ట్ ఏరోబాటిక్ బైప్‌లేన్, దీనిని ఎడ్విన్ మెర్కెల్ రూపొందించారు మరియు కాన్సాస్‌లోని విచిత యొక్క మెర్కెల్ ఎయిర్‌ప్లేన్ కంపెనీ te త్సాహిక నిర్మాణానికి ప్రణాళికల రూపంలో నిర్మించింది. [1] డిజైనర్ మెర్కెల్ 12 మార్చి 2"&amp;"012 న మరణించాడు మరియు ప్రణాళికలు ఇకపై అందుబాటులో లేవు. [2] మార్క్ II ఐచ్ఛిక బబుల్ పందిరి, స్థిర సాంప్రదాయ ల్యాండింగ్ గేర్ మరియు ట్రాక్టర్ కాన్ఫిగరేషన్‌లో ఒకే ఇంజిన్‌తో రెండు-సీట్ల-తేమ ఓపెన్ కాక్‌పిట్‌ను కలిగి ఉంది. మార్క్ II ప్రణాళికాబద్ధమైన సింగిల్-సీట్ "&amp;"పోటీ సంస్కరణకు తోడుగా రెండు-సీట్ల ట్రైనర్ వెర్షన్‌గా ఉద్దేశించబడింది. [1] షీట్ అల్యూమినియంలో కప్పబడిన ఎయిర్‌ఫ్రేమ్‌తో ఈ విమానం వెల్డెడ్ స్టీల్ గొట్టాల నుండి తయారవుతుంది. దాని 25.5 అడుగుల (7.8 మీ) స్పాన్ రెక్కలు NACA 23012 ఎయిర్‌ఫాయిల్‌ను ఉపయోగిస్తాయి మరియ"&amp;"ు ప్రతి ఒక్కటి ఒకే టోర్షనల్ స్పార్ కలిగి ఉంటాయి. ప్రామాణిక ఇంజిన్ సిఫార్సు చేయబడినది 220 హెచ్‌పి (164 కిలోవాట్) ఫ్రాంక్లిన్ ఇంజిన్ కంపెనీ పవర్‌ప్లాంట్. [1] [3] ఈ విమానం ఖాళీ బరువు 1,200 ఎల్బి (540 కిలోలు) మరియు స్థూల బరువు 1,540 ఎల్బి (700 కిలోలు), 340 ఎల"&amp;"్బి (150 కిలోల) ఉపయోగకరమైన లోడ్‌ను ఇస్తుంది. 18 యు.ఎస్. గ్యాలన్ల పూర్తి ఇంధనంతో (68 ఎల్; 15 ఇంప్ గల్) పేలోడ్ 232 ఎల్బి (105 కిలోలు). [1] విమానం మరియు పైలట్ నుండి డేటా [1] సాధారణ లక్షణాల పనితీరు")</f>
        <v>మెర్కెల్ మార్క్ II అనేది ఒక అమెరికన్ హోమ్‌బిల్ట్ ఏరోబాటిక్ బైప్‌లేన్, దీనిని ఎడ్విన్ మెర్కెల్ రూపొందించారు మరియు కాన్సాస్‌లోని విచిత యొక్క మెర్కెల్ ఎయిర్‌ప్లేన్ కంపెనీ te త్సాహిక నిర్మాణానికి ప్రణాళికల రూపంలో నిర్మించింది. [1] డిజైనర్ మెర్కెల్ 12 మార్చి 2012 న మరణించాడు మరియు ప్రణాళికలు ఇకపై అందుబాటులో లేవు. [2] మార్క్ II ఐచ్ఛిక బబుల్ పందిరి, స్థిర సాంప్రదాయ ల్యాండింగ్ గేర్ మరియు ట్రాక్టర్ కాన్ఫిగరేషన్‌లో ఒకే ఇంజిన్‌తో రెండు-సీట్ల-తేమ ఓపెన్ కాక్‌పిట్‌ను కలిగి ఉంది. మార్క్ II ప్రణాళికాబద్ధమైన సింగిల్-సీట్ పోటీ సంస్కరణకు తోడుగా రెండు-సీట్ల ట్రైనర్ వెర్షన్‌గా ఉద్దేశించబడింది. [1] షీట్ అల్యూమినియంలో కప్పబడిన ఎయిర్‌ఫ్రేమ్‌తో ఈ విమానం వెల్డెడ్ స్టీల్ గొట్టాల నుండి తయారవుతుంది. దాని 25.5 అడుగుల (7.8 మీ) స్పాన్ రెక్కలు NACA 23012 ఎయిర్‌ఫాయిల్‌ను ఉపయోగిస్తాయి మరియు ప్రతి ఒక్కటి ఒకే టోర్షనల్ స్పార్ కలిగి ఉంటాయి. ప్రామాణిక ఇంజిన్ సిఫార్సు చేయబడినది 220 హెచ్‌పి (164 కిలోవాట్) ఫ్రాంక్లిన్ ఇంజిన్ కంపెనీ పవర్‌ప్లాంట్. [1] [3] ఈ విమానం ఖాళీ బరువు 1,200 ఎల్బి (540 కిలోలు) మరియు స్థూల బరువు 1,540 ఎల్బి (700 కిలోలు), 340 ఎల్బి (150 కిలోల) ఉపయోగకరమైన లోడ్‌ను ఇస్తుంది. 18 యు.ఎస్. గ్యాలన్ల పూర్తి ఇంధనంతో (68 ఎల్; 15 ఇంప్ గల్) పేలోడ్ 232 ఎల్బి (105 కిలోలు). [1] విమానం మరియు పైలట్ నుండి డేటా [1] సాధారణ లక్షణాల పనితీరు</v>
      </c>
      <c r="E115" s="1" t="s">
        <v>154</v>
      </c>
      <c r="F115" s="1" t="str">
        <f>IFERROR(__xludf.DUMMYFUNCTION("GOOGLETRANSLATE(E:E, ""en"", ""te"")"),"హోమ్‌బిల్ట్ విమానం")</f>
        <v>హోమ్‌బిల్ట్ విమానం</v>
      </c>
      <c r="G115" s="1" t="s">
        <v>155</v>
      </c>
      <c r="H115" s="1" t="str">
        <f>IFERROR(__xludf.DUMMYFUNCTION("GOOGLETRANSLATE(G:G, ""en"", ""te"")"),"అమెరికా")</f>
        <v>అమెరికా</v>
      </c>
      <c r="I115" s="1" t="s">
        <v>1905</v>
      </c>
      <c r="J115" s="1" t="str">
        <f>IFERROR(__xludf.DUMMYFUNCTION("GOOGLETRANSLATE(I:I, ""en"", ""te"")"),"మెర్కెల్ ఎయిర్‌ప్లేన్ కంపెనీ")</f>
        <v>మెర్కెల్ ఎయిర్‌ప్లేన్ కంపెనీ</v>
      </c>
      <c r="K115" s="1" t="s">
        <v>1906</v>
      </c>
      <c r="L115" s="1" t="s">
        <v>1907</v>
      </c>
      <c r="O115" s="1" t="s">
        <v>135</v>
      </c>
      <c r="P115" s="1" t="s">
        <v>1908</v>
      </c>
      <c r="Q115" s="1" t="s">
        <v>1909</v>
      </c>
      <c r="T115" s="1" t="s">
        <v>1548</v>
      </c>
      <c r="U115" s="1" t="s">
        <v>1910</v>
      </c>
      <c r="V115" s="1" t="s">
        <v>1911</v>
      </c>
      <c r="W115" s="1" t="s">
        <v>1912</v>
      </c>
      <c r="X115" s="1" t="s">
        <v>1913</v>
      </c>
      <c r="Z115" s="1" t="s">
        <v>1914</v>
      </c>
      <c r="AB115" s="1" t="s">
        <v>166</v>
      </c>
      <c r="AC115" s="2" t="s">
        <v>167</v>
      </c>
      <c r="AD115" s="1" t="s">
        <v>1572</v>
      </c>
      <c r="AE115" s="1" t="s">
        <v>375</v>
      </c>
      <c r="AG115" s="1" t="s">
        <v>1537</v>
      </c>
      <c r="AH115" s="1" t="s">
        <v>428</v>
      </c>
      <c r="AK115" s="1" t="s">
        <v>195</v>
      </c>
      <c r="AT115" s="1" t="s">
        <v>1915</v>
      </c>
      <c r="BA115" s="1" t="s">
        <v>1916</v>
      </c>
    </row>
    <row r="116">
      <c r="A116" s="1" t="s">
        <v>1917</v>
      </c>
      <c r="B116" s="1" t="str">
        <f>IFERROR(__xludf.DUMMYFUNCTION("GOOGLETRANSLATE(A:A, ""en"", ""te"")"),"మిడ్‌వెస్ట్ క్వెస్టార్ ఓపెన్ ఐర్")</f>
        <v>మిడ్‌వెస్ట్ క్వెస్టార్ ఓపెన్ ఐర్</v>
      </c>
      <c r="C116" s="1" t="s">
        <v>1918</v>
      </c>
      <c r="D116" s="1" t="str">
        <f>IFERROR(__xludf.DUMMYFUNCTION("GOOGLETRANSLATE(C:C, ""en"", ""te"")"),"మిడ్‌వెస్ట్ క్వెస్టార్ ఓపెన్ ఐర్ అనేది ఒక అమెరికన్ అల్ట్రాలైట్ విమానం, దీనిని కాన్సాస్‌లోని ఓవర్‌ల్యాండ్ పార్క్ యొక్క మిడ్‌వెస్ట్ ఇంజనీరింగ్ రూపొందించి ఉత్పత్తి చేసింది. ఇది అందుబాటులో ఉన్నప్పుడు ఈ విమానం te త్సాహిక నిర్మాణం కోసం ప్రణాళికల రూపంలో సరఫరా చే"&amp;"యబడింది, కాని 29 జూన్ 2000 న ప్రణాళికలు ఉపసంహరించబడ్డాయి. [1] [2] క్వెస్టార్ ఓపెన్ ఐర్ యుఎస్ ఫార్ 103 అల్ట్రాలైట్ వెహికల్స్ నిబంధనలను పాటించేలా రూపొందించబడింది, ఇందులో వర్గం యొక్క గరిష్ట ఖాళీ బరువు 254 పౌండ్లు (115 కిలోలు). ఈ విమానం ప్రామాణిక ఖాళీ బరువు 2"&amp;"20 పౌండ్లు (100 కిలోలు). [1] ఈ విమానం స్ట్రట్-బ్రేస్డ్ హై-వింగ్, విండ్‌షీల్డ్ లేకుండా సింగిల్-సీట్ల ఓపెన్ కాక్‌పిట్, వీల్ ప్యాంటు లేకుండా స్థిర సాంప్రదాయ ల్యాండింగ్ గేర్ మరియు పషర్ కాన్ఫిగరేషన్‌లో ఒకే ఇంజిన్ ఉన్నాయి. [1] క్వెస్టార్ ఓపెన్ ఐర్ బోల్ట్-టుగేథర"&amp;"్ అల్యూమినియం గొట్టాలు మరియు కలప నుండి తయారవుతుంది, దాని ఎగిరే ఉపరితలాలు డోప్డ్ ఎయిర్క్రాఫ్ట్ ఫాబ్రిక్‌లో కప్పబడి ఉంటాయి. దాని 28.66 అడుగుల (8.7 మీ) స్పాన్ వింగ్ రెక్క ప్రాంతం 124.0 చదరపు అడుగులు (11.52 మీ 2) కలిగి ఉంది మరియు దీనికి ""వి"" స్ట్రట్స్ మద్దత"&amp;"ు ఇస్తుంది. ఆమోదయోగ్యమైన శక్తి పరిధి 30 నుండి 40 హెచ్‌పి (22 నుండి 30 కిలోవాట్) మరియు ఉపయోగించిన ప్రామాణిక ఇంజన్లు చిన్న 30 హెచ్‌పి (22 కిలోవాట్) రెండు-స్ట్రోక్ పవర్‌ప్లాంట్లు. [1] ఈ విమానం సాధారణ ఖాళీ బరువు 220 పౌండ్లు (100 కిలోలు) మరియు స్థూల బరువు 450 "&amp;"ఎల్బి (200 కిలోలు), ఇది 230 ఎల్బి (100 కిలోల) ఉపయోగకరమైన లోడ్‌ను ఇస్తుంది. 3 యు.ఎస్. గ్యాలన్ల పూర్తి ఇంధనంతో (11 ఎల్; 2.5 ఇంప్ గల్) పైలట్ మరియు సామాను కోసం పేలోడ్ 212 ఎల్బి (96 కిలోలు). [1] ప్రామాణిక రోజు, సముద్ర మట్టం, గాలి లేదు, 30 హెచ్‌పి (22 కిలోవాట్)"&amp;" ఇంజిన్‌తో ల్యాండింగ్ రోల్ 100 అడుగులు (30 మీ). [1] 1998 నాటికి 50 సెట్ల ప్రణాళికలు అమ్ముడయ్యాయని మరియు పది విమానాలు పూర్తయ్యాయని మరియు ఎగురుతున్నాయని కంపెనీ నివేదించింది. [1] ఏరోక్రాఫ్టర్ నుండి డేటా [1] సాధారణ లక్షణాల పనితీరు")</f>
        <v>మిడ్‌వెస్ట్ క్వెస్టార్ ఓపెన్ ఐర్ అనేది ఒక అమెరికన్ అల్ట్రాలైట్ విమానం, దీనిని కాన్సాస్‌లోని ఓవర్‌ల్యాండ్ పార్క్ యొక్క మిడ్‌వెస్ట్ ఇంజనీరింగ్ రూపొందించి ఉత్పత్తి చేసింది. ఇది అందుబాటులో ఉన్నప్పుడు ఈ విమానం te త్సాహిక నిర్మాణం కోసం ప్రణాళికల రూపంలో సరఫరా చేయబడింది, కాని 29 జూన్ 2000 న ప్రణాళికలు ఉపసంహరించబడ్డాయి. [1] [2] క్వెస్టార్ ఓపెన్ ఐర్ యుఎస్ ఫార్ 103 అల్ట్రాలైట్ వెహికల్స్ నిబంధనలను పాటించేలా రూపొందించబడింది, ఇందులో వర్గం యొక్క గరిష్ట ఖాళీ బరువు 254 పౌండ్లు (115 కిలోలు). ఈ విమానం ప్రామాణిక ఖాళీ బరువు 220 పౌండ్లు (100 కిలోలు). [1] ఈ విమానం స్ట్రట్-బ్రేస్డ్ హై-వింగ్, విండ్‌షీల్డ్ లేకుండా సింగిల్-సీట్ల ఓపెన్ కాక్‌పిట్, వీల్ ప్యాంటు లేకుండా స్థిర సాంప్రదాయ ల్యాండింగ్ గేర్ మరియు పషర్ కాన్ఫిగరేషన్‌లో ఒకే ఇంజిన్ ఉన్నాయి. [1] క్వెస్టార్ ఓపెన్ ఐర్ బోల్ట్-టుగేథర్ అల్యూమినియం గొట్టాలు మరియు కలప నుండి తయారవుతుంది, దాని ఎగిరే ఉపరితలాలు డోప్డ్ ఎయిర్క్రాఫ్ట్ ఫాబ్రిక్‌లో కప్పబడి ఉంటాయి. దాని 28.66 అడుగుల (8.7 మీ) స్పాన్ వింగ్ రెక్క ప్రాంతం 124.0 చదరపు అడుగులు (11.52 మీ 2) కలిగి ఉంది మరియు దీనికి "వి" స్ట్రట్స్ మద్దతు ఇస్తుంది. ఆమోదయోగ్యమైన శక్తి పరిధి 30 నుండి 40 హెచ్‌పి (22 నుండి 30 కిలోవాట్) మరియు ఉపయోగించిన ప్రామాణిక ఇంజన్లు చిన్న 30 హెచ్‌పి (22 కిలోవాట్) రెండు-స్ట్రోక్ పవర్‌ప్లాంట్లు. [1] ఈ విమానం సాధారణ ఖాళీ బరువు 220 పౌండ్లు (100 కిలోలు) మరియు స్థూల బరువు 450 ఎల్బి (200 కిలోలు), ఇది 230 ఎల్బి (100 కిలోల) ఉపయోగకరమైన లోడ్‌ను ఇస్తుంది. 3 యు.ఎస్. గ్యాలన్ల పూర్తి ఇంధనంతో (11 ఎల్; 2.5 ఇంప్ గల్) పైలట్ మరియు సామాను కోసం పేలోడ్ 212 ఎల్బి (96 కిలోలు). [1] ప్రామాణిక రోజు, సముద్ర మట్టం, గాలి లేదు, 30 హెచ్‌పి (22 కిలోవాట్) ఇంజిన్‌తో ల్యాండింగ్ రోల్ 100 అడుగులు (30 మీ). [1] 1998 నాటికి 50 సెట్ల ప్రణాళికలు అమ్ముడయ్యాయని మరియు పది విమానాలు పూర్తయ్యాయని మరియు ఎగురుతున్నాయని కంపెనీ నివేదించింది. [1] ఏరోక్రాఫ్టర్ నుండి డేటా [1] సాధారణ లక్షణాల పనితీరు</v>
      </c>
      <c r="E116" s="1" t="s">
        <v>383</v>
      </c>
      <c r="F116" s="1" t="str">
        <f>IFERROR(__xludf.DUMMYFUNCTION("GOOGLETRANSLATE(E:E, ""en"", ""te"")"),"అల్ట్రాలైట్ విమానం")</f>
        <v>అల్ట్రాలైట్ విమానం</v>
      </c>
      <c r="G116" s="1" t="s">
        <v>155</v>
      </c>
      <c r="H116" s="1" t="str">
        <f>IFERROR(__xludf.DUMMYFUNCTION("GOOGLETRANSLATE(G:G, ""en"", ""te"")"),"అమెరికా")</f>
        <v>అమెరికా</v>
      </c>
      <c r="I116" s="1" t="s">
        <v>1492</v>
      </c>
      <c r="J116" s="1" t="str">
        <f>IFERROR(__xludf.DUMMYFUNCTION("GOOGLETRANSLATE(I:I, ""en"", ""te"")"),"మిడ్‌వెస్ట్ ఇంజనీరింగ్")</f>
        <v>మిడ్‌వెస్ట్ ఇంజనీరింగ్</v>
      </c>
      <c r="K116" s="1" t="s">
        <v>1493</v>
      </c>
      <c r="O116" s="1" t="s">
        <v>135</v>
      </c>
      <c r="P116" s="1" t="s">
        <v>1919</v>
      </c>
      <c r="Q116" s="1" t="s">
        <v>1920</v>
      </c>
      <c r="S116" s="1" t="s">
        <v>1921</v>
      </c>
      <c r="T116" s="1" t="s">
        <v>1683</v>
      </c>
      <c r="U116" s="1" t="s">
        <v>1684</v>
      </c>
      <c r="V116" s="1" t="s">
        <v>1498</v>
      </c>
      <c r="W116" s="1" t="s">
        <v>832</v>
      </c>
      <c r="Y116" s="1" t="s">
        <v>1200</v>
      </c>
      <c r="Z116" s="1" t="s">
        <v>1450</v>
      </c>
      <c r="AB116" s="1" t="s">
        <v>392</v>
      </c>
      <c r="AC116" s="2" t="s">
        <v>167</v>
      </c>
      <c r="AE116" s="1" t="s">
        <v>1501</v>
      </c>
      <c r="AF116" s="1" t="s">
        <v>583</v>
      </c>
      <c r="AG116" s="1" t="s">
        <v>1922</v>
      </c>
      <c r="AH116" s="1" t="s">
        <v>1423</v>
      </c>
      <c r="AI116" s="1" t="s">
        <v>1923</v>
      </c>
      <c r="AJ116" s="1" t="s">
        <v>1924</v>
      </c>
      <c r="CV116" s="1" t="s">
        <v>1506</v>
      </c>
    </row>
    <row r="117">
      <c r="A117" s="1" t="s">
        <v>1925</v>
      </c>
      <c r="B117" s="1" t="str">
        <f>IFERROR(__xludf.DUMMYFUNCTION("GOOGLETRANSLATE(A:A, ""en"", ""te"")"),"సదరన్ ఏరోనాటికల్ రెనెగేడ్")</f>
        <v>సదరన్ ఏరోనాటికల్ రెనెగేడ్</v>
      </c>
      <c r="C117" s="1" t="s">
        <v>1926</v>
      </c>
      <c r="D117" s="1" t="str">
        <f>IFERROR(__xludf.DUMMYFUNCTION("GOOGLETRANSLATE(C:C, ""en"", ""te"")"),"సదరన్ ఏరోనాటికల్ రెనెగేడ్ అనేది ఒక అమెరికన్ ఫార్ములా వి ఎయిర్ రేసింగ్ హోమ్‌బిల్ట్ విమానం, దీనిని చార్లెస్ లాషర్ రూపొందించారు మరియు ఫ్లోరిడాలోని మయామి లేక్స్ యొక్క సదరన్ ఏరోనాటికల్ కార్పొరేషన్ నిర్మించింది. ఈ విమానం te త్సాహిక నిర్మాణం కోసం ప్రణాళికల రూపంల"&amp;"ో సరఫరా చేయబడింది, కాని ప్రణాళికలు ఇకపై అందుబాటులో లేవు. [1] ఈ విమానం ఒక కాంటిలివర్ మిడ్-వింగ్, బబుల్ పందిరి కింద సింగిల్-సీట్ల పరివేష్టిత కాక్‌పిట్, స్థిర సాంప్రదాయ ల్యాండింగ్ గేర్ మరియు ట్రాక్టర్ కాన్ఫిగరేషన్‌లో ఒకే ఇంజిన్ కలిగి ఉంది. [1] విమానం ఫ్యూజ్‌"&amp;"లేజ్ వెల్డెడ్ స్టీల్ గొట్టాల నుండి తయారవుతుంది, ఇది లాషర్ దాని ఉన్నతమైన క్రాష్ మనుగడ కోసం ఎంచుకుంది. దీని మిడ్-మౌంటెడ్ వింగ్ డోప్డ్ ఎయిర్క్రాఫ్ట్ ఫాబ్రిక్ మరియు 16 అడుగుల (4.9 మీ) తో కప్పబడిన చెక్క నిర్మాణాన్ని కలిగి ఉంది. ఫార్ములా V తరగతి డిమాండ్ చేసినట్"&amp;"లుగా, ఈ విమానం 35 నుండి 65 హెచ్‌పి (26 నుండి 48 కిలోవాట్) వోక్స్వ్యాగన్ ఎయిర్-కూల్డ్ ఇంజిన్ ద్వారా శక్తినిస్తుంది, ఇది 150 mph (241 కిమీ/గం) మరియు 125 క్రూయిజ్ వేగాన్ని ఇస్తుంది MPH (201 కి.మీ/గం). [1] ఈ విమానం ఖాళీ బరువు 400 ఎల్బి (180 కిలోలు) మరియు స్థూ"&amp;"ల బరువు 700 ఎల్బి (320 కిలోలు), 300 ఎల్బి (140 కిలోల) ఉపయోగకరమైన లోడ్ ఇస్తుంది. 10 యు.ఎస్. గ్యాలన్ల పూర్తి ఇంధనంతో (38 ఎల్; 8.3 ఇంప్ గల్) పేలోడ్ 240 ఎల్బి (110 కిలోలు). [1] విమానం మరియు పైలట్ నుండి డేటా [1] సాధారణ లక్షణాల పనితీరు")</f>
        <v>సదరన్ ఏరోనాటికల్ రెనెగేడ్ అనేది ఒక అమెరికన్ ఫార్ములా వి ఎయిర్ రేసింగ్ హోమ్‌బిల్ట్ విమానం, దీనిని చార్లెస్ లాషర్ రూపొందించారు మరియు ఫ్లోరిడాలోని మయామి లేక్స్ యొక్క సదరన్ ఏరోనాటికల్ కార్పొరేషన్ నిర్మించింది. ఈ విమానం te త్సాహిక నిర్మాణం కోసం ప్రణాళికల రూపంలో సరఫరా చేయబడింది, కాని ప్రణాళికలు ఇకపై అందుబాటులో లేవు. [1] ఈ విమానం ఒక కాంటిలివర్ మిడ్-వింగ్, బబుల్ పందిరి కింద సింగిల్-సీట్ల పరివేష్టిత కాక్‌పిట్, స్థిర సాంప్రదాయ ల్యాండింగ్ గేర్ మరియు ట్రాక్టర్ కాన్ఫిగరేషన్‌లో ఒకే ఇంజిన్ కలిగి ఉంది. [1] విమానం ఫ్యూజ్‌లేజ్ వెల్డెడ్ స్టీల్ గొట్టాల నుండి తయారవుతుంది, ఇది లాషర్ దాని ఉన్నతమైన క్రాష్ మనుగడ కోసం ఎంచుకుంది. దీని మిడ్-మౌంటెడ్ వింగ్ డోప్డ్ ఎయిర్క్రాఫ్ట్ ఫాబ్రిక్ మరియు 16 అడుగుల (4.9 మీ) తో కప్పబడిన చెక్క నిర్మాణాన్ని కలిగి ఉంది. ఫార్ములా V తరగతి డిమాండ్ చేసినట్లుగా, ఈ విమానం 35 నుండి 65 హెచ్‌పి (26 నుండి 48 కిలోవాట్) వోక్స్వ్యాగన్ ఎయిర్-కూల్డ్ ఇంజిన్ ద్వారా శక్తినిస్తుంది, ఇది 150 mph (241 కిమీ/గం) మరియు 125 క్రూయిజ్ వేగాన్ని ఇస్తుంది MPH (201 కి.మీ/గం). [1] ఈ విమానం ఖాళీ బరువు 400 ఎల్బి (180 కిలోలు) మరియు స్థూల బరువు 700 ఎల్బి (320 కిలోలు), 300 ఎల్బి (140 కిలోల) ఉపయోగకరమైన లోడ్ ఇస్తుంది. 10 యు.ఎస్. గ్యాలన్ల పూర్తి ఇంధనంతో (38 ఎల్; 8.3 ఇంప్ గల్) పేలోడ్ 240 ఎల్బి (110 కిలోలు). [1] విమానం మరియు పైలట్ నుండి డేటా [1] సాధారణ లక్షణాల పనితీరు</v>
      </c>
      <c r="E117" s="1" t="s">
        <v>1927</v>
      </c>
      <c r="F117" s="1" t="str">
        <f>IFERROR(__xludf.DUMMYFUNCTION("GOOGLETRANSLATE(E:E, ""en"", ""te"")"),"హోమ్‌బిల్ట్ ఎయిర్ రేసర్")</f>
        <v>హోమ్‌బిల్ట్ ఎయిర్ రేసర్</v>
      </c>
      <c r="G117" s="1" t="s">
        <v>155</v>
      </c>
      <c r="H117" s="1" t="str">
        <f>IFERROR(__xludf.DUMMYFUNCTION("GOOGLETRANSLATE(G:G, ""en"", ""te"")"),"అమెరికా")</f>
        <v>అమెరికా</v>
      </c>
      <c r="I117" s="1" t="s">
        <v>1770</v>
      </c>
      <c r="J117" s="1" t="str">
        <f>IFERROR(__xludf.DUMMYFUNCTION("GOOGLETRANSLATE(I:I, ""en"", ""te"")"),"సదరన్ ఏరోనాటికల్ కార్పొరేషన్")</f>
        <v>సదరన్ ఏరోనాటికల్ కార్పొరేషన్</v>
      </c>
      <c r="K117" s="1" t="s">
        <v>1771</v>
      </c>
      <c r="L117" s="1" t="s">
        <v>1928</v>
      </c>
      <c r="O117" s="1" t="s">
        <v>135</v>
      </c>
      <c r="P117" s="1" t="s">
        <v>1929</v>
      </c>
      <c r="Q117" s="1" t="s">
        <v>1605</v>
      </c>
      <c r="T117" s="1" t="s">
        <v>1416</v>
      </c>
      <c r="U117" s="1" t="s">
        <v>1718</v>
      </c>
      <c r="V117" s="1" t="s">
        <v>1930</v>
      </c>
      <c r="W117" s="1" t="s">
        <v>1209</v>
      </c>
      <c r="X117" s="1" t="s">
        <v>1931</v>
      </c>
      <c r="Z117" s="1" t="s">
        <v>1229</v>
      </c>
      <c r="AB117" s="1" t="s">
        <v>1932</v>
      </c>
      <c r="AC117" s="2" t="s">
        <v>167</v>
      </c>
      <c r="AD117" s="1" t="s">
        <v>1572</v>
      </c>
      <c r="AE117" s="1" t="s">
        <v>1214</v>
      </c>
      <c r="AF117" s="1" t="s">
        <v>583</v>
      </c>
      <c r="AG117" s="1" t="s">
        <v>1933</v>
      </c>
      <c r="AH117" s="1" t="s">
        <v>1934</v>
      </c>
    </row>
    <row r="118">
      <c r="A118" s="1" t="s">
        <v>1935</v>
      </c>
      <c r="B118" s="1" t="str">
        <f>IFERROR(__xludf.DUMMYFUNCTION("GOOGLETRANSLATE(A:A, ""en"", ""te"")"),"ఎక్స్‌ప్రెస్ సిరీస్ 90")</f>
        <v>ఎక్స్‌ప్రెస్ సిరీస్ 90</v>
      </c>
      <c r="C118" s="1" t="s">
        <v>1936</v>
      </c>
      <c r="D118" s="1" t="str">
        <f>IFERROR(__xludf.DUMMYFUNCTION("GOOGLETRANSLATE(C:C, ""en"", ""te"")"),"ఎక్స్‌ప్రెస్ సిరీస్ 90 అనేది ఒక అమెరికన్ హోమ్‌బిల్ట్ విమానం, దీనిని 1980 ల చివరలో ప్రవేశపెట్టిన వాషింగ్టన్‌లోని ఒలింపియాకు చెందిన ఎక్స్‌ప్రెస్ ఎయిర్‌క్రాఫ్ట్ కంపెనీ రూపొందించింది మరియు నిర్మించింది. ఇది అందుబాటులో ఉన్నప్పుడు విమానం te త్సాహిక నిర్మాణానికి"&amp;" కిట్‌గా సరఫరా చేయబడింది. [1] ఎక్స్‌ప్రెస్ సిరీస్ 90 కెన్ వీలర్ రూపొందించిన మునుపటి వీలర్ ఎక్స్‌ప్రెస్ యొక్క అభివృద్ధి. ఇది 20% పెద్ద తోకను కలిగి ఉంటుంది, ఇది గురుత్వాకర్షణ పరిధి యొక్క విస్తృత కేంద్రాన్ని ఇస్తుంది, అదే సమయంలో పిచ్ మరియు యా స్థిరత్వాన్ని క"&amp;"ూడా పెంచుతుంది. [1] ఈ విమానం కాంటిలివర్ లో-వింగ్, నాలుగు-సీట్ల పరివేష్టిత క్యాబిన్, వీల్ ప్యాంటుతో స్థిర ట్రైసైకిల్ ల్యాండింగ్ గేర్ మరియు ట్రాక్టర్ కాన్ఫిగరేషన్‌లో ఒకే ఇంజిన్ ఉన్నాయి. [1] సిరీస్ 90 మిశ్రమాల నుండి తయారవుతుంది. దాని 31.00 అడుగుల (9.4 మీ) స్"&amp;"పాన్ వింగ్ ఫ్లాప్‌లను మౌంట్ చేస్తుంది మరియు 130.00 చదరపు అడుగుల (12.077 మీ 2) రెక్క ప్రాంతం ఉంది. క్యాబిన్ వెడల్పు 46 అంగుళాలు (120 సెం.మీ). ఉపయోగించిన ప్రామాణిక ఇంజిన్ 300 హెచ్‌పి (224 కిలోవాట్) లైమింగ్ IO-540 నాలుగు స్ట్రోక్, ఎయిర్-కూల్డ్, సిక్స్ సిలిండ"&amp;"ర్ పవర్‌ప్లాంట్. [1] ఈ విమానం సాధారణ ఖాళీ బరువు 1,840 పౌండ్లు (830 కిలోలు) మరియు స్థూల బరువు 3,200 పౌండ్లు (1,500 కిలోలు), ఇది 1,360 పౌండ్లు (620 కిలోల) ఉపయోగకరమైన లోడ్ ఇస్తుంది. 92 యు.ఎస్. గ్యాలన్ల పూర్తి ఇంధనంతో (350 ఎల్; 77 ఇంప్ గల్) పైలట్ కోసం పేలోడ్,"&amp;" ప్రయాణీకులు మరియు సామాను 808 ఎల్బి (367 కిలోలు). [1] తయారీదారు నిర్మాణ సమయాన్ని సరఫరా చేసిన కిట్ నుండి 2000 గంటలుగా అంచనా వేశారు. [1] డిసెంబర్ 2013 లో ఫెడరల్ ఏవియేషన్ అడ్మినిస్ట్రేషన్తో అమెరికాలో మూడు ఉదాహరణలు నమోదు చేయబడ్డాయి. [2] ఏరోక్రాఫ్టర్ నుండి డేట"&amp;"ా [1] సాధారణ లక్షణాల పనితీరు")</f>
        <v>ఎక్స్‌ప్రెస్ సిరీస్ 90 అనేది ఒక అమెరికన్ హోమ్‌బిల్ట్ విమానం, దీనిని 1980 ల చివరలో ప్రవేశపెట్టిన వాషింగ్టన్‌లోని ఒలింపియాకు చెందిన ఎక్స్‌ప్రెస్ ఎయిర్‌క్రాఫ్ట్ కంపెనీ రూపొందించింది మరియు నిర్మించింది. ఇది అందుబాటులో ఉన్నప్పుడు విమానం te త్సాహిక నిర్మాణానికి కిట్‌గా సరఫరా చేయబడింది. [1] ఎక్స్‌ప్రెస్ సిరీస్ 90 కెన్ వీలర్ రూపొందించిన మునుపటి వీలర్ ఎక్స్‌ప్రెస్ యొక్క అభివృద్ధి. ఇది 20% పెద్ద తోకను కలిగి ఉంటుంది, ఇది గురుత్వాకర్షణ పరిధి యొక్క విస్తృత కేంద్రాన్ని ఇస్తుంది, అదే సమయంలో పిచ్ మరియు యా స్థిరత్వాన్ని కూడా పెంచుతుంది. [1] ఈ విమానం కాంటిలివర్ లో-వింగ్, నాలుగు-సీట్ల పరివేష్టిత క్యాబిన్, వీల్ ప్యాంటుతో స్థిర ట్రైసైకిల్ ల్యాండింగ్ గేర్ మరియు ట్రాక్టర్ కాన్ఫిగరేషన్‌లో ఒకే ఇంజిన్ ఉన్నాయి. [1] సిరీస్ 90 మిశ్రమాల నుండి తయారవుతుంది. దాని 31.00 అడుగుల (9.4 మీ) స్పాన్ వింగ్ ఫ్లాప్‌లను మౌంట్ చేస్తుంది మరియు 130.00 చదరపు అడుగుల (12.077 మీ 2) రెక్క ప్రాంతం ఉంది. క్యాబిన్ వెడల్పు 46 అంగుళాలు (120 సెం.మీ). ఉపయోగించిన ప్రామాణిక ఇంజిన్ 300 హెచ్‌పి (224 కిలోవాట్) లైమింగ్ IO-540 నాలుగు స్ట్రోక్, ఎయిర్-కూల్డ్, సిక్స్ సిలిండర్ పవర్‌ప్లాంట్. [1] ఈ విమానం సాధారణ ఖాళీ బరువు 1,840 పౌండ్లు (830 కిలోలు) మరియు స్థూల బరువు 3,200 పౌండ్లు (1,500 కిలోలు), ఇది 1,360 పౌండ్లు (620 కిలోల) ఉపయోగకరమైన లోడ్ ఇస్తుంది. 92 యు.ఎస్. గ్యాలన్ల పూర్తి ఇంధనంతో (350 ఎల్; 77 ఇంప్ గల్) పైలట్ కోసం పేలోడ్, ప్రయాణీకులు మరియు సామాను 808 ఎల్బి (367 కిలోలు). [1] తయారీదారు నిర్మాణ సమయాన్ని సరఫరా చేసిన కిట్ నుండి 2000 గంటలుగా అంచనా వేశారు. [1] డిసెంబర్ 2013 లో ఫెడరల్ ఏవియేషన్ అడ్మినిస్ట్రేషన్తో అమెరికాలో మూడు ఉదాహరణలు నమోదు చేయబడ్డాయి. [2] ఏరోక్రాఫ్టర్ నుండి డేటా [1] సాధారణ లక్షణాల పనితీరు</v>
      </c>
      <c r="E118" s="1" t="s">
        <v>154</v>
      </c>
      <c r="F118" s="1" t="str">
        <f>IFERROR(__xludf.DUMMYFUNCTION("GOOGLETRANSLATE(E:E, ""en"", ""te"")"),"హోమ్‌బిల్ట్ విమానం")</f>
        <v>హోమ్‌బిల్ట్ విమానం</v>
      </c>
      <c r="G118" s="1" t="s">
        <v>155</v>
      </c>
      <c r="H118" s="1" t="str">
        <f>IFERROR(__xludf.DUMMYFUNCTION("GOOGLETRANSLATE(G:G, ""en"", ""te"")"),"అమెరికా")</f>
        <v>అమెరికా</v>
      </c>
      <c r="I118" s="1" t="s">
        <v>1937</v>
      </c>
      <c r="J118" s="1" t="str">
        <f>IFERROR(__xludf.DUMMYFUNCTION("GOOGLETRANSLATE(I:I, ""en"", ""te"")"),"ఎక్స్‌ప్రెస్ ఎయిర్‌క్రాఫ్ట్ కంపెనీ")</f>
        <v>ఎక్స్‌ప్రెస్ ఎయిర్‌క్రాఫ్ట్ కంపెనీ</v>
      </c>
      <c r="K118" s="1" t="s">
        <v>1938</v>
      </c>
      <c r="O118" s="1" t="s">
        <v>135</v>
      </c>
      <c r="P118" s="1" t="s">
        <v>1606</v>
      </c>
      <c r="Q118" s="1" t="s">
        <v>1939</v>
      </c>
      <c r="S118" s="1" t="s">
        <v>1750</v>
      </c>
      <c r="T118" s="1" t="s">
        <v>1940</v>
      </c>
      <c r="U118" s="1" t="s">
        <v>1941</v>
      </c>
      <c r="V118" s="1" t="s">
        <v>1942</v>
      </c>
      <c r="X118" s="1" t="s">
        <v>1943</v>
      </c>
      <c r="AB118" s="1" t="s">
        <v>166</v>
      </c>
      <c r="AC118" s="2" t="s">
        <v>167</v>
      </c>
      <c r="AD118" s="1" t="s">
        <v>581</v>
      </c>
      <c r="AE118" s="1" t="s">
        <v>1944</v>
      </c>
      <c r="AF118" s="1" t="s">
        <v>1945</v>
      </c>
      <c r="AG118" s="1" t="s">
        <v>1946</v>
      </c>
      <c r="AH118" s="1" t="s">
        <v>1947</v>
      </c>
      <c r="AI118" s="1" t="s">
        <v>1948</v>
      </c>
      <c r="AK118" s="1" t="s">
        <v>490</v>
      </c>
      <c r="BF118" s="1" t="s">
        <v>1949</v>
      </c>
      <c r="BG118" s="1" t="s">
        <v>1950</v>
      </c>
      <c r="BN118" s="1" t="s">
        <v>1951</v>
      </c>
    </row>
    <row r="119">
      <c r="A119" s="1" t="s">
        <v>1952</v>
      </c>
      <c r="B119" s="1" t="str">
        <f>IFERROR(__xludf.DUMMYFUNCTION("GOOGLETRANSLATE(A:A, ""en"", ""te"")"),"కెల్లీ-డి")</f>
        <v>కెల్లీ-డి</v>
      </c>
      <c r="C119" s="1" t="s">
        <v>1953</v>
      </c>
      <c r="D119" s="1" t="str">
        <f>IFERROR(__xludf.DUMMYFUNCTION("GOOGLETRANSLATE(C:C, ""en"", ""te"")"),"కెల్లీ-డి అనేది ఒక అమెరికన్ హోమ్‌బిల్ట్ విమానం, దీనిని 1981 లో కెంటుకీలోని వెర్సైల్లెస్ యొక్క డడ్లీ ఆర్. కెల్లీ రూపొందించారు. ఇది అందుబాటులో ఉన్నప్పుడు ఈ విమానం te త్సాహిక నిర్మాణానికి ప్రణాళికల రూపంలో సరఫరా చేయబడింది. ఎయిర్క్రాఫ్ట్ స్ప్రూస్ &amp; స్పెషాలిటీ "&amp;"కో ఇప్పటికీ డిజైన్ కోసం కొన్ని స్ప్రూస్ వింగ్ భాగాలను అందిస్తుంది. [2] [3] [4] డడ్లీ ఆర్. కెల్లీ 20 సెప్టెంబర్ 1998 న మరణించారు. అతని మరణం తరువాత, అతని భార్య, థెల్మా కెల్లీ కొంతకాలం ప్రణాళికలను విక్రయించడం కొనసాగించాడు మరియు వాటిని ఇప్పుడు హాట్జ్ బిప్‌లేన"&amp;"్ అసోసియేషన్ విక్రయిస్తున్నారు. [1] [5] కెల్లీ-డి అనేది హాట్జ్ సిబి -1 యొక్క అభివృద్ధి, కానీ ఎక్కువ వింగ్స్పాన్ మరియు ఫ్యూజ్‌లేజ్ పొడవుతో మరియు పెద్ద పైలట్లకు ఎక్కువ కాక్‌పిట్ స్థలంతో. ఇది స్ట్రట్-బ్రేస్డ్ బిప్‌లేన్ లేఅవుట్, వ్యక్తిగత విండ్‌షీల్డ్‌లతో ప్ర"&amp;"త్యేక టెన్డం ఓపెన్ కాక్‌పిట్‌లలో రెండు సీట్లు, స్థిర సాంప్రదాయ ల్యాండింగ్ గేర్ మరియు ట్రాక్టర్ కాన్ఫిగరేషన్‌లో ఒకే ఇంజిన్ ఉన్నాయి. [2] ఈ విమానం 4130 స్టీల్ గొట్టాలు మరియు కలప కలయికతో తయారు చేయబడింది, అన్ని ఉపరితలాలు డోప్డ్ ఎయిర్క్రాఫ్ట్ ఫాబ్రిక్‌లో కప్పబడ"&amp;"ి ఉంటాయి. దాని 26.30 అడుగుల (8.0 మీ) స్పాన్ వింగ్ స్ప్రూస్ నిర్మాణంతో తయారు చేయబడింది మరియు 230.00 చదరపు అడుగుల (21.368 మీ 2) రెక్క ప్రాంతం ఉంది. భూమి రవాణా మరియు నిల్వ కోసం రెక్కలు వేరు చేయబడతాయి. ఉపయోగించిన ప్రామాణిక ఇంజిన్ 115 HP (86 kW) లైమింగ్ O-235 "&amp;"నాలుగు స్ట్రోక్ పవర్‌ప్లాంట్. [2] [3] కెల్లీ-డి విలక్షణమైన ఖాళీ బరువు 925 ఎల్బి (420 కిలోలు) మరియు స్థూల బరువు 1,500 ఎల్బి (680 కిలోలు), ఇది 575 ఎల్బి (261 కిలోల) ఉపయోగకరమైన లోడ్‌ను ఇస్తుంది. 24 యు.ఎస్. గ్యాలన్ల పూర్తి ఇంధనంతో (91 ఎల్; 20 ఇంప్ గల్) పైలట్,"&amp;" ప్రయాణీకుడు మరియు సామాను 431 ఎల్బి (195 కిలోలు). [2] డిజైనర్ సరఫరా చేసిన కిట్ నుండి నిర్మాణ సమయాన్ని 4000 గంటలుగా అంచనా వేశారు. [2] 1983 లో, దీనిని US $ 8,000 కు ఉపయోగించిన ఇంజిన్‌తో నిర్మించవచ్చు. [6] 1998 నాటికి డడ్లీ 20 కిట్లు పూర్తయ్యాయని మరియు ఎగురు"&amp;"తున్నట్లు నివేదించారు. [2] జనవరి 2014 లో, ఫెడరల్ ఏవియేషన్ అడ్మినిస్ట్రేషన్తో 13 ఉదాహరణలు అమెరికాలో నమోదు చేయబడ్డాయి, అయినప్పటికీ మొత్తం 16 మంది ఒకేసారి నమోదు చేయబడింది. 2014 లో ట్రాన్స్పోర్ట్ కెనడాలో ఒకటి నమోదు చేయబడింది. [7] [8] ఏరోక్రాఫ్టర్ నుండి డేటా ["&amp;"2] సాధారణ లక్షణాల పనితీరు")</f>
        <v>కెల్లీ-డి అనేది ఒక అమెరికన్ హోమ్‌బిల్ట్ విమానం, దీనిని 1981 లో కెంటుకీలోని వెర్సైల్లెస్ యొక్క డడ్లీ ఆర్. కెల్లీ రూపొందించారు. ఇది అందుబాటులో ఉన్నప్పుడు ఈ విమానం te త్సాహిక నిర్మాణానికి ప్రణాళికల రూపంలో సరఫరా చేయబడింది. ఎయిర్క్రాఫ్ట్ స్ప్రూస్ &amp; స్పెషాలిటీ కో ఇప్పటికీ డిజైన్ కోసం కొన్ని స్ప్రూస్ వింగ్ భాగాలను అందిస్తుంది. [2] [3] [4] డడ్లీ ఆర్. కెల్లీ 20 సెప్టెంబర్ 1998 న మరణించారు. అతని మరణం తరువాత, అతని భార్య, థెల్మా కెల్లీ కొంతకాలం ప్రణాళికలను విక్రయించడం కొనసాగించాడు మరియు వాటిని ఇప్పుడు హాట్జ్ బిప్‌లేన్ అసోసియేషన్ విక్రయిస్తున్నారు. [1] [5] కెల్లీ-డి అనేది హాట్జ్ సిబి -1 యొక్క అభివృద్ధి, కానీ ఎక్కువ వింగ్స్పాన్ మరియు ఫ్యూజ్‌లేజ్ పొడవుతో మరియు పెద్ద పైలట్లకు ఎక్కువ కాక్‌పిట్ స్థలంతో. ఇది స్ట్రట్-బ్రేస్డ్ బిప్‌లేన్ లేఅవుట్, వ్యక్తిగత విండ్‌షీల్డ్‌లతో ప్రత్యేక టెన్డం ఓపెన్ కాక్‌పిట్‌లలో రెండు సీట్లు, స్థిర సాంప్రదాయ ల్యాండింగ్ గేర్ మరియు ట్రాక్టర్ కాన్ఫిగరేషన్‌లో ఒకే ఇంజిన్ ఉన్నాయి. [2] ఈ విమానం 4130 స్టీల్ గొట్టాలు మరియు కలప కలయికతో తయారు చేయబడింది, అన్ని ఉపరితలాలు డోప్డ్ ఎయిర్క్రాఫ్ట్ ఫాబ్రిక్‌లో కప్పబడి ఉంటాయి. దాని 26.30 అడుగుల (8.0 మీ) స్పాన్ వింగ్ స్ప్రూస్ నిర్మాణంతో తయారు చేయబడింది మరియు 230.00 చదరపు అడుగుల (21.368 మీ 2) రెక్క ప్రాంతం ఉంది. భూమి రవాణా మరియు నిల్వ కోసం రెక్కలు వేరు చేయబడతాయి. ఉపయోగించిన ప్రామాణిక ఇంజిన్ 115 HP (86 kW) లైమింగ్ O-235 నాలుగు స్ట్రోక్ పవర్‌ప్లాంట్. [2] [3] కెల్లీ-డి విలక్షణమైన ఖాళీ బరువు 925 ఎల్బి (420 కిలోలు) మరియు స్థూల బరువు 1,500 ఎల్బి (680 కిలోలు), ఇది 575 ఎల్బి (261 కిలోల) ఉపయోగకరమైన లోడ్‌ను ఇస్తుంది. 24 యు.ఎస్. గ్యాలన్ల పూర్తి ఇంధనంతో (91 ఎల్; 20 ఇంప్ గల్) పైలట్, ప్రయాణీకుడు మరియు సామాను 431 ఎల్బి (195 కిలోలు). [2] డిజైనర్ సరఫరా చేసిన కిట్ నుండి నిర్మాణ సమయాన్ని 4000 గంటలుగా అంచనా వేశారు. [2] 1983 లో, దీనిని US $ 8,000 కు ఉపయోగించిన ఇంజిన్‌తో నిర్మించవచ్చు. [6] 1998 నాటికి డడ్లీ 20 కిట్లు పూర్తయ్యాయని మరియు ఎగురుతున్నట్లు నివేదించారు. [2] జనవరి 2014 లో, ఫెడరల్ ఏవియేషన్ అడ్మినిస్ట్రేషన్తో 13 ఉదాహరణలు అమెరికాలో నమోదు చేయబడ్డాయి, అయినప్పటికీ మొత్తం 16 మంది ఒకేసారి నమోదు చేయబడింది. 2014 లో ట్రాన్స్పోర్ట్ కెనడాలో ఒకటి నమోదు చేయబడింది. [7] [8] ఏరోక్రాఫ్టర్ నుండి డేటా [2] సాధారణ లక్షణాల పనితీరు</v>
      </c>
      <c r="E119" s="1" t="s">
        <v>154</v>
      </c>
      <c r="F119" s="1" t="str">
        <f>IFERROR(__xludf.DUMMYFUNCTION("GOOGLETRANSLATE(E:E, ""en"", ""te"")"),"హోమ్‌బిల్ట్ విమానం")</f>
        <v>హోమ్‌బిల్ట్ విమానం</v>
      </c>
      <c r="G119" s="1" t="s">
        <v>155</v>
      </c>
      <c r="H119" s="1" t="str">
        <f>IFERROR(__xludf.DUMMYFUNCTION("GOOGLETRANSLATE(G:G, ""en"", ""te"")"),"అమెరికా")</f>
        <v>అమెరికా</v>
      </c>
      <c r="L119" s="1" t="s">
        <v>1954</v>
      </c>
      <c r="O119" s="1" t="s">
        <v>135</v>
      </c>
      <c r="P119" s="1" t="s">
        <v>1955</v>
      </c>
      <c r="Q119" s="1" t="s">
        <v>1533</v>
      </c>
      <c r="S119" s="1" t="s">
        <v>1956</v>
      </c>
      <c r="T119" s="1" t="s">
        <v>1957</v>
      </c>
      <c r="U119" s="1" t="s">
        <v>1958</v>
      </c>
      <c r="V119" s="1" t="s">
        <v>1959</v>
      </c>
      <c r="W119" s="1" t="s">
        <v>524</v>
      </c>
      <c r="X119" s="1" t="s">
        <v>1960</v>
      </c>
      <c r="Z119" s="1" t="s">
        <v>1961</v>
      </c>
      <c r="AB119" s="1" t="s">
        <v>166</v>
      </c>
      <c r="AC119" s="2" t="s">
        <v>167</v>
      </c>
      <c r="AD119" s="1" t="s">
        <v>1962</v>
      </c>
      <c r="AE119" s="1" t="s">
        <v>1963</v>
      </c>
      <c r="AF119" s="1" t="s">
        <v>1708</v>
      </c>
      <c r="AG119" s="1" t="s">
        <v>1452</v>
      </c>
      <c r="AH119" s="1" t="s">
        <v>1964</v>
      </c>
      <c r="AI119" s="1" t="s">
        <v>1965</v>
      </c>
      <c r="AJ119" s="1">
        <v>20.0</v>
      </c>
      <c r="AK119" s="1" t="s">
        <v>195</v>
      </c>
      <c r="BF119" s="1" t="s">
        <v>1966</v>
      </c>
      <c r="BG119" s="1" t="s">
        <v>1967</v>
      </c>
      <c r="BN119" s="1">
        <v>1981.0</v>
      </c>
    </row>
    <row r="120">
      <c r="A120" s="1" t="s">
        <v>1968</v>
      </c>
      <c r="B120" s="1" t="str">
        <f>IFERROR(__xludf.DUMMYFUNCTION("GOOGLETRANSLATE(A:A, ""en"", ""te"")"),"మిడ్‌వెస్ట్ క్వెస్టార్ XLS")</f>
        <v>మిడ్‌వెస్ట్ క్వెస్టార్ XLS</v>
      </c>
      <c r="C120" s="1" t="s">
        <v>1969</v>
      </c>
      <c r="D120" s="1" t="str">
        <f>IFERROR(__xludf.DUMMYFUNCTION("GOOGLETRANSLATE(C:C, ""en"", ""te"")"),"మిడ్‌వెస్ట్ క్వెస్టార్ ఎక్స్‌ఎల్‌ఎస్ అనేది ఒక అమెరికన్ అల్ట్రాలైట్ విమానం, దీనిని కాన్సాస్‌లోని ఓవర్‌ల్యాండ్ పార్క్ యొక్క మిడ్‌వెస్ట్ ఇంజనీరింగ్ రూపొందించి ఉత్పత్తి చేసింది. ఇది అందుబాటులో ఉన్నప్పుడు ఈ విమానం te త్సాహిక నిర్మాణం కోసం ప్రణాళికల రూపంలో సరఫర"&amp;"ా చేయబడింది, కాని 29 జూన్ 2000 న ప్రణాళికలు ఉపసంహరించబడ్డాయి. [1] [2] క్వెస్టార్ ఎక్స్‌ఎల్‌ఎస్ యుఎస్ ఫార్ 103 అల్ట్రాలైట్ వెహికల్స్ నిబంధనలను పాటించేలా రూపొందించబడింది, ఇందులో వర్గం యొక్క గరిష్ట ఖాళీ బరువు 254 ఎల్బి (115 కిలోలు). ఈ విమానం ప్రామాణిక ఖాళీ బ"&amp;"రువు 240 పౌండ్లు (109 కిలోలు). [1] ఈ విమానం స్ట్రట్-బ్రేస్డ్ హై-వింగ్, విండ్‌షీల్డ్ లేకుండా సింగిల్-సీట్ల ఓపెన్ కాక్‌పిట్, వీల్ ప్యాంటు లేకుండా స్థిర ట్రైసైకిల్ ల్యాండింగ్ గేర్ మరియు పషర్ కాన్ఫిగరేషన్‌లో ఒకే ఇంజిన్ ఉన్నాయి. [1] క్వెస్టార్ XLS బోల్ట్-టుగెద"&amp;"ర్ 6061-టి 6 అల్యూమినియం గొట్టాల నుండి తయారవుతుంది, దాని ఎగిరే ఉపరితలాలు డోప్డ్ ఎయిర్క్రాఫ్ట్ ఫాబ్రిక్‌లో కప్పబడి ఉంటాయి. దాని 31.30 అడుగుల (9.5 మీ) స్పాన్ వింగ్ రెక్క ప్రాంతాన్ని 146.0 చదరపు అడుగుల (13.56 మీ 2) కలిగి ఉంది, ఇది ""వి"" స్ట్రట్స్ చేత మద్దతు"&amp;" ఇస్తుంది మరియు రెక్కను పది నిమిషాల్లో భూమి రవాణా లేదా నిల్వ కోసం వేరు చేయవచ్చు. ఆమోదయోగ్యమైన శక్తి పరిధి 30 నుండి 40 హెచ్‌పి (22 నుండి 30 కిలోవాట్) మరియు ఉపయోగించిన ప్రామాణిక ఇంజన్లు చిన్న 30 హెచ్‌పి (22 కిలోవాట్) రెండు-స్ట్రోక్ పవర్‌ప్లాంట్లు. [1] ఈ విమ"&amp;"ానం సాధారణ ఖాళీ బరువు 240 పౌండ్లు (110 కిలోలు) మరియు స్థూల బరువు 500 ఎల్బి (230 కిలోలు), ఇది 260 ఎల్బి (120 కిలోల) ఉపయోగకరమైన లోడ్‌ను ఇస్తుంది. 5 యు.ఎస్. గ్యాలన్ల పూర్తి ఇంధనంతో (19 ఎల్; 4.2 ఇంప్ గల్) పైలట్ మరియు సామాను కోసం పేలోడ్ 230 ఎల్బి (100 కిలోలు)."&amp;" [1] ప్రామాణిక రోజు, సముద్ర మట్టం, గాలి లేదు, 30 హెచ్‌పి (22 కిలోవాట్) ఇంజిన్‌తో దూరం టేక్ ఆఫ్ దూరం 100 అడుగులు (30 మీ) మరియు ల్యాండింగ్ రోల్ 80 అడుగులు (24 మీ). [1] తయారీదారు నిర్మాణ సమయాన్ని సరఫరా చేసిన ప్రణాళికల నుండి 200 గంటలుగా అంచనా వేశారు. [1] 1998"&amp;" నాటికి 70 సెట్ల ప్రణాళికలు అమ్ముడయ్యాయని మరియు 10 విమానాలు పూర్తయ్యాయని మరియు ఎగురుతున్నాయని కంపెనీ నివేదించింది. [1] ఏరోక్రాఫ్టర్ నుండి డేటా [1] సాధారణ లక్షణాల పనితీరు")</f>
        <v>మిడ్‌వెస్ట్ క్వెస్టార్ ఎక్స్‌ఎల్‌ఎస్ అనేది ఒక అమెరికన్ అల్ట్రాలైట్ విమానం, దీనిని కాన్సాస్‌లోని ఓవర్‌ల్యాండ్ పార్క్ యొక్క మిడ్‌వెస్ట్ ఇంజనీరింగ్ రూపొందించి ఉత్పత్తి చేసింది. ఇది అందుబాటులో ఉన్నప్పుడు ఈ విమానం te త్సాహిక నిర్మాణం కోసం ప్రణాళికల రూపంలో సరఫరా చేయబడింది, కాని 29 జూన్ 2000 న ప్రణాళికలు ఉపసంహరించబడ్డాయి. [1] [2] క్వెస్టార్ ఎక్స్‌ఎల్‌ఎస్ యుఎస్ ఫార్ 103 అల్ట్రాలైట్ వెహికల్స్ నిబంధనలను పాటించేలా రూపొందించబడింది, ఇందులో వర్గం యొక్క గరిష్ట ఖాళీ బరువు 254 ఎల్బి (115 కిలోలు). ఈ విమానం ప్రామాణిక ఖాళీ బరువు 240 పౌండ్లు (109 కిలోలు). [1] ఈ విమానం స్ట్రట్-బ్రేస్డ్ హై-వింగ్, విండ్‌షీల్డ్ లేకుండా సింగిల్-సీట్ల ఓపెన్ కాక్‌పిట్, వీల్ ప్యాంటు లేకుండా స్థిర ట్రైసైకిల్ ల్యాండింగ్ గేర్ మరియు పషర్ కాన్ఫిగరేషన్‌లో ఒకే ఇంజిన్ ఉన్నాయి. [1] క్వెస్టార్ XLS బోల్ట్-టుగెదర్ 6061-టి 6 అల్యూమినియం గొట్టాల నుండి తయారవుతుంది, దాని ఎగిరే ఉపరితలాలు డోప్డ్ ఎయిర్క్రాఫ్ట్ ఫాబ్రిక్‌లో కప్పబడి ఉంటాయి. దాని 31.30 అడుగుల (9.5 మీ) స్పాన్ వింగ్ రెక్క ప్రాంతాన్ని 146.0 చదరపు అడుగుల (13.56 మీ 2) కలిగి ఉంది, ఇది "వి" స్ట్రట్స్ చేత మద్దతు ఇస్తుంది మరియు రెక్కను పది నిమిషాల్లో భూమి రవాణా లేదా నిల్వ కోసం వేరు చేయవచ్చు. ఆమోదయోగ్యమైన శక్తి పరిధి 30 నుండి 40 హెచ్‌పి (22 నుండి 30 కిలోవాట్) మరియు ఉపయోగించిన ప్రామాణిక ఇంజన్లు చిన్న 30 హెచ్‌పి (22 కిలోవాట్) రెండు-స్ట్రోక్ పవర్‌ప్లాంట్లు. [1] ఈ విమానం సాధారణ ఖాళీ బరువు 240 పౌండ్లు (110 కిలోలు) మరియు స్థూల బరువు 500 ఎల్బి (230 కిలోలు), ఇది 260 ఎల్బి (120 కిలోల) ఉపయోగకరమైన లోడ్‌ను ఇస్తుంది. 5 యు.ఎస్. గ్యాలన్ల పూర్తి ఇంధనంతో (19 ఎల్; 4.2 ఇంప్ గల్) పైలట్ మరియు సామాను కోసం పేలోడ్ 230 ఎల్బి (100 కిలోలు). [1] ప్రామాణిక రోజు, సముద్ర మట్టం, గాలి లేదు, 30 హెచ్‌పి (22 కిలోవాట్) ఇంజిన్‌తో దూరం టేక్ ఆఫ్ దూరం 100 అడుగులు (30 మీ) మరియు ల్యాండింగ్ రోల్ 80 అడుగులు (24 మీ). [1] తయారీదారు నిర్మాణ సమయాన్ని సరఫరా చేసిన ప్రణాళికల నుండి 200 గంటలుగా అంచనా వేశారు. [1] 1998 నాటికి 70 సెట్ల ప్రణాళికలు అమ్ముడయ్యాయని మరియు 10 విమానాలు పూర్తయ్యాయని మరియు ఎగురుతున్నాయని కంపెనీ నివేదించింది. [1] ఏరోక్రాఫ్టర్ నుండి డేటా [1] సాధారణ లక్షణాల పనితీరు</v>
      </c>
      <c r="E120" s="1" t="s">
        <v>383</v>
      </c>
      <c r="F120" s="1" t="str">
        <f>IFERROR(__xludf.DUMMYFUNCTION("GOOGLETRANSLATE(E:E, ""en"", ""te"")"),"అల్ట్రాలైట్ విమానం")</f>
        <v>అల్ట్రాలైట్ విమానం</v>
      </c>
      <c r="G120" s="1" t="s">
        <v>155</v>
      </c>
      <c r="H120" s="1" t="str">
        <f>IFERROR(__xludf.DUMMYFUNCTION("GOOGLETRANSLATE(G:G, ""en"", ""te"")"),"అమెరికా")</f>
        <v>అమెరికా</v>
      </c>
      <c r="I120" s="1" t="s">
        <v>1492</v>
      </c>
      <c r="J120" s="1" t="str">
        <f>IFERROR(__xludf.DUMMYFUNCTION("GOOGLETRANSLATE(I:I, ""en"", ""te"")"),"మిడ్‌వెస్ట్ ఇంజనీరింగ్")</f>
        <v>మిడ్‌వెస్ట్ ఇంజనీరింగ్</v>
      </c>
      <c r="K120" s="1" t="s">
        <v>1493</v>
      </c>
      <c r="O120" s="1" t="s">
        <v>135</v>
      </c>
      <c r="P120" s="1" t="s">
        <v>1970</v>
      </c>
      <c r="Q120" s="1" t="s">
        <v>1971</v>
      </c>
      <c r="S120" s="1" t="s">
        <v>1972</v>
      </c>
      <c r="T120" s="1" t="s">
        <v>1973</v>
      </c>
      <c r="U120" s="1" t="s">
        <v>1974</v>
      </c>
      <c r="V120" s="1" t="s">
        <v>1498</v>
      </c>
      <c r="W120" s="1" t="s">
        <v>1975</v>
      </c>
      <c r="Z120" s="1" t="s">
        <v>1976</v>
      </c>
      <c r="AB120" s="1" t="s">
        <v>392</v>
      </c>
      <c r="AC120" s="2" t="s">
        <v>167</v>
      </c>
      <c r="AE120" s="1" t="s">
        <v>1766</v>
      </c>
      <c r="AF120" s="1" t="s">
        <v>583</v>
      </c>
      <c r="AG120" s="1" t="s">
        <v>1883</v>
      </c>
      <c r="AH120" s="1" t="s">
        <v>1753</v>
      </c>
      <c r="AI120" s="1" t="s">
        <v>1977</v>
      </c>
      <c r="AJ120" s="1" t="s">
        <v>1924</v>
      </c>
      <c r="CV120" s="1" t="s">
        <v>1506</v>
      </c>
    </row>
    <row r="121">
      <c r="A121" s="1" t="s">
        <v>1978</v>
      </c>
      <c r="B121" s="1" t="str">
        <f>IFERROR(__xludf.DUMMYFUNCTION("GOOGLETRANSLATE(A:A, ""en"", ""te"")"),"కెప్టెన్ స్క్రాపీ యుఎసి -200")</f>
        <v>కెప్టెన్ స్క్రాపీ యుఎసి -200</v>
      </c>
      <c r="C121" s="1" t="s">
        <v>1979</v>
      </c>
      <c r="D121" s="1" t="str">
        <f>IFERROR(__xludf.DUMMYFUNCTION("GOOGLETRANSLATE(C:C, ""en"", ""te"")"),"కెప్టెన్ స్క్రాపీ యుఎసి -200 అనేది ఒక అమెరికన్ హోమ్‌బిల్ట్ ఏరోబాటిక్ బైప్‌లేన్, దీనిని 1970 లో ప్రవేశపెట్టిన కొలరాడోలోని గ్రీలీకి చెందిన వా స్కిప్పర్ రూపొందించారు. ఈ విమానం te త్సాహిక నిర్మాణానికి ప్రణాళికల రూపంలో సరఫరా చేయబడింది, కాని ప్రణాళికలు ఇకపై అంద"&amp;"ుబాటులో లేవు. 1] ఈ విమానంలో బైప్‌లేన్ లేఅవుట్, సింగిల్-సీట్, స్థిర సాంప్రదాయ ల్యాండింగ్ గేర్ మరియు ట్రాక్టర్ కాన్ఫిగరేషన్‌లో ఒకే ఇంజిన్ ఉన్నాయి. [1] విమానం ఫ్యూజ్‌లేజ్ వెల్డెడ్ స్టీల్ గొట్టాల నుండి 20.75 అడుగుల (6.3 మీ) స్పాన్ రెక్కలతో కలప నుండి నిర్మించబ"&amp;"డింది మరియు మొత్తం విమానం డోప్డ్ ఎయిర్‌క్రాఫ్ట్ ఫాబ్రిక్‌లో కప్పబడి ఉంటుంది. ఉపయోగించిన ప్రామాణిక ఇంజిన్ 200 HP (149 kW) లైమింగ్ IO-360 పవర్‌ప్లాంట్, ఇది నిమిషానికి 3700 అడుగులు (19 m/s) ఆరోహణ రేటు మరియు 188 mph (303 కిమీ/గం) పై వేగం ఇస్తుంది. [1] ఈ విమాన"&amp;"ం ఖాళీ బరువు 981 పౌండ్లు (445 కిలోలు) మరియు స్థూల బరువు 1,428 ఎల్బి (648 కిలోలు), ఇది 447 ఎల్బి (203 కిలోల) ఉపయోగకరమైన లోడ్‌ను ఇస్తుంది. 28 యు.ఎస్. గ్యాలన్ల పూర్తి ఇంధనంతో (110 ఎల్; 23 ఇంప్ గాల్) పేలోడ్ 279 ఎల్బి (127 కిలోలు). [1] అక్టోబర్ 2013 నాటికి మూడ"&amp;"ు ఉదాహరణలు ఒకప్పుడు ఫెడరల్ ఏవియేషన్ అడ్మినిస్ట్రేషన్తో అమెరికాలో నమోదు చేయబడ్డాయి, కాని ప్రస్తుతం ఒకటి మాత్రమే నమోదు చేయబడింది. [2] సెప్టెంబర్ 1997 లో, వర్జీనియాలోని వారెంటన్‌లో జరిగిన ఈస్ట్ కోస్ట్ ఏరోబాటిక్స్ ఛాంపియన్‌షిప్‌లో ఇంటర్నేషనల్ ఏరోబాటిక్ క్లబ్ "&amp;"బేసిక్ బేసిక్ విభాగంలో స్క్రాపీ యుఎసి -200 మూడవ స్థానానికి పంపబడింది. [3] విమానం మరియు పైలట్ నుండి డేటా [1] సాధారణ లక్షణాల పనితీరు")</f>
        <v>కెప్టెన్ స్క్రాపీ యుఎసి -200 అనేది ఒక అమెరికన్ హోమ్‌బిల్ట్ ఏరోబాటిక్ బైప్‌లేన్, దీనిని 1970 లో ప్రవేశపెట్టిన కొలరాడోలోని గ్రీలీకి చెందిన వా స్కిప్పర్ రూపొందించారు. ఈ విమానం te త్సాహిక నిర్మాణానికి ప్రణాళికల రూపంలో సరఫరా చేయబడింది, కాని ప్రణాళికలు ఇకపై అందుబాటులో లేవు. 1] ఈ విమానంలో బైప్‌లేన్ లేఅవుట్, సింగిల్-సీట్, స్థిర సాంప్రదాయ ల్యాండింగ్ గేర్ మరియు ట్రాక్టర్ కాన్ఫిగరేషన్‌లో ఒకే ఇంజిన్ ఉన్నాయి. [1] విమానం ఫ్యూజ్‌లేజ్ వెల్డెడ్ స్టీల్ గొట్టాల నుండి 20.75 అడుగుల (6.3 మీ) స్పాన్ రెక్కలతో కలప నుండి నిర్మించబడింది మరియు మొత్తం విమానం డోప్డ్ ఎయిర్‌క్రాఫ్ట్ ఫాబ్రిక్‌లో కప్పబడి ఉంటుంది. ఉపయోగించిన ప్రామాణిక ఇంజిన్ 200 HP (149 kW) లైమింగ్ IO-360 పవర్‌ప్లాంట్, ఇది నిమిషానికి 3700 అడుగులు (19 m/s) ఆరోహణ రేటు మరియు 188 mph (303 కిమీ/గం) పై వేగం ఇస్తుంది. [1] ఈ విమానం ఖాళీ బరువు 981 పౌండ్లు (445 కిలోలు) మరియు స్థూల బరువు 1,428 ఎల్బి (648 కిలోలు), ఇది 447 ఎల్బి (203 కిలోల) ఉపయోగకరమైన లోడ్‌ను ఇస్తుంది. 28 యు.ఎస్. గ్యాలన్ల పూర్తి ఇంధనంతో (110 ఎల్; 23 ఇంప్ గాల్) పేలోడ్ 279 ఎల్బి (127 కిలోలు). [1] అక్టోబర్ 2013 నాటికి మూడు ఉదాహరణలు ఒకప్పుడు ఫెడరల్ ఏవియేషన్ అడ్మినిస్ట్రేషన్తో అమెరికాలో నమోదు చేయబడ్డాయి, కాని ప్రస్తుతం ఒకటి మాత్రమే నమోదు చేయబడింది. [2] సెప్టెంబర్ 1997 లో, వర్జీనియాలోని వారెంటన్‌లో జరిగిన ఈస్ట్ కోస్ట్ ఏరోబాటిక్స్ ఛాంపియన్‌షిప్‌లో ఇంటర్నేషనల్ ఏరోబాటిక్ క్లబ్ బేసిక్ బేసిక్ విభాగంలో స్క్రాపీ యుఎసి -200 మూడవ స్థానానికి పంపబడింది. [3] విమానం మరియు పైలట్ నుండి డేటా [1] సాధారణ లక్షణాల పనితీరు</v>
      </c>
      <c r="E121" s="1" t="s">
        <v>1980</v>
      </c>
      <c r="F121" s="1" t="str">
        <f>IFERROR(__xludf.DUMMYFUNCTION("GOOGLETRANSLATE(E:E, ""en"", ""te"")"),"హోమ్‌బిల్ట్ ఏరోబాటిక్ బిప్‌లేన్")</f>
        <v>హోమ్‌బిల్ట్ ఏరోబాటిక్ బిప్‌లేన్</v>
      </c>
      <c r="G121" s="1" t="s">
        <v>155</v>
      </c>
      <c r="H121" s="1" t="str">
        <f>IFERROR(__xludf.DUMMYFUNCTION("GOOGLETRANSLATE(G:G, ""en"", ""te"")"),"అమెరికా")</f>
        <v>అమెరికా</v>
      </c>
      <c r="L121" s="1" t="s">
        <v>1981</v>
      </c>
      <c r="O121" s="1" t="s">
        <v>135</v>
      </c>
      <c r="P121" s="1" t="s">
        <v>416</v>
      </c>
      <c r="Q121" s="1" t="s">
        <v>1982</v>
      </c>
      <c r="T121" s="1" t="s">
        <v>1983</v>
      </c>
      <c r="U121" s="1" t="s">
        <v>1984</v>
      </c>
      <c r="V121" s="1" t="s">
        <v>1985</v>
      </c>
      <c r="W121" s="1" t="s">
        <v>1986</v>
      </c>
      <c r="X121" s="1" t="s">
        <v>1987</v>
      </c>
      <c r="Z121" s="1" t="s">
        <v>1988</v>
      </c>
      <c r="AB121" s="1" t="s">
        <v>1989</v>
      </c>
      <c r="AC121" s="2" t="s">
        <v>167</v>
      </c>
      <c r="AD121" s="1" t="s">
        <v>581</v>
      </c>
      <c r="AE121" s="1" t="s">
        <v>1990</v>
      </c>
      <c r="AF121" s="1" t="s">
        <v>1471</v>
      </c>
      <c r="AG121" s="1" t="s">
        <v>1991</v>
      </c>
      <c r="AH121" s="1" t="s">
        <v>428</v>
      </c>
      <c r="AJ121" s="1">
        <v>3.0</v>
      </c>
    </row>
    <row r="122">
      <c r="A122" s="1" t="s">
        <v>1992</v>
      </c>
      <c r="B122" s="1" t="str">
        <f>IFERROR(__xludf.DUMMYFUNCTION("GOOGLETRANSLATE(A:A, ""en"", ""te"")"),"ఏవియేషన్ ప్రొడక్ట్స్ స్టార్ ట్రెయిక్")</f>
        <v>ఏవియేషన్ ప్రొడక్ట్స్ స్టార్ ట్రెయిక్</v>
      </c>
      <c r="C122" s="1" t="s">
        <v>1993</v>
      </c>
      <c r="D122" s="1" t="str">
        <f>IFERROR(__xludf.DUMMYFUNCTION("GOOGLETRANSLATE(C:C, ""en"", ""te"")"),"ఏవియేషన్ ప్రొడక్ట్స్ స్టార్ ట్రైక్ అనేది జర్మన్ అల్ట్రాలైట్ ట్రైక్, దీనిని క్లాస్ విష్ రూపొందించారు మరియు దీనిని బిట్బర్గ్ యొక్క ఏవియేషన్ ప్రొడక్ట్స్ లిమిటెడ్ నిర్మిస్తుంది. [1] స్టార్ ట్రైక్ 1980 లో రూపొందించబడింది అప్పటి నుండి ఉత్పత్తిలో ఉంది. ఇది ఫెడరే"&amp;"షన్ ఏరోనటిక్ ఇంటర్నేషనల్ మైక్రోలైట్ వర్గానికి సరిపోతుంది. ఈ డిజైన్‌లో కేబుల్-బ్రేస్డ్ హాంగ్ గ్లైడర్-స్టైల్ హై-వింగ్, వెయిట్-షిఫ్ట్ కంట్రోల్స్, సింగిల్-సీట్ లేదా రెండు-సీట్స్-ఇన్-టెన్-ఇన్ ఓపెన్ కాక్‌పిట్, వీల్ ప్యాంటుతో ట్రైసైకిల్ ల్యాండింగ్ గేర్ మరియు పషర"&amp;"్ కాన్ఫిగరేషన్‌లో ఒకే ఇంజిన్ ఉన్నాయి. [[పట్టు కుములి ఈ విమానం బోల్ట్-టుగెథర్ అల్యూమినియం గొట్టాల నుండి తయారవుతుంది, దాని సింగిల్ లేదా డబుల్ ఉపరితల వింగ్ డాక్రాన్ సెయిల్‌క్లాత్‌లో కప్పబడి ఉంటుంది. దాని 10 మీ (32.8 అడుగుల) స్పాన్ వింగ్‌కు ఒకే ట్యూబ్-రకం కిం"&amp;"గ్‌పోస్ట్ మద్దతు ఇస్తుంది మరియు ""ఎ"" ఫ్రేమ్ వెయిట్-షిఫ్ట్ కంట్రోల్ బార్‌ను ఉపయోగిస్తుంది. ట్విన్ సిలిండర్, లిక్విడ్-కూల్డ్, టూ-స్ట్రోక్, డ్యూయల్-ఇగ్నిషన్ 64 హెచ్‌పి (48 కిలోవాట్ HP (45 kW) HKS 700E ఇంజిన్. [1] దాని సింగిల్ సీట్ అగ్రికల్చరల్ వెర్షన్‌లో ఈ "&amp;"విమానం ఖాళీ బరువు 170 కిలోలు (375 పౌండ్లు) మరియు స్థూల బరువు 472.5 కిలోలు (1,042 పౌండ్లు), 302.5 కిలోల (667 పౌండ్లు) ఉపయోగకరమైన లోడ్ ఇస్తుంది. 44 లీటర్ల పూర్తి ఇంధనంతో (9.7 ఇంప్ గల్; 12 యుఎస్ గాల్) పేలోడ్ 271 కిలోలు (597 ఎల్బి). [1] గాలి సృష్టి XP 15 తో స"&amp;"హా ప్రాథమిక క్యారేజీకి అనేక విభిన్న రెక్కలను అమర్చవచ్చు. [1] బేయర్ల్ నుండి డేటా [1] సాధారణ లక్షణాల పనితీరు")</f>
        <v>ఏవియేషన్ ప్రొడక్ట్స్ స్టార్ ట్రైక్ అనేది జర్మన్ అల్ట్రాలైట్ ట్రైక్, దీనిని క్లాస్ విష్ రూపొందించారు మరియు దీనిని బిట్బర్గ్ యొక్క ఏవియేషన్ ప్రొడక్ట్స్ లిమిటెడ్ నిర్మిస్తుంది. [1] స్టార్ ట్రైక్ 1980 లో రూపొందించబడింది అప్పటి నుండి ఉత్పత్తిలో ఉంది. ఇది ఫెడరేషన్ ఏరోనటిక్ ఇంటర్నేషనల్ మైక్రోలైట్ వర్గానికి సరిపోతుంది. ఈ డిజైన్‌లో కేబుల్-బ్రేస్డ్ హాంగ్ గ్లైడర్-స్టైల్ హై-వింగ్, వెయిట్-షిఫ్ట్ కంట్రోల్స్, సింగిల్-సీట్ లేదా రెండు-సీట్స్-ఇన్-టెన్-ఇన్ ఓపెన్ కాక్‌పిట్, వీల్ ప్యాంటుతో ట్రైసైకిల్ ల్యాండింగ్ గేర్ మరియు పషర్ కాన్ఫిగరేషన్‌లో ఒకే ఇంజిన్ ఉన్నాయి. [[పట్టు కుములి ఈ విమానం బోల్ట్-టుగెథర్ అల్యూమినియం గొట్టాల నుండి తయారవుతుంది, దాని సింగిల్ లేదా డబుల్ ఉపరితల వింగ్ డాక్రాన్ సెయిల్‌క్లాత్‌లో కప్పబడి ఉంటుంది. దాని 10 మీ (32.8 అడుగుల) స్పాన్ వింగ్‌కు ఒకే ట్యూబ్-రకం కింగ్‌పోస్ట్ మద్దతు ఇస్తుంది మరియు "ఎ" ఫ్రేమ్ వెయిట్-షిఫ్ట్ కంట్రోల్ బార్‌ను ఉపయోగిస్తుంది. ట్విన్ సిలిండర్, లిక్విడ్-కూల్డ్, టూ-స్ట్రోక్, డ్యూయల్-ఇగ్నిషన్ 64 హెచ్‌పి (48 కిలోవాట్ HP (45 kW) HKS 700E ఇంజిన్. [1] దాని సింగిల్ సీట్ అగ్రికల్చరల్ వెర్షన్‌లో ఈ విమానం ఖాళీ బరువు 170 కిలోలు (375 పౌండ్లు) మరియు స్థూల బరువు 472.5 కిలోలు (1,042 పౌండ్లు), 302.5 కిలోల (667 పౌండ్లు) ఉపయోగకరమైన లోడ్ ఇస్తుంది. 44 లీటర్ల పూర్తి ఇంధనంతో (9.7 ఇంప్ గల్; 12 యుఎస్ గాల్) పేలోడ్ 271 కిలోలు (597 ఎల్బి). [1] గాలి సృష్టి XP 15 తో సహా ప్రాథమిక క్యారేజీకి అనేక విభిన్న రెక్కలను అమర్చవచ్చు. [1] బేయర్ల్ నుండి డేటా [1] సాధారణ లక్షణాల పనితీరు</v>
      </c>
      <c r="E122" s="1" t="s">
        <v>1994</v>
      </c>
      <c r="F122" s="1" t="str">
        <f>IFERROR(__xludf.DUMMYFUNCTION("GOOGLETRANSLATE(E:E, ""en"", ""te"")"),"అల్ట్రాలైట్ ట్రైక్")</f>
        <v>అల్ట్రాలైట్ ట్రైక్</v>
      </c>
      <c r="G122" s="1" t="s">
        <v>133</v>
      </c>
      <c r="H122" s="1" t="str">
        <f>IFERROR(__xludf.DUMMYFUNCTION("GOOGLETRANSLATE(G:G, ""en"", ""te"")"),"జర్మనీ")</f>
        <v>జర్మనీ</v>
      </c>
      <c r="I122" s="1" t="s">
        <v>1995</v>
      </c>
      <c r="J122" s="1" t="str">
        <f>IFERROR(__xludf.DUMMYFUNCTION("GOOGLETRANSLATE(I:I, ""en"", ""te"")"),"ఏవియేషన్ ప్రొడక్ట్స్ లిమిటెడ్")</f>
        <v>ఏవియేషన్ ప్రొడక్ట్స్ లిమిటెడ్</v>
      </c>
      <c r="K122" s="1" t="s">
        <v>1996</v>
      </c>
      <c r="L122" s="1" t="s">
        <v>1997</v>
      </c>
      <c r="O122" s="1" t="s">
        <v>135</v>
      </c>
      <c r="Q122" s="1" t="s">
        <v>1079</v>
      </c>
      <c r="S122" s="1" t="s">
        <v>1998</v>
      </c>
      <c r="T122" s="1" t="s">
        <v>1999</v>
      </c>
      <c r="U122" s="1" t="s">
        <v>388</v>
      </c>
      <c r="V122" s="1" t="s">
        <v>2000</v>
      </c>
      <c r="W122" s="1" t="s">
        <v>1435</v>
      </c>
      <c r="Z122" s="1" t="s">
        <v>2001</v>
      </c>
      <c r="AB122" s="1" t="s">
        <v>2002</v>
      </c>
      <c r="AC122" s="2" t="s">
        <v>145</v>
      </c>
      <c r="AD122" s="1" t="s">
        <v>1469</v>
      </c>
      <c r="AE122" s="1" t="s">
        <v>2003</v>
      </c>
      <c r="AG122" s="1" t="s">
        <v>149</v>
      </c>
      <c r="AH122" s="1" t="s">
        <v>2004</v>
      </c>
      <c r="AI122" s="1" t="s">
        <v>2005</v>
      </c>
      <c r="AR122" s="1" t="s">
        <v>253</v>
      </c>
      <c r="AX122" s="1" t="s">
        <v>2006</v>
      </c>
      <c r="BN122" s="1">
        <v>1980.0</v>
      </c>
    </row>
    <row r="123">
      <c r="A123" s="1" t="s">
        <v>2007</v>
      </c>
      <c r="B123" s="1" t="str">
        <f>IFERROR(__xludf.DUMMYFUNCTION("GOOGLETRANSLATE(A:A, ""en"", ""te"")"),"చారిత్రక ర్యాన్ స్టా")</f>
        <v>చారిత్రక ర్యాన్ స్టా</v>
      </c>
      <c r="C123" s="1" t="s">
        <v>2008</v>
      </c>
      <c r="D123" s="1" t="str">
        <f>IFERROR(__xludf.DUMMYFUNCTION("GOOGLETRANSLATE(C:C, ""en"", ""te"")"),"చారిత్రక ర్యాన్ స్టా ఒక అమెరికన్ హోమ్‌బిల్ట్ విమానం, దీనిని కొలరాడోలోని న్యూక్లా యొక్క చారిత్రక విమాన కార్పొరేషన్ రూపొందించి ఉత్పత్తి చేసింది. ఈ విమానం అసలు ర్యాన్ స్టా యొక్క 85% స్కేల్ ప్రతిరూపం మరియు అది అందుబాటులో ఉన్నప్పుడు te త్సాహిక నిర్మాణానికి కిట"&amp;"్‌గా సరఫరా చేయబడింది. [1] ఈ విమానం వైర్-బ్రేస్డ్ మరియు స్ట్రట్-బ్రేస్డ్ లో-వింగ్, విండ్‌షీల్డ్‌లతో ప్రత్యేక టెన్డం ఓపెన్ కాక్‌పిట్‌లలో రెండు సీట్లు, స్థిర సాంప్రదాయ ల్యాండింగ్ గేర్ మరియు ట్రాక్టర్ కాన్ఫిగరేషన్‌లో ఒకే ఇంజిన్ ఉన్నాయి. [1] విమానం ఫ్యూజ్‌లేజ్"&amp;" వెల్డెడ్ స్టీల్ గొట్టాల నుండి తయారైంది, రెక్కలు చెక్క స్పార్‌లు మరియు పక్కటెముకలు డోప్డ్ ఎయిర్క్రాఫ్ట్ ఫాబ్రిక్‌లో కప్పబడి ఉన్నాయి. ఫ్యూజ్‌లేజ్ ఫ్రేమ్, ల్యాండింగ్ గేర్, ఇంజిన్ మౌంట్ మరియు టెయిల్ అసెంబ్లీతో సహా కిట్‌లో భాగంగా అనేక ముందుగా తయారుచేసిన భాగాల"&amp;"ు సరఫరా చేయబడ్డాయి. తయారీదారు STA కిట్‌ను ప్రారంభకులకు అనువైనదిగా రేట్ చేసాడు మరియు సరఫరా చేసిన కిట్ నుండి నిర్మాణ సమయాన్ని 1500 గంటలుగా అంచనా వేశాడు. STA, సైనిక PT-16 లేదా PT-20 ను సూచించడానికి కిట్ పూర్తి చేయవచ్చు. [1] విమానం యొక్క 26.00 అడుగుల (7.9 మీ)"&amp;" స్పాన్ వింగ్ 112.6 చదరపు అడుగుల (10.46 మీ 2) విస్తీర్ణంలో ఉంది. కాక్‌పిట్ వెడల్పు 22 (56 సెం.మీ) మరియు ఉపయోగించిన ప్రామాణిక ఇంజిన్ 100 హెచ్‌పి (75 కిలోవాట్) కామ్ 100 పవర్‌ప్లాంట్. ఇది సాధారణ ఖాళీ బరువు 725 lb (329 kg) మరియు స్థూల బరువు 1,275 lb (578 kg),"&amp;" ఇది 500 lb (230 kg) ఉపయోగకరమైన లోడ్‌ను ఇస్తుంది. 23 యు.ఎస్. గ్యాలన్ల పూర్తి ఇంధనంతో (87 ఎల్; 19 ఇంప్ గల్) పైలట్, ప్రయాణీకుడు మరియు సామాను 362 ఎల్బి (164 కిలోలు). [1] జనవరి 2014 లో ఫెడరల్ ఏవియేషన్ అడ్మినిస్ట్రేషన్తో అమెరికాలో ఎటువంటి ఉదాహరణలు నమోదు కాలేదు"&amp;". 1997 లో ఒక విమానం నమోదు చేయబడినప్పటికీ, ఇది 2002 లో నాశనం చేయబడిన మరియు పునర్నిర్మించినట్లుగా జాబితా చేయబడింది. ఈ రోజు ఉదాహరణలు ఏవీ లేవు. [2] ఏరోక్రాఫ్టర్ నుండి డేటా [1] సాధారణ లక్షణాల పనితీరు")</f>
        <v>చారిత్రక ర్యాన్ స్టా ఒక అమెరికన్ హోమ్‌బిల్ట్ విమానం, దీనిని కొలరాడోలోని న్యూక్లా యొక్క చారిత్రక విమాన కార్పొరేషన్ రూపొందించి ఉత్పత్తి చేసింది. ఈ విమానం అసలు ర్యాన్ స్టా యొక్క 85% స్కేల్ ప్రతిరూపం మరియు అది అందుబాటులో ఉన్నప్పుడు te త్సాహిక నిర్మాణానికి కిట్‌గా సరఫరా చేయబడింది. [1] ఈ విమానం వైర్-బ్రేస్డ్ మరియు స్ట్రట్-బ్రేస్డ్ లో-వింగ్, విండ్‌షీల్డ్‌లతో ప్రత్యేక టెన్డం ఓపెన్ కాక్‌పిట్‌లలో రెండు సీట్లు, స్థిర సాంప్రదాయ ల్యాండింగ్ గేర్ మరియు ట్రాక్టర్ కాన్ఫిగరేషన్‌లో ఒకే ఇంజిన్ ఉన్నాయి. [1] విమానం ఫ్యూజ్‌లేజ్ వెల్డెడ్ స్టీల్ గొట్టాల నుండి తయారైంది, రెక్కలు చెక్క స్పార్‌లు మరియు పక్కటెముకలు డోప్డ్ ఎయిర్క్రాఫ్ట్ ఫాబ్రిక్‌లో కప్పబడి ఉన్నాయి. ఫ్యూజ్‌లేజ్ ఫ్రేమ్, ల్యాండింగ్ గేర్, ఇంజిన్ మౌంట్ మరియు టెయిల్ అసెంబ్లీతో సహా కిట్‌లో భాగంగా అనేక ముందుగా తయారుచేసిన భాగాలు సరఫరా చేయబడ్డాయి. తయారీదారు STA కిట్‌ను ప్రారంభకులకు అనువైనదిగా రేట్ చేసాడు మరియు సరఫరా చేసిన కిట్ నుండి నిర్మాణ సమయాన్ని 1500 గంటలుగా అంచనా వేశాడు. STA, సైనిక PT-16 లేదా PT-20 ను సూచించడానికి కిట్ పూర్తి చేయవచ్చు. [1] విమానం యొక్క 26.00 అడుగుల (7.9 మీ) స్పాన్ వింగ్ 112.6 చదరపు అడుగుల (10.46 మీ 2) విస్తీర్ణంలో ఉంది. కాక్‌పిట్ వెడల్పు 22 (56 సెం.మీ) మరియు ఉపయోగించిన ప్రామాణిక ఇంజిన్ 100 హెచ్‌పి (75 కిలోవాట్) కామ్ 100 పవర్‌ప్లాంట్. ఇది సాధారణ ఖాళీ బరువు 725 lb (329 kg) మరియు స్థూల బరువు 1,275 lb (578 kg), ఇది 500 lb (230 kg) ఉపయోగకరమైన లోడ్‌ను ఇస్తుంది. 23 యు.ఎస్. గ్యాలన్ల పూర్తి ఇంధనంతో (87 ఎల్; 19 ఇంప్ గల్) పైలట్, ప్రయాణీకుడు మరియు సామాను 362 ఎల్బి (164 కిలోలు). [1] జనవరి 2014 లో ఫెడరల్ ఏవియేషన్ అడ్మినిస్ట్రేషన్తో అమెరికాలో ఎటువంటి ఉదాహరణలు నమోదు కాలేదు. 1997 లో ఒక విమానం నమోదు చేయబడినప్పటికీ, ఇది 2002 లో నాశనం చేయబడిన మరియు పునర్నిర్మించినట్లుగా జాబితా చేయబడింది. ఈ రోజు ఉదాహరణలు ఏవీ లేవు. [2] ఏరోక్రాఫ్టర్ నుండి డేటా [1] సాధారణ లక్షణాల పనితీరు</v>
      </c>
      <c r="E123" s="1" t="s">
        <v>154</v>
      </c>
      <c r="F123" s="1" t="str">
        <f>IFERROR(__xludf.DUMMYFUNCTION("GOOGLETRANSLATE(E:E, ""en"", ""te"")"),"హోమ్‌బిల్ట్ విమానం")</f>
        <v>హోమ్‌బిల్ట్ విమానం</v>
      </c>
      <c r="G123" s="1" t="s">
        <v>155</v>
      </c>
      <c r="H123" s="1" t="str">
        <f>IFERROR(__xludf.DUMMYFUNCTION("GOOGLETRANSLATE(G:G, ""en"", ""te"")"),"అమెరికా")</f>
        <v>అమెరికా</v>
      </c>
      <c r="I123" s="1" t="s">
        <v>1476</v>
      </c>
      <c r="J123" s="1" t="str">
        <f>IFERROR(__xludf.DUMMYFUNCTION("GOOGLETRANSLATE(I:I, ""en"", ""te"")"),"హిస్టారికల్ ఎయిర్క్రాఫ్ట్ కార్పొరేషన్")</f>
        <v>హిస్టారికల్ ఎయిర్క్రాఫ్ట్ కార్పొరేషన్</v>
      </c>
      <c r="K123" s="1" t="s">
        <v>1477</v>
      </c>
      <c r="O123" s="1" t="s">
        <v>135</v>
      </c>
      <c r="P123" s="1" t="s">
        <v>2009</v>
      </c>
      <c r="Q123" s="1" t="s">
        <v>2010</v>
      </c>
      <c r="S123" s="1" t="s">
        <v>2011</v>
      </c>
      <c r="T123" s="1" t="s">
        <v>2012</v>
      </c>
      <c r="U123" s="1" t="s">
        <v>469</v>
      </c>
      <c r="V123" s="1" t="s">
        <v>2013</v>
      </c>
      <c r="W123" s="1" t="s">
        <v>1933</v>
      </c>
      <c r="X123" s="1" t="s">
        <v>2014</v>
      </c>
      <c r="Y123" s="1" t="s">
        <v>2015</v>
      </c>
      <c r="Z123" s="1" t="s">
        <v>2016</v>
      </c>
      <c r="AA123" s="1" t="s">
        <v>2017</v>
      </c>
      <c r="AB123" s="1" t="s">
        <v>166</v>
      </c>
      <c r="AC123" s="2" t="s">
        <v>167</v>
      </c>
      <c r="AD123" s="1" t="s">
        <v>581</v>
      </c>
      <c r="AE123" s="1" t="s">
        <v>1522</v>
      </c>
      <c r="AF123" s="1" t="s">
        <v>1574</v>
      </c>
      <c r="AG123" s="1" t="s">
        <v>1556</v>
      </c>
      <c r="AH123" s="1" t="s">
        <v>2018</v>
      </c>
      <c r="AI123" s="1" t="s">
        <v>1902</v>
      </c>
      <c r="AJ123" s="1" t="s">
        <v>1208</v>
      </c>
      <c r="AK123" s="1" t="s">
        <v>195</v>
      </c>
      <c r="BF123" s="1" t="s">
        <v>2019</v>
      </c>
      <c r="BG123" s="1" t="s">
        <v>2020</v>
      </c>
      <c r="BN123" s="1">
        <v>1997.0</v>
      </c>
    </row>
    <row r="124">
      <c r="A124" s="1" t="s">
        <v>2021</v>
      </c>
      <c r="B124" s="1" t="str">
        <f>IFERROR(__xludf.DUMMYFUNCTION("GOOGLETRANSLATE(A:A, ""en"", ""te"")"),"లాస్ బ్రిసాస్ మోహాక్")</f>
        <v>లాస్ బ్రిసాస్ మోహాక్</v>
      </c>
      <c r="C124" s="1" t="s">
        <v>2022</v>
      </c>
      <c r="D124" s="1" t="str">
        <f>IFERROR(__xludf.DUMMYFUNCTION("GOOGLETRANSLATE(C:C, ""en"", ""te"")"),"లాస్ బ్రిసాస్ మోహాక్ ఒక అమెరికన్ హోమ్‌బిల్ట్ విమానం, దీనిని మిస్సౌరీలోని ఓజార్క్ యొక్క లాస్ బ్రిసాస్ అమ్మకాలు రూపొందించాయి మరియు నిర్మించాయి. ఇది అందుబాటులో ఉన్నప్పుడు విమానం te త్సాహిక నిర్మాణం కోసం ప్రణాళికల రూపంలో సరఫరా చేయబడింది. [1] అవిడ్ ఫ్లైయర్ ఆధా"&amp;"రంగా, ఇది చాలా పోలి ఉంటుంది, మోహాక్‌లో స్ట్రట్-బ్రేస్డ్ హై వింగ్, రెండు-సైడ్-ఇన్-సైడ్-సైడ్ కాన్ఫిగరేషన్ పరివేష్టిత కాక్‌పిట్ తలుపులు, స్థిర సాంప్రదాయ ల్యాండింగ్ గేర్ మరియు ట్రాక్టర్‌లో ఒకే ఇంజిన్ ఉన్నాయి కాన్ఫిగరేషన్. [1] ఈ విమానం మెటల్ గొట్టాల నుండి తయార"&amp;"వుతుంది, దాని ఎగిరే ఉపరితలాలు మరియు ఫ్యూజ్‌లేజ్ కవర్ డోప్డ్ ఎయిర్‌క్రాఫ్ట్ ఫాబ్రిక్. దాని 30.00 అడుగుల (9.1 మీ) స్పాన్ వింగ్ ఫీచర్స్ జంకర్స్ ఫ్లేపెరాన్లు, రెక్క ప్రాంతం 124.5 చదరపు అడుగులు (11.57 మీ 2) కలిగి ఉంది మరియు జ్యూరీ స్ట్రట్‌లతో ""వి"" స్ట్రట్‌లచ"&amp;"ే మద్దతు ఉంది. ప్రణాళికలు ప్రామాణిక హైడ్రాలిక్ బ్రేక్‌లు, స్టీరేబుల్ టెయిల్‌వీల్ మరియు రెక్కలను భూమి రవాణా లేదా నిల్వ కోసం మడవగలవు. ఉపయోగించిన ప్రామాణిక ఇంజిన్ 50 హెచ్‌పి (37 కిలోవాట్ల) రోటాక్స్ 503 టూ-స్ట్రోక్ పవర్‌ప్లాంట్, ఇది ప్రామాణిక రోజు, సముద్ర మట్"&amp;"టం టేకాఫ్ దూరం 100 అడుగులు (30 మీ) మరియు 150 అడుగుల (46 మీ) ల్యాండింగ్ రోల్ ఇస్తుంది. [1 ] మోహాక్ ఒక సాధారణ ఖాళీ బరువు 450 lb (200 kg) మరియు స్థూల బరువు 1,000 lb (450 kg), ఇది 550 lb (250 kg) ఉపయోగకరమైన లోడ్‌ను ఇస్తుంది. 12 యు.ఎస్. గ్యాలన్ల పూర్తి ఇంధనంతో"&amp;" (45 ఎల్; 10.0 ఇంప్ గల్) పైలట్, ప్రయాణీకుడు మరియు సామాను 478 ఎల్బి (217 కిలోలు). [1] తయారీదారు నిర్మాణ సమయాన్ని సరఫరా చేసిన ప్రణాళికల నుండి 900 గంటలుగా అంచనా వేస్తాడు. 1998 లో డిజైనర్ ఈ విమానం శ్రమను మినహాయించి US $ 6,500 కు పూర్తి చేయవచ్చని సూచించారు. [1"&amp;"] ఏరోక్రాఫ్టర్ నుండి డేటా [1] సాధారణ లక్షణాల పనితీరు")</f>
        <v>లాస్ బ్రిసాస్ మోహాక్ ఒక అమెరికన్ హోమ్‌బిల్ట్ విమానం, దీనిని మిస్సౌరీలోని ఓజార్క్ యొక్క లాస్ బ్రిసాస్ అమ్మకాలు రూపొందించాయి మరియు నిర్మించాయి. ఇది అందుబాటులో ఉన్నప్పుడు విమానం te త్సాహిక నిర్మాణం కోసం ప్రణాళికల రూపంలో సరఫరా చేయబడింది. [1] అవిడ్ ఫ్లైయర్ ఆధారంగా, ఇది చాలా పోలి ఉంటుంది, మోహాక్‌లో స్ట్రట్-బ్రేస్డ్ హై వింగ్, రెండు-సైడ్-ఇన్-సైడ్-సైడ్ కాన్ఫిగరేషన్ పరివేష్టిత కాక్‌పిట్ తలుపులు, స్థిర సాంప్రదాయ ల్యాండింగ్ గేర్ మరియు ట్రాక్టర్‌లో ఒకే ఇంజిన్ ఉన్నాయి కాన్ఫిగరేషన్. [1] ఈ విమానం మెటల్ గొట్టాల నుండి తయారవుతుంది, దాని ఎగిరే ఉపరితలాలు మరియు ఫ్యూజ్‌లేజ్ కవర్ డోప్డ్ ఎయిర్‌క్రాఫ్ట్ ఫాబ్రిక్. దాని 30.00 అడుగుల (9.1 మీ) స్పాన్ వింగ్ ఫీచర్స్ జంకర్స్ ఫ్లేపెరాన్లు, రెక్క ప్రాంతం 124.5 చదరపు అడుగులు (11.57 మీ 2) కలిగి ఉంది మరియు జ్యూరీ స్ట్రట్‌లతో "వి" స్ట్రట్‌లచే మద్దతు ఉంది. ప్రణాళికలు ప్రామాణిక హైడ్రాలిక్ బ్రేక్‌లు, స్టీరేబుల్ టెయిల్‌వీల్ మరియు రెక్కలను భూమి రవాణా లేదా నిల్వ కోసం మడవగలవు. ఉపయోగించిన ప్రామాణిక ఇంజిన్ 50 హెచ్‌పి (37 కిలోవాట్ల) రోటాక్స్ 503 టూ-స్ట్రోక్ పవర్‌ప్లాంట్, ఇది ప్రామాణిక రోజు, సముద్ర మట్టం టేకాఫ్ దూరం 100 అడుగులు (30 మీ) మరియు 150 అడుగుల (46 మీ) ల్యాండింగ్ రోల్ ఇస్తుంది. [1 ] మోహాక్ ఒక సాధారణ ఖాళీ బరువు 450 lb (200 kg) మరియు స్థూల బరువు 1,000 lb (450 kg), ఇది 550 lb (250 kg) ఉపయోగకరమైన లోడ్‌ను ఇస్తుంది. 12 యు.ఎస్. గ్యాలన్ల పూర్తి ఇంధనంతో (45 ఎల్; 10.0 ఇంప్ గల్) పైలట్, ప్రయాణీకుడు మరియు సామాను 478 ఎల్బి (217 కిలోలు). [1] తయారీదారు నిర్మాణ సమయాన్ని సరఫరా చేసిన ప్రణాళికల నుండి 900 గంటలుగా అంచనా వేస్తాడు. 1998 లో డిజైనర్ ఈ విమానం శ్రమను మినహాయించి US $ 6,500 కు పూర్తి చేయవచ్చని సూచించారు. [1] ఏరోక్రాఫ్టర్ నుండి డేటా [1] సాధారణ లక్షణాల పనితీరు</v>
      </c>
      <c r="E124" s="1" t="s">
        <v>154</v>
      </c>
      <c r="F124" s="1" t="str">
        <f>IFERROR(__xludf.DUMMYFUNCTION("GOOGLETRANSLATE(E:E, ""en"", ""te"")"),"హోమ్‌బిల్ట్ విమానం")</f>
        <v>హోమ్‌బిల్ట్ విమానం</v>
      </c>
      <c r="G124" s="1" t="s">
        <v>155</v>
      </c>
      <c r="H124" s="1" t="str">
        <f>IFERROR(__xludf.DUMMYFUNCTION("GOOGLETRANSLATE(G:G, ""en"", ""te"")"),"అమెరికా")</f>
        <v>అమెరికా</v>
      </c>
      <c r="I124" s="1" t="s">
        <v>2023</v>
      </c>
      <c r="J124" s="1" t="str">
        <f>IFERROR(__xludf.DUMMYFUNCTION("GOOGLETRANSLATE(I:I, ""en"", ""te"")"),"లాస్ బ్రిసాస్ అమ్మకాలు")</f>
        <v>లాస్ బ్రిసాస్ అమ్మకాలు</v>
      </c>
      <c r="K124" s="1" t="s">
        <v>2024</v>
      </c>
      <c r="O124" s="1" t="s">
        <v>135</v>
      </c>
      <c r="P124" s="1" t="s">
        <v>1532</v>
      </c>
      <c r="Q124" s="1" t="s">
        <v>626</v>
      </c>
      <c r="S124" s="1" t="s">
        <v>2025</v>
      </c>
      <c r="T124" s="1" t="s">
        <v>1684</v>
      </c>
      <c r="U124" s="1" t="s">
        <v>628</v>
      </c>
      <c r="V124" s="1" t="s">
        <v>2026</v>
      </c>
      <c r="W124" s="1" t="s">
        <v>1837</v>
      </c>
      <c r="X124" s="1" t="s">
        <v>1846</v>
      </c>
      <c r="Y124" s="1" t="s">
        <v>1449</v>
      </c>
      <c r="Z124" s="1" t="s">
        <v>1520</v>
      </c>
      <c r="AB124" s="1" t="s">
        <v>166</v>
      </c>
      <c r="AC124" s="2" t="s">
        <v>167</v>
      </c>
      <c r="AD124" s="1" t="s">
        <v>1765</v>
      </c>
      <c r="AE124" s="1" t="s">
        <v>1451</v>
      </c>
      <c r="AF124" s="1" t="s">
        <v>583</v>
      </c>
      <c r="AG124" s="1" t="s">
        <v>518</v>
      </c>
      <c r="AH124" s="1" t="s">
        <v>2027</v>
      </c>
      <c r="AI124" s="1" t="s">
        <v>2028</v>
      </c>
      <c r="AK124" s="1" t="s">
        <v>195</v>
      </c>
      <c r="BF124" s="1" t="s">
        <v>2029</v>
      </c>
      <c r="BG124" s="1" t="s">
        <v>2030</v>
      </c>
    </row>
    <row r="125">
      <c r="A125" s="1" t="s">
        <v>2031</v>
      </c>
      <c r="B125" s="1" t="str">
        <f>IFERROR(__xludf.DUMMYFUNCTION("GOOGLETRANSLATE(A:A, ""en"", ""te"")"),"మింగండి tp")</f>
        <v>మింగండి tp</v>
      </c>
      <c r="C125" s="1" t="s">
        <v>2032</v>
      </c>
      <c r="D125" s="1" t="str">
        <f>IFERROR(__xludf.DUMMYFUNCTION("GOOGLETRANSLATE(C:C, ""en"", ""te"")"),"స్వాలో టిపి 1928 నుండి అమెరికాలో స్వాలో ఎయిర్‌ప్లేన్ కంపెనీ నిర్మించిన ఒక శిక్షకుడు విమానం. టిపి ఒక సాధారణ మరియు కఠినమైన బైప్‌లేన్ డిజైన్, ఇది ఒక బోధకుడు మరియు విద్యార్థికి ఓపెన్ కాక్‌పిట్స్‌లో గదిలో గదితో ఉంటుంది. ఫ్యూజ్‌లేజ్ వెల్డెడ్ స్టీల్ గొట్టాల నుండ"&amp;"ి తయారు చేయబడింది, ఆకృతికి ఫెయిర్ చేయబడింది మరియు తరువాత ఫాబ్రిక్ కప్పబడి ఉంటుంది. రెక్కలు రోజుకు విలక్షణమైనవి, స్ప్రూస్ స్పార్స్, స్ప్రూస్ &amp; ప్లైవుడ్ పక్కటెముకలతో ఫాబ్రిక్ కవరింగ్. ఎగరడం సులభం, మరియు నిర్వహణ సౌలభ్యం కోసం, స్వాలో టిపి దాదాపు 200 నిర్మించడ"&amp;"ంతో బాగా ప్రాచుర్యం పొందింది. ప్రారంభంలో టిపిని సర్వవ్యాప్త కర్టిస్ ఆక్స్ -5 తో అందించారు. తరువాత, ఇది సిమెన్స్-హాల్స్కే, కిన్నర్ లేదా వార్నర్ ఇంజిన్ల ఎంపికతో అందించబడింది. చాలా మంది కస్టమర్లు ఆక్స్ -5 ను చౌకైనది. [1] నుండి డేటా: యు.ఎస్. సివిల్ ఎయిర్క్రాఫ"&amp;"్ట్ వాల్యూమ్ 2 నుండి ఏరోఫైల్స్ [2] డేటా సాధారణ లక్షణాల పనితీరు")</f>
        <v>స్వాలో టిపి 1928 నుండి అమెరికాలో స్వాలో ఎయిర్‌ప్లేన్ కంపెనీ నిర్మించిన ఒక శిక్షకుడు విమానం. టిపి ఒక సాధారణ మరియు కఠినమైన బైప్‌లేన్ డిజైన్, ఇది ఒక బోధకుడు మరియు విద్యార్థికి ఓపెన్ కాక్‌పిట్స్‌లో గదిలో గదితో ఉంటుంది. ఫ్యూజ్‌లేజ్ వెల్డెడ్ స్టీల్ గొట్టాల నుండి తయారు చేయబడింది, ఆకృతికి ఫెయిర్ చేయబడింది మరియు తరువాత ఫాబ్రిక్ కప్పబడి ఉంటుంది. రెక్కలు రోజుకు విలక్షణమైనవి, స్ప్రూస్ స్పార్స్, స్ప్రూస్ &amp; ప్లైవుడ్ పక్కటెముకలతో ఫాబ్రిక్ కవరింగ్. ఎగరడం సులభం, మరియు నిర్వహణ సౌలభ్యం కోసం, స్వాలో టిపి దాదాపు 200 నిర్మించడంతో బాగా ప్రాచుర్యం పొందింది. ప్రారంభంలో టిపిని సర్వవ్యాప్త కర్టిస్ ఆక్స్ -5 తో అందించారు. తరువాత, ఇది సిమెన్స్-హాల్స్కే, కిన్నర్ లేదా వార్నర్ ఇంజిన్ల ఎంపికతో అందించబడింది. చాలా మంది కస్టమర్లు ఆక్స్ -5 ను చౌకైనది. [1] నుండి డేటా: యు.ఎస్. సివిల్ ఎయిర్క్రాఫ్ట్ వాల్యూమ్ 2 నుండి ఏరోఫైల్స్ [2] డేటా సాధారణ లక్షణాల పనితీరు</v>
      </c>
      <c r="E125" s="1" t="s">
        <v>2033</v>
      </c>
      <c r="F125" s="1" t="str">
        <f>IFERROR(__xludf.DUMMYFUNCTION("GOOGLETRANSLATE(E:E, ""en"", ""te"")"),"శిక్షకుడు")</f>
        <v>శిక్షకుడు</v>
      </c>
      <c r="G125" s="1" t="s">
        <v>155</v>
      </c>
      <c r="H125" s="1" t="str">
        <f>IFERROR(__xludf.DUMMYFUNCTION("GOOGLETRANSLATE(G:G, ""en"", ""te"")"),"అమెరికా")</f>
        <v>అమెరికా</v>
      </c>
      <c r="I125" s="1" t="s">
        <v>2034</v>
      </c>
      <c r="J125" s="1" t="str">
        <f>IFERROR(__xludf.DUMMYFUNCTION("GOOGLETRANSLATE(I:I, ""en"", ""te"")"),"మింగడానికి")</f>
        <v>మింగడానికి</v>
      </c>
      <c r="K125" s="2" t="s">
        <v>2035</v>
      </c>
      <c r="L125" s="1" t="s">
        <v>2036</v>
      </c>
      <c r="N125" s="1">
        <v>1928.0</v>
      </c>
      <c r="O125" s="1">
        <v>1.0</v>
      </c>
      <c r="P125" s="1" t="s">
        <v>2037</v>
      </c>
      <c r="Q125" s="1" t="s">
        <v>2038</v>
      </c>
      <c r="R125" s="1" t="s">
        <v>2039</v>
      </c>
      <c r="S125" s="1" t="s">
        <v>2040</v>
      </c>
      <c r="T125" s="1" t="s">
        <v>2041</v>
      </c>
      <c r="U125" s="1" t="s">
        <v>2042</v>
      </c>
      <c r="V125" s="1" t="s">
        <v>2043</v>
      </c>
      <c r="W125" s="1" t="s">
        <v>1452</v>
      </c>
      <c r="X125" s="1" t="s">
        <v>2044</v>
      </c>
      <c r="Y125" s="1" t="s">
        <v>2045</v>
      </c>
      <c r="Z125" s="1" t="s">
        <v>633</v>
      </c>
      <c r="AA125" s="1" t="s">
        <v>2046</v>
      </c>
      <c r="AG125" s="1" t="s">
        <v>2047</v>
      </c>
      <c r="AH125" s="1" t="s">
        <v>864</v>
      </c>
      <c r="AJ125" s="1" t="s">
        <v>2048</v>
      </c>
      <c r="AK125" s="1">
        <v>1.0</v>
      </c>
      <c r="AR125" s="1" t="s">
        <v>2049</v>
      </c>
    </row>
    <row r="126">
      <c r="A126" s="1" t="s">
        <v>2050</v>
      </c>
      <c r="B126" s="1" t="str">
        <f>IFERROR(__xludf.DUMMYFUNCTION("GOOGLETRANSLATE(A:A, ""en"", ""te"")"),"అసోసియేటెడ్ ఎయిర్ లిబర్టీ 181")</f>
        <v>అసోసియేటెడ్ ఎయిర్ లిబర్టీ 181</v>
      </c>
      <c r="C126" s="1" t="s">
        <v>2051</v>
      </c>
      <c r="D126" s="1" t="str">
        <f>IFERROR(__xludf.DUMMYFUNCTION("GOOGLETRANSLATE(C:C, ""en"", ""te"")"),"అసోసియేటెడ్ ఎయిర్ లిబర్టీ 181 అనేది ఒక అమెరికన్ హోమ్‌బిల్ట్ విమానం, దీనిని 1990 ల చివరలో ప్రవేశపెట్టిన వాషింగ్టన్‌లోని అసంబద్ధమైన ఎయిర్ ఆఫ్ వుడ్‌ల్యాండ్ చేత రూపొందించబడింది మరియు ఉత్పత్తి చేయబడింది. ఇది అందుబాటులో ఉన్నప్పుడు విమానం te త్సాహిక నిర్మాణానికి"&amp;" కిట్‌గా సరఫరా చేయబడింది. [1] లిబర్టీ 181 తయారు చేయని ఎయిర్‌స్ట్రిప్స్‌లో భారీ భారాన్ని లాగడానికి బుష్‌ప్లేన్‌గా రూపొందించబడింది. ఇది స్ట్రట్-బ్రేస్డ్ హై-వింగ్, తలుపులతో నాలుగు-సీట్ల పరివేష్టిత క్యాబిన్, స్థిర సాంప్రదాయ ల్యాండింగ్ గేర్ మరియు ట్రాక్టర్ కాన"&amp;"్ఫిగరేషన్‌లో ఒకే ఇంజిన్ కలిగి ఉంది. [1] ఈ విమానం మిశ్రమ లోహం మరియు మిశ్రమాల నుండి తయారవుతుంది మరియు స్థూలమైన వస్తువులను లోడ్ చేయడానికి అదనపు పెద్ద తలుపులు కలిగి ఉంటుంది. దాని 40.00 అడుగుల (12.2 మీ) స్పాన్ వింగ్ మౌంట్స్ ఫ్లాప్స్, 200.00 చదరపు అడుగుల (18.58"&amp;"1 మీ 2) రెక్కల వైశాల్యాన్ని కలిగి ఉంది మరియు జ్యూరీ స్ట్రట్‌లతో, రెండు సమాంతర లిఫ్ట్ స్ట్రట్‌ల ద్వారా మద్దతు ఉంది. క్యాబిన్ వెడల్పు 48 అంగుళాలు (120 సెం.మీ). ఆమోదయోగ్యమైన శక్తి శ్రేణి 230 నుండి 300 హెచ్‌పి (172 నుండి 224 కిలోవాట్) మరియు ఉపయోగించిన ప్రామాణ"&amp;"ిక ఇంజిన్ 230 హెచ్‌పి (172 కిలోవాట్) ఖండాంతర ఓ -470 పవర్‌ప్లాంట్, స్థిరమైన స్పీడ్ ప్రొపెల్లర్‌తో ఉంటుంది. ఆ ఇంజిన్ ఇన్‌స్టాల్ చేయడంతో టేకాఫ్ దూరం 200 అడుగులు (61 మీ) మరియు ల్యాండింగ్ దూరం 250 అడుగులు (76 మీ). [1] ఈ విమానం ఖాళీ బరువు 1,890 ఎల్బి (860 కిలోల"&amp;"ు) మరియు స్థూల బరువు 3,200 ఎల్బి (1,500 కిలోలు), ఇది 1,310 పౌండ్లు (590 కిలోలు) ఉపయోగకరమైన లోడ్ ఇస్తుంది. 100 యు.ఎస్. గ్యాలన్ల పూర్తి ఇంధనంతో (380 ఎల్; 83 ఇంప్ గల్) పేలోడ్ 710 ఎల్బి (320 కిలోలు). [1] ఫ్యాక్టరీ సరఫరా ఎంపికలలో ఫ్లోట్లు మరియు స్కిస్ ఉన్నాయి."&amp;" తయారీదారు నిర్మాణ సమయాన్ని సరఫరా చేసిన కిట్ నుండి 2000 గంటలుగా అంచనా వేస్తాడు. [1] 1998 నాటికి కంపెనీ 7 కిట్లు విక్రయించబడిందని, ఒక విమానంలో ఎగురుతున్నట్లు కంపెనీ నివేదించింది. [1] అక్టోబర్ 2016 లో ఫెడరల్ ఏవియేషన్ అడ్మినిస్ట్రేషన్తో అమెరికాలో ఎటువంటి ఉదా"&amp;"హరణలు నమోదు కాలేదు, అయినప్పటికీ ఒకటి గతంలో నమోదు చేయబడింది మరియు కెనడాకు ఎగుమతి చేయబడింది. అక్టోబర్ 2016 లో ఒకటి ట్రాన్స్పోర్ట్ కెనడాలో నమోదు చేయబడింది, ఇది 1996 లో యుఎస్‌లో నిర్మించబడింది మరియు 2008 లో దిగుమతి చేయబడింది. [2] [3] [4] ఏరోక్రాఫ్టర్ నుండి డే"&amp;"టా [1] సాధారణ లక్షణాల పనితీరు")</f>
        <v>అసోసియేటెడ్ ఎయిర్ లిబర్టీ 181 అనేది ఒక అమెరికన్ హోమ్‌బిల్ట్ విమానం, దీనిని 1990 ల చివరలో ప్రవేశపెట్టిన వాషింగ్టన్‌లోని అసంబద్ధమైన ఎయిర్ ఆఫ్ వుడ్‌ల్యాండ్ చేత రూపొందించబడింది మరియు ఉత్పత్తి చేయబడింది. ఇది అందుబాటులో ఉన్నప్పుడు విమానం te త్సాహిక నిర్మాణానికి కిట్‌గా సరఫరా చేయబడింది. [1] లిబర్టీ 181 తయారు చేయని ఎయిర్‌స్ట్రిప్స్‌లో భారీ భారాన్ని లాగడానికి బుష్‌ప్లేన్‌గా రూపొందించబడింది. ఇది స్ట్రట్-బ్రేస్డ్ హై-వింగ్, తలుపులతో నాలుగు-సీట్ల పరివేష్టిత క్యాబిన్, స్థిర సాంప్రదాయ ల్యాండింగ్ గేర్ మరియు ట్రాక్టర్ కాన్ఫిగరేషన్‌లో ఒకే ఇంజిన్ కలిగి ఉంది. [1] ఈ విమానం మిశ్రమ లోహం మరియు మిశ్రమాల నుండి తయారవుతుంది మరియు స్థూలమైన వస్తువులను లోడ్ చేయడానికి అదనపు పెద్ద తలుపులు కలిగి ఉంటుంది. దాని 40.00 అడుగుల (12.2 మీ) స్పాన్ వింగ్ మౌంట్స్ ఫ్లాప్స్, 200.00 చదరపు అడుగుల (18.581 మీ 2) రెక్కల వైశాల్యాన్ని కలిగి ఉంది మరియు జ్యూరీ స్ట్రట్‌లతో, రెండు సమాంతర లిఫ్ట్ స్ట్రట్‌ల ద్వారా మద్దతు ఉంది. క్యాబిన్ వెడల్పు 48 అంగుళాలు (120 సెం.మీ). ఆమోదయోగ్యమైన శక్తి శ్రేణి 230 నుండి 300 హెచ్‌పి (172 నుండి 224 కిలోవాట్) మరియు ఉపయోగించిన ప్రామాణిక ఇంజిన్ 230 హెచ్‌పి (172 కిలోవాట్) ఖండాంతర ఓ -470 పవర్‌ప్లాంట్, స్థిరమైన స్పీడ్ ప్రొపెల్లర్‌తో ఉంటుంది. ఆ ఇంజిన్ ఇన్‌స్టాల్ చేయడంతో టేకాఫ్ దూరం 200 అడుగులు (61 మీ) మరియు ల్యాండింగ్ దూరం 250 అడుగులు (76 మీ). [1] ఈ విమానం ఖాళీ బరువు 1,890 ఎల్బి (860 కిలోలు) మరియు స్థూల బరువు 3,200 ఎల్బి (1,500 కిలోలు), ఇది 1,310 పౌండ్లు (590 కిలోలు) ఉపయోగకరమైన లోడ్ ఇస్తుంది. 100 యు.ఎస్. గ్యాలన్ల పూర్తి ఇంధనంతో (380 ఎల్; 83 ఇంప్ గల్) పేలోడ్ 710 ఎల్బి (320 కిలోలు). [1] ఫ్యాక్టరీ సరఫరా ఎంపికలలో ఫ్లోట్లు మరియు స్కిస్ ఉన్నాయి. తయారీదారు నిర్మాణ సమయాన్ని సరఫరా చేసిన కిట్ నుండి 2000 గంటలుగా అంచనా వేస్తాడు. [1] 1998 నాటికి కంపెనీ 7 కిట్లు విక్రయించబడిందని, ఒక విమానంలో ఎగురుతున్నట్లు కంపెనీ నివేదించింది. [1] అక్టోబర్ 2016 లో ఫెడరల్ ఏవియేషన్ అడ్మినిస్ట్రేషన్తో అమెరికాలో ఎటువంటి ఉదాహరణలు నమోదు కాలేదు, అయినప్పటికీ ఒకటి గతంలో నమోదు చేయబడింది మరియు కెనడాకు ఎగుమతి చేయబడింది. అక్టోబర్ 2016 లో ఒకటి ట్రాన్స్పోర్ట్ కెనడాలో నమోదు చేయబడింది, ఇది 1996 లో యుఎస్‌లో నిర్మించబడింది మరియు 2008 లో దిగుమతి చేయబడింది. [2] [3] [4] ఏరోక్రాఫ్టర్ నుండి డేటా [1] సాధారణ లక్షణాల పనితీరు</v>
      </c>
      <c r="E126" s="1" t="s">
        <v>154</v>
      </c>
      <c r="F126" s="1" t="str">
        <f>IFERROR(__xludf.DUMMYFUNCTION("GOOGLETRANSLATE(E:E, ""en"", ""te"")"),"హోమ్‌బిల్ట్ విమానం")</f>
        <v>హోమ్‌బిల్ట్ విమానం</v>
      </c>
      <c r="G126" s="1" t="s">
        <v>155</v>
      </c>
      <c r="H126" s="1" t="str">
        <f>IFERROR(__xludf.DUMMYFUNCTION("GOOGLETRANSLATE(G:G, ""en"", ""te"")"),"అమెరికా")</f>
        <v>అమెరికా</v>
      </c>
      <c r="I126" s="1" t="s">
        <v>2052</v>
      </c>
      <c r="J126" s="1" t="str">
        <f>IFERROR(__xludf.DUMMYFUNCTION("GOOGLETRANSLATE(I:I, ""en"", ""te"")"),"అనుబంధ గాలి")</f>
        <v>అనుబంధ గాలి</v>
      </c>
      <c r="K126" s="1" t="s">
        <v>2053</v>
      </c>
      <c r="O126" s="1" t="s">
        <v>135</v>
      </c>
      <c r="P126" s="1" t="s">
        <v>1461</v>
      </c>
      <c r="Q126" s="1" t="s">
        <v>2054</v>
      </c>
      <c r="S126" s="1" t="s">
        <v>2055</v>
      </c>
      <c r="T126" s="1" t="s">
        <v>2056</v>
      </c>
      <c r="U126" s="1" t="s">
        <v>1941</v>
      </c>
      <c r="V126" s="1" t="s">
        <v>2057</v>
      </c>
      <c r="W126" s="1" t="s">
        <v>343</v>
      </c>
      <c r="X126" s="1" t="s">
        <v>2058</v>
      </c>
      <c r="Y126" s="1" t="s">
        <v>2059</v>
      </c>
      <c r="Z126" s="1" t="s">
        <v>2060</v>
      </c>
      <c r="AB126" s="1" t="s">
        <v>166</v>
      </c>
      <c r="AC126" s="2" t="s">
        <v>167</v>
      </c>
      <c r="AD126" s="1" t="s">
        <v>581</v>
      </c>
      <c r="AE126" s="1" t="s">
        <v>2061</v>
      </c>
      <c r="AF126" s="1" t="s">
        <v>1471</v>
      </c>
      <c r="AG126" s="1" t="s">
        <v>1837</v>
      </c>
      <c r="AH126" s="1" t="s">
        <v>2062</v>
      </c>
      <c r="AI126" s="1" t="s">
        <v>2063</v>
      </c>
      <c r="AJ126" s="1" t="s">
        <v>2064</v>
      </c>
      <c r="AK126" s="1" t="s">
        <v>490</v>
      </c>
      <c r="BN126" s="1" t="s">
        <v>2065</v>
      </c>
    </row>
    <row r="127">
      <c r="A127" s="1" t="s">
        <v>2066</v>
      </c>
      <c r="B127" s="1" t="str">
        <f>IFERROR(__xludf.DUMMYFUNCTION("GOOGLETRANSLATE(A:A, ""en"", ""te"")"),"బ్లెరియోట్-స్పాడ్ S.29")</f>
        <v>బ్లెరియోట్-స్పాడ్ S.29</v>
      </c>
      <c r="C127" s="1" t="s">
        <v>2067</v>
      </c>
      <c r="D127" s="1" t="str">
        <f>IFERROR(__xludf.DUMMYFUNCTION("GOOGLETRANSLATE(C:C, ""en"", ""te"")"),"బ్లెరియోట్-స్పాడ్ S.29 అనేది 1919 లో బ్లెరియోట్-స్పాడ్ చేత ఉత్పత్తి చేయబడిన ఒక క్రీడా విమానం. బ్లెరియోట్-స్పాడ్ S.29 రెండు-సీట్ల సింగిల్-బే బైప్‌లేన్, కొంచెం తుడిచిపెట్టిన ఎగువ వింగ్ మరియు స్ట్రెయిట్ దిగువ రెక్కతో, రెక్కలు ప్రతి వైపు ఒకే స్ట్రట్ ద్వారా అన"&amp;"ుసంధానించబడతాయి. ఐలెరాన్‌లను దిగువ వింగ్‌కు మాత్రమే అమర్చారు. ఫ్యూజ్‌లేజ్ ఒక వృత్తాకార విభాగం చెక్క మోనోకోక్ నిర్మాణం, పైలట్ మరియు ప్రయాణీకులు ఒకే కాక్‌పిట్‌లో కలిసి కూర్చున్నారు. ఇది 60 కిలోవాట్ల (80 హెచ్‌పి) లే రోన్ 9 సి రోటరీ ఇంజిన్ చేత శక్తిని పొందింద"&amp;"ి, రెండు-బ్లేడెడ్ ప్రొపెల్లర్‌ను పెద్ద అర్ధగోళ స్పిన్నర్‌తో అమర్చారు, బాల్-బేరింగ్‌లపై అమర్చారు, తద్వారా ఇది ప్రొపెల్లర్‌తో తిరగదు, బహుశా స్పిన్నర్‌పై ముందుజాగ్రత్త సెంట్రిఫ్యూగల్ శక్తి కారణంగా విచ్ఛిన్నం. [2] ఫ్లైట్ నుండి డేటా [3] సాధారణ లక్షణాల పనితీరు")</f>
        <v>బ్లెరియోట్-స్పాడ్ S.29 అనేది 1919 లో బ్లెరియోట్-స్పాడ్ చేత ఉత్పత్తి చేయబడిన ఒక క్రీడా విమానం. బ్లెరియోట్-స్పాడ్ S.29 రెండు-సీట్ల సింగిల్-బే బైప్‌లేన్, కొంచెం తుడిచిపెట్టిన ఎగువ వింగ్ మరియు స్ట్రెయిట్ దిగువ రెక్కతో, రెక్కలు ప్రతి వైపు ఒకే స్ట్రట్ ద్వారా అనుసంధానించబడతాయి. ఐలెరాన్‌లను దిగువ వింగ్‌కు మాత్రమే అమర్చారు. ఫ్యూజ్‌లేజ్ ఒక వృత్తాకార విభాగం చెక్క మోనోకోక్ నిర్మాణం, పైలట్ మరియు ప్రయాణీకులు ఒకే కాక్‌పిట్‌లో కలిసి కూర్చున్నారు. ఇది 60 కిలోవాట్ల (80 హెచ్‌పి) లే రోన్ 9 సి రోటరీ ఇంజిన్ చేత శక్తిని పొందింది, రెండు-బ్లేడెడ్ ప్రొపెల్లర్‌ను పెద్ద అర్ధగోళ స్పిన్నర్‌తో అమర్చారు, బాల్-బేరింగ్‌లపై అమర్చారు, తద్వారా ఇది ప్రొపెల్లర్‌తో తిరగదు, బహుశా స్పిన్నర్‌పై ముందుజాగ్రత్త సెంట్రిఫ్యూగల్ శక్తి కారణంగా విచ్ఛిన్నం. [2] ఫ్లైట్ నుండి డేటా [3] సాధారణ లక్షణాల పనితీరు</v>
      </c>
      <c r="E127" s="1" t="s">
        <v>2068</v>
      </c>
      <c r="F127" s="1" t="str">
        <f>IFERROR(__xludf.DUMMYFUNCTION("GOOGLETRANSLATE(E:E, ""en"", ""te"")"),"క్రీడా విమానం")</f>
        <v>క్రీడా విమానం</v>
      </c>
      <c r="G127" s="1" t="s">
        <v>113</v>
      </c>
      <c r="H127" s="1" t="str">
        <f>IFERROR(__xludf.DUMMYFUNCTION("GOOGLETRANSLATE(G:G, ""en"", ""te"")"),"ఫ్రాన్స్")</f>
        <v>ఫ్రాన్స్</v>
      </c>
      <c r="I127" s="1" t="s">
        <v>2069</v>
      </c>
      <c r="J127" s="1" t="str">
        <f>IFERROR(__xludf.DUMMYFUNCTION("GOOGLETRANSLATE(I:I, ""en"", ""te"")"),"బ్లెరియోట్-స్పాడ్")</f>
        <v>బ్లెరియోట్-స్పాడ్</v>
      </c>
      <c r="K127" s="1" t="s">
        <v>2070</v>
      </c>
      <c r="L127" s="1" t="s">
        <v>2071</v>
      </c>
      <c r="M127" s="1" t="s">
        <v>2072</v>
      </c>
      <c r="N127" s="1" t="s">
        <v>2073</v>
      </c>
      <c r="O127" s="1">
        <v>1.0</v>
      </c>
      <c r="P127" s="1" t="s">
        <v>2074</v>
      </c>
      <c r="Q127" s="1" t="s">
        <v>2075</v>
      </c>
      <c r="R127" s="1" t="s">
        <v>2076</v>
      </c>
      <c r="T127" s="1" t="s">
        <v>2077</v>
      </c>
      <c r="U127" s="1" t="s">
        <v>2078</v>
      </c>
      <c r="V127" s="1" t="s">
        <v>2079</v>
      </c>
      <c r="W127" s="1" t="s">
        <v>2080</v>
      </c>
      <c r="AJ127" s="1">
        <v>5.0</v>
      </c>
      <c r="AK127" s="1" t="s">
        <v>476</v>
      </c>
      <c r="AP127" s="1" t="s">
        <v>2081</v>
      </c>
      <c r="BF127" s="1" t="s">
        <v>2082</v>
      </c>
      <c r="BG127" s="1" t="s">
        <v>2083</v>
      </c>
    </row>
    <row r="128">
      <c r="A128" s="1" t="s">
        <v>2084</v>
      </c>
      <c r="B128" s="1" t="str">
        <f>IFERROR(__xludf.DUMMYFUNCTION("GOOGLETRANSLATE(A:A, ""en"", ""te"")"),"కర్టిస్ థ్రష్")</f>
        <v>కర్టిస్ థ్రష్</v>
      </c>
      <c r="C128" s="1" t="s">
        <v>2085</v>
      </c>
      <c r="D128" s="1" t="str">
        <f>IFERROR(__xludf.DUMMYFUNCTION("GOOGLETRANSLATE(C:C, ""en"", ""te"")"),"కర్టిస్/కర్టిస్-రాబర్ట్‌సన్ మోడల్ 56 థ్రష్ [గమనిక 1] 1929 ఆరు ప్రయాణీకుల హై-వింగ్ స్థిర అండర్ క్యారేజ్ సింగిల్-ఇంజిన్ క్యాబిన్ మోనోప్లేన్ విమానాలు మరియు కర్టిస్ ఛాలెంజర్ లేదా రైట్ సుడిగాలి రేడియల్ ఇంజిన్ [1] చేత శక్తినిచ్చే యుటిలిటీ ట్రాన్స్‌పోర్ట్ మరియు "&amp;"నిర్మించబడింది మరియు నిర్మించబడింది మరియు నిర్మించబడింది మునుపటి కర్టిస్ రాబిన్ యొక్క విస్తరణ. [2] 1930 ల ప్రారంభంలో మహిళా పైలట్లు రికార్డ్ బ్రేకింగ్ ఎండ్యూరెన్స్ విమానాల కోసం ఉపయోగించబడ్డాయి, వీటిలో ఒకటి, ఈ విమానం దాదాపు పది రోజులు పైకి ఉండిపోయింది. మూడు"&amp;" 170 హెచ్‌పి (130 కిలోవాట్ 1010 నుండి) 225 హెచ్‌పి (168 కిలోవాట్) రైట్ వర్ల్‌విండ్ ఇంజిన్‌లతో, కర్టిస్-రాబర్ట్‌సన్ సెయింట్ లూయిస్ ఫ్యాక్టరీలో నిర్మించబడ్డాయి. మూడు ప్రోటోటైప్‌లను తరువాత సుడిగాలితో తిరిగి ఇంజిన్ చేశారు. థ్రష్ యొక్క ఫ్యూజ్‌లేజ్ జంట-ఇంజిన్ క"&amp;"ర్టిస్ కింగ్‌బర్డ్ యొక్క ఆధారాన్ని ఏర్పరుస్తుంది, ఇది సమాంతరంగా అభివృద్ధి చేయబడింది. [6] ఫ్యూజ్‌లేజ్ ఒక ప్రాట్ ట్రస్ ఫ్రేమ్‌గా నిర్మించబడింది, ప్రధానంగా డ్యూరాలిమినియం గొట్టాలు మరియు ఫిట్టింగుల నుండి వెల్డెడ్ క్రోమ్-మోలీ గొట్టాలతో అమర్చారు, అధిక ఒత్తిడికి"&amp;" గురైన ప్రాంతాలను బలోపేతం చేస్తుంది మరియు ఫాబ్రిక్‌తో కప్పబడి ఉంటుంది. [5] రెక్క అనేది స్టీల్ ట్యూబ్ స్ట్రట్‌లతో కలుపుకున్న ఫాబ్రిక్ కప్పబడిన సెమీ-కాంటిలివర్ [నోట్ 2], మరియు ఘన స్ప్రూస్ స్పార్స్ మరియు స్టాంప్డ్ ఆల్క్‌క్అడ్ పక్కటెముకలను కలిగి ఉంది. ఒక ఇంధన"&amp;" ట్యాంక్ రూట్ దగ్గర ప్రతి రెక్క లోపల అమర్చబడి ఉంటుంది. [5] చుక్కాని మరియు ఎలివేటర్లు క్రోమ్-మోలీ స్టీల్ గొట్టాలను వెల్డింగ్ చేశారు. [5] 116 ""ట్రాక్ అండర్ క్యారేజ్ ఒలియో-న్యూమాటిక్ షాక్ అబ్సార్బర్స్ మరియు బెండిక్స్ బ్రేక్‌లతో అమర్చబడి ఉంది, మరియు ఇది ఫ్రం"&amp;"ట్ స్ట్రట్స్ మరియు తక్కువ లాన్స్‌కు బ్రేస్ చేయబడింది. [5] 12 ఉదాహరణలను చైనా నేషనల్ ఏవియేషన్ కార్పొరేషన్ (సిఎన్‌ఎసి) ఆదేశించింది, కాని పది ఉత్పత్తి ఉదాహరణలు మాత్రమే నిర్మించబడ్డాయి. CNAC కి ఎగుమతి చేసిన అనేక విమానాలు ఉన్నందున, ఒక ఉదాహరణ మాత్రమే చైనాకు చేరు"&amp;"కుంది, ఇది 1930 లో చేసింది, మరియు అది CNAC సేవలోకి ప్రవేశించకపోవచ్చు. [7] పది మందిలో ఒకరు. దాని మొదటి విమానంలో (సీరియల్ 1006) పోయింది మరియు దాని రిజిస్ట్రేషన్ నిర్మించిన తదుపరి విమానానికి బదిలీ చేయబడింది. [8] ప్రోటోటైప్‌లలో ఒకటి వెనిజులాకు ఒక ప్రైవేట్ వ్య"&amp;"క్తికి వెళ్లారు, [9] మరియు ఒక ఉత్పత్తి ఉదాహరణ క్యూబాకు వెళ్ళింది క్యూబా యొక్క జాతీయ విమానయాన సంస్థ క్యూబానా డి ఏవియాసియన్ యొక్క ముందున్న కాంపానా నేషనల్ క్యూబానా డి ఏవియాసియన్ కర్టిస్ (సిఎన్‌సిఎసి) చేత నిర్వహించబడుతున్న మొదటి విమానం. ఫాక్స్ ""(వారి స్పాన్స"&amp;"ర్, బొచ్చు కోటు సంస్థ మరియు ప్రెస్ చేత"" ఫ్లయింగ్ బౌడోయిర్ ""అని మారుపేరు పెట్టారు) 196 గంటలు 5 నిమిషాలు, కర్టిస్ రాబిన్ నుండి విమానంలో ఇంధనం నింపాయి. ] . ఎలిజబెత్ ఓవెన్స్ ఆగస్టులో కర్టిస్-రేనాల్డ్స్ విమానాశ్రయంలో ప్రపంచంలోని ఓర్పు రికార్డులో ఐదు ప్రయత్నా"&amp;"లు చేశాడు, 1934 చికాగో వరల్డ్ ఫెయిర్ ఇన్ కర్టిస్ థ్రష్ j nr581n 8 డిసెంబర్ నుండి 30 నవంబర్ 1934 వరకు ఓక్లహోమా సిటీపై కానీ మాజీ పెరియెన్స్డ్ ఇంజిన్ సమస్యలు మరియు 198 గంటల 13 నిమిషాల తర్వాత బలవంతం చేయబడ్డాయి. [15] రెండు ఉదాహరణలు అలాస్కాకు వెళ్ళాయి, అక్కడ వా"&amp;"టిని బుష్ విమానాలుగా ఉపయోగించారు, ఒకటి రాల్ఫ్ రుచికరమైనది, అతను స్టార్ ఎయిర్ సర్వీసులో చేరడానికి ముందు, [16] అలాస్కాలో గోర్డాన్ మాకెంజీ చేత ఎగురవేయబడింది. మిగిలిన వాటిని అమెరికాలో వివిధ ఆపరేటర్లు ఎయిర్ టాక్సీలు మరియు ఫీడర్ విమానయాన సంస్థలుగా ఉపయోగించారు. "&amp;".MW-PARSER- అవుట్పుట్ CITE.CITATION {FONT- శైలి: వారసత్వం; పదం-RRAP: బ్రేక్-వర్డ్} .MW-PARSER- అవుట్పుట్ .citation q {quots: ""\"" """" \ """" """" """" ' లాక్-ఫ్రీ A {నేపథ్యం: లీనియర్-గ్రేడియంట్ (పారదర్శక, పారదర్శక), URL (""// అప్‌లోడ్ } .mw-Parser- అవుట"&amp;"్పుట్ .ID-LOCK- పరిమితం చేయబడిన A, .MW- పార్సర్-అవుట్పుట్ .ID-LOCK- రిజిస్ట్రేషన్ A, .MW-PARSER- అవుట్పుట్ .cs1 -ట్పుట్ .సిటేషన్ .cs1- లాక్-రిజిస్ట్రేషన్ A {నేపథ్యం: లీనియర్-గ్రేడియంట్ (పారదర్శక, పారదర్శక), URL (""// అప్‌లోడ్ SVG "") కుడి 0.1EM సెంటర్/9 ప"&amp;"ిఎక్స్ నో-రిపీట్} .mw- పార్సర్-అవుట్పుట్ .ఐడి-లాక్-సబ్‌స్క్రిప్షన్ a, .mw-Parser- అవుట్పుట్ .cs1- లాక్-సబ్‌స్క్రిప్షన్ A {నేపథ్యం: లీనియర్-గ్రేడియంట్ (పారదర్శక . . . పార్సర్-అవుట్పుట్ .సిఎస్ 1-హిడెన్-ఎర్రర్ {డిస్ప్లే: ఏదీ లేదు; రంగు:#D33} .MW-PARSER-OUTPU"&amp;"T .CS1-SISIBLE-ERROR {COLOR ఏదీ లేదు; EM} .MW-PARSER-OUTPUT .CS1- కెర్న్-రైట్ {పాడింగ్-రైట్: 0.2EM} .MW-PARSER- అవుట్పుట్ .citation .mw-selllink {font-weight: werice} guptner, Joseph P. (1966). యుఎస్ సివిల్ ఎయిర్క్రాఫ్ట్: వాల్యూమ్. 3 (ATC 201 - 300). ఫాల్"&amp;"‌బ్రూక్, సిఎ: ఏరో పబ్లిషర్స్. పేజీలు 177-178. ASIN B000VHTNB4")</f>
        <v>కర్టిస్/కర్టిస్-రాబర్ట్‌సన్ మోడల్ 56 థ్రష్ [గమనిక 1] 1929 ఆరు ప్రయాణీకుల హై-వింగ్ స్థిర అండర్ క్యారేజ్ సింగిల్-ఇంజిన్ క్యాబిన్ మోనోప్లేన్ విమానాలు మరియు కర్టిస్ ఛాలెంజర్ లేదా రైట్ సుడిగాలి రేడియల్ ఇంజిన్ [1] చేత శక్తినిచ్చే యుటిలిటీ ట్రాన్స్‌పోర్ట్ మరియు నిర్మించబడింది మరియు నిర్మించబడింది మరియు నిర్మించబడింది మునుపటి కర్టిస్ రాబిన్ యొక్క విస్తరణ. [2] 1930 ల ప్రారంభంలో మహిళా పైలట్లు రికార్డ్ బ్రేకింగ్ ఎండ్యూరెన్స్ విమానాల కోసం ఉపయోగించబడ్డాయి, వీటిలో ఒకటి, ఈ విమానం దాదాపు పది రోజులు పైకి ఉండిపోయింది. మూడు 170 హెచ్‌పి (130 కిలోవాట్ 1010 నుండి) 225 హెచ్‌పి (168 కిలోవాట్) రైట్ వర్ల్‌విండ్ ఇంజిన్‌లతో, కర్టిస్-రాబర్ట్‌సన్ సెయింట్ లూయిస్ ఫ్యాక్టరీలో నిర్మించబడ్డాయి. మూడు ప్రోటోటైప్‌లను తరువాత సుడిగాలితో తిరిగి ఇంజిన్ చేశారు. థ్రష్ యొక్క ఫ్యూజ్‌లేజ్ జంట-ఇంజిన్ కర్టిస్ కింగ్‌బర్డ్ యొక్క ఆధారాన్ని ఏర్పరుస్తుంది, ఇది సమాంతరంగా అభివృద్ధి చేయబడింది. [6] ఫ్యూజ్‌లేజ్ ఒక ప్రాట్ ట్రస్ ఫ్రేమ్‌గా నిర్మించబడింది, ప్రధానంగా డ్యూరాలిమినియం గొట్టాలు మరియు ఫిట్టింగుల నుండి వెల్డెడ్ క్రోమ్-మోలీ గొట్టాలతో అమర్చారు, అధిక ఒత్తిడికి గురైన ప్రాంతాలను బలోపేతం చేస్తుంది మరియు ఫాబ్రిక్‌తో కప్పబడి ఉంటుంది. [5] రెక్క అనేది స్టీల్ ట్యూబ్ స్ట్రట్‌లతో కలుపుకున్న ఫాబ్రిక్ కప్పబడిన సెమీ-కాంటిలివర్ [నోట్ 2], మరియు ఘన స్ప్రూస్ స్పార్స్ మరియు స్టాంప్డ్ ఆల్క్‌క్అడ్ పక్కటెముకలను కలిగి ఉంది. ఒక ఇంధన ట్యాంక్ రూట్ దగ్గర ప్రతి రెక్క లోపల అమర్చబడి ఉంటుంది. [5] చుక్కాని మరియు ఎలివేటర్లు క్రోమ్-మోలీ స్టీల్ గొట్టాలను వెల్డింగ్ చేశారు. [5] 116 "ట్రాక్ అండర్ క్యారేజ్ ఒలియో-న్యూమాటిక్ షాక్ అబ్సార్బర్స్ మరియు బెండిక్స్ బ్రేక్‌లతో అమర్చబడి ఉంది, మరియు ఇది ఫ్రంట్ స్ట్రట్స్ మరియు తక్కువ లాన్స్‌కు బ్రేస్ చేయబడింది. [5] 12 ఉదాహరణలను చైనా నేషనల్ ఏవియేషన్ కార్పొరేషన్ (సిఎన్‌ఎసి) ఆదేశించింది, కాని పది ఉత్పత్తి ఉదాహరణలు మాత్రమే నిర్మించబడ్డాయి. CNAC కి ఎగుమతి చేసిన అనేక విమానాలు ఉన్నందున, ఒక ఉదాహరణ మాత్రమే చైనాకు చేరుకుంది, ఇది 1930 లో చేసింది, మరియు అది CNAC సేవలోకి ప్రవేశించకపోవచ్చు. [7] పది మందిలో ఒకరు. దాని మొదటి విమానంలో (సీరియల్ 1006) పోయింది మరియు దాని రిజిస్ట్రేషన్ నిర్మించిన తదుపరి విమానానికి బదిలీ చేయబడింది. [8] ప్రోటోటైప్‌లలో ఒకటి వెనిజులాకు ఒక ప్రైవేట్ వ్యక్తికి వెళ్లారు, [9] మరియు ఒక ఉత్పత్తి ఉదాహరణ క్యూబాకు వెళ్ళింది క్యూబా యొక్క జాతీయ విమానయాన సంస్థ క్యూబానా డి ఏవియాసియన్ యొక్క ముందున్న కాంపానా నేషనల్ క్యూబానా డి ఏవియాసియన్ కర్టిస్ (సిఎన్‌సిఎసి) చేత నిర్వహించబడుతున్న మొదటి విమానం. ఫాక్స్ "(వారి స్పాన్సర్, బొచ్చు కోటు సంస్థ మరియు ప్రెస్ చేత" ఫ్లయింగ్ బౌడోయిర్ "అని మారుపేరు పెట్టారు) 196 గంటలు 5 నిమిషాలు, కర్టిస్ రాబిన్ నుండి విమానంలో ఇంధనం నింపాయి. ] . ఎలిజబెత్ ఓవెన్స్ ఆగస్టులో కర్టిస్-రేనాల్డ్స్ విమానాశ్రయంలో ప్రపంచంలోని ఓర్పు రికార్డులో ఐదు ప్రయత్నాలు చేశాడు, 1934 చికాగో వరల్డ్ ఫెయిర్ ఇన్ కర్టిస్ థ్రష్ j nr581n 8 డిసెంబర్ నుండి 30 నవంబర్ 1934 వరకు ఓక్లహోమా సిటీపై కానీ మాజీ పెరియెన్స్డ్ ఇంజిన్ సమస్యలు మరియు 198 గంటల 13 నిమిషాల తర్వాత బలవంతం చేయబడ్డాయి. [15] రెండు ఉదాహరణలు అలాస్కాకు వెళ్ళాయి, అక్కడ వాటిని బుష్ విమానాలుగా ఉపయోగించారు, ఒకటి రాల్ఫ్ రుచికరమైనది, అతను స్టార్ ఎయిర్ సర్వీసులో చేరడానికి ముందు, [16] అలాస్కాలో గోర్డాన్ మాకెంజీ చేత ఎగురవేయబడింది. మిగిలిన వాటిని అమెరికాలో వివిధ ఆపరేటర్లు ఎయిర్ టాక్సీలు మరియు ఫీడర్ విమానయాన సంస్థలుగా ఉపయోగించారు. .MW-PARSER- అవుట్పుట్ CITE.CITATION {FONT- శైలి: వారసత్వం; పదం-RRAP: బ్రేక్-వర్డ్} .MW-PARSER- అవుట్పుట్ .citation q {quots: "\" "" \ "" "" "" ' లాక్-ఫ్రీ A {నేపథ్యం: లీనియర్-గ్రేడియంట్ (పారదర్శక, పారదర్శక), URL ("// అప్‌లోడ్ } .mw-Parser- అవుట్పుట్ .ID-LOCK- పరిమితం చేయబడిన A, .MW- పార్సర్-అవుట్పుట్ .ID-LOCK- రిజిస్ట్రేషన్ A, .MW-PARSER- అవుట్పుట్ .cs1 -ట్పుట్ .సిటేషన్ .cs1- లాక్-రిజిస్ట్రేషన్ A {నేపథ్యం: లీనియర్-గ్రేడియంట్ (పారదర్శక, పారదర్శక), URL ("// అప్‌లోడ్ SVG ") కుడి 0.1EM సెంటర్/9 పిఎక్స్ నో-రిపీట్} .mw- పార్సర్-అవుట్పుట్ .ఐడి-లాక్-సబ్‌స్క్రిప్షన్ a, .mw-Parser- అవుట్పుట్ .cs1- లాక్-సబ్‌స్క్రిప్షన్ A {నేపథ్యం: లీనియర్-గ్రేడియంట్ (పారదర్శక . . . పార్సర్-అవుట్పుట్ .సిఎస్ 1-హిడెన్-ఎర్రర్ {డిస్ప్లే: ఏదీ లేదు; రంగు:#D33} .MW-PARSER-OUTPUT .CS1-SISIBLE-ERROR {COLOR ఏదీ లేదు; EM} .MW-PARSER-OUTPUT .CS1- కెర్న్-రైట్ {పాడింగ్-రైట్: 0.2EM} .MW-PARSER- అవుట్పుట్ .citation .mw-selllink {font-weight: werice} guptner, Joseph P. (1966). యుఎస్ సివిల్ ఎయిర్క్రాఫ్ట్: వాల్యూమ్. 3 (ATC 201 - 300). ఫాల్‌బ్రూక్, సిఎ: ఏరో పబ్లిషర్స్. పేజీలు 177-178. ASIN B000VHTNB4</v>
      </c>
      <c r="E128" s="1" t="s">
        <v>2086</v>
      </c>
      <c r="F128" s="1" t="str">
        <f>IFERROR(__xludf.DUMMYFUNCTION("GOOGLETRANSLATE(E:E, ""en"", ""te"")"),"విమాన/యుటిలిటీ రవాణా")</f>
        <v>విమాన/యుటిలిటీ రవాణా</v>
      </c>
      <c r="I128" s="1" t="s">
        <v>2087</v>
      </c>
      <c r="J128" s="1" t="str">
        <f>IFERROR(__xludf.DUMMYFUNCTION("GOOGLETRANSLATE(I:I, ""en"", ""te"")"),"కర్టిస్ విమానం మరియు మోటారు సంస్థ")</f>
        <v>కర్టిస్ విమానం మరియు మోటారు సంస్థ</v>
      </c>
      <c r="K128" s="1" t="s">
        <v>2088</v>
      </c>
      <c r="L128" s="1" t="s">
        <v>2089</v>
      </c>
      <c r="N128" s="1" t="s">
        <v>2090</v>
      </c>
      <c r="O128" s="1" t="s">
        <v>2091</v>
      </c>
      <c r="P128" s="1" t="s">
        <v>2092</v>
      </c>
      <c r="Q128" s="1" t="s">
        <v>2093</v>
      </c>
      <c r="R128" s="1" t="s">
        <v>2094</v>
      </c>
      <c r="S128" s="1" t="s">
        <v>2095</v>
      </c>
      <c r="T128" s="1" t="s">
        <v>2096</v>
      </c>
      <c r="U128" s="1" t="s">
        <v>2097</v>
      </c>
      <c r="V128" s="1" t="s">
        <v>2098</v>
      </c>
      <c r="W128" s="1" t="s">
        <v>1721</v>
      </c>
      <c r="X128" s="1" t="s">
        <v>2099</v>
      </c>
      <c r="Y128" s="1" t="s">
        <v>2100</v>
      </c>
      <c r="Z128" s="1" t="s">
        <v>2101</v>
      </c>
      <c r="AA128" s="1" t="s">
        <v>2102</v>
      </c>
      <c r="AD128" s="1" t="s">
        <v>2103</v>
      </c>
      <c r="AE128" s="1" t="s">
        <v>2104</v>
      </c>
      <c r="AF128" s="1" t="s">
        <v>2105</v>
      </c>
      <c r="AG128" s="1" t="s">
        <v>2106</v>
      </c>
      <c r="AI128" s="1" t="s">
        <v>2107</v>
      </c>
      <c r="AJ128" s="1" t="s">
        <v>2108</v>
      </c>
      <c r="AK128" s="1" t="s">
        <v>2109</v>
      </c>
      <c r="AR128" s="1" t="s">
        <v>2110</v>
      </c>
      <c r="AT128" s="1" t="s">
        <v>2111</v>
      </c>
      <c r="CA128" s="1" t="s">
        <v>2112</v>
      </c>
      <c r="CD128" s="1" t="s">
        <v>1922</v>
      </c>
      <c r="CE128" s="1" t="s">
        <v>2113</v>
      </c>
      <c r="CF128" s="1" t="s">
        <v>2114</v>
      </c>
      <c r="CX128" s="1" t="s">
        <v>2115</v>
      </c>
      <c r="CY128" s="1" t="s">
        <v>2116</v>
      </c>
    </row>
    <row r="129">
      <c r="A129" s="1" t="s">
        <v>2117</v>
      </c>
      <c r="B129" s="1" t="str">
        <f>IFERROR(__xludf.DUMMYFUNCTION("GOOGLETRANSLATE(A:A, ""en"", ""te"")"),"చారిత్రక పి -40 సి తోమాహాక్")</f>
        <v>చారిత్రక పి -40 సి తోమాహాక్</v>
      </c>
      <c r="C129" s="1" t="s">
        <v>2118</v>
      </c>
      <c r="D129" s="1" t="str">
        <f>IFERROR(__xludf.DUMMYFUNCTION("GOOGLETRANSLATE(C:C, ""en"", ""te"")"),"చారిత్రక పి -40 సి తోమాహాక్ అనేది ఒక అమెరికన్ హోమ్‌బిల్ట్ విమానం, దీనిని కొలరాడోలోని న్యూక్లా యొక్క చారిత్రక విమాన కార్పొరేషన్ రూపొందించి ఉత్పత్తి చేసింది. ఈ విమానం అసలు కర్టిస్ పి -40 సి తోమాహాక్ యొక్క 62.5% స్కేల్ ప్రతిరూపం మరియు అది అందుబాటులో ఉన్నప్పు"&amp;"డు te త్సాహిక నిర్మాణానికి కిట్‌గా సరఫరా చేయబడింది. [1] ఈ విమానం ఒక కాంటిలివర్ లో-వింగ్, ఫ్రేమ్డ్ ఎయిర్క్రాఫ్ట్ పందిరి కింద సింగిల్-సీట్ల పరివేష్టిత కాక్‌పిట్, ముడుచుకునే సాంప్రదాయ ల్యాండింగ్ గేర్ మరియు ట్రాక్టర్ కాన్ఫిగరేషన్‌లో ఒకే ఇంజిన్ కలిగి ఉంది. [1]"&amp;" ఈ విమానం పాలియురేతేన్ నురుగు మరియు ఫైబర్‌గ్లాస్ షెల్ లో కప్పబడిన వెల్డెడ్ స్టీల్ గొట్టాల నుండి తయారవుతుంది. దాని 24.50 అడుగుల (7.5 మీ) స్పాన్ వింగ్, ఫ్లాప్‌లను మౌంట్ చేస్తుంది మరియు రెక్క ప్రాంతాన్ని 100.00 చదరపు అడుగులు (9.290 మీ 2) కలిగి ఉంటుంది. కాక్‌"&amp;"పిట్ వెడల్పు 21 లో (53 సెం.మీ). ఉపయోగించిన ప్రామాణిక ఇంజిన్ 230 హెచ్‌పి (172 కిలోవాట్) ఫోర్డ్ మోటార్ కంపెనీ వి -6 ఆటోమోటివ్ మార్పిడి పవర్‌ప్లాంట్. [1] ఈ విమానం సాధారణ ఖాళీ బరువు 1,347 పౌండ్లు (611 కిలోలు) మరియు స్థూల బరువు 1,938 పౌండ్లు (879 కిలోలు), ఇది "&amp;"591 పౌండ్లు (268 కిలోల) ఉపయోగకరమైన లోడ్ ఇస్తుంది. 42 యు.ఎస్. గ్యాలన్ల పూర్తి ఇంధనంతో (160 ఎల్; 35 ఇంప్ గల్) పైలట్ మరియు సామాను కోసం పేలోడ్ 339 ఎల్బి (154 కిలోలు). [1] ఈ విమానం ప్రామాణిక రోజు సముద్ర మట్టం టేకాఫ్ దూరం 1,200 అడుగులు (366 మీ) మరియు 1,500 అడుగ"&amp;"ుల (457 మీ) ల్యాండింగ్ దూరం. [1] కిట్‌లో ముందుగా నిర్మించిన సమావేశాలు, ఇంజిన్ మరియు స్కేల్ ఫిక్స్‌డ్ ఫిక్స్‌డ్ పిచ్ ప్రొపెల్లర్, ఇన్స్ట్రుమెంట్స్, ఏవియానిక్స్ మరియు పెయింట్ ఉన్నాయి. తయారీదారు నిర్మాణ సమయాన్ని సరఫరా చేసిన కిట్ నుండి 2000 గంటలుగా అంచనా వేశా"&amp;"రు. [1] ఏరోక్రాఫ్టర్ నుండి డేటా [1] సాధారణ లక్షణాల పనితీరు")</f>
        <v>చారిత్రక పి -40 సి తోమాహాక్ అనేది ఒక అమెరికన్ హోమ్‌బిల్ట్ విమానం, దీనిని కొలరాడోలోని న్యూక్లా యొక్క చారిత్రక విమాన కార్పొరేషన్ రూపొందించి ఉత్పత్తి చేసింది. ఈ విమానం అసలు కర్టిస్ పి -40 సి తోమాహాక్ యొక్క 62.5% స్కేల్ ప్రతిరూపం మరియు అది అందుబాటులో ఉన్నప్పుడు te త్సాహిక నిర్మాణానికి కిట్‌గా సరఫరా చేయబడింది. [1] ఈ విమానం ఒక కాంటిలివర్ లో-వింగ్, ఫ్రేమ్డ్ ఎయిర్క్రాఫ్ట్ పందిరి కింద సింగిల్-సీట్ల పరివేష్టిత కాక్‌పిట్, ముడుచుకునే సాంప్రదాయ ల్యాండింగ్ గేర్ మరియు ట్రాక్టర్ కాన్ఫిగరేషన్‌లో ఒకే ఇంజిన్ కలిగి ఉంది. [1] ఈ విమానం పాలియురేతేన్ నురుగు మరియు ఫైబర్‌గ్లాస్ షెల్ లో కప్పబడిన వెల్డెడ్ స్టీల్ గొట్టాల నుండి తయారవుతుంది. దాని 24.50 అడుగుల (7.5 మీ) స్పాన్ వింగ్, ఫ్లాప్‌లను మౌంట్ చేస్తుంది మరియు రెక్క ప్రాంతాన్ని 100.00 చదరపు అడుగులు (9.290 మీ 2) కలిగి ఉంటుంది. కాక్‌పిట్ వెడల్పు 21 లో (53 సెం.మీ). ఉపయోగించిన ప్రామాణిక ఇంజిన్ 230 హెచ్‌పి (172 కిలోవాట్) ఫోర్డ్ మోటార్ కంపెనీ వి -6 ఆటోమోటివ్ మార్పిడి పవర్‌ప్లాంట్. [1] ఈ విమానం సాధారణ ఖాళీ బరువు 1,347 పౌండ్లు (611 కిలోలు) మరియు స్థూల బరువు 1,938 పౌండ్లు (879 కిలోలు), ఇది 591 పౌండ్లు (268 కిలోల) ఉపయోగకరమైన లోడ్ ఇస్తుంది. 42 యు.ఎస్. గ్యాలన్ల పూర్తి ఇంధనంతో (160 ఎల్; 35 ఇంప్ గల్) పైలట్ మరియు సామాను కోసం పేలోడ్ 339 ఎల్బి (154 కిలోలు). [1] ఈ విమానం ప్రామాణిక రోజు సముద్ర మట్టం టేకాఫ్ దూరం 1,200 అడుగులు (366 మీ) మరియు 1,500 అడుగుల (457 మీ) ల్యాండింగ్ దూరం. [1] కిట్‌లో ముందుగా నిర్మించిన సమావేశాలు, ఇంజిన్ మరియు స్కేల్ ఫిక్స్‌డ్ ఫిక్స్‌డ్ పిచ్ ప్రొపెల్లర్, ఇన్స్ట్రుమెంట్స్, ఏవియానిక్స్ మరియు పెయింట్ ఉన్నాయి. తయారీదారు నిర్మాణ సమయాన్ని సరఫరా చేసిన కిట్ నుండి 2000 గంటలుగా అంచనా వేశారు. [1] ఏరోక్రాఫ్టర్ నుండి డేటా [1] సాధారణ లక్షణాల పనితీరు</v>
      </c>
      <c r="E129" s="1" t="s">
        <v>154</v>
      </c>
      <c r="F129" s="1" t="str">
        <f>IFERROR(__xludf.DUMMYFUNCTION("GOOGLETRANSLATE(E:E, ""en"", ""te"")"),"హోమ్‌బిల్ట్ విమానం")</f>
        <v>హోమ్‌బిల్ట్ విమానం</v>
      </c>
      <c r="G129" s="1" t="s">
        <v>155</v>
      </c>
      <c r="H129" s="1" t="str">
        <f>IFERROR(__xludf.DUMMYFUNCTION("GOOGLETRANSLATE(G:G, ""en"", ""te"")"),"అమెరికా")</f>
        <v>అమెరికా</v>
      </c>
      <c r="I129" s="1" t="s">
        <v>1476</v>
      </c>
      <c r="J129" s="1" t="str">
        <f>IFERROR(__xludf.DUMMYFUNCTION("GOOGLETRANSLATE(I:I, ""en"", ""te"")"),"హిస్టారికల్ ఎయిర్క్రాఫ్ట్ కార్పొరేషన్")</f>
        <v>హిస్టారికల్ ఎయిర్క్రాఫ్ట్ కార్పొరేషన్</v>
      </c>
      <c r="K129" s="1" t="s">
        <v>1477</v>
      </c>
      <c r="O129" s="1" t="s">
        <v>135</v>
      </c>
      <c r="P129" s="1" t="s">
        <v>2119</v>
      </c>
      <c r="Q129" s="1" t="s">
        <v>2120</v>
      </c>
      <c r="S129" s="1" t="s">
        <v>1731</v>
      </c>
      <c r="T129" s="1" t="s">
        <v>2121</v>
      </c>
      <c r="U129" s="1" t="s">
        <v>2122</v>
      </c>
      <c r="V129" s="1" t="s">
        <v>1734</v>
      </c>
      <c r="W129" s="1" t="s">
        <v>1517</v>
      </c>
      <c r="X129" s="1" t="s">
        <v>1736</v>
      </c>
      <c r="Y129" s="1" t="s">
        <v>2123</v>
      </c>
      <c r="Z129" s="1" t="s">
        <v>2124</v>
      </c>
      <c r="AB129" s="1" t="s">
        <v>166</v>
      </c>
      <c r="AC129" s="2" t="s">
        <v>167</v>
      </c>
      <c r="AD129" s="1" t="s">
        <v>581</v>
      </c>
      <c r="AE129" s="1" t="s">
        <v>2125</v>
      </c>
      <c r="AF129" s="1" t="s">
        <v>2126</v>
      </c>
      <c r="AG129" s="1" t="s">
        <v>2127</v>
      </c>
      <c r="AH129" s="1" t="s">
        <v>2128</v>
      </c>
      <c r="AI129" s="1" t="s">
        <v>2129</v>
      </c>
      <c r="BF129" s="1" t="s">
        <v>2130</v>
      </c>
      <c r="BG129" s="1" t="s">
        <v>2131</v>
      </c>
    </row>
    <row r="130">
      <c r="A130" s="1" t="s">
        <v>2132</v>
      </c>
      <c r="B130" s="1" t="str">
        <f>IFERROR(__xludf.DUMMYFUNCTION("GOOGLETRANSLATE(A:A, ""en"", ""te"")"),"లామ్సన్ ఎయిర్ ట్రాక్టర్")</f>
        <v>లామ్సన్ ఎయిర్ ట్రాక్టర్</v>
      </c>
      <c r="C130" s="1" t="s">
        <v>2133</v>
      </c>
      <c r="D130" s="1" t="str">
        <f>IFERROR(__xludf.DUMMYFUNCTION("GOOGLETRANSLATE(C:C, ""en"", ""te"")"),"లామ్సన్ ఎయిర్ ట్రాక్టర్ 1950 లలో అమెరికన్ సింగిల్-ఇంజిన్ బిప్‌లేన్ వ్యవసాయ విమానాలు. రెండు ఉదాహరణలు నిర్మించబడ్డాయి, డిసెంబర్ 1953 లో మొదటి ఎగురుతూ, కానీ ఈ రకం ఉత్పత్తిలోకి ప్రవేశించలేదు. 1953 లో సెంట్రల్ ఎయిర్క్రాఫ్ట్, వాషింగ్టన్లోని యాకిమాలో ఉన్న ఒక పంట"&amp;"-స్ప్రేయింగ్ సంస్థ, లామ్సన్ ఎయిర్క్రాఫ్ట్ కంపెనీ సహకారంతో వెళ్ళింది, దీని అధ్యక్షుడు మరియు డిజైనర్ రాబర్ట్ ఎల్. -లామ్సన్ కార్పొరేషన్, ఒక ప్రత్యేకమైన వ్యవసాయ విమానాలను రూపొందించడానికి మరియు నిర్మించడానికి, ఈ పాత్ర కోసం మొదటి ఉద్దేశ్యంతో నిర్మించిన విమానాలల"&amp;"ో ఒకటైన ఎయిర్ ట్రాక్టర్. [1] [2] [3] [A] మొదటి ప్రోటోటైప్ ఎయిర్ ట్రాక్టర్, రిజిస్ట్రేషన్ n- 31237, డిసెంబర్ 10, 1953 న తన తొలి విమాన ప్రయాణం చేసింది. [3] ఇది మిశ్రమ కలప మరియు లోహ నిర్మాణం యొక్క సింగిల్-ఇంజిన్, సింగిల్-సీట్ల బిప్‌లేన్, పైలట్‌కు మెరుగైన దృశ"&amp;"్యమానతను ఇవ్వడానికి, రెక్కల వెనుకంజలో ఉన్న అంచు యొక్క ఓపెన్ కాక్‌పిట్ వెనుక కూర్చున్న పైలట్‌కు మెరుగైన దృశ్యమానతను ఇస్తుంది. ఫ్యూజ్‌లేజ్ స్టీల్-ట్యూబ్ నిర్మాణానికి చెందినది, పైలట్ యొక్క కాక్‌పిట్ యొక్క నిర్మాణం వెనుకబడి, నిర్వహణ సౌలభ్యం కోసం బయటపడింది. రె"&amp;"క్కలు ఫాబ్రిక్ కప్పబడిన కలప నిర్మాణంతో ఉన్నాయి, నాలుగు ప్రధాన వింగ్ ప్యానెల్లు మార్చుకోగలిగినవి మరియు ఎగువ వింగ్ మూలాలలో ఇంధన ట్యాంకులతో వ్యవస్థాపించబడ్డాయి. రసాయనాల యొక్క ఎక్కువ లిఫ్ట్ మరియు మెరుగైన పంపిణీని ఇవ్వడానికి పెద్ద ఎండ్‌ప్లేట్‌లను వింగ్‌టిప్స్‌"&amp;"కు అమర్చారు. ఈ విమానం స్థిర టెయిల్‌వీల్ అండర్ క్యారేజీతో అమర్చబడింది మరియు సింగిల్ ప్రాట్ &amp; విట్నీ కందిరీగ జూనియర్ రేడియల్ ఇంజిన్‌తో శక్తినిచ్చింది. [1] రెండవ ఎయిర్ ట్రాక్టర్, టు ప్రొడక్షన్ స్టాండర్డ్స్, డిసెంబర్ 18, 1954 న ప్రయాణించారు. [3] ఇది మొదటి ప్ర"&amp;"ోటోటైప్ నుండి అనేక తేడాలను కలిగి ఉంది, వెనుక ఫ్యూజ్‌లేజ్ పూర్తిగా పరివేష్టితమైంది మరియు ఇంధన ట్యాంకులు రెక్క మూలాల నుండి ఫ్యూజ్‌లేజ్ లోపలికి మారాయి, ఇంజిన్ కౌలింగ్ చేత జతచేయబడింది. [5] మరో నాలుగు ఎయిర్ ట్రాక్టర్లు నిర్మాణ పనులలో ఉన్నాయి, కాని ఈ ప్రాజెక్ట్"&amp;" 1955 లో ఆలస్యంగా ఆగిపోయింది. [6] అయినప్పటికీ ఈ డిజైన్‌ను గ్రుమ్మన్ కొనుగోలు చేశాడు మరియు తరువాత విజయవంతమైన గ్రుమ్మన్ ఎగ్-క్యాట్ గా అభివృద్ధి చేయబడ్డాడు. [7] ఎయిర్ ట్రాక్టర్ నుండి డేటా [1] సాధారణ లక్షణాల పనితీరు")</f>
        <v>లామ్సన్ ఎయిర్ ట్రాక్టర్ 1950 లలో అమెరికన్ సింగిల్-ఇంజిన్ బిప్‌లేన్ వ్యవసాయ విమానాలు. రెండు ఉదాహరణలు నిర్మించబడ్డాయి, డిసెంబర్ 1953 లో మొదటి ఎగురుతూ, కానీ ఈ రకం ఉత్పత్తిలోకి ప్రవేశించలేదు. 1953 లో సెంట్రల్ ఎయిర్క్రాఫ్ట్, వాషింగ్టన్లోని యాకిమాలో ఉన్న ఒక పంట-స్ప్రేయింగ్ సంస్థ, లామ్సన్ ఎయిర్క్రాఫ్ట్ కంపెనీ సహకారంతో వెళ్ళింది, దీని అధ్యక్షుడు మరియు డిజైనర్ రాబర్ట్ ఎల్. -లామ్సన్ కార్పొరేషన్, ఒక ప్రత్యేకమైన వ్యవసాయ విమానాలను రూపొందించడానికి మరియు నిర్మించడానికి, ఈ పాత్ర కోసం మొదటి ఉద్దేశ్యంతో నిర్మించిన విమానాలలో ఒకటైన ఎయిర్ ట్రాక్టర్. [1] [2] [3] [A] మొదటి ప్రోటోటైప్ ఎయిర్ ట్రాక్టర్, రిజిస్ట్రేషన్ n- 31237, డిసెంబర్ 10, 1953 న తన తొలి విమాన ప్రయాణం చేసింది. [3] ఇది మిశ్రమ కలప మరియు లోహ నిర్మాణం యొక్క సింగిల్-ఇంజిన్, సింగిల్-సీట్ల బిప్‌లేన్, పైలట్‌కు మెరుగైన దృశ్యమానతను ఇవ్వడానికి, రెక్కల వెనుకంజలో ఉన్న అంచు యొక్క ఓపెన్ కాక్‌పిట్ వెనుక కూర్చున్న పైలట్‌కు మెరుగైన దృశ్యమానతను ఇస్తుంది. ఫ్యూజ్‌లేజ్ స్టీల్-ట్యూబ్ నిర్మాణానికి చెందినది, పైలట్ యొక్క కాక్‌పిట్ యొక్క నిర్మాణం వెనుకబడి, నిర్వహణ సౌలభ్యం కోసం బయటపడింది. రెక్కలు ఫాబ్రిక్ కప్పబడిన కలప నిర్మాణంతో ఉన్నాయి, నాలుగు ప్రధాన వింగ్ ప్యానెల్లు మార్చుకోగలిగినవి మరియు ఎగువ వింగ్ మూలాలలో ఇంధన ట్యాంకులతో వ్యవస్థాపించబడ్డాయి. రసాయనాల యొక్క ఎక్కువ లిఫ్ట్ మరియు మెరుగైన పంపిణీని ఇవ్వడానికి పెద్ద ఎండ్‌ప్లేట్‌లను వింగ్‌టిప్స్‌కు అమర్చారు. ఈ విమానం స్థిర టెయిల్‌వీల్ అండర్ క్యారేజీతో అమర్చబడింది మరియు సింగిల్ ప్రాట్ &amp; విట్నీ కందిరీగ జూనియర్ రేడియల్ ఇంజిన్‌తో శక్తినిచ్చింది. [1] రెండవ ఎయిర్ ట్రాక్టర్, టు ప్రొడక్షన్ స్టాండర్డ్స్, డిసెంబర్ 18, 1954 న ప్రయాణించారు. [3] ఇది మొదటి ప్రోటోటైప్ నుండి అనేక తేడాలను కలిగి ఉంది, వెనుక ఫ్యూజ్‌లేజ్ పూర్తిగా పరివేష్టితమైంది మరియు ఇంధన ట్యాంకులు రెక్క మూలాల నుండి ఫ్యూజ్‌లేజ్ లోపలికి మారాయి, ఇంజిన్ కౌలింగ్ చేత జతచేయబడింది. [5] మరో నాలుగు ఎయిర్ ట్రాక్టర్లు నిర్మాణ పనులలో ఉన్నాయి, కాని ఈ ప్రాజెక్ట్ 1955 లో ఆలస్యంగా ఆగిపోయింది. [6] అయినప్పటికీ ఈ డిజైన్‌ను గ్రుమ్మన్ కొనుగోలు చేశాడు మరియు తరువాత విజయవంతమైన గ్రుమ్మన్ ఎగ్-క్యాట్ గా అభివృద్ధి చేయబడ్డాడు. [7] ఎయిర్ ట్రాక్టర్ నుండి డేటా [1] సాధారణ లక్షణాల పనితీరు</v>
      </c>
      <c r="E130" s="1" t="s">
        <v>2134</v>
      </c>
      <c r="F130" s="1" t="str">
        <f>IFERROR(__xludf.DUMMYFUNCTION("GOOGLETRANSLATE(E:E, ""en"", ""te"")"),"వ్యవసాయ విమానం")</f>
        <v>వ్యవసాయ విమానం</v>
      </c>
      <c r="G130" s="1" t="s">
        <v>155</v>
      </c>
      <c r="H130" s="1" t="str">
        <f>IFERROR(__xludf.DUMMYFUNCTION("GOOGLETRANSLATE(G:G, ""en"", ""te"")"),"అమెరికా")</f>
        <v>అమెరికా</v>
      </c>
      <c r="I130" s="1" t="s">
        <v>2135</v>
      </c>
      <c r="J130" s="1" t="str">
        <f>IFERROR(__xludf.DUMMYFUNCTION("GOOGLETRANSLATE(I:I, ""en"", ""te"")"),"సెంట్రల్-లామ్సన్ కార్పొరేషన్")</f>
        <v>సెంట్రల్-లామ్సన్ కార్పొరేషన్</v>
      </c>
      <c r="L130" s="1" t="s">
        <v>2136</v>
      </c>
      <c r="N130" s="5">
        <v>19703.0</v>
      </c>
      <c r="O130" s="1" t="s">
        <v>135</v>
      </c>
      <c r="P130" s="1" t="s">
        <v>2137</v>
      </c>
      <c r="Q130" s="1" t="s">
        <v>2138</v>
      </c>
      <c r="R130" s="1" t="s">
        <v>2139</v>
      </c>
      <c r="S130" s="1" t="s">
        <v>2140</v>
      </c>
      <c r="T130" s="1" t="s">
        <v>1941</v>
      </c>
      <c r="U130" s="1" t="s">
        <v>2141</v>
      </c>
      <c r="V130" s="1" t="s">
        <v>2142</v>
      </c>
      <c r="Z130" s="1" t="s">
        <v>2143</v>
      </c>
      <c r="AB130" s="1" t="s">
        <v>2144</v>
      </c>
      <c r="AC130" s="2" t="s">
        <v>167</v>
      </c>
      <c r="AE130" s="1" t="s">
        <v>2145</v>
      </c>
      <c r="AG130" s="1" t="s">
        <v>524</v>
      </c>
      <c r="AH130" s="1" t="s">
        <v>1417</v>
      </c>
      <c r="AJ130" s="1">
        <v>2.0</v>
      </c>
      <c r="AK130" s="1" t="s">
        <v>2146</v>
      </c>
      <c r="AT130" s="1" t="s">
        <v>2147</v>
      </c>
    </row>
    <row r="131">
      <c r="A131" s="1" t="s">
        <v>2148</v>
      </c>
      <c r="B131" s="1" t="str">
        <f>IFERROR(__xludf.DUMMYFUNCTION("GOOGLETRANSLATE(A:A, ""en"", ""te"")"),"లైట్ మినియేచర్ ఎయిర్క్రాఫ్ట్ LM-1")</f>
        <v>లైట్ మినియేచర్ ఎయిర్క్రాఫ్ట్ LM-1</v>
      </c>
      <c r="C131" s="1" t="s">
        <v>2149</v>
      </c>
      <c r="D131" s="1" t="str">
        <f>IFERROR(__xludf.DUMMYFUNCTION("GOOGLETRANSLATE(C:C, ""en"", ""te"")"),"లైట్ మినియేచర్ ఎయిర్క్రాఫ్ట్ LM-1, LM-2 మరియు LM-3 అమెరికన్ హై వింగ్, సాంప్రదాయిక ల్యాండింగ్ గేర్, స్ట్రట్-బ్రేస్డ్, సింగిల్ ఇంజిన్ అల్ట్రాలైట్ విమానాల కుటుంబం, ఇవి ప్రసిద్ధ సాధారణ విమానయాన విమానం యొక్క స్కేల్ పునరుత్పత్తి. ఈ నమూనాలు అన్నీ te త్సాహిక నిర్"&amp;"మాణం కోసం ఫ్లోరిడాలోని ఓకీచోబీ యొక్క తేలికపాటి సూక్ష్మ విమానాల ప్రణాళికలుగా అందుబాటులో ఉన్నాయి. [1] [2] [3] లైట్ మినియేచర్ ఎయిర్క్రాఫ్ట్ కంపెనీ వెబ్‌సైట్ డొమైన్ పేరు 25 మే 2010 తో ముగిసింది మరియు పునరుద్ధరించబడలేదు. [4] సంస్థ 2010 లో వ్యాపారం నుండి బయటపడి"&amp;"నట్లు కనిపిస్తోంది, కాని విక్స్ విమానం డిజైన్లకు వస్తు సామగ్రిని అందిస్తూనే ఉంది. [5] [6] ప్రారంభ అల్ట్రాలైట్ విజృంభణ సమయంలో 1980 ల మధ్యలో LM-1 కుటుంబం రూపొందించబడింది. చాలా మంది పైలట్లు ""ఫ్లయింగ్ లాన్‌చైర్"" ను పోలి ఉండే విలక్షణమైన ప్రారంభ అల్ట్రాలైట్‌ల"&amp;"ను కనుగొనలేదు, అవి స్టెరోడాక్టిల్ ఆరోహణ లేదా EIPPER క్విక్సిల్వర్ కాన్ఫిడెన్స్ వంటివి ప్రేరేపించాయి. LM లైన్ దాని 254 lb (115 kg) ఖాళీ బరువుతో సహా అదే ఫార్ పార్ట్ 103 నిబంధనలకు సరిపోయేలా ఉద్దేశించబడింది, అయితే సాంప్రదాయ తేలికపాటి విమానం లాగా కనిపించే మరియ"&amp;"ు ఎగురుతున్న ఒక విమానాన్ని అందిస్తుంది. యుఎస్ అల్ట్రాలైట్ రూల్స్ అనుమతి కంటే చాలా మంది కుటుంబ సభ్యులు భారీగా ఉన్నారు. [2] LM-1 కుటుంబంలో ఒక ప్రాథమిక విమాన రూపకల్పన ఉంటుంది, ఇది కలపలో లేదా ఐచ్ఛికంగా 4130 స్టీల్ ట్యూబ్‌లో ఇవ్వబడుతుంది, కౌలింగ్, కిటికీ మరియు"&amp;" తోక ఆకారాలలో చిన్న మార్పులు ఉన్నాయి, అవి ప్రసిద్ధ తేలికపాటి విమానాలను పోలి ఉంటాయి. ఈ ధారావాహికలో మొదటిది, LM-1 మొట్టమొదట 1985 లో ఎగురవేయబడింది. ఈ విమానం ప్రణాళికలుగా విక్రయించబడింది, భాగాలు లేదా పూర్తి వస్తు సామగ్రి నిర్మాణ సమయానికి కూడా అందుబాటులో ఉన్నా"&amp;"యి. [1] [2] [3] సిరీస్‌లోని అన్ని విమానాలు ఏడాది పొడవునా ఎగిరే, నిశ్శబ్ద నిర్వహణ లక్షణాలు మరియు 300 గంటల నిర్మాణ సమయాన్ని అనుమతించే పరివేష్టిత క్యాబిన్లను కలిగి ఉంటాయి. [2] కిట్‌ప్లాన్‌ల నుండి డేటా [1] సాధారణ లక్షణాలు పనితీరు ఏవియానిక్స్ పోల్చదగిన పాత్ర, "&amp;"కాన్ఫిగరేషన్ మరియు ERA యొక్క విమానం ఏదీ లేదు")</f>
        <v>లైట్ మినియేచర్ ఎయిర్క్రాఫ్ట్ LM-1, LM-2 మరియు LM-3 అమెరికన్ హై వింగ్, సాంప్రదాయిక ల్యాండింగ్ గేర్, స్ట్రట్-బ్రేస్డ్, సింగిల్ ఇంజిన్ అల్ట్రాలైట్ విమానాల కుటుంబం, ఇవి ప్రసిద్ధ సాధారణ విమానయాన విమానం యొక్క స్కేల్ పునరుత్పత్తి. ఈ నమూనాలు అన్నీ te త్సాహిక నిర్మాణం కోసం ఫ్లోరిడాలోని ఓకీచోబీ యొక్క తేలికపాటి సూక్ష్మ విమానాల ప్రణాళికలుగా అందుబాటులో ఉన్నాయి. [1] [2] [3] లైట్ మినియేచర్ ఎయిర్క్రాఫ్ట్ కంపెనీ వెబ్‌సైట్ డొమైన్ పేరు 25 మే 2010 తో ముగిసింది మరియు పునరుద్ధరించబడలేదు. [4] సంస్థ 2010 లో వ్యాపారం నుండి బయటపడినట్లు కనిపిస్తోంది, కాని విక్స్ విమానం డిజైన్లకు వస్తు సామగ్రిని అందిస్తూనే ఉంది. [5] [6] ప్రారంభ అల్ట్రాలైట్ విజృంభణ సమయంలో 1980 ల మధ్యలో LM-1 కుటుంబం రూపొందించబడింది. చాలా మంది పైలట్లు "ఫ్లయింగ్ లాన్‌చైర్" ను పోలి ఉండే విలక్షణమైన ప్రారంభ అల్ట్రాలైట్‌లను కనుగొనలేదు, అవి స్టెరోడాక్టిల్ ఆరోహణ లేదా EIPPER క్విక్సిల్వర్ కాన్ఫిడెన్స్ వంటివి ప్రేరేపించాయి. LM లైన్ దాని 254 lb (115 kg) ఖాళీ బరువుతో సహా అదే ఫార్ పార్ట్ 103 నిబంధనలకు సరిపోయేలా ఉద్దేశించబడింది, అయితే సాంప్రదాయ తేలికపాటి విమానం లాగా కనిపించే మరియు ఎగురుతున్న ఒక విమానాన్ని అందిస్తుంది. యుఎస్ అల్ట్రాలైట్ రూల్స్ అనుమతి కంటే చాలా మంది కుటుంబ సభ్యులు భారీగా ఉన్నారు. [2] LM-1 కుటుంబంలో ఒక ప్రాథమిక విమాన రూపకల్పన ఉంటుంది, ఇది కలపలో లేదా ఐచ్ఛికంగా 4130 స్టీల్ ట్యూబ్‌లో ఇవ్వబడుతుంది, కౌలింగ్, కిటికీ మరియు తోక ఆకారాలలో చిన్న మార్పులు ఉన్నాయి, అవి ప్రసిద్ధ తేలికపాటి విమానాలను పోలి ఉంటాయి. ఈ ధారావాహికలో మొదటిది, LM-1 మొట్టమొదట 1985 లో ఎగురవేయబడింది. ఈ విమానం ప్రణాళికలుగా విక్రయించబడింది, భాగాలు లేదా పూర్తి వస్తు సామగ్రి నిర్మాణ సమయానికి కూడా అందుబాటులో ఉన్నాయి. [1] [2] [3] సిరీస్‌లోని అన్ని విమానాలు ఏడాది పొడవునా ఎగిరే, నిశ్శబ్ద నిర్వహణ లక్షణాలు మరియు 300 గంటల నిర్మాణ సమయాన్ని అనుమతించే పరివేష్టిత క్యాబిన్లను కలిగి ఉంటాయి. [2] కిట్‌ప్లాన్‌ల నుండి డేటా [1] సాధారణ లక్షణాలు పనితీరు ఏవియానిక్స్ పోల్చదగిన పాత్ర, కాన్ఫిగరేషన్ మరియు ERA యొక్క విమానం ఏదీ లేదు</v>
      </c>
      <c r="E131" s="1" t="s">
        <v>383</v>
      </c>
      <c r="F131" s="1" t="str">
        <f>IFERROR(__xludf.DUMMYFUNCTION("GOOGLETRANSLATE(E:E, ""en"", ""te"")"),"అల్ట్రాలైట్ విమానం")</f>
        <v>అల్ట్రాలైట్ విమానం</v>
      </c>
      <c r="G131" s="1" t="s">
        <v>155</v>
      </c>
      <c r="H131" s="1" t="str">
        <f>IFERROR(__xludf.DUMMYFUNCTION("GOOGLETRANSLATE(G:G, ""en"", ""te"")"),"అమెరికా")</f>
        <v>అమెరికా</v>
      </c>
      <c r="I131" s="1" t="s">
        <v>2150</v>
      </c>
      <c r="J131" s="1" t="str">
        <f>IFERROR(__xludf.DUMMYFUNCTION("GOOGLETRANSLATE(I:I, ""en"", ""te"")"),"తేలికపాటి సూక్ష్మ విమానం")</f>
        <v>తేలికపాటి సూక్ష్మ విమానం</v>
      </c>
      <c r="K131" s="1" t="s">
        <v>2151</v>
      </c>
      <c r="N131" s="1">
        <v>1985.0</v>
      </c>
      <c r="O131" s="1" t="s">
        <v>135</v>
      </c>
      <c r="P131" s="1" t="s">
        <v>2152</v>
      </c>
      <c r="Q131" s="1" t="s">
        <v>626</v>
      </c>
      <c r="R131" s="1" t="s">
        <v>2153</v>
      </c>
      <c r="S131" s="1" t="s">
        <v>2154</v>
      </c>
      <c r="T131" s="1" t="s">
        <v>2155</v>
      </c>
      <c r="U131" s="1" t="s">
        <v>1761</v>
      </c>
      <c r="V131" s="1" t="s">
        <v>1611</v>
      </c>
      <c r="W131" s="1" t="s">
        <v>2047</v>
      </c>
      <c r="X131" s="1" t="s">
        <v>2156</v>
      </c>
      <c r="Z131" s="1" t="s">
        <v>2157</v>
      </c>
      <c r="AB131" s="1" t="s">
        <v>392</v>
      </c>
      <c r="AC131" s="2" t="s">
        <v>167</v>
      </c>
      <c r="AD131" s="1" t="s">
        <v>2158</v>
      </c>
      <c r="AE131" s="1" t="s">
        <v>2159</v>
      </c>
      <c r="AF131" s="1" t="s">
        <v>2160</v>
      </c>
      <c r="AG131" s="1" t="s">
        <v>1763</v>
      </c>
      <c r="AH131" s="1" t="s">
        <v>429</v>
      </c>
      <c r="AI131" s="1" t="s">
        <v>2161</v>
      </c>
      <c r="AR131" s="1" t="s">
        <v>253</v>
      </c>
      <c r="BN131" s="1">
        <v>1985.0</v>
      </c>
    </row>
    <row r="132">
      <c r="A132" s="1" t="s">
        <v>2162</v>
      </c>
      <c r="B132" s="1" t="str">
        <f>IFERROR(__xludf.DUMMYFUNCTION("GOOGLETRANSLATE(A:A, ""en"", ""te"")"),"మూనీ M22 ముస్తాంగ్")</f>
        <v>మూనీ M22 ముస్తాంగ్</v>
      </c>
      <c r="C132" s="1" t="s">
        <v>2163</v>
      </c>
      <c r="D132" s="1" t="str">
        <f>IFERROR(__xludf.DUMMYFUNCTION("GOOGLETRANSLATE(C:C, ""en"", ""te"")"),"మూనీ M22 ముస్తాంగ్ అమెరికా యొక్క మూనీ ఎయిర్క్రాఫ్ట్ కంపెనీ చేత ఒత్తిడి చేయబడిన సింగిల్ ఇంజిన్ విమానంలో మొదటి ప్రయత్నం. మూనీ యొక్క విజయవంతమైన మూనీ M20 హై-పెర్ఫార్మెన్స్ లైట్ విమానాలను భర్తీ చేయడానికి ముస్తాంగ్ టాప్-ఆఫ్-ది-లైన్ మోడల్‌గా అభివృద్ధి చేయబడింది."&amp;" ఇది ఐదు సీట్ల ఒత్తిడితో కూడిన సింగిల్-ఇంజిన్ విమానం, ఇది M20E సూపర్ 21 మరియు పొడవైన ఫిన్ మరియు లీడింగ్ ఎడ్జ్ ఫిల్లెట్ కంటే విస్తృత మరియు పొడవైన ఫ్యూజ్‌లేజ్. [1] ఇది తక్కువ రెక్కల మోనోప్లేన్, ఇది ముడుచుకునే నోస్‌వీల్ అండర్ క్యారేజీతో, మూనీ యొక్క మునుపటి M"&amp;"20 రేంజర్‌లో ఉపయోగించిన దానితో సమానమైన రెక్క ఉంటుంది. మొదటి నమూనా సెప్టెంబర్ 24, 1964 న ప్రయాణించింది, ఈ రకాన్ని సెప్టెంబర్ 26, 1966 న ధృవీకరించారు. [2] మొదటి డెలివరీలు 1965 లో ప్రారంభమయ్యాయి, 1970 వరకు కొనసాగాయి. లైన్ మూసివేయబడటానికి ముందే 36 విమానాలు పూ"&amp;"ర్తయ్యాయి. [3] ఇది ఉత్పత్తి మరియు నష్టానికి విక్రయించబడింది, ఇది మూనీ యొక్క దివాలా తీయడానికి దోహదపడింది. [4] ""మార్క్ 22"" పేరు గతంలో 1957 మూనీ M20 ప్రయోగాత్మక విమానాలకు ట్విన్ ఇంజన్లు, ముక్కు కోన్ మరియు విస్తరించిన తోక ఉపరితలంతో నిర్మించబడింది. ఆ విమానం "&amp;"ఉత్పత్తికి వెళ్ళలేదు. [5] మోడల్ 22, చాలా తక్కువ సంఖ్యలో ఉత్పత్తి చేయబడినప్పటికీ, అమెరికా మరియు ఆస్ట్రేలియాతో సహా పలు దేశాలలో ప్రైవేట్ మరియు వాణిజ్య యజమానులు నిర్వహిస్తున్నారు. దీని గారెట్ ఎయిర్‌సెర్చ్ క్యాబిన్ ప్రెజరైజేషన్ సిస్టమ్ విమానం యొక్క 24,000 అడుగ"&amp;"ుల (7,300 మీ) కార్యాచరణ పైకప్పు వద్ద 11,000 అడుగుల (3,400 మీ) కు సమానం ఇస్తుంది. [6] దాని అధిక పనితీరు యొక్క ప్రదర్శనగా, రెండవ ఉత్పత్తి విమానం జూన్ 1967 లో న్యూయార్క్ నుండి పారిస్ ఎయిర్ షోకి నాన్-స్టాప్ ఎగురవేయబడింది, ఈ ఫ్లైట్ 13 గంటలు 10 నిమిషాలు పడుతుంద"&amp;"ి. సాధించిన ఛాయాచిత్రంలో ప్రదర్శన బోర్డులో ఈ సాధన నమోదు చేయబడింది. ఈ విమానం ఫ్లైట్ కోసం అదనపు ఇంధన ట్యాంక్‌తో అమర్చబడింది. 2001 లో, 24 విమానాలు సేవలో ఉన్నాయి. [7] జేన్ యొక్క అన్ని ప్రపంచ విమానాల నుండి డేటా 1969-70 [8] సాధారణ లక్షణాల పనితీరు")</f>
        <v>మూనీ M22 ముస్తాంగ్ అమెరికా యొక్క మూనీ ఎయిర్క్రాఫ్ట్ కంపెనీ చేత ఒత్తిడి చేయబడిన సింగిల్ ఇంజిన్ విమానంలో మొదటి ప్రయత్నం. మూనీ యొక్క విజయవంతమైన మూనీ M20 హై-పెర్ఫార్మెన్స్ లైట్ విమానాలను భర్తీ చేయడానికి ముస్తాంగ్ టాప్-ఆఫ్-ది-లైన్ మోడల్‌గా అభివృద్ధి చేయబడింది. ఇది ఐదు సీట్ల ఒత్తిడితో కూడిన సింగిల్-ఇంజిన్ విమానం, ఇది M20E సూపర్ 21 మరియు పొడవైన ఫిన్ మరియు లీడింగ్ ఎడ్జ్ ఫిల్లెట్ కంటే విస్తృత మరియు పొడవైన ఫ్యూజ్‌లేజ్. [1] ఇది తక్కువ రెక్కల మోనోప్లేన్, ఇది ముడుచుకునే నోస్‌వీల్ అండర్ క్యారేజీతో, మూనీ యొక్క మునుపటి M20 రేంజర్‌లో ఉపయోగించిన దానితో సమానమైన రెక్క ఉంటుంది. మొదటి నమూనా సెప్టెంబర్ 24, 1964 న ప్రయాణించింది, ఈ రకాన్ని సెప్టెంబర్ 26, 1966 న ధృవీకరించారు. [2] మొదటి డెలివరీలు 1965 లో ప్రారంభమయ్యాయి, 1970 వరకు కొనసాగాయి. లైన్ మూసివేయబడటానికి ముందే 36 విమానాలు పూర్తయ్యాయి. [3] ఇది ఉత్పత్తి మరియు నష్టానికి విక్రయించబడింది, ఇది మూనీ యొక్క దివాలా తీయడానికి దోహదపడింది. [4] "మార్క్ 22" పేరు గతంలో 1957 మూనీ M20 ప్రయోగాత్మక విమానాలకు ట్విన్ ఇంజన్లు, ముక్కు కోన్ మరియు విస్తరించిన తోక ఉపరితలంతో నిర్మించబడింది. ఆ విమానం ఉత్పత్తికి వెళ్ళలేదు. [5] మోడల్ 22, చాలా తక్కువ సంఖ్యలో ఉత్పత్తి చేయబడినప్పటికీ, అమెరికా మరియు ఆస్ట్రేలియాతో సహా పలు దేశాలలో ప్రైవేట్ మరియు వాణిజ్య యజమానులు నిర్వహిస్తున్నారు. దీని గారెట్ ఎయిర్‌సెర్చ్ క్యాబిన్ ప్రెజరైజేషన్ సిస్టమ్ విమానం యొక్క 24,000 అడుగుల (7,300 మీ) కార్యాచరణ పైకప్పు వద్ద 11,000 అడుగుల (3,400 మీ) కు సమానం ఇస్తుంది. [6] దాని అధిక పనితీరు యొక్క ప్రదర్శనగా, రెండవ ఉత్పత్తి విమానం జూన్ 1967 లో న్యూయార్క్ నుండి పారిస్ ఎయిర్ షోకి నాన్-స్టాప్ ఎగురవేయబడింది, ఈ ఫ్లైట్ 13 గంటలు 10 నిమిషాలు పడుతుంది. సాధించిన ఛాయాచిత్రంలో ప్రదర్శన బోర్డులో ఈ సాధన నమోదు చేయబడింది. ఈ విమానం ఫ్లైట్ కోసం అదనపు ఇంధన ట్యాంక్‌తో అమర్చబడింది. 2001 లో, 24 విమానాలు సేవలో ఉన్నాయి. [7] జేన్ యొక్క అన్ని ప్రపంచ విమానాల నుండి డేటా 1969-70 [8] సాధారణ లక్షణాల పనితీరు</v>
      </c>
      <c r="E132" s="1" t="s">
        <v>551</v>
      </c>
      <c r="F132" s="1" t="str">
        <f>IFERROR(__xludf.DUMMYFUNCTION("GOOGLETRANSLATE(E:E, ""en"", ""te"")"),"తేలికపాటి విమానం")</f>
        <v>తేలికపాటి విమానం</v>
      </c>
      <c r="G132" s="1" t="s">
        <v>155</v>
      </c>
      <c r="H132" s="1" t="str">
        <f>IFERROR(__xludf.DUMMYFUNCTION("GOOGLETRANSLATE(G:G, ""en"", ""te"")"),"అమెరికా")</f>
        <v>అమెరికా</v>
      </c>
      <c r="I132" s="1" t="s">
        <v>2164</v>
      </c>
      <c r="J132" s="1" t="str">
        <f>IFERROR(__xludf.DUMMYFUNCTION("GOOGLETRANSLATE(I:I, ""en"", ""te"")"),"మూనీ ఎయిర్క్రాఫ్ట్ కంపెనీ")</f>
        <v>మూనీ ఎయిర్క్రాఫ్ట్ కంపెనీ</v>
      </c>
      <c r="K132" s="1" t="s">
        <v>2165</v>
      </c>
      <c r="N132" s="5">
        <v>23644.0</v>
      </c>
      <c r="O132" s="1">
        <v>1.0</v>
      </c>
      <c r="P132" s="1" t="s">
        <v>1194</v>
      </c>
      <c r="Q132" s="1" t="s">
        <v>1716</v>
      </c>
      <c r="R132" s="1" t="s">
        <v>2166</v>
      </c>
      <c r="S132" s="1" t="s">
        <v>2167</v>
      </c>
      <c r="T132" s="1" t="s">
        <v>2168</v>
      </c>
      <c r="V132" s="1" t="s">
        <v>2169</v>
      </c>
      <c r="W132" s="1" t="s">
        <v>2170</v>
      </c>
      <c r="X132" s="1" t="s">
        <v>2171</v>
      </c>
      <c r="Y132" s="1" t="s">
        <v>1793</v>
      </c>
      <c r="Z132" s="1" t="s">
        <v>2172</v>
      </c>
      <c r="AA132" s="1" t="s">
        <v>2173</v>
      </c>
      <c r="AC132" s="2" t="s">
        <v>167</v>
      </c>
      <c r="AE132" s="1" t="s">
        <v>2174</v>
      </c>
      <c r="AF132" s="1" t="s">
        <v>2175</v>
      </c>
      <c r="AG132" s="1" t="s">
        <v>2176</v>
      </c>
      <c r="AH132" s="1" t="s">
        <v>2177</v>
      </c>
      <c r="AJ132" s="1">
        <v>36.0</v>
      </c>
      <c r="AK132" s="1" t="s">
        <v>2178</v>
      </c>
      <c r="AS132" s="1">
        <v>7.338</v>
      </c>
      <c r="AT132" s="1" t="s">
        <v>2179</v>
      </c>
      <c r="AX132" s="1" t="s">
        <v>2180</v>
      </c>
      <c r="BF132" s="1" t="s">
        <v>2181</v>
      </c>
      <c r="BG132" s="1" t="s">
        <v>2182</v>
      </c>
      <c r="BH132" s="1" t="s">
        <v>2183</v>
      </c>
      <c r="CL132" s="1" t="s">
        <v>2184</v>
      </c>
      <c r="CM132" s="1" t="s">
        <v>2185</v>
      </c>
    </row>
    <row r="133">
      <c r="A133" s="1" t="s">
        <v>2186</v>
      </c>
      <c r="B133" s="1" t="str">
        <f>IFERROR(__xludf.DUMMYFUNCTION("GOOGLETRANSLATE(A:A, ""en"", ""te"")"),"నెస్మిత్ కౌగర్")</f>
        <v>నెస్మిత్ కౌగర్</v>
      </c>
      <c r="C133" s="1" t="s">
        <v>2187</v>
      </c>
      <c r="D133" s="1" t="str">
        <f>IFERROR(__xludf.DUMMYFUNCTION("GOOGLETRANSLATE(C:C, ""en"", ""te"")"),"నెస్మిత్ కౌగర్ ఒక తేలికపాటి విమానం, ఇది 1950 లలో అమెరికాలో అభివృద్ధి చేయబడింది మరియు హోమ్‌బిల్డింగ్ కోసం విక్రయించబడింది. [1] ఈ డిజైన్, రాబర్ట్ నెస్మిత్ చేత, సాంప్రదాయిక హై-వింగ్, స్ట్రట్-బ్రెస్డ్ మోనోప్లేన్, ఇది స్థిర టెయిల్‌వీల్ అండర్ క్యారేజీ. పైలట్ మర"&amp;"ియు ఒకే ప్రయాణీకుడు పక్కపక్కనే కూర్చున్నారు. ఫ్యూజ్‌లేజ్ మరియు ఎంపెనేజ్ వెల్డెడ్ స్టీల్-ట్యూబ్ నిర్మాణంలో ఉన్నాయి, రెక్కలు చెక్కతో ఉన్నాయి, మరియు మొత్తం విమానం ఫాబ్రిక్ కప్పబడి ఉంది. కొన్ని తరువాత విమానాలను ట్రైసైకిల్ అండర్ క్యారేజీతో అమర్చారు. అసలు కౌగర్"&amp;" డిజైన్‌ను నెస్మిత్ స్వయంగా విక్రయించాడు. హోమ్‌బిల్డర్ల కోసం తక్కువ ఖర్చుతో కూడిన విమానాన్ని మార్కెట్ చేయడమే అతని ఉద్దేశ్యం. టీనేజ్ యువకులను ఒక లక్ష్యం కోసం కలిసి పనిచేయడానికి ప్రోత్సహించడానికి అతను ఈ విమానాన్ని సమస్యాత్మక యువత ప్రాజెక్టుగా ఉపయోగించాడు. ["&amp;"2] సవరించిన కౌగర్ 1963 లో ప్రయోగాత్మక విమాన సంఘం (EAA) డిజైన్ పోటీని గెలుచుకున్నప్పుడు, ఆ సంస్థ అమ్మకపు ప్రణాళికలను చేపట్టింది. డిజైన్‌కు హక్కులను చివరికి అక్రో స్పోర్ట్ కొనుగోలు చేసింది. విమానం ఆకారం బీచ్‌క్రాఫ్ట్ స్టెగర్‌వింగ్ మరియు విట్మాన్ టెయిల్‌విండ"&amp;"్ ద్వారా ప్రభావితమైంది. ఈ పేరు కాలేజ్ ఆఫ్ నెస్మిత్ కుమార్తె, హ్యూస్టన్ విశ్వవిద్యాలయం నుండి వచ్చింది, దీని అథ్లెటిక్ మస్కట్ ఒక కౌగర్. [3] జేన్ యొక్క అన్ని ప్రపంచ విమానాల నుండి డేటా 1961-62 [7] పోల్చదగిన పాత్ర, కాన్ఫిగరేషన్ మరియు ERA యొక్క సాధారణ లక్షణాల ప"&amp;"నితీరు విమానం")</f>
        <v>నెస్మిత్ కౌగర్ ఒక తేలికపాటి విమానం, ఇది 1950 లలో అమెరికాలో అభివృద్ధి చేయబడింది మరియు హోమ్‌బిల్డింగ్ కోసం విక్రయించబడింది. [1] ఈ డిజైన్, రాబర్ట్ నెస్మిత్ చేత, సాంప్రదాయిక హై-వింగ్, స్ట్రట్-బ్రెస్డ్ మోనోప్లేన్, ఇది స్థిర టెయిల్‌వీల్ అండర్ క్యారేజీ. పైలట్ మరియు ఒకే ప్రయాణీకుడు పక్కపక్కనే కూర్చున్నారు. ఫ్యూజ్‌లేజ్ మరియు ఎంపెనేజ్ వెల్డెడ్ స్టీల్-ట్యూబ్ నిర్మాణంలో ఉన్నాయి, రెక్కలు చెక్కతో ఉన్నాయి, మరియు మొత్తం విమానం ఫాబ్రిక్ కప్పబడి ఉంది. కొన్ని తరువాత విమానాలను ట్రైసైకిల్ అండర్ క్యారేజీతో అమర్చారు. అసలు కౌగర్ డిజైన్‌ను నెస్మిత్ స్వయంగా విక్రయించాడు. హోమ్‌బిల్డర్ల కోసం తక్కువ ఖర్చుతో కూడిన విమానాన్ని మార్కెట్ చేయడమే అతని ఉద్దేశ్యం. టీనేజ్ యువకులను ఒక లక్ష్యం కోసం కలిసి పనిచేయడానికి ప్రోత్సహించడానికి అతను ఈ విమానాన్ని సమస్యాత్మక యువత ప్రాజెక్టుగా ఉపయోగించాడు. [2] సవరించిన కౌగర్ 1963 లో ప్రయోగాత్మక విమాన సంఘం (EAA) డిజైన్ పోటీని గెలుచుకున్నప్పుడు, ఆ సంస్థ అమ్మకపు ప్రణాళికలను చేపట్టింది. డిజైన్‌కు హక్కులను చివరికి అక్రో స్పోర్ట్ కొనుగోలు చేసింది. విమానం ఆకారం బీచ్‌క్రాఫ్ట్ స్టెగర్‌వింగ్ మరియు విట్మాన్ టెయిల్‌విండ్ ద్వారా ప్రభావితమైంది. ఈ పేరు కాలేజ్ ఆఫ్ నెస్మిత్ కుమార్తె, హ్యూస్టన్ విశ్వవిద్యాలయం నుండి వచ్చింది, దీని అథ్లెటిక్ మస్కట్ ఒక కౌగర్. [3] జేన్ యొక్క అన్ని ప్రపంచ విమానాల నుండి డేటా 1961-62 [7] పోల్చదగిన పాత్ర, కాన్ఫిగరేషన్ మరియు ERA యొక్క సాధారణ లక్షణాల పనితీరు విమానం</v>
      </c>
      <c r="E133" s="1" t="s">
        <v>306</v>
      </c>
      <c r="F133" s="1" t="str">
        <f>IFERROR(__xludf.DUMMYFUNCTION("GOOGLETRANSLATE(E:E, ""en"", ""te"")"),"వినోద విమానం")</f>
        <v>వినోద విమానం</v>
      </c>
      <c r="I133" s="1" t="s">
        <v>114</v>
      </c>
      <c r="J133" s="1" t="str">
        <f>IFERROR(__xludf.DUMMYFUNCTION("GOOGLETRANSLATE(I:I, ""en"", ""te"")"),"హోమ్‌బిల్ట్")</f>
        <v>హోమ్‌బిల్ట్</v>
      </c>
      <c r="K133" s="2" t="s">
        <v>115</v>
      </c>
      <c r="L133" s="1" t="s">
        <v>2188</v>
      </c>
      <c r="M133" s="1" t="s">
        <v>2189</v>
      </c>
      <c r="N133" s="1">
        <v>1957.0</v>
      </c>
      <c r="O133" s="1">
        <v>1.0</v>
      </c>
      <c r="P133" s="1" t="s">
        <v>2190</v>
      </c>
      <c r="Q133" s="1" t="s">
        <v>2191</v>
      </c>
      <c r="R133" s="1" t="s">
        <v>1607</v>
      </c>
      <c r="S133" s="1" t="s">
        <v>2192</v>
      </c>
      <c r="T133" s="1" t="s">
        <v>2193</v>
      </c>
      <c r="U133" s="1" t="s">
        <v>369</v>
      </c>
      <c r="V133" s="1" t="s">
        <v>2194</v>
      </c>
      <c r="W133" s="1" t="s">
        <v>2195</v>
      </c>
      <c r="X133" s="1" t="s">
        <v>2196</v>
      </c>
      <c r="Y133" s="1" t="s">
        <v>2197</v>
      </c>
      <c r="Z133" s="1" t="s">
        <v>2198</v>
      </c>
      <c r="AA133" s="1" t="s">
        <v>2199</v>
      </c>
      <c r="AE133" s="1" t="s">
        <v>2200</v>
      </c>
      <c r="AG133" s="1" t="s">
        <v>2201</v>
      </c>
      <c r="AH133" s="1" t="s">
        <v>2018</v>
      </c>
      <c r="AK133" s="1" t="s">
        <v>476</v>
      </c>
      <c r="AR133" s="1" t="s">
        <v>253</v>
      </c>
      <c r="AS133" s="1">
        <v>5.16</v>
      </c>
      <c r="AT133" s="1" t="s">
        <v>2202</v>
      </c>
      <c r="BI133" s="2" t="s">
        <v>2203</v>
      </c>
      <c r="BJ133" s="1" t="s">
        <v>2204</v>
      </c>
      <c r="BN133" s="1">
        <v>1957.0</v>
      </c>
      <c r="CZ133" s="1" t="s">
        <v>2205</v>
      </c>
      <c r="DA133" s="1" t="s">
        <v>2206</v>
      </c>
    </row>
    <row r="134">
      <c r="A134" s="1" t="s">
        <v>2207</v>
      </c>
      <c r="B134" s="1" t="str">
        <f>IFERROR(__xludf.DUMMYFUNCTION("GOOGLETRANSLATE(A:A, ""en"", ""te"")"),"STOLP SA-900 V- స్టార్")</f>
        <v>STOLP SA-900 V- స్టార్</v>
      </c>
      <c r="C134" s="1" t="s">
        <v>2208</v>
      </c>
      <c r="D134" s="1" t="str">
        <f>IFERROR(__xludf.DUMMYFUNCTION("GOOGLETRANSLATE(C:C, ""en"", ""te"")"),"STOLP SA-900 V-STAR అనేది ఒక అమెరికన్ ఏరోబాటిక్ హోమ్‌బిల్ట్ బైప్‌లేన్, ప్రస్తుతం ఇది ఎయిర్‌క్రాఫ్ట్ స్ప్రూస్ &amp; స్పెషాలిటీ కో చేత ఉత్పత్తి చేయబడుతోంది, ఇది te త్సాహిక నిర్మాణం కోసం ప్రణాళికల రూపంలో. 1990 లలో ఇది కాలిఫోర్నియాలోని రివర్‌సైడ్ యొక్క STOLP స్టా"&amp;"ర్డస్టర్ కార్పొరేషన్ నుండి కిట్‌గా కూడా అందుబాటులో ఉంది. [1] V- స్టార్ తక్కువ-ధర, ఆర్థికంగా మరియు ఫ్లై-ఫ్లై డిజైన్‌గా రూపొందించబడింది, లైట్ వింగ్ లోడింగ్ మరియు చిన్న రన్‌వే అవసరాలతో. ఇది స్ట్రట్-బ్రేస్డ్ బిప్‌లేన్ లేఅవుట్‌ను కలిగి ఉంది, క్యాబనే స్ట్రట్స్,"&amp;" ఇంటర్‌ప్లేన్ స్ట్రట్స్ మరియు ఫ్లయింగ్ వైర్లు, సింగిల్-సీట్ల ఓపెన్ కాక్‌పిట్, వీల్ ప్యాంటుతో స్థిర సాంప్రదాయ ల్యాండింగ్ గేర్ మరియు ట్రాక్టర్ కాన్ఫిగరేషన్‌లో ఒకే ఇంజిన్ ఉన్నాయి. [1] విమానం ఫ్యూజ్‌లేజ్ వెల్డెడ్ 4130 స్టీల్ గొట్టాల నుండి తయారవుతుంది. దాని 23"&amp;".00 అడుగుల (7.0 మీ) స్పాన్ రెక్కలు స్ప్రూస్ మరియు ప్లైవుడ్ నుండి తయారవుతాయి, మొత్తం విమానం డోప్డ్ ఎయిర్క్రాఫ్ట్ ఫాబ్రిక్‌తో కప్పబడి ఉంటుంది. రెక్కలు క్లార్క్ YH ఎయిర్‌ఫాయిల్‌ను ఉపయోగిస్తాయి మరియు మొత్తం 141.0 చదరపు అడుగులు (13.10 మీ 2) కలిగి ఉంటాయి. ఉపయోగ"&amp;"ించిన ఇంజిన్ 65 HP (48 kW) కాంటినెంటల్ A65 లేదా ఇతర సారూప్య పవర్‌ప్లాంట్లు. [1] [2] V- స్టార్‌లో సాధారణ ఖాళీ బరువు 700 lb (320 kg) మరియు స్థూల బరువు 1,000 lb (450 kg), 300 lb (140 kg) ఉపయోగకరమైన లోడ్‌ను ఇస్తుంది. 15 యు.ఎస్. గ్యాలన్ల పూర్తి ఇంధనంతో (57 ఎల్"&amp;"; 12 ఇంప్ గల్) పైలట్ మరియు సామాను కోసం పేలోడ్ 210 ఎల్బి (95 కిలోలు). [1] ప్రామాణిక రోజు, సముద్ర మట్టం, గాలి, 65 హెచ్‌పి (48 కిలోవాట్) ఇంజిన్‌తో టేకాఫ్ 400 అడుగులు (122 మీ) మరియు ల్యాండింగ్ రోల్ 600 అడుగులు (183 మీ). [1] 1990 లలో 1800 గంటలుగా లభించే కిట్ న"&amp;"ుండి నిర్మాణ సమయాన్ని డిజైనర్ అంచనా వేస్తాడు. [1] 1998 నాటికి 65 విమానాలు పూర్తయ్యాయి మరియు ఎగురుతున్నాయని కంపెనీ నివేదించింది. [1] మార్చి 2014 లో, ఫెడరల్ ఏవియేషన్ అడ్మినిస్ట్రేషన్తో 13 ఉదాహరణలు అమెరికాలో నమోదు చేయబడ్డాయి, అయినప్పటికీ మొత్తం 24 ఒకేసారి నమ"&amp;"ోదు చేయబడ్డాయి. కెనడాలో మార్చి 2014 లో ట్రాన్స్పోర్ట్ కెనడాలో రెండు నమోదు చేయబడ్డాయి మరియు యునైటెడ్ కింగ్‌డమ్‌లో మరో రెండు CAA లో నమోదు చేయబడ్డాయి. [3] [4] [5] ఏరోక్రాఫ్టర్ నుండి డేటా మరియు అసంపూర్ణ గైడ్ టు ఎయిర్‌ఫాయిల్ వాడకం [1] [2] సాధారణ లక్షణాల పనితీర"&amp;"ు")</f>
        <v>STOLP SA-900 V-STAR అనేది ఒక అమెరికన్ ఏరోబాటిక్ హోమ్‌బిల్ట్ బైప్‌లేన్, ప్రస్తుతం ఇది ఎయిర్‌క్రాఫ్ట్ స్ప్రూస్ &amp; స్పెషాలిటీ కో చేత ఉత్పత్తి చేయబడుతోంది, ఇది te త్సాహిక నిర్మాణం కోసం ప్రణాళికల రూపంలో. 1990 లలో ఇది కాలిఫోర్నియాలోని రివర్‌సైడ్ యొక్క STOLP స్టార్డస్టర్ కార్పొరేషన్ నుండి కిట్‌గా కూడా అందుబాటులో ఉంది. [1] V- స్టార్ తక్కువ-ధర, ఆర్థికంగా మరియు ఫ్లై-ఫ్లై డిజైన్‌గా రూపొందించబడింది, లైట్ వింగ్ లోడింగ్ మరియు చిన్న రన్‌వే అవసరాలతో. ఇది స్ట్రట్-బ్రేస్డ్ బిప్‌లేన్ లేఅవుట్‌ను కలిగి ఉంది, క్యాబనే స్ట్రట్స్, ఇంటర్‌ప్లేన్ స్ట్రట్స్ మరియు ఫ్లయింగ్ వైర్లు, సింగిల్-సీట్ల ఓపెన్ కాక్‌పిట్, వీల్ ప్యాంటుతో స్థిర సాంప్రదాయ ల్యాండింగ్ గేర్ మరియు ట్రాక్టర్ కాన్ఫిగరేషన్‌లో ఒకే ఇంజిన్ ఉన్నాయి. [1] విమానం ఫ్యూజ్‌లేజ్ వెల్డెడ్ 4130 స్టీల్ గొట్టాల నుండి తయారవుతుంది. దాని 23.00 అడుగుల (7.0 మీ) స్పాన్ రెక్కలు స్ప్రూస్ మరియు ప్లైవుడ్ నుండి తయారవుతాయి, మొత్తం విమానం డోప్డ్ ఎయిర్క్రాఫ్ట్ ఫాబ్రిక్‌తో కప్పబడి ఉంటుంది. రెక్కలు క్లార్క్ YH ఎయిర్‌ఫాయిల్‌ను ఉపయోగిస్తాయి మరియు మొత్తం 141.0 చదరపు అడుగులు (13.10 మీ 2) కలిగి ఉంటాయి. ఉపయోగించిన ఇంజిన్ 65 HP (48 kW) కాంటినెంటల్ A65 లేదా ఇతర సారూప్య పవర్‌ప్లాంట్లు. [1] [2] V- స్టార్‌లో సాధారణ ఖాళీ బరువు 700 lb (320 kg) మరియు స్థూల బరువు 1,000 lb (450 kg), 300 lb (140 kg) ఉపయోగకరమైన లోడ్‌ను ఇస్తుంది. 15 యు.ఎస్. గ్యాలన్ల పూర్తి ఇంధనంతో (57 ఎల్; 12 ఇంప్ గల్) పైలట్ మరియు సామాను కోసం పేలోడ్ 210 ఎల్బి (95 కిలోలు). [1] ప్రామాణిక రోజు, సముద్ర మట్టం, గాలి, 65 హెచ్‌పి (48 కిలోవాట్) ఇంజిన్‌తో టేకాఫ్ 400 అడుగులు (122 మీ) మరియు ల్యాండింగ్ రోల్ 600 అడుగులు (183 మీ). [1] 1990 లలో 1800 గంటలుగా లభించే కిట్ నుండి నిర్మాణ సమయాన్ని డిజైనర్ అంచనా వేస్తాడు. [1] 1998 నాటికి 65 విమానాలు పూర్తయ్యాయి మరియు ఎగురుతున్నాయని కంపెనీ నివేదించింది. [1] మార్చి 2014 లో, ఫెడరల్ ఏవియేషన్ అడ్మినిస్ట్రేషన్తో 13 ఉదాహరణలు అమెరికాలో నమోదు చేయబడ్డాయి, అయినప్పటికీ మొత్తం 24 ఒకేసారి నమోదు చేయబడ్డాయి. కెనడాలో మార్చి 2014 లో ట్రాన్స్పోర్ట్ కెనడాలో రెండు నమోదు చేయబడ్డాయి మరియు యునైటెడ్ కింగ్‌డమ్‌లో మరో రెండు CAA లో నమోదు చేయబడ్డాయి. [3] [4] [5] ఏరోక్రాఫ్టర్ నుండి డేటా మరియు అసంపూర్ణ గైడ్ టు ఎయిర్‌ఫాయిల్ వాడకం [1] [2] సాధారణ లక్షణాల పనితీరు</v>
      </c>
      <c r="E134" s="1" t="s">
        <v>154</v>
      </c>
      <c r="F134" s="1" t="str">
        <f>IFERROR(__xludf.DUMMYFUNCTION("GOOGLETRANSLATE(E:E, ""en"", ""te"")"),"హోమ్‌బిల్ట్ విమానం")</f>
        <v>హోమ్‌బిల్ట్ విమానం</v>
      </c>
      <c r="G134" s="1" t="s">
        <v>155</v>
      </c>
      <c r="H134" s="1" t="str">
        <f>IFERROR(__xludf.DUMMYFUNCTION("GOOGLETRANSLATE(G:G, ""en"", ""te"")"),"అమెరికా")</f>
        <v>అమెరికా</v>
      </c>
      <c r="I134" s="1" t="s">
        <v>2209</v>
      </c>
      <c r="J134" s="1" t="str">
        <f>IFERROR(__xludf.DUMMYFUNCTION("GOOGLETRANSLATE(I:I, ""en"", ""te"")"),"STOLP స్టార్డస్టర్ కార్పొరేషన్ ఎయిర్‌క్రాఫ్ట్ స్ప్రూస్ &amp; స్పెషాలిటీ కో")</f>
        <v>STOLP స్టార్డస్టర్ కార్పొరేషన్ ఎయిర్‌క్రాఫ్ట్ స్ప్రూస్ &amp; స్పెషాలిటీ కో</v>
      </c>
      <c r="K134" s="1" t="s">
        <v>2210</v>
      </c>
      <c r="O134" s="1" t="s">
        <v>135</v>
      </c>
      <c r="P134" s="1" t="s">
        <v>1807</v>
      </c>
      <c r="Q134" s="1" t="s">
        <v>1545</v>
      </c>
      <c r="S134" s="1" t="s">
        <v>2211</v>
      </c>
      <c r="T134" s="1" t="s">
        <v>1718</v>
      </c>
      <c r="U134" s="1" t="s">
        <v>628</v>
      </c>
      <c r="V134" s="1" t="s">
        <v>1720</v>
      </c>
      <c r="W134" s="1" t="s">
        <v>1452</v>
      </c>
      <c r="X134" s="1" t="s">
        <v>2212</v>
      </c>
      <c r="Z134" s="1" t="s">
        <v>1450</v>
      </c>
      <c r="AA134" s="1" t="s">
        <v>2213</v>
      </c>
      <c r="AB134" s="1" t="s">
        <v>166</v>
      </c>
      <c r="AC134" s="2" t="s">
        <v>167</v>
      </c>
      <c r="AD134" s="1" t="s">
        <v>2214</v>
      </c>
      <c r="AE134" s="1" t="s">
        <v>2215</v>
      </c>
      <c r="AF134" s="1" t="s">
        <v>1204</v>
      </c>
      <c r="AG134" s="1" t="s">
        <v>2047</v>
      </c>
      <c r="AH134" s="1" t="s">
        <v>1417</v>
      </c>
      <c r="AI134" s="1" t="s">
        <v>2216</v>
      </c>
      <c r="AJ134" s="1" t="s">
        <v>2217</v>
      </c>
      <c r="AT134" s="1" t="s">
        <v>2218</v>
      </c>
      <c r="BA134" s="1" t="s">
        <v>2219</v>
      </c>
    </row>
    <row r="135">
      <c r="A135" s="1" t="s">
        <v>2220</v>
      </c>
      <c r="B135" s="1" t="str">
        <f>IFERROR(__xludf.DUMMYFUNCTION("GOOGLETRANSLATE(A:A, ""en"", ""te"")"),"థిస్ స్పీడ్‌స్టర్")</f>
        <v>థిస్ స్పీడ్‌స్టర్</v>
      </c>
      <c r="C135" s="1" t="s">
        <v>2221</v>
      </c>
      <c r="D135" s="1" t="str">
        <f>IFERROR(__xludf.DUMMYFUNCTION("GOOGLETRANSLATE(C:C, ""en"", ""te"")"),"థైస్ స్పీడ్‌స్టర్ అనేది ఒక అమెరికన్ హోమ్‌బిల్ట్ అల్ట్రాలైట్ బైప్‌లేన్, దీనిని ఒహియోలోని సేలం యొక్క ఏవియేషన్ ద్వారా రూపొందించి ఉత్పత్తి చేసింది. ఇది అందుబాటులో ఉన్నప్పుడు ఈ విమానం te త్సాహిక నిర్మాణానికి శీఘ్ర-నిర్మాణ కిట్‌గా సరఫరా చేయబడింది. [1] స్పీడ్‌స్"&amp;"టర్ 1920 ల యుగం క్రీడా విమానాన్ని పోలి ఉంటుంది. [1] వర్గం యొక్క గరిష్ట ఖాళీ బరువు 254 పౌండ్లు (115 కిలోలు) తో సహా యుఎస్ ఫార్ 103 అల్ట్రాలైట్ వెహికల్స్ నిబంధనలకు అనుగుణంగా ఈ విమానం రూపొందించబడింది. స్పీడ్‌స్టర్ ఇంటర్‌ప్లేన్ స్ట్రట్‌లతో స్ట్రట్-బ్రేస్డ్ బిప"&amp;"్‌లేన్ లేఅవుట్, సింగిల్-సీట్ల ఓపెన్ కాక్‌పిట్, వీల్ ప్యాంటుతో స్థిర సాంప్రదాయ ల్యాండింగ్ గేర్ మరియు ట్రాక్టర్ కాన్ఫిగరేషన్‌లో ఒకే ఇంజిన్ కలిగి ఉంది. టాప్ వింగ్ మరింత సాధారణమైన అమరికకు బదులుగా ఫ్యూజ్‌లేజ్ పైన అమర్చబడి ఉంటుంది. ఈ విమానం అల్యూమినియం, కలప, ఉక"&amp;"్కు మరియు నురుగుల కలయికతో తయారు చేయబడింది. దీని 17.50 అడుగుల (5.3 మీ) స్పాన్ వింగ్ మొత్తం వింగ్ వైశాల్యాన్ని 77.50 చదరపు అడుగులు (7.200 మీ 2) కలిగి ఉంది. క్యాబిన్ వెడల్పు 20 (51 సెం.మీ). ఆమోదయోగ్యమైన శక్తి శ్రేణి 38 నుండి 55 హెచ్‌పి (28 నుండి 41 కిలోవాట్)"&amp;" మరియు ఉపయోగించిన ప్రామాణిక ఇంజిన్ రెండు స్ట్రోక్ 40 హెచ్‌పి (30 కిలోవాట్) కవాసాకి 440 స్నోమొబైల్ పవర్‌ప్లాంట్. [1] స్పీడ్‌స్టర్ 252 lb (114 kg) యొక్క విలక్షణమైన ఖాళీ బరువు మరియు స్థూల బరువు 460 lb (210 kg), ఇది 208 lb (94 kg) యొక్క ఉపయోగకరమైన లోడ్‌ను ఇస్"&amp;"తుంది. 5 యు.ఎస్. గ్యాలన్ల పూర్తి ఇంధనంతో (19 ఎల్; 4.2 ఇంప్ గల్) పైలట్ మరియు సామాను కోసం పేలోడ్ 178 ఎల్బి (81 కిలోలు). [1] ప్రామాణిక రోజు, సముద్ర మట్టం, విండ్ లేదు, టేకాఫ్ మరియు ల్యాండింగ్ రోల్ 40 హెచ్‌పి (30 కిలోవాట్) ఇంజిన్‌తో 200 అడుగులు (61 మీ). [1] తయ"&amp;"ారీదారు సరఫరా చేసిన కిట్ నుండి నిర్మాణ సమయాన్ని 400 గంటలుగా అంచనా వేస్తాడు. [1] స్పీడ్‌స్టర్‌ను ఉత్పత్తి చేసిన తరువాత, యుఎస్ నేవీ కోసం మానవరహిత వైమానిక వాహనాలను ఉత్పత్తి చేయడానికి కంపెనీ తన దృష్టిని మరల్చింది మరియు ఇకపై మనుషుల విమానాలను ఉత్పత్తి చేయదు. [2"&amp;"] 1998 నాటికి రెండు విమానాలు పూర్తయ్యాయని మరియు ఎగురుతున్నాయని కంపెనీ నివేదించింది. [1] ఏరోక్రాఫ్టర్ నుండి డేటా [1] సాధారణ లక్షణాల పనితీరు")</f>
        <v>థైస్ స్పీడ్‌స్టర్ అనేది ఒక అమెరికన్ హోమ్‌బిల్ట్ అల్ట్రాలైట్ బైప్‌లేన్, దీనిని ఒహియోలోని సేలం యొక్క ఏవియేషన్ ద్వారా రూపొందించి ఉత్పత్తి చేసింది. ఇది అందుబాటులో ఉన్నప్పుడు ఈ విమానం te త్సాహిక నిర్మాణానికి శీఘ్ర-నిర్మాణ కిట్‌గా సరఫరా చేయబడింది. [1] స్పీడ్‌స్టర్ 1920 ల యుగం క్రీడా విమానాన్ని పోలి ఉంటుంది. [1] వర్గం యొక్క గరిష్ట ఖాళీ బరువు 254 పౌండ్లు (115 కిలోలు) తో సహా యుఎస్ ఫార్ 103 అల్ట్రాలైట్ వెహికల్స్ నిబంధనలకు అనుగుణంగా ఈ విమానం రూపొందించబడింది. స్పీడ్‌స్టర్ ఇంటర్‌ప్లేన్ స్ట్రట్‌లతో స్ట్రట్-బ్రేస్డ్ బిప్‌లేన్ లేఅవుట్, సింగిల్-సీట్ల ఓపెన్ కాక్‌పిట్, వీల్ ప్యాంటుతో స్థిర సాంప్రదాయ ల్యాండింగ్ గేర్ మరియు ట్రాక్టర్ కాన్ఫిగరేషన్‌లో ఒకే ఇంజిన్ కలిగి ఉంది. టాప్ వింగ్ మరింత సాధారణమైన అమరికకు బదులుగా ఫ్యూజ్‌లేజ్ పైన అమర్చబడి ఉంటుంది. ఈ విమానం అల్యూమినియం, కలప, ఉక్కు మరియు నురుగుల కలయికతో తయారు చేయబడింది. దీని 17.50 అడుగుల (5.3 మీ) స్పాన్ వింగ్ మొత్తం వింగ్ వైశాల్యాన్ని 77.50 చదరపు అడుగులు (7.200 మీ 2) కలిగి ఉంది. క్యాబిన్ వెడల్పు 20 (51 సెం.మీ). ఆమోదయోగ్యమైన శక్తి శ్రేణి 38 నుండి 55 హెచ్‌పి (28 నుండి 41 కిలోవాట్) మరియు ఉపయోగించిన ప్రామాణిక ఇంజిన్ రెండు స్ట్రోక్ 40 హెచ్‌పి (30 కిలోవాట్) కవాసాకి 440 స్నోమొబైల్ పవర్‌ప్లాంట్. [1] స్పీడ్‌స్టర్ 252 lb (114 kg) యొక్క విలక్షణమైన ఖాళీ బరువు మరియు స్థూల బరువు 460 lb (210 kg), ఇది 208 lb (94 kg) యొక్క ఉపయోగకరమైన లోడ్‌ను ఇస్తుంది. 5 యు.ఎస్. గ్యాలన్ల పూర్తి ఇంధనంతో (19 ఎల్; 4.2 ఇంప్ గల్) పైలట్ మరియు సామాను కోసం పేలోడ్ 178 ఎల్బి (81 కిలోలు). [1] ప్రామాణిక రోజు, సముద్ర మట్టం, విండ్ లేదు, టేకాఫ్ మరియు ల్యాండింగ్ రోల్ 40 హెచ్‌పి (30 కిలోవాట్) ఇంజిన్‌తో 200 అడుగులు (61 మీ). [1] తయారీదారు సరఫరా చేసిన కిట్ నుండి నిర్మాణ సమయాన్ని 400 గంటలుగా అంచనా వేస్తాడు. [1] స్పీడ్‌స్టర్‌ను ఉత్పత్తి చేసిన తరువాత, యుఎస్ నేవీ కోసం మానవరహిత వైమానిక వాహనాలను ఉత్పత్తి చేయడానికి కంపెనీ తన దృష్టిని మరల్చింది మరియు ఇకపై మనుషుల విమానాలను ఉత్పత్తి చేయదు. [2] 1998 నాటికి రెండు విమానాలు పూర్తయ్యాయని మరియు ఎగురుతున్నాయని కంపెనీ నివేదించింది. [1] ఏరోక్రాఫ్టర్ నుండి డేటా [1] సాధారణ లక్షణాల పనితీరు</v>
      </c>
      <c r="E135" s="1" t="s">
        <v>383</v>
      </c>
      <c r="F135" s="1" t="str">
        <f>IFERROR(__xludf.DUMMYFUNCTION("GOOGLETRANSLATE(E:E, ""en"", ""te"")"),"అల్ట్రాలైట్ విమానం")</f>
        <v>అల్ట్రాలైట్ విమానం</v>
      </c>
      <c r="G135" s="1" t="s">
        <v>155</v>
      </c>
      <c r="H135" s="1" t="str">
        <f>IFERROR(__xludf.DUMMYFUNCTION("GOOGLETRANSLATE(G:G, ""en"", ""te"")"),"అమెరికా")</f>
        <v>అమెరికా</v>
      </c>
      <c r="I135" s="1" t="s">
        <v>2222</v>
      </c>
      <c r="J135" s="1" t="str">
        <f>IFERROR(__xludf.DUMMYFUNCTION("GOOGLETRANSLATE(I:I, ""en"", ""te"")"),"థిస్ ఏవియేషన్")</f>
        <v>థిస్ ఏవియేషన్</v>
      </c>
      <c r="K135" s="1" t="s">
        <v>2223</v>
      </c>
      <c r="O135" s="1" t="s">
        <v>135</v>
      </c>
      <c r="P135" s="1" t="s">
        <v>2224</v>
      </c>
      <c r="Q135" s="1" t="s">
        <v>2225</v>
      </c>
      <c r="S135" s="1" t="s">
        <v>2226</v>
      </c>
      <c r="T135" s="1" t="s">
        <v>2227</v>
      </c>
      <c r="U135" s="1" t="s">
        <v>511</v>
      </c>
      <c r="V135" s="1" t="s">
        <v>2228</v>
      </c>
      <c r="W135" s="1" t="s">
        <v>2047</v>
      </c>
      <c r="X135" s="1" t="s">
        <v>2229</v>
      </c>
      <c r="Z135" s="1" t="s">
        <v>826</v>
      </c>
      <c r="AB135" s="1" t="s">
        <v>392</v>
      </c>
      <c r="AC135" s="2" t="s">
        <v>167</v>
      </c>
      <c r="AD135" s="1" t="s">
        <v>581</v>
      </c>
      <c r="AE135" s="1" t="s">
        <v>1766</v>
      </c>
      <c r="AF135" s="1" t="s">
        <v>583</v>
      </c>
      <c r="AG135" s="1" t="s">
        <v>1524</v>
      </c>
      <c r="AH135" s="1" t="s">
        <v>2230</v>
      </c>
      <c r="AI135" s="1" t="s">
        <v>2231</v>
      </c>
      <c r="AJ135" s="1" t="s">
        <v>1853</v>
      </c>
    </row>
    <row r="136">
      <c r="A136" s="1" t="s">
        <v>2232</v>
      </c>
      <c r="B136" s="1" t="str">
        <f>IFERROR(__xludf.DUMMYFUNCTION("GOOGLETRANSLATE(A:A, ""en"", ""te"")"),"TRI-R KIS TR-1")</f>
        <v>TRI-R KIS TR-1</v>
      </c>
      <c r="C136" s="1" t="s">
        <v>2233</v>
      </c>
      <c r="D136" s="1" t="str">
        <f>IFERROR(__xludf.DUMMYFUNCTION("GOOGLETRANSLATE(C:C, ""en"", ""te"")"),"ట్రై-ఆర్ కిస్ టిఆర్ -1 అనేది ఒక అమెరికన్ హోమ్‌బిల్ట్ విమానం, దీనిని రిచ్ ట్రికల్ రూపొందించారు మరియు 1990 లలో ప్రవేశపెట్టిన కాలిఫోర్నియాలోని ఆక్స్‌నార్డ్ యొక్క ట్రై-ఆర్ టెక్నాలజీస్ చేత రూపొందించబడింది. ఇది అందుబాటులో ఉన్నప్పుడు విమానం te త్సాహిక నిర్మాణాని"&amp;"కి కిట్‌గా సరఫరా చేయబడింది. [1] ట్రికెల్ యొక్క ప్రధాన వ్యాపారం హైటెక్ కాంపోజిట్స్, లాన్సైర్ 235, లాన్సైర్ 320 మరియు లాన్సైర్ IV వంటి కిట్ విమానాల కోసం ఉప-కాంట్రాక్ట్ కింద అనేక ఎయిర్ఫ్రేమ్ భాగాలను ఉత్పత్తి చేసింది. ట్రికెల్ మొదట ఆస్ట్రేలియాలోని ఒక కస్టమర్ "&amp;"కోసం మూడు-వీక్షణల సమితిగా కొత్త విమానాన్ని గీసింది, అతను కొత్త, సాంప్రదాయ విమాన భావన కోసం వెతుకుతున్నాడు. కస్టమర్ డిజైన్‌ను ఇష్టపడ్డాడు, కానీ డ్రాయింగ్‌ల కోసం ఎప్పుడూ చెల్లించలేదు, కాబట్టి మోసపూరిత వారిని ఇంటికి తీసుకువచ్చాడు మరియు డిజైన్ పనిని స్వయంగా పూ"&amp;"ర్తి చేశాడు. చివరికి కొత్త డిజైన్ KIS TR-1 గా మారింది. [1] KIS TR-1 లో కాంటిలివర్ లో-వింగ్, రెండు-సీట్ల-సైడ్-సైడ్-సైడ్ కాన్ఫిగరేషన్ పరివేష్టిత కాక్‌పిట్ గల్-వింగ్ తలుపులు, స్థిర ట్రైసైకిల్ ల్యాండింగ్ గేర్ లేదా ఐచ్ఛికంగా సాంప్రదాయిక ల్యాండింగ్ గేర్ వీల్ ప్"&amp;"యాంటు మరియు సింగిల్ ఇంజిన్‌తో ఉంది ట్రాక్టర్ కాన్ఫిగరేషన్‌లో. [1] విమానం మిశ్రమాల నుండి తయారవుతుంది. దాని 23.00 అడుగుల (7.0 మీ) స్పాన్ దీర్ఘచతురస్రాకార వింగ్ NACA 63-215 ఎయిర్‌ఫాయిల్‌ను ఉపయోగిస్తుంది, ఫ్లాప్‌లను మౌంట్ చేస్తుంది మరియు రెక్క ప్రాంతం 88.00 చ"&amp;"దరపు అడుగులు (8.175 మీ 2) కలిగి ఉంది. ఆమోదయోగ్యమైన శక్తి పరిధి 80 నుండి 125 హెచ్‌పి (60 నుండి 93 కిలోవాట్) మరియు ఉపయోగించిన ప్రామాణిక ఇంజన్లు 125 హెచ్‌పి (93 కిలోవాట్ (60 kW) లింబాచ్ L2000 పవర్‌ప్లాంట్. [1] [2] KIS TR-1 సాధారణ ఖాళీ బరువు 750 lb (340 kg) మ"&amp;"రియు స్థూల బరువు 1,300 lb (590 kg), ఇది 550 lb (250 kg) ఉపయోగకరమైన లోడ్‌ను ఇస్తుంది. 20 యు.ఎస్. గ్యాలన్ల పూర్తి ఇంధనంతో (76 ఎల్; 17 ఇంప్ గల్) పైలట్, ప్రయాణీకుడు మరియు సామాను 430 ఎల్బి (200 కిలోలు). [1] ప్రామాణిక రోజు, సముద్ర మట్టం, గాలి లేదు, 125 హెచ్‌పి "&amp;"(93 కిలోవాట్) ఇంజిన్‌తో టేకాఫ్ 600 అడుగులు (183 మీ) మరియు ల్యాండింగ్ రోల్ 1,200 అడుగులు (366 మీ). [1] తయారీదారు సరఫరా చేసిన కిట్ నుండి నిర్మాణ సమయాన్ని 1000 గంటలుగా అంచనా వేశారు. [1] ఏరోక్రాఫ్టర్ నుండి డేటా మరియు అసంపూర్ణ గైడ్ టు ఎయిర్‌ఫాయిల్ వాడకం [1] [2"&amp;"] సాధారణ లక్షణాల పనితీరు")</f>
        <v>ట్రై-ఆర్ కిస్ టిఆర్ -1 అనేది ఒక అమెరికన్ హోమ్‌బిల్ట్ విమానం, దీనిని రిచ్ ట్రికల్ రూపొందించారు మరియు 1990 లలో ప్రవేశపెట్టిన కాలిఫోర్నియాలోని ఆక్స్‌నార్డ్ యొక్క ట్రై-ఆర్ టెక్నాలజీస్ చేత రూపొందించబడింది. ఇది అందుబాటులో ఉన్నప్పుడు విమానం te త్సాహిక నిర్మాణానికి కిట్‌గా సరఫరా చేయబడింది. [1] ట్రికెల్ యొక్క ప్రధాన వ్యాపారం హైటెక్ కాంపోజిట్స్, లాన్సైర్ 235, లాన్సైర్ 320 మరియు లాన్సైర్ IV వంటి కిట్ విమానాల కోసం ఉప-కాంట్రాక్ట్ కింద అనేక ఎయిర్ఫ్రేమ్ భాగాలను ఉత్పత్తి చేసింది. ట్రికెల్ మొదట ఆస్ట్రేలియాలోని ఒక కస్టమర్ కోసం మూడు-వీక్షణల సమితిగా కొత్త విమానాన్ని గీసింది, అతను కొత్త, సాంప్రదాయ విమాన భావన కోసం వెతుకుతున్నాడు. కస్టమర్ డిజైన్‌ను ఇష్టపడ్డాడు, కానీ డ్రాయింగ్‌ల కోసం ఎప్పుడూ చెల్లించలేదు, కాబట్టి మోసపూరిత వారిని ఇంటికి తీసుకువచ్చాడు మరియు డిజైన్ పనిని స్వయంగా పూర్తి చేశాడు. చివరికి కొత్త డిజైన్ KIS TR-1 గా మారింది. [1] KIS TR-1 లో కాంటిలివర్ లో-వింగ్, రెండు-సీట్ల-సైడ్-సైడ్-సైడ్ కాన్ఫిగరేషన్ పరివేష్టిత కాక్‌పిట్ గల్-వింగ్ తలుపులు, స్థిర ట్రైసైకిల్ ల్యాండింగ్ గేర్ లేదా ఐచ్ఛికంగా సాంప్రదాయిక ల్యాండింగ్ గేర్ వీల్ ప్యాంటు మరియు సింగిల్ ఇంజిన్‌తో ఉంది ట్రాక్టర్ కాన్ఫిగరేషన్‌లో. [1] విమానం మిశ్రమాల నుండి తయారవుతుంది. దాని 23.00 అడుగుల (7.0 మీ) స్పాన్ దీర్ఘచతురస్రాకార వింగ్ NACA 63-215 ఎయిర్‌ఫాయిల్‌ను ఉపయోగిస్తుంది, ఫ్లాప్‌లను మౌంట్ చేస్తుంది మరియు రెక్క ప్రాంతం 88.00 చదరపు అడుగులు (8.175 మీ 2) కలిగి ఉంది. ఆమోదయోగ్యమైన శక్తి పరిధి 80 నుండి 125 హెచ్‌పి (60 నుండి 93 కిలోవాట్) మరియు ఉపయోగించిన ప్రామాణిక ఇంజన్లు 125 హెచ్‌పి (93 కిలోవాట్ (60 kW) లింబాచ్ L2000 పవర్‌ప్లాంట్. [1] [2] KIS TR-1 సాధారణ ఖాళీ బరువు 750 lb (340 kg) మరియు స్థూల బరువు 1,300 lb (590 kg), ఇది 550 lb (250 kg) ఉపయోగకరమైన లోడ్‌ను ఇస్తుంది. 20 యు.ఎస్. గ్యాలన్ల పూర్తి ఇంధనంతో (76 ఎల్; 17 ఇంప్ గల్) పైలట్, ప్రయాణీకుడు మరియు సామాను 430 ఎల్బి (200 కిలోలు). [1] ప్రామాణిక రోజు, సముద్ర మట్టం, గాలి లేదు, 125 హెచ్‌పి (93 కిలోవాట్) ఇంజిన్‌తో టేకాఫ్ 600 అడుగులు (183 మీ) మరియు ల్యాండింగ్ రోల్ 1,200 అడుగులు (366 మీ). [1] తయారీదారు సరఫరా చేసిన కిట్ నుండి నిర్మాణ సమయాన్ని 1000 గంటలుగా అంచనా వేశారు. [1] ఏరోక్రాఫ్టర్ నుండి డేటా మరియు అసంపూర్ణ గైడ్ టు ఎయిర్‌ఫాయిల్ వాడకం [1] [2] సాధారణ లక్షణాల పనితీరు</v>
      </c>
      <c r="E136" s="1" t="s">
        <v>154</v>
      </c>
      <c r="F136" s="1" t="str">
        <f>IFERROR(__xludf.DUMMYFUNCTION("GOOGLETRANSLATE(E:E, ""en"", ""te"")"),"హోమ్‌బిల్ట్ విమానం")</f>
        <v>హోమ్‌బిల్ట్ విమానం</v>
      </c>
      <c r="G136" s="1" t="s">
        <v>155</v>
      </c>
      <c r="H136" s="1" t="str">
        <f>IFERROR(__xludf.DUMMYFUNCTION("GOOGLETRANSLATE(G:G, ""en"", ""te"")"),"అమెరికా")</f>
        <v>అమెరికా</v>
      </c>
      <c r="I136" s="1" t="s">
        <v>2234</v>
      </c>
      <c r="J136" s="1" t="str">
        <f>IFERROR(__xludf.DUMMYFUNCTION("GOOGLETRANSLATE(I:I, ""en"", ""te"")"),"ట్రై-ఆర్ టెక్నాలజీస్")</f>
        <v>ట్రై-ఆర్ టెక్నాలజీస్</v>
      </c>
      <c r="K136" s="1" t="s">
        <v>2235</v>
      </c>
      <c r="L136" s="1" t="s">
        <v>2236</v>
      </c>
      <c r="O136" s="1" t="s">
        <v>135</v>
      </c>
      <c r="P136" s="1" t="s">
        <v>1786</v>
      </c>
      <c r="Q136" s="1" t="s">
        <v>1545</v>
      </c>
      <c r="S136" s="1" t="s">
        <v>2237</v>
      </c>
      <c r="T136" s="1" t="s">
        <v>368</v>
      </c>
      <c r="U136" s="1" t="s">
        <v>2238</v>
      </c>
      <c r="V136" s="1" t="s">
        <v>2239</v>
      </c>
      <c r="W136" s="1" t="s">
        <v>2195</v>
      </c>
      <c r="X136" s="1" t="s">
        <v>2196</v>
      </c>
      <c r="Y136" s="1" t="s">
        <v>2240</v>
      </c>
      <c r="Z136" s="1" t="s">
        <v>1520</v>
      </c>
      <c r="AA136" s="1" t="s">
        <v>2241</v>
      </c>
      <c r="AB136" s="1" t="s">
        <v>166</v>
      </c>
      <c r="AC136" s="2" t="s">
        <v>167</v>
      </c>
      <c r="AD136" s="1" t="s">
        <v>581</v>
      </c>
      <c r="AE136" s="1" t="s">
        <v>2242</v>
      </c>
      <c r="AF136" s="1" t="s">
        <v>1708</v>
      </c>
      <c r="AG136" s="1" t="s">
        <v>1709</v>
      </c>
      <c r="AH136" s="1" t="s">
        <v>428</v>
      </c>
      <c r="AI136" s="1" t="s">
        <v>2243</v>
      </c>
      <c r="AJ136" s="1" t="s">
        <v>2244</v>
      </c>
      <c r="AK136" s="1" t="s">
        <v>195</v>
      </c>
      <c r="AR136" s="1" t="s">
        <v>2245</v>
      </c>
      <c r="AT136" s="1" t="s">
        <v>2246</v>
      </c>
      <c r="BN136" s="1" t="s">
        <v>1527</v>
      </c>
    </row>
    <row r="137">
      <c r="A137" s="1" t="s">
        <v>2247</v>
      </c>
      <c r="B137" s="1" t="str">
        <f>IFERROR(__xludf.DUMMYFUNCTION("GOOGLETRANSLATE(A:A, ""en"", ""te"")"),"రాగ్వింగ్ RW7 డస్టర్")</f>
        <v>రాగ్వింగ్ RW7 డస్టర్</v>
      </c>
      <c r="C137" s="1" t="s">
        <v>2248</v>
      </c>
      <c r="D137" s="1" t="str">
        <f>IFERROR(__xludf.DUMMYFUNCTION("GOOGLETRANSLATE(C:C, ""en"", ""te"")"),"రాగ్‌వింగ్ RW7 డస్టర్ అనేది ఒకే సీటు, తక్కువ వింగ్, స్ట్రట్-బ్రేస్డ్, సింగిల్ ఇంజిన్ అల్ట్రాలైట్ విమానం రోజర్ మన్ చేత రూపొందించబడింది మరియు te త్సాహిక నిర్మాణం కోసం రాగ్‌వింగ్ విమాన నమూనాల ప్రణాళికలుగా విక్రయించబడింది. [1] [2] [3] RW7 హోమ్‌బిల్ట్ ఎయిర్‌క్"&amp;"రాఫ్ట్ కేటగిరీ డిజైన్‌గా రూపొందించబడింది, ఎందుకంటే ఇది యుఎస్ ఫార్ 103 అల్ట్రాలైట్ వెహికల్స్ కంప్లైంట్ విమానాలు ఆ వర్గం యొక్క 254 ఎల్బి (115 కిలోల) ఖాళీ బరువు పరిమితితో ఉండటం చాలా భారీగా ఉంది. RW7 క్లాసిక్ క్రాప్ డస్టర్ యొక్క హోమ్‌బిల్ట్ వెర్షన్‌గా రూపొంది"&amp;"ంచబడింది మరియు వాస్తవానికి చిన్న వైమానిక అనువర్తన వ్యవస్థతో అమర్చవచ్చు. ఈ విమానం మునుపటి రాగ్వింగ్ RW4 మిడ్‌వింగ్ స్పోర్ట్ నుండి అభివృద్ధి చేయబడింది, ఇది రాగ్వింగ్ RW1 అల్ట్రా-పియట్ నుండి అభివృద్ధి చేయబడింది. అన్ని విమానాలు సాధారణ నిర్మాణ సామగ్రిని మరియు "&amp;"పద్ధతులను పంచుకుంటాయి. [1] [2] ఎయిర్‌ఫ్రేమ్ పూర్తిగా కలప నుండి నిర్మించబడింది మరియు విమాన ఫాబ్రిక్‌తో కప్పబడి ఉంటుంది. ల్యాండింగ్ గేర్ సాంప్రదాయిక కాన్ఫిగరేషన్. విమానం యొక్క వ్యవస్థాపించిన విద్యుత్ శ్రేణి 28 నుండి 52 హెచ్‌పి (21 నుండి 39 కిలోవాట్) మరియు ప"&amp;"్రామాణిక ఇంజిన్ 50 హెచ్‌పి (37 కిలోవాట్) రోటాక్స్ 503, అయితే 38 హెచ్‌పి (28 కిలోవాట్ HP (26 kW) సగం VW కూడా ఉపయోగించబడింది. [1] [2] పాక్షిక కిట్లు మరియు నిర్మాణ వస్తు సామగ్రి 1990 ల చివరలో అందుబాటులో ఉన్నాయి, కానీ నేడు ఈ విమానం ప్రణాళికలుగా మాత్రమే అందించ"&amp;"బడుతుంది. అంచనా నిర్మాణ సమయం 400–600 గంటలు, అయినప్పటికీ డిజైనర్ 400 గంటలు అంచనా వేసింది. ఈ విమానం ఒకే కారు గ్యారేజీలో నిర్మించవచ్చు, రెక్కలు మరియు ఫ్యూజ్‌లేజ్ పూర్తయినప్పుడు బహిరంగ తుది అసెంబ్లీతో. [1] [2] క్లిచ్ మరియు రాగ్‌వింగ్ నుండి డేటా [1] [2] సాధారణ"&amp;" లక్షణాల పనితీరు")</f>
        <v>రాగ్‌వింగ్ RW7 డస్టర్ అనేది ఒకే సీటు, తక్కువ వింగ్, స్ట్రట్-బ్రేస్డ్, సింగిల్ ఇంజిన్ అల్ట్రాలైట్ విమానం రోజర్ మన్ చేత రూపొందించబడింది మరియు te త్సాహిక నిర్మాణం కోసం రాగ్‌వింగ్ విమాన నమూనాల ప్రణాళికలుగా విక్రయించబడింది. [1] [2] [3] RW7 హోమ్‌బిల్ట్ ఎయిర్‌క్రాఫ్ట్ కేటగిరీ డిజైన్‌గా రూపొందించబడింది, ఎందుకంటే ఇది యుఎస్ ఫార్ 103 అల్ట్రాలైట్ వెహికల్స్ కంప్లైంట్ విమానాలు ఆ వర్గం యొక్క 254 ఎల్బి (115 కిలోల) ఖాళీ బరువు పరిమితితో ఉండటం చాలా భారీగా ఉంది. RW7 క్లాసిక్ క్రాప్ డస్టర్ యొక్క హోమ్‌బిల్ట్ వెర్షన్‌గా రూపొందించబడింది మరియు వాస్తవానికి చిన్న వైమానిక అనువర్తన వ్యవస్థతో అమర్చవచ్చు. ఈ విమానం మునుపటి రాగ్వింగ్ RW4 మిడ్‌వింగ్ స్పోర్ట్ నుండి అభివృద్ధి చేయబడింది, ఇది రాగ్వింగ్ RW1 అల్ట్రా-పియట్ నుండి అభివృద్ధి చేయబడింది. అన్ని విమానాలు సాధారణ నిర్మాణ సామగ్రిని మరియు పద్ధతులను పంచుకుంటాయి. [1] [2] ఎయిర్‌ఫ్రేమ్ పూర్తిగా కలప నుండి నిర్మించబడింది మరియు విమాన ఫాబ్రిక్‌తో కప్పబడి ఉంటుంది. ల్యాండింగ్ గేర్ సాంప్రదాయిక కాన్ఫిగరేషన్. విమానం యొక్క వ్యవస్థాపించిన విద్యుత్ శ్రేణి 28 నుండి 52 హెచ్‌పి (21 నుండి 39 కిలోవాట్) మరియు ప్రామాణిక ఇంజిన్ 50 హెచ్‌పి (37 కిలోవాట్) రోటాక్స్ 503, అయితే 38 హెచ్‌పి (28 కిలోవాట్ HP (26 kW) సగం VW కూడా ఉపయోగించబడింది. [1] [2] పాక్షిక కిట్లు మరియు నిర్మాణ వస్తు సామగ్రి 1990 ల చివరలో అందుబాటులో ఉన్నాయి, కానీ నేడు ఈ విమానం ప్రణాళికలుగా మాత్రమే అందించబడుతుంది. అంచనా నిర్మాణ సమయం 400–600 గంటలు, అయినప్పటికీ డిజైనర్ 400 గంటలు అంచనా వేసింది. ఈ విమానం ఒకే కారు గ్యారేజీలో నిర్మించవచ్చు, రెక్కలు మరియు ఫ్యూజ్‌లేజ్ పూర్తయినప్పుడు బహిరంగ తుది అసెంబ్లీతో. [1] [2] క్లిచ్ మరియు రాగ్‌వింగ్ నుండి డేటా [1] [2] సాధారణ లక్షణాల పనితీరు</v>
      </c>
      <c r="E137" s="1" t="s">
        <v>383</v>
      </c>
      <c r="F137" s="1" t="str">
        <f>IFERROR(__xludf.DUMMYFUNCTION("GOOGLETRANSLATE(E:E, ""en"", ""te"")"),"అల్ట్రాలైట్ విమానం")</f>
        <v>అల్ట్రాలైట్ విమానం</v>
      </c>
      <c r="G137" s="1" t="s">
        <v>155</v>
      </c>
      <c r="H137" s="1" t="str">
        <f>IFERROR(__xludf.DUMMYFUNCTION("GOOGLETRANSLATE(G:G, ""en"", ""te"")"),"అమెరికా")</f>
        <v>అమెరికా</v>
      </c>
      <c r="I137" s="1" t="s">
        <v>2249</v>
      </c>
      <c r="J137" s="1" t="str">
        <f>IFERROR(__xludf.DUMMYFUNCTION("GOOGLETRANSLATE(I:I, ""en"", ""te"")"),"రాగ్వింగ్ విమాన నమూనాలు")</f>
        <v>రాగ్వింగ్ విమాన నమూనాలు</v>
      </c>
      <c r="K137" s="1" t="s">
        <v>2250</v>
      </c>
      <c r="L137" s="1" t="s">
        <v>2251</v>
      </c>
      <c r="O137" s="1" t="s">
        <v>135</v>
      </c>
      <c r="P137" s="1" t="s">
        <v>1807</v>
      </c>
      <c r="Q137" s="1" t="s">
        <v>1546</v>
      </c>
      <c r="R137" s="1" t="s">
        <v>1607</v>
      </c>
      <c r="S137" s="1" t="s">
        <v>2252</v>
      </c>
      <c r="T137" s="1" t="s">
        <v>2253</v>
      </c>
      <c r="U137" s="1" t="s">
        <v>1810</v>
      </c>
      <c r="V137" s="1" t="s">
        <v>2254</v>
      </c>
      <c r="X137" s="1" t="s">
        <v>514</v>
      </c>
      <c r="Y137" s="1" t="s">
        <v>632</v>
      </c>
      <c r="Z137" s="1" t="s">
        <v>1229</v>
      </c>
      <c r="AB137" s="1" t="s">
        <v>392</v>
      </c>
      <c r="AC137" s="2" t="s">
        <v>167</v>
      </c>
      <c r="AD137" s="1" t="s">
        <v>2255</v>
      </c>
      <c r="AE137" s="1" t="s">
        <v>2159</v>
      </c>
      <c r="AF137" s="1" t="s">
        <v>583</v>
      </c>
      <c r="AG137" s="1" t="s">
        <v>1763</v>
      </c>
      <c r="AH137" s="1" t="s">
        <v>2256</v>
      </c>
      <c r="AY137" s="1" t="s">
        <v>524</v>
      </c>
      <c r="BF137" s="1" t="s">
        <v>2257</v>
      </c>
      <c r="BG137" s="1" t="s">
        <v>2258</v>
      </c>
    </row>
    <row r="138">
      <c r="A138" s="1" t="s">
        <v>2259</v>
      </c>
      <c r="B138" s="1" t="str">
        <f>IFERROR(__xludf.DUMMYFUNCTION("GOOGLETRANSLATE(A:A, ""en"", ""te"")"),"రాండ్ రాబిన్సన్ KR-1")</f>
        <v>రాండ్ రాబిన్సన్ KR-1</v>
      </c>
      <c r="C138" s="1" t="s">
        <v>2260</v>
      </c>
      <c r="D138" s="1" t="str">
        <f>IFERROR(__xludf.DUMMYFUNCTION("GOOGLETRANSLATE(C:C, ""en"", ""te"")"),"రాండ్ రాబిన్సన్ KR-1 అనేది సింగిల్-సీట్, సింగిల్-ఇంజిన్ స్పోర్ట్ విమానం, ఇది 1970 ల ప్రారంభంలో అమెరికాలో రూపొందించబడింది మరియు హోమ్‌బిల్డింగ్ కోసం విక్రయించబడింది. [1] [2] [3] రెండు-సీట్ల వెర్షన్ KR-2 గా విక్రయించబడుతుంది. [1] [2] [3] ఇది సాంప్రదాయిక రూపక"&amp;"ల్పన యొక్క తక్కువ-వింగ్ కాంటిలివర్ మోనోప్లేన్, పరివేష్టిత కాక్‌పిట్ మరియు టెయిల్‌వీల్ అండర్ క్యారేజీ. [3] [4] మొదట రూపకల్పన చేసినట్లుగా, KR-1 మరియు ప్రాథమిక KR-2 యొక్క ప్రధాన అండర్ క్యారేజ్ యూనిట్లు మానవీయంగా ముడుచుకొని, రెక్కలలో వెనుకకు మడవటం, [1] అయితే "&amp;"KR-2T టెన్డం-సీట్ వెర్షన్ స్థిర ట్రైసైకిల్ అండర్ క్యారేజ్ కలిగి ఉంది. [5] అయినప్పటికీ, కొంతమంది బిల్డర్లు KR-1S మరియు KR-2S కోసం స్థిర టెయిల్‌వీల్ లేదా స్థిర ట్రైసైకిల్ అండర్ క్యారేజీని ఎంచుకుంటారు. [1] [6] KR-1, KR-2 మరియు KR-2 ల కోసం కిట్‌లు ఒక సమయంలో మ"&amp;"ిషన్ వీజో, కాలిఫోర్నియా/కరోనా, కాలిఫోర్నియా, అమెరికా యొక్క NVAERO చేత సరఫరా చేయబడ్డాయి. [1] [7] [8] KR-1 యొక్క రెక్కలు రెండు-SPAR నిర్మాణం కలిగి ఉన్నాయి; స్ప్రూస్ యొక్క ముందు స్పార్, మరియు స్ప్రూస్ మరియు ప్లైవుడ్ నుండి వెనుక స్పార్. [1] [4] రెక్కల పక్కటెమ"&amp;"ుకలు పాలియురేతేన్ నురుగు నుండి ఏర్పడతాయి, [1] మరియు వాటి చుట్టూ ఉన్న స్థలం మొత్తం రెక్కల నిర్మాణం ఎపోక్సీ రెసిన్తో కలిపిన బట్టతో కప్పబడి ఉండటానికి ముందు అదే పదార్థంతో నిండి ఉంటుంది. [4] RAF 48 ఎయిర్‌ఫాయిల్ క్రాస్-సెక్షన్‌తో KR-2 లో ఇలాంటి నిర్మాణం ఉపయోగిం"&amp;"చబడుతుంది (కొన్ని తరువాత నమూనాలు AS 5046 ఎయిర్‌ఫాయిల్‌ను స్వీకరించాయి, పేద తక్కువ-వేగ నిర్వహణ [1] ఖర్చుతో పెరిగిన వేగం కోసం), మరియు రెక్కలు ఉన్నాయి ల్యాండింగ్ గేర్‌ను తొలగించగల అవుట్‌బోర్డ్. [1] ఇలాంటి నిర్మాణం సామ్రాజ్యం మరియు నియంత్రణ ఉపరితలాలలో ఉపయోగిం"&amp;"చబడుతుంది. [1] ఫ్యూజ్‌లేజ్ ఒక చెక్క చట్రం చుట్టూ నిర్మించబడింది, [1] ప్లైవుడ్‌లో చర్మం గల దిగువ భాగం మరియు ఎపోక్సీ-కోటెడ్ ఫాబ్రిక్‌తో కప్పబడిన పాలీస్టైరిన్ ఫోమ్‌తో నిర్మించిన ఎగువ భాగం. [4] KR-1 బిల్డర్లు మూడు వేర్వేరు ఎగువ ఫ్యూజ్‌లేజ్ కాన్ఫిగరేషన్‌ల ఎంపి"&amp;"కను కలిగి ఉన్నారు: కాక్‌పిట్ వెనుక తాబేలుతో ""ఫాస్ట్‌బ్యాక్"", ఫైటర్-స్టైల్ బబుల్ పందిరితో ""పర్స్యూట్"" మరియు ఓపెన్ కాక్‌పిట్ మరియు చిన్న ఫెయిరింగ్ తో ""స్పోర్ట్స్ మాన్"" రోల్‌ఓవర్ రక్షణ కోసం దాని వెనుక. [9] ఈ డిజైన్ ప్రజాదరణ పొందింది, 10,000 సెట్ల ప్రణా"&amp;"ళికలు విక్రయించబడ్డాయి, [1] 6,000 సెట్ల KR-1 ప్రణాళికలు మరియు 1979 నాటికి 4,500 సెట్ల KR-2 ప్రణాళికలు ఉన్నాయి. [2] వీటి నుండి, 200 KR-1 లు [4] మరియు 350 KR-2 లు [10] 1987 నాటికి ఎగురుతున్నాయి. NVAERO యొక్క వ్యవస్థాపకుడు స్టీవ్ గ్లోవర్ 2010 లో ప్రపంచవ్యాప్"&amp;"తంగా 2,000 KR లు ఎగురుతున్నాయని నివేదించారు. [1] ప్రణాళికలు మరియు వస్తు సామగ్రి ఇప్పటికీ 2011 లో అందుబాటులో ఉన్నాయి. [11] సాధారణ లక్షణాల పనితీరు")</f>
        <v>రాండ్ రాబిన్సన్ KR-1 అనేది సింగిల్-సీట్, సింగిల్-ఇంజిన్ స్పోర్ట్ విమానం, ఇది 1970 ల ప్రారంభంలో అమెరికాలో రూపొందించబడింది మరియు హోమ్‌బిల్డింగ్ కోసం విక్రయించబడింది. [1] [2] [3] రెండు-సీట్ల వెర్షన్ KR-2 గా విక్రయించబడుతుంది. [1] [2] [3] ఇది సాంప్రదాయిక రూపకల్పన యొక్క తక్కువ-వింగ్ కాంటిలివర్ మోనోప్లేన్, పరివేష్టిత కాక్‌పిట్ మరియు టెయిల్‌వీల్ అండర్ క్యారేజీ. [3] [4] మొదట రూపకల్పన చేసినట్లుగా, KR-1 మరియు ప్రాథమిక KR-2 యొక్క ప్రధాన అండర్ క్యారేజ్ యూనిట్లు మానవీయంగా ముడుచుకొని, రెక్కలలో వెనుకకు మడవటం, [1] అయితే KR-2T టెన్డం-సీట్ వెర్షన్ స్థిర ట్రైసైకిల్ అండర్ క్యారేజ్ కలిగి ఉంది. [5] అయినప్పటికీ, కొంతమంది బిల్డర్లు KR-1S మరియు KR-2S కోసం స్థిర టెయిల్‌వీల్ లేదా స్థిర ట్రైసైకిల్ అండర్ క్యారేజీని ఎంచుకుంటారు. [1] [6] KR-1, KR-2 మరియు KR-2 ల కోసం కిట్‌లు ఒక సమయంలో మిషన్ వీజో, కాలిఫోర్నియా/కరోనా, కాలిఫోర్నియా, అమెరికా యొక్క NVAERO చేత సరఫరా చేయబడ్డాయి. [1] [7] [8] KR-1 యొక్క రెక్కలు రెండు-SPAR నిర్మాణం కలిగి ఉన్నాయి; స్ప్రూస్ యొక్క ముందు స్పార్, మరియు స్ప్రూస్ మరియు ప్లైవుడ్ నుండి వెనుక స్పార్. [1] [4] రెక్కల పక్కటెముకలు పాలియురేతేన్ నురుగు నుండి ఏర్పడతాయి, [1] మరియు వాటి చుట్టూ ఉన్న స్థలం మొత్తం రెక్కల నిర్మాణం ఎపోక్సీ రెసిన్తో కలిపిన బట్టతో కప్పబడి ఉండటానికి ముందు అదే పదార్థంతో నిండి ఉంటుంది. [4] RAF 48 ఎయిర్‌ఫాయిల్ క్రాస్-సెక్షన్‌తో KR-2 లో ఇలాంటి నిర్మాణం ఉపయోగించబడుతుంది (కొన్ని తరువాత నమూనాలు AS 5046 ఎయిర్‌ఫాయిల్‌ను స్వీకరించాయి, పేద తక్కువ-వేగ నిర్వహణ [1] ఖర్చుతో పెరిగిన వేగం కోసం), మరియు రెక్కలు ఉన్నాయి ల్యాండింగ్ గేర్‌ను తొలగించగల అవుట్‌బోర్డ్. [1] ఇలాంటి నిర్మాణం సామ్రాజ్యం మరియు నియంత్రణ ఉపరితలాలలో ఉపయోగించబడుతుంది. [1] ఫ్యూజ్‌లేజ్ ఒక చెక్క చట్రం చుట్టూ నిర్మించబడింది, [1] ప్లైవుడ్‌లో చర్మం గల దిగువ భాగం మరియు ఎపోక్సీ-కోటెడ్ ఫాబ్రిక్‌తో కప్పబడిన పాలీస్టైరిన్ ఫోమ్‌తో నిర్మించిన ఎగువ భాగం. [4] KR-1 బిల్డర్లు మూడు వేర్వేరు ఎగువ ఫ్యూజ్‌లేజ్ కాన్ఫిగరేషన్‌ల ఎంపికను కలిగి ఉన్నారు: కాక్‌పిట్ వెనుక తాబేలుతో "ఫాస్ట్‌బ్యాక్", ఫైటర్-స్టైల్ బబుల్ పందిరితో "పర్స్యూట్" మరియు ఓపెన్ కాక్‌పిట్ మరియు చిన్న ఫెయిరింగ్ తో "స్పోర్ట్స్ మాన్" రోల్‌ఓవర్ రక్షణ కోసం దాని వెనుక. [9] ఈ డిజైన్ ప్రజాదరణ పొందింది, 10,000 సెట్ల ప్రణాళికలు విక్రయించబడ్డాయి, [1] 6,000 సెట్ల KR-1 ప్రణాళికలు మరియు 1979 నాటికి 4,500 సెట్ల KR-2 ప్రణాళికలు ఉన్నాయి. [2] వీటి నుండి, 200 KR-1 లు [4] మరియు 350 KR-2 లు [10] 1987 నాటికి ఎగురుతున్నాయి. NVAERO యొక్క వ్యవస్థాపకుడు స్టీవ్ గ్లోవర్ 2010 లో ప్రపంచవ్యాప్తంగా 2,000 KR లు ఎగురుతున్నాయని నివేదించారు. [1] ప్రణాళికలు మరియు వస్తు సామగ్రి ఇప్పటికీ 2011 లో అందుబాటులో ఉన్నాయి. [11] సాధారణ లక్షణాల పనితీరు</v>
      </c>
      <c r="E138" s="1" t="s">
        <v>114</v>
      </c>
      <c r="F138" s="1" t="str">
        <f>IFERROR(__xludf.DUMMYFUNCTION("GOOGLETRANSLATE(E:E, ""en"", ""te"")"),"హోమ్‌బిల్ట్")</f>
        <v>హోమ్‌బిల్ట్</v>
      </c>
      <c r="G138" s="1" t="s">
        <v>155</v>
      </c>
      <c r="H138" s="1" t="str">
        <f>IFERROR(__xludf.DUMMYFUNCTION("GOOGLETRANSLATE(G:G, ""en"", ""te"")"),"అమెరికా")</f>
        <v>అమెరికా</v>
      </c>
      <c r="I138" s="1" t="s">
        <v>2261</v>
      </c>
      <c r="J138" s="1" t="str">
        <f>IFERROR(__xludf.DUMMYFUNCTION("GOOGLETRANSLATE(I:I, ""en"", ""te"")"),"nvaero")</f>
        <v>nvaero</v>
      </c>
      <c r="K138" s="2" t="s">
        <v>2262</v>
      </c>
      <c r="L138" s="1" t="s">
        <v>2263</v>
      </c>
      <c r="N138" s="4">
        <v>26330.0</v>
      </c>
      <c r="O138" s="1" t="s">
        <v>135</v>
      </c>
      <c r="P138" s="1" t="s">
        <v>2264</v>
      </c>
      <c r="Q138" s="1" t="s">
        <v>1982</v>
      </c>
      <c r="R138" s="1" t="s">
        <v>2265</v>
      </c>
      <c r="S138" s="1" t="s">
        <v>2266</v>
      </c>
      <c r="T138" s="1" t="s">
        <v>1445</v>
      </c>
      <c r="U138" s="1" t="s">
        <v>2267</v>
      </c>
      <c r="V138" s="1" t="s">
        <v>2268</v>
      </c>
      <c r="W138" s="1" t="s">
        <v>2269</v>
      </c>
      <c r="Y138" s="1" t="s">
        <v>1551</v>
      </c>
      <c r="Z138" s="1" t="s">
        <v>424</v>
      </c>
      <c r="AA138" s="1" t="s">
        <v>2270</v>
      </c>
      <c r="AB138" s="2" t="s">
        <v>115</v>
      </c>
      <c r="AD138" s="1" t="s">
        <v>2271</v>
      </c>
      <c r="AG138" s="1" t="s">
        <v>2272</v>
      </c>
      <c r="AK138" s="1" t="s">
        <v>195</v>
      </c>
      <c r="AR138" s="1" t="s">
        <v>2273</v>
      </c>
    </row>
    <row r="139">
      <c r="A139" s="1" t="s">
        <v>2274</v>
      </c>
      <c r="B139" s="1" t="str">
        <f>IFERROR(__xludf.DUMMYFUNCTION("GOOGLETRANSLATE(A:A, ""en"", ""te"")"),"రోటోర్టెక్ క్లౌడ్ డాన్సర్ లైట్")</f>
        <v>రోటోర్టెక్ క్లౌడ్ డాన్సర్ లైట్</v>
      </c>
      <c r="C139" s="1" t="s">
        <v>2275</v>
      </c>
      <c r="D139" s="1" t="str">
        <f>IFERROR(__xludf.DUMMYFUNCTION("GOOGLETRANSLATE(C:C, ""en"", ""te"")"),"రోటార్టెక్ క్లౌడ్ డాన్సర్ లైట్ ఒక జర్మన్ ఆటోజైరో, ఇది రోటోర్టెక్ ఆఫ్ గోరిస్రీడ్, ఆల్గావు చేత రూపొందించబడింది మరియు ఉత్పత్తి చేయబడింది. విమానం పూర్తి రెడీ-టు-ఫ్లై-ఎయిర్‌క్రాఫ్ట్‌గా సరఫరా చేయబడుతుంది. [1] పరివేష్టిత కాక్‌పిట్ రోటార్టెక్ క్లౌడ్ డాన్సర్ I ఆధా"&amp;"రంగా, క్లౌడ్ డాన్సర్ లైట్ జర్మన్ 120 కిలోల అల్ట్రాలైట్ తరగతికి తక్కువ ఖర్చుతో కూడిన నమూనాగా రూపొందించబడింది. ఇది ఒకే రెండు-బ్లేడెడ్ రోటర్, విండ్‌షీల్డ్ లేని సింగిల్-సీట్ ఓపెన్ కాక్‌పిట్, వీల్ ప్యాంటుతో ట్రైసైకిల్ ల్యాండింగ్ గేర్ మరియు జంట సిలిండర్, లిక్వి"&amp;"డ్-కూల్డ్ 70 హెచ్‌పి (52 కిలోవాట్) హిర్త్ 3503 రెండు స్ట్రోక్ ఇంజిన్ పషర్ కాన్ఫిగరేషన్‌లో అమర్చబడి ఉంది. [[[ 1] విమానం ఫ్యూజ్‌లేజ్ ఫ్రేమ్ అల్యూమినియం నుండి తయారవుతుంది, తోక కెవ్లర్ మిశ్రమాలు. దీని 7.10 మీ (23.3 అడుగులు) వ్యాసం రోటర్ 17.5 సెం.మీ (6.9 అంగుళ"&amp;"ాలు) తీగను కలిగి ఉంది. ఇన్స్ట్రుమెంట్ ప్యానెల్ సాధారణ పాడ్‌లో అమర్చబడి ఉంటుంది. ఈ విమానం ఖాళీ బరువు 120 కిలోల (265 ఎల్బి) మరియు స్థూల బరువు 300 కిలోలు (661 పౌండ్లు), ఇది 180 కిలోల (397 ఎల్బి) యొక్క ఉపయోగకరమైన లోడ్‌ను ఇస్తుంది. [1] బేయర్ల్ నుండి డేటా [1] స"&amp;"ాధారణ లక్షణాల పనితీరు")</f>
        <v>రోటార్టెక్ క్లౌడ్ డాన్సర్ లైట్ ఒక జర్మన్ ఆటోజైరో, ఇది రోటోర్టెక్ ఆఫ్ గోరిస్రీడ్, ఆల్గావు చేత రూపొందించబడింది మరియు ఉత్పత్తి చేయబడింది. విమానం పూర్తి రెడీ-టు-ఫ్లై-ఎయిర్‌క్రాఫ్ట్‌గా సరఫరా చేయబడుతుంది. [1] పరివేష్టిత కాక్‌పిట్ రోటార్టెక్ క్లౌడ్ డాన్సర్ I ఆధారంగా, క్లౌడ్ డాన్సర్ లైట్ జర్మన్ 120 కిలోల అల్ట్రాలైట్ తరగతికి తక్కువ ఖర్చుతో కూడిన నమూనాగా రూపొందించబడింది. ఇది ఒకే రెండు-బ్లేడెడ్ రోటర్, విండ్‌షీల్డ్ లేని సింగిల్-సీట్ ఓపెన్ కాక్‌పిట్, వీల్ ప్యాంటుతో ట్రైసైకిల్ ల్యాండింగ్ గేర్ మరియు జంట సిలిండర్, లిక్విడ్-కూల్డ్ 70 హెచ్‌పి (52 కిలోవాట్) హిర్త్ 3503 రెండు స్ట్రోక్ ఇంజిన్ పషర్ కాన్ఫిగరేషన్‌లో అమర్చబడి ఉంది. [[[ 1] విమానం ఫ్యూజ్‌లేజ్ ఫ్రేమ్ అల్యూమినియం నుండి తయారవుతుంది, తోక కెవ్లర్ మిశ్రమాలు. దీని 7.10 మీ (23.3 అడుగులు) వ్యాసం రోటర్ 17.5 సెం.మీ (6.9 అంగుళాలు) తీగను కలిగి ఉంది. ఇన్స్ట్రుమెంట్ ప్యానెల్ సాధారణ పాడ్‌లో అమర్చబడి ఉంటుంది. ఈ విమానం ఖాళీ బరువు 120 కిలోల (265 ఎల్బి) మరియు స్థూల బరువు 300 కిలోలు (661 పౌండ్లు), ఇది 180 కిలోల (397 ఎల్బి) యొక్క ఉపయోగకరమైన లోడ్‌ను ఇస్తుంది. [1] బేయర్ల్ నుండి డేటా [1] సాధారణ లక్షణాల పనితీరు</v>
      </c>
      <c r="E139" s="1" t="s">
        <v>530</v>
      </c>
      <c r="F139" s="1" t="str">
        <f>IFERROR(__xludf.DUMMYFUNCTION("GOOGLETRANSLATE(E:E, ""en"", ""te"")"),"ఆటోజీరో")</f>
        <v>ఆటోజీరో</v>
      </c>
      <c r="G139" s="1" t="s">
        <v>133</v>
      </c>
      <c r="H139" s="1" t="str">
        <f>IFERROR(__xludf.DUMMYFUNCTION("GOOGLETRANSLATE(G:G, ""en"", ""te"")"),"జర్మనీ")</f>
        <v>జర్మనీ</v>
      </c>
      <c r="I139" s="1" t="s">
        <v>2276</v>
      </c>
      <c r="J139" s="1" t="str">
        <f>IFERROR(__xludf.DUMMYFUNCTION("GOOGLETRANSLATE(I:I, ""en"", ""te"")"),"రోటోర్టెక్")</f>
        <v>రోటోర్టెక్</v>
      </c>
      <c r="K139" s="2" t="s">
        <v>2277</v>
      </c>
      <c r="O139" s="1" t="s">
        <v>135</v>
      </c>
      <c r="T139" s="1" t="s">
        <v>2278</v>
      </c>
      <c r="U139" s="1" t="s">
        <v>2279</v>
      </c>
      <c r="V139" s="1" t="s">
        <v>2280</v>
      </c>
      <c r="W139" s="1" t="s">
        <v>2281</v>
      </c>
      <c r="Z139" s="1" t="s">
        <v>2282</v>
      </c>
      <c r="AB139" s="2" t="s">
        <v>538</v>
      </c>
      <c r="AC139" s="2" t="s">
        <v>145</v>
      </c>
      <c r="AD139" s="1" t="s">
        <v>1469</v>
      </c>
      <c r="AE139" s="1" t="s">
        <v>2283</v>
      </c>
      <c r="AF139" s="1" t="s">
        <v>2284</v>
      </c>
      <c r="AG139" s="1" t="s">
        <v>149</v>
      </c>
      <c r="BF139" s="1" t="s">
        <v>2285</v>
      </c>
      <c r="BG139" s="1" t="s">
        <v>2286</v>
      </c>
      <c r="BR139" s="1" t="s">
        <v>2287</v>
      </c>
    </row>
    <row r="140">
      <c r="A140" s="1" t="s">
        <v>2288</v>
      </c>
      <c r="B140" s="1" t="str">
        <f>IFERROR(__xludf.DUMMYFUNCTION("GOOGLETRANSLATE(A:A, ""en"", ""te"")"),"రాగ్వింగ్ RW1 అల్ట్రా-పియట్")</f>
        <v>రాగ్వింగ్ RW1 అల్ట్రా-పియట్</v>
      </c>
      <c r="C140" s="1" t="s">
        <v>2289</v>
      </c>
      <c r="D140" s="1" t="str">
        <f>IFERROR(__xludf.DUMMYFUNCTION("GOOGLETRANSLATE(C:C, ""en"", ""te"")"),"రాగ్వింగ్ RW1 అల్ట్రా-పియట్ అనేది సింగిల్ సీటు, పారాసోల్ వింగ్, రోజర్ మన్ చేత రూపొందించబడిన సింగిల్ ఇంజిన్ అల్ట్రాలైట్ విమానం మరియు te త్సాహిక నిర్మాణం కోసం రాగ్వింగ్ విమాన నమూనాల ప్రణాళికలుగా విక్రయించబడింది. [1] [2] [3] [4] [5 సాహస RW1 ను ఫార్ 103 అల్ట్"&amp;"రాలైట్ వెహికల్స్ కంప్లైంట్ విమానాగా రూపొందించారు, ఇది ఆ వర్గం యొక్క 254 lb (115 kg) ఖాళీ బరువు పరిమితిలో ఖాళీ బరువును కలిగి ఉంటుంది. RW1 క్లాసిక్ 1920 ల వింటేజ్ పియటెన్‌పోల్ ఎయిర్ క్యాంపర్ యొక్క 3/4 స్కేల్ అల్ట్రాలైట్ వెర్షన్‌గా రూపొందించబడింది. [1] [3] ["&amp;"7] [8] ఎయిర్‌ఫ్రేమ్ పూర్తిగా కలప నుండి నిర్మించబడింది మరియు విమాన ఫాబ్రిక్‌తో కప్పబడి ఉంటుంది. ల్యాండింగ్ గేర్ సాంప్రదాయిక కాన్ఫిగరేషన్ మరియు రెక్కలు వేరు చేయగలిగినవి. విమానం యొక్క వ్యవస్థాపించిన విద్యుత్ పరిధి 24 నుండి 48 హెచ్‌పి (18 నుండి 36 కిలోవాట్) మ"&amp;"రియు ప్రామాణిక ఇంజిన్ మొదట 38 హెచ్‌పి (28 కిలోవాట్) కవాసాకి 440. వోక్స్వ్యాగన్ ఎయిర్-కూల్డ్ ఇంజిన్ ఉపయోగించబడింది, అలాగే 35 హెచ్‌పి (26 kW) సగం VW మరియు 35 HP (26 kW) 2SI 460. [1] [2] [3] [4] [7] [8] పాక్షిక కిట్లు మరియు నిర్మాణ వస్తు సామగ్రి 1990 ల చివరల"&amp;"ో అందుబాటులో ఉన్నాయి, కానీ నేడు ఈ సిరీస్ ప్రణాళికలుగా మాత్రమే అందించబడ్డాయి. నివేదించబడిన నిర్మాణ సమయం 300–500 గంటలు. [1] [3] అదే ప్రాథమిక ఎయిర్‌ఫ్రేమ్ డిజైన్ RW5 ను ఉత్పత్తి చేయడానికి కూడా ఉపయోగించబడింది, ఇది హీత్ పారాసోల్ మరియు RW6 రాగ్-ఎ-మఫిన్ యొక్క ప్"&amp;"రతిరూపం. [1] కిట్‌ప్లాన్లు, పర్డీ మరియు రాగ్‌వింగ్ నుండి డేటా [3] [4] [5] పోల్చదగిన పాత్ర, కాన్ఫిగరేషన్ మరియు యుగం యొక్క సాధారణ లక్షణాల పనితీరు విమానం")</f>
        <v>రాగ్వింగ్ RW1 అల్ట్రా-పియట్ అనేది సింగిల్ సీటు, పారాసోల్ వింగ్, రోజర్ మన్ చేత రూపొందించబడిన సింగిల్ ఇంజిన్ అల్ట్రాలైట్ విమానం మరియు te త్సాహిక నిర్మాణం కోసం రాగ్వింగ్ విమాన నమూనాల ప్రణాళికలుగా విక్రయించబడింది. [1] [2] [3] [4] [5 సాహస RW1 ను ఫార్ 103 అల్ట్రాలైట్ వెహికల్స్ కంప్లైంట్ విమానాగా రూపొందించారు, ఇది ఆ వర్గం యొక్క 254 lb (115 kg) ఖాళీ బరువు పరిమితిలో ఖాళీ బరువును కలిగి ఉంటుంది. RW1 క్లాసిక్ 1920 ల వింటేజ్ పియటెన్‌పోల్ ఎయిర్ క్యాంపర్ యొక్క 3/4 స్కేల్ అల్ట్రాలైట్ వెర్షన్‌గా రూపొందించబడింది. [1] [3] [7] [8] ఎయిర్‌ఫ్రేమ్ పూర్తిగా కలప నుండి నిర్మించబడింది మరియు విమాన ఫాబ్రిక్‌తో కప్పబడి ఉంటుంది. ల్యాండింగ్ గేర్ సాంప్రదాయిక కాన్ఫిగరేషన్ మరియు రెక్కలు వేరు చేయగలిగినవి. విమానం యొక్క వ్యవస్థాపించిన విద్యుత్ పరిధి 24 నుండి 48 హెచ్‌పి (18 నుండి 36 కిలోవాట్) మరియు ప్రామాణిక ఇంజిన్ మొదట 38 హెచ్‌పి (28 కిలోవాట్) కవాసాకి 440. వోక్స్వ్యాగన్ ఎయిర్-కూల్డ్ ఇంజిన్ ఉపయోగించబడింది, అలాగే 35 హెచ్‌పి (26 kW) సగం VW మరియు 35 HP (26 kW) 2SI 460. [1] [2] [3] [4] [7] [8] పాక్షిక కిట్లు మరియు నిర్మాణ వస్తు సామగ్రి 1990 ల చివరలో అందుబాటులో ఉన్నాయి, కానీ నేడు ఈ సిరీస్ ప్రణాళికలుగా మాత్రమే అందించబడ్డాయి. నివేదించబడిన నిర్మాణ సమయం 300–500 గంటలు. [1] [3] అదే ప్రాథమిక ఎయిర్‌ఫ్రేమ్ డిజైన్ RW5 ను ఉత్పత్తి చేయడానికి కూడా ఉపయోగించబడింది, ఇది హీత్ పారాసోల్ మరియు RW6 రాగ్-ఎ-మఫిన్ యొక్క ప్రతిరూపం. [1] కిట్‌ప్లాన్లు, పర్డీ మరియు రాగ్‌వింగ్ నుండి డేటా [3] [4] [5] పోల్చదగిన పాత్ర, కాన్ఫిగరేషన్ మరియు యుగం యొక్క సాధారణ లక్షణాల పనితీరు విమానం</v>
      </c>
      <c r="E140" s="1" t="s">
        <v>383</v>
      </c>
      <c r="F140" s="1" t="str">
        <f>IFERROR(__xludf.DUMMYFUNCTION("GOOGLETRANSLATE(E:E, ""en"", ""te"")"),"అల్ట్రాలైట్ విమానం")</f>
        <v>అల్ట్రాలైట్ విమానం</v>
      </c>
      <c r="G140" s="1" t="s">
        <v>155</v>
      </c>
      <c r="H140" s="1" t="str">
        <f>IFERROR(__xludf.DUMMYFUNCTION("GOOGLETRANSLATE(G:G, ""en"", ""te"")"),"అమెరికా")</f>
        <v>అమెరికా</v>
      </c>
      <c r="I140" s="1" t="s">
        <v>2249</v>
      </c>
      <c r="J140" s="1" t="str">
        <f>IFERROR(__xludf.DUMMYFUNCTION("GOOGLETRANSLATE(I:I, ""en"", ""te"")"),"రాగ్వింగ్ విమాన నమూనాలు")</f>
        <v>రాగ్వింగ్ విమాన నమూనాలు</v>
      </c>
      <c r="K140" s="1" t="s">
        <v>2250</v>
      </c>
      <c r="L140" s="1" t="s">
        <v>2251</v>
      </c>
      <c r="N140" s="1" t="s">
        <v>2290</v>
      </c>
      <c r="O140" s="1" t="s">
        <v>135</v>
      </c>
      <c r="P140" s="1" t="s">
        <v>2291</v>
      </c>
      <c r="Q140" s="1" t="s">
        <v>1909</v>
      </c>
      <c r="R140" s="1" t="s">
        <v>2292</v>
      </c>
      <c r="S140" s="1" t="s">
        <v>2293</v>
      </c>
      <c r="T140" s="1" t="s">
        <v>2294</v>
      </c>
      <c r="U140" s="1" t="s">
        <v>1878</v>
      </c>
      <c r="V140" s="1" t="s">
        <v>2295</v>
      </c>
      <c r="X140" s="1" t="s">
        <v>2229</v>
      </c>
      <c r="Y140" s="1" t="s">
        <v>1200</v>
      </c>
      <c r="Z140" s="1" t="s">
        <v>633</v>
      </c>
      <c r="AB140" s="1" t="s">
        <v>392</v>
      </c>
      <c r="AC140" s="2" t="s">
        <v>167</v>
      </c>
      <c r="AD140" s="1" t="s">
        <v>829</v>
      </c>
      <c r="AE140" s="1" t="s">
        <v>2159</v>
      </c>
      <c r="AF140" s="1" t="s">
        <v>583</v>
      </c>
      <c r="AG140" s="1" t="s">
        <v>428</v>
      </c>
      <c r="AH140" s="1" t="s">
        <v>1753</v>
      </c>
      <c r="AJ140" s="1" t="s">
        <v>2296</v>
      </c>
      <c r="AR140" s="1" t="s">
        <v>253</v>
      </c>
      <c r="AY140" s="1" t="s">
        <v>518</v>
      </c>
      <c r="BA140" s="1" t="s">
        <v>835</v>
      </c>
    </row>
    <row r="141">
      <c r="A141" s="1" t="s">
        <v>2297</v>
      </c>
      <c r="B141" s="1" t="str">
        <f>IFERROR(__xludf.DUMMYFUNCTION("GOOGLETRANSLATE(A:A, ""en"", ""te"")"),"రాగ్వింగ్ RW8 PT2S")</f>
        <v>రాగ్వింగ్ RW8 PT2S</v>
      </c>
      <c r="C141" s="1" t="s">
        <v>2298</v>
      </c>
      <c r="D141" s="1" t="str">
        <f>IFERROR(__xludf.DUMMYFUNCTION("GOOGLETRANSLATE(C:C, ""en"", ""te"")"),"రాగ్‌వింగ్ RW8 PT2S అనేది సింగిల్ లేదా రెండు సీటు, హై వింగ్, స్ట్రట్-బ్రేస్డ్, సింగిల్ ఇంజిన్ అల్ట్రాలైట్ విమానం రోజర్ మన్ చేత రూపొందించబడింది మరియు te త్సాహిక నిర్మాణం కోసం రాగ్వింగ్ విమాన నమూనాల ప్రణాళికలుగా విక్రయించబడింది. [1] [3] [4] RW8 US ప్రయోగాత్"&amp;"మక హోమ్‌బిల్ట్ ఎయిర్‌క్రాఫ్ట్ వర్గం కోసం సింగిల్ సీట్ ఫ్లయింగ్ కోసం లేదా యుఎస్ ఫార్ 103 అల్ట్రాలైట్ వాహనాలు రెండు-సీట్ల అల్ట్రాలైట్ ట్రైనర్‌గా మరియు 1993 లో మొదట ఎగిరింది. [1] [2] [3] ఎయిర్‌ఫ్రేమ్ పూర్తిగా కలప నుండి నిర్మించబడింది మరియు విమాన ఫాబ్రిక్‌తో "&amp;"కప్పబడి ఉంటుంది. ల్యాండింగ్ గేర్ ట్రైసైకిల్ గేర్ ఐచ్ఛికంతో బంగీ సస్పెన్షన్‌తో సాంప్రదాయిక ఆకృతీకరణ. విమానం యొక్క వ్యవస్థాపించిన విద్యుత్ పరిధి 52 నుండి 75 హెచ్‌పి (39 నుండి 56 కిలోవాట్) మరియు ప్రామాణిక ఇంజిన్ 52 హెచ్‌పి (39 కిలోవాట్) రోటాక్స్ 503, అయితే 7"&amp;"0 హెచ్‌పి (52 కిలోవాట్) 2 ఎస్ఐ 540 కూడా ఉపయోగించబడింది. [1] [ 22 PT2S ప్రణాళికలుగా మాత్రమే అందించబడుతుంది మరియు విమానాన్ని పూర్తి చేయడానికి 500 గంటలు పడుతుందని డిజైనర్ అంచనా వేసింది. [1] [3] కిట్‌ప్లాన్లు, పర్డీ మరియు రాగ్‌వింగ్ నుండి డేటా [1] [2] [3] సాధ"&amp;"ారణ లక్షణాల పనితీరు")</f>
        <v>రాగ్‌వింగ్ RW8 PT2S అనేది సింగిల్ లేదా రెండు సీటు, హై వింగ్, స్ట్రట్-బ్రేస్డ్, సింగిల్ ఇంజిన్ అల్ట్రాలైట్ విమానం రోజర్ మన్ చేత రూపొందించబడింది మరియు te త్సాహిక నిర్మాణం కోసం రాగ్వింగ్ విమాన నమూనాల ప్రణాళికలుగా విక్రయించబడింది. [1] [3] [4] RW8 US ప్రయోగాత్మక హోమ్‌బిల్ట్ ఎయిర్‌క్రాఫ్ట్ వర్గం కోసం సింగిల్ సీట్ ఫ్లయింగ్ కోసం లేదా యుఎస్ ఫార్ 103 అల్ట్రాలైట్ వాహనాలు రెండు-సీట్ల అల్ట్రాలైట్ ట్రైనర్‌గా మరియు 1993 లో మొదట ఎగిరింది. [1] [2] [3] ఎయిర్‌ఫ్రేమ్ పూర్తిగా కలప నుండి నిర్మించబడింది మరియు విమాన ఫాబ్రిక్‌తో కప్పబడి ఉంటుంది. ల్యాండింగ్ గేర్ ట్రైసైకిల్ గేర్ ఐచ్ఛికంతో బంగీ సస్పెన్షన్‌తో సాంప్రదాయిక ఆకృతీకరణ. విమానం యొక్క వ్యవస్థాపించిన విద్యుత్ పరిధి 52 నుండి 75 హెచ్‌పి (39 నుండి 56 కిలోవాట్) మరియు ప్రామాణిక ఇంజిన్ 52 హెచ్‌పి (39 కిలోవాట్) రోటాక్స్ 503, అయితే 70 హెచ్‌పి (52 కిలోవాట్) 2 ఎస్ఐ 540 కూడా ఉపయోగించబడింది. [1] [ 22 PT2S ప్రణాళికలుగా మాత్రమే అందించబడుతుంది మరియు విమానాన్ని పూర్తి చేయడానికి 500 గంటలు పడుతుందని డిజైనర్ అంచనా వేసింది. [1] [3] కిట్‌ప్లాన్లు, పర్డీ మరియు రాగ్‌వింగ్ నుండి డేటా [1] [2] [3] సాధారణ లక్షణాల పనితీరు</v>
      </c>
      <c r="E141" s="1" t="s">
        <v>383</v>
      </c>
      <c r="F141" s="1" t="str">
        <f>IFERROR(__xludf.DUMMYFUNCTION("GOOGLETRANSLATE(E:E, ""en"", ""te"")"),"అల్ట్రాలైట్ విమానం")</f>
        <v>అల్ట్రాలైట్ విమానం</v>
      </c>
      <c r="G141" s="1" t="s">
        <v>155</v>
      </c>
      <c r="H141" s="1" t="str">
        <f>IFERROR(__xludf.DUMMYFUNCTION("GOOGLETRANSLATE(G:G, ""en"", ""te"")"),"అమెరికా")</f>
        <v>అమెరికా</v>
      </c>
      <c r="I141" s="1" t="s">
        <v>2249</v>
      </c>
      <c r="J141" s="1" t="str">
        <f>IFERROR(__xludf.DUMMYFUNCTION("GOOGLETRANSLATE(I:I, ""en"", ""te"")"),"రాగ్వింగ్ విమాన నమూనాలు")</f>
        <v>రాగ్వింగ్ విమాన నమూనాలు</v>
      </c>
      <c r="K141" s="1" t="s">
        <v>2250</v>
      </c>
      <c r="L141" s="1" t="s">
        <v>2251</v>
      </c>
      <c r="N141" s="1">
        <v>1993.0</v>
      </c>
      <c r="O141" s="1" t="s">
        <v>135</v>
      </c>
      <c r="P141" s="1" t="s">
        <v>1807</v>
      </c>
      <c r="Q141" s="1" t="s">
        <v>626</v>
      </c>
      <c r="R141" s="1" t="s">
        <v>509</v>
      </c>
      <c r="S141" s="1" t="s">
        <v>2299</v>
      </c>
      <c r="T141" s="1" t="s">
        <v>511</v>
      </c>
      <c r="U141" s="1" t="s">
        <v>163</v>
      </c>
      <c r="V141" s="1" t="s">
        <v>2300</v>
      </c>
      <c r="X141" s="1" t="s">
        <v>2301</v>
      </c>
      <c r="Y141" s="1" t="s">
        <v>1200</v>
      </c>
      <c r="Z141" s="1" t="s">
        <v>633</v>
      </c>
      <c r="AB141" s="1" t="s">
        <v>392</v>
      </c>
      <c r="AC141" s="2" t="s">
        <v>167</v>
      </c>
      <c r="AD141" s="1" t="s">
        <v>2255</v>
      </c>
      <c r="AE141" s="1" t="s">
        <v>1617</v>
      </c>
      <c r="AF141" s="1" t="s">
        <v>583</v>
      </c>
      <c r="AG141" s="1" t="s">
        <v>2047</v>
      </c>
      <c r="AH141" s="1" t="s">
        <v>1453</v>
      </c>
      <c r="AJ141" s="1" t="s">
        <v>2302</v>
      </c>
      <c r="AK141" s="1" t="s">
        <v>195</v>
      </c>
      <c r="AR141" s="1" t="s">
        <v>253</v>
      </c>
      <c r="AY141" s="1" t="s">
        <v>1205</v>
      </c>
      <c r="BN141" s="1">
        <v>1993.0</v>
      </c>
    </row>
    <row r="142">
      <c r="A142" s="1" t="s">
        <v>2303</v>
      </c>
      <c r="B142" s="1" t="str">
        <f>IFERROR(__xludf.DUMMYFUNCTION("GOOGLETRANSLATE(A:A, ""en"", ""te"")"),"REMSCHETMASH దృ")</f>
        <v>REMSCHETMASH దృ</v>
      </c>
      <c r="C142" s="1" t="s">
        <v>2304</v>
      </c>
      <c r="D142" s="1" t="str">
        <f>IFERROR(__xludf.DUMMYFUNCTION("GOOGLETRANSLATE(C:C, ""en"", ""te"")"),"REMSCHETMASH RSM-15 రాబస్ట్ ఉక్రెయిన్‌లో నిర్మించిన సింగిల్-సీట్, సింగిల్-ఇంజిన్ అల్ట్రాలైట్. ఇది మొట్టమొదట 2006 లో ప్రయాణించింది, కాని 2009 చివరి నాటికి ఉత్పత్తి విమానాలు నిర్మించబడలేదు. ఈ సాధారణ తయారీ సంస్థ ఇప్పటి వరకు నిర్మించిన ఏకైక విమానం రెమ్స్చెట్‌"&amp;"మాష్ రాబస్ట్. ఇది ఫ్లాప్స్ లేకుండా, స్థిరమైన తీగ యొక్క అధిక రెక్కను కలిగి ఉంటుంది. రెక్కలు దిగువ ఫ్యూజ్‌లేజ్‌కు ఒకే స్ట్రట్‌ల ద్వారా కలుపుతారు. సింగిల్-సీట్ల కాక్‌పిట్‌కు ప్రాప్యత కోసం స్టార్‌బోర్డ్ సైడ్ డోర్ ఉన్న కార్బన్ ఫైబర్ మోనోకోక్ ఇది. సాంప్రదాయిక ట"&amp;"్రైసైకిల్ అండర్ క్యారేజ్ ఫ్యూజ్‌లేజ్‌పై స్ప్రింగ్ స్టీల్ కాంటిలివర్ కాళ్ళతో మెయిన్‌వీల్స్‌ను కలిగి ఉంటుంది. ఫ్యూజ్‌లేజ్ యొక్క వెనుక దిగువ భాగం తోకకు పైకి ఉంటుంది, ఇక్కడ స్థిరమైన తీగ టెయిల్‌ప్లేన్ రెండు ఎండ్‌ప్లేట్ రెక్కల మధ్య ఒకే ముక్క ఎలివేటర్‌ను కలిగి ఉ"&amp;"ంటుంది. రెక్కలు మరియు రడ్డర్లు సమాంతరంగా అంచున ఉన్నాయి, కానీ గుండ్రని చిట్కాలతో, రడ్డర్లు రెక్కల కన్నా తక్కువ లోతుగా గుర్తించదగినవి. [1] దృ gemen మైన జర్మన్ 41 కిలోవాట్ల (55 హెచ్‌పి) హిర్త్ 2703 ట్విన్-సిలిండర్ ఇన్-లైన్ టూ-స్ట్రోక్ ఇంజన్, తగ్గింపు గేరింగ్"&amp;" ద్వారా మూడు-బ్లేడ్ ప్రొపెల్లర్‌ను నడుపుతుంది. [1] ప్రోటోటైప్ రాబస్ట్, సీరియల్ LA-0872, మొదట 2006 లో ప్రయాణించింది. మరికొన్ని ఉక్రేనియన్ అల్ట్రాలైట్స్ మాదిరిగా, ఉదా. లిలియంతల్ బెకాస్, వ్యవసాయ స్ప్రేయింగ్ సాధ్యమయ్యే పాత్రగా భావించబడింది, కాని తదుపరి విమానా"&amp;"లు నిర్మించినట్లు కనిపించలేదు. [1] [2] విస్తరించిన సంస్కరణ, RSM-25 బెకాస్ పరిగణించబడింది. ఇది ఒక స్పాన్ 11.40 మీ (37 అడుగుల 5 అంగుళాలు) కు పెరిగింది, గరిష్టంగా టేకాఫ్ బరువు 495 కిలోలు (1,091 పౌండ్లు) మరియు 60 కిలోవాట్ల (80 హెచ్‌పి) వోక్స్వ్యాగన్ 2300 ఇంజి"&amp;"న్‌తో శక్తినిస్తుంది. [1] జేన్ యొక్క అన్ని ప్రపంచ విమానాల నుండి డేటా 2010/11 [1] సాధారణ లక్షణాల పనితీరు")</f>
        <v>REMSCHETMASH RSM-15 రాబస్ట్ ఉక్రెయిన్‌లో నిర్మించిన సింగిల్-సీట్, సింగిల్-ఇంజిన్ అల్ట్రాలైట్. ఇది మొట్టమొదట 2006 లో ప్రయాణించింది, కాని 2009 చివరి నాటికి ఉత్పత్తి విమానాలు నిర్మించబడలేదు. ఈ సాధారణ తయారీ సంస్థ ఇప్పటి వరకు నిర్మించిన ఏకైక విమానం రెమ్స్చెట్‌మాష్ రాబస్ట్. ఇది ఫ్లాప్స్ లేకుండా, స్థిరమైన తీగ యొక్క అధిక రెక్కను కలిగి ఉంటుంది. రెక్కలు దిగువ ఫ్యూజ్‌లేజ్‌కు ఒకే స్ట్రట్‌ల ద్వారా కలుపుతారు. సింగిల్-సీట్ల కాక్‌పిట్‌కు ప్రాప్యత కోసం స్టార్‌బోర్డ్ సైడ్ డోర్ ఉన్న కార్బన్ ఫైబర్ మోనోకోక్ ఇది. సాంప్రదాయిక ట్రైసైకిల్ అండర్ క్యారేజ్ ఫ్యూజ్‌లేజ్‌పై స్ప్రింగ్ స్టీల్ కాంటిలివర్ కాళ్ళతో మెయిన్‌వీల్స్‌ను కలిగి ఉంటుంది. ఫ్యూజ్‌లేజ్ యొక్క వెనుక దిగువ భాగం తోకకు పైకి ఉంటుంది, ఇక్కడ స్థిరమైన తీగ టెయిల్‌ప్లేన్ రెండు ఎండ్‌ప్లేట్ రెక్కల మధ్య ఒకే ముక్క ఎలివేటర్‌ను కలిగి ఉంటుంది. రెక్కలు మరియు రడ్డర్లు సమాంతరంగా అంచున ఉన్నాయి, కానీ గుండ్రని చిట్కాలతో, రడ్డర్లు రెక్కల కన్నా తక్కువ లోతుగా గుర్తించదగినవి. [1] దృ gemen మైన జర్మన్ 41 కిలోవాట్ల (55 హెచ్‌పి) హిర్త్ 2703 ట్విన్-సిలిండర్ ఇన్-లైన్ టూ-స్ట్రోక్ ఇంజన్, తగ్గింపు గేరింగ్ ద్వారా మూడు-బ్లేడ్ ప్రొపెల్లర్‌ను నడుపుతుంది. [1] ప్రోటోటైప్ రాబస్ట్, సీరియల్ LA-0872, మొదట 2006 లో ప్రయాణించింది. మరికొన్ని ఉక్రేనియన్ అల్ట్రాలైట్స్ మాదిరిగా, ఉదా. లిలియంతల్ బెకాస్, వ్యవసాయ స్ప్రేయింగ్ సాధ్యమయ్యే పాత్రగా భావించబడింది, కాని తదుపరి విమానాలు నిర్మించినట్లు కనిపించలేదు. [1] [2] విస్తరించిన సంస్కరణ, RSM-25 బెకాస్ పరిగణించబడింది. ఇది ఒక స్పాన్ 11.40 మీ (37 అడుగుల 5 అంగుళాలు) కు పెరిగింది, గరిష్టంగా టేకాఫ్ బరువు 495 కిలోలు (1,091 పౌండ్లు) మరియు 60 కిలోవాట్ల (80 హెచ్‌పి) వోక్స్వ్యాగన్ 2300 ఇంజిన్‌తో శక్తినిస్తుంది. [1] జేన్ యొక్క అన్ని ప్రపంచ విమానాల నుండి డేటా 2010/11 [1] సాధారణ లక్షణాల పనితీరు</v>
      </c>
      <c r="E142" s="1" t="s">
        <v>2305</v>
      </c>
      <c r="F142" s="1" t="str">
        <f>IFERROR(__xludf.DUMMYFUNCTION("GOOGLETRANSLATE(E:E, ""en"", ""te"")"),"అల్ట్రాలైట్")</f>
        <v>అల్ట్రాలైట్</v>
      </c>
      <c r="G142" s="1" t="s">
        <v>988</v>
      </c>
      <c r="H142" s="1" t="str">
        <f>IFERROR(__xludf.DUMMYFUNCTION("GOOGLETRANSLATE(G:G, ""en"", ""te"")"),"ఉక్రెయిన్")</f>
        <v>ఉక్రెయిన్</v>
      </c>
      <c r="I142" s="1" t="s">
        <v>2306</v>
      </c>
      <c r="J142" s="1" t="str">
        <f>IFERROR(__xludf.DUMMYFUNCTION("GOOGLETRANSLATE(I:I, ""en"", ""te"")"),"Remschetmash Jsc, druzhkivka")</f>
        <v>Remschetmash Jsc, druzhkivka</v>
      </c>
      <c r="K142" s="1" t="s">
        <v>2307</v>
      </c>
      <c r="N142" s="1">
        <v>2006.0</v>
      </c>
      <c r="P142" s="1" t="s">
        <v>2308</v>
      </c>
      <c r="Q142" s="1" t="s">
        <v>2309</v>
      </c>
      <c r="R142" s="1" t="s">
        <v>2310</v>
      </c>
      <c r="S142" s="1" t="s">
        <v>2311</v>
      </c>
      <c r="V142" s="1" t="s">
        <v>2312</v>
      </c>
      <c r="W142" s="1" t="s">
        <v>2313</v>
      </c>
      <c r="X142" s="1" t="s">
        <v>2314</v>
      </c>
      <c r="Z142" s="1" t="s">
        <v>2315</v>
      </c>
      <c r="AB142" s="2" t="s">
        <v>2316</v>
      </c>
      <c r="AC142" s="2" t="s">
        <v>999</v>
      </c>
      <c r="AF142" s="1" t="s">
        <v>2317</v>
      </c>
      <c r="AG142" s="1" t="s">
        <v>537</v>
      </c>
      <c r="AH142" s="1" t="s">
        <v>193</v>
      </c>
      <c r="AJ142" s="1" t="s">
        <v>2318</v>
      </c>
      <c r="AK142" s="1">
        <v>1.0</v>
      </c>
      <c r="AT142" s="1" t="s">
        <v>2319</v>
      </c>
      <c r="AY142" s="1" t="s">
        <v>2320</v>
      </c>
      <c r="BA142" s="1" t="s">
        <v>2321</v>
      </c>
      <c r="BH142" s="1" t="s">
        <v>2322</v>
      </c>
    </row>
    <row r="143">
      <c r="A143" s="1" t="s">
        <v>2323</v>
      </c>
      <c r="B143" s="1" t="str">
        <f>IFERROR(__xludf.DUMMYFUNCTION("GOOGLETRANSLATE(A:A, ""en"", ""te"")"),"రాగ్వింగ్ RW11 రాగ్-ఎ-బాండ్")</f>
        <v>రాగ్వింగ్ RW11 రాగ్-ఎ-బాండ్</v>
      </c>
      <c r="C143" s="1" t="s">
        <v>2324</v>
      </c>
      <c r="D143" s="1" t="str">
        <f>IFERROR(__xludf.DUMMYFUNCTION("GOOGLETRANSLATE(C:C, ""en"", ""te"")"),"రాగ్వింగ్ RW11 రాగ్-ఎ-బాండ్ రెండు-సీట్ల, హై వింగ్, స్ట్రట్-బ్రెస్డ్, సాంప్రదాయ ల్యాండింగ్ గేర్, రోజర్ మన్ చేత రూపొందించబడిన సింగిల్ ఇంజిన్ హోమ్‌బ్యూల్ట్ విమానం మరియు te త్సాహిక నిర్మాణం కోసం రాగ్వింగ్ విమాన డిజైన్ల ద్వారా ప్రణాళికలుగా విక్రయించబడింది. [1]"&amp;" [2] సామాన్య RW11 పైపర్ PA-15 వాగబాండ్ యొక్క ప్రతిరూపం. [1] [2] [3] RW11 యుఎస్ ప్రయోగాత్మక హోమ్‌బ్యూల్ట్ ఎయిర్‌క్రాఫ్ట్ వర్గం కోసం లేదా యుఎస్ ఫార్ 103 అల్ట్రాలైట్ వాహనాలుగా రెండు-సీట్ల అల్ట్రాలైట్ ట్రైనర్‌గా రూపొందించబడింది మరియు 1996 లో మొదట ఎగిరింది. [1"&amp;"] [2] [3] ఎయిర్‌ఫ్రేమ్ పూర్తిగా కలప నుండి నిర్మించబడింది మరియు విమాన ఫాబ్రిక్‌తో కప్పబడి ఉంటుంది. ల్యాండింగ్ గేర్ బంగీ సస్పెన్షన్‌తో సాంప్రదాయిక ఆకృతీకరణను కలిగి ఉంది. క్యాబిన్ అంతర్గతంగా 42 లో (107 సెం.మీ) వెడల్పు మరియు డూప్డ్ స్టోల్ స్టైల్ వింగ్టిప్స్ ఐ"&amp;"చ్ఛికం. విమానం యొక్క వ్యవస్థాపించిన విద్యుత్ పరిధి 52 నుండి 100 హెచ్‌పి (39 నుండి 75 కిలోవాట్) మరియు ప్రామాణిక ఇంజిన్ 52 హెచ్‌పి (39 కిలోవాట్) రోటాక్స్ 503, అయితే 70 హెచ్‌పి (52 కిలోవాట్ -81 ఇంజన్లు కూడా ఉపయోగించబడ్డాయి. [1] [2] [3] RW11 ప్రణాళికలుగా మాత్"&amp;"రమే అందించబడుతుంది మరియు విమానాన్ని పూర్తి చేయడానికి 500 గంటలు పడుతుందని డిజైనర్ అంచనా వేసింది. [1] [2] [3] [4] కిట్‌ప్లాన్లు, పర్డీ మరియు రాగ్‌వింగ్ నుండి డేటా [1] [2] [3] పోల్చదగిన పాత్ర, కాన్ఫిగరేషన్ మరియు యుగం యొక్క సాధారణ లక్షణాల పనితీరు విమానం")</f>
        <v>రాగ్వింగ్ RW11 రాగ్-ఎ-బాండ్ రెండు-సీట్ల, హై వింగ్, స్ట్రట్-బ్రెస్డ్, సాంప్రదాయ ల్యాండింగ్ గేర్, రోజర్ మన్ చేత రూపొందించబడిన సింగిల్ ఇంజిన్ హోమ్‌బ్యూల్ట్ విమానం మరియు te త్సాహిక నిర్మాణం కోసం రాగ్వింగ్ విమాన డిజైన్ల ద్వారా ప్రణాళికలుగా విక్రయించబడింది. [1] [2] సామాన్య RW11 పైపర్ PA-15 వాగబాండ్ యొక్క ప్రతిరూపం. [1] [2] [3] RW11 యుఎస్ ప్రయోగాత్మక హోమ్‌బ్యూల్ట్ ఎయిర్‌క్రాఫ్ట్ వర్గం కోసం లేదా యుఎస్ ఫార్ 103 అల్ట్రాలైట్ వాహనాలుగా రెండు-సీట్ల అల్ట్రాలైట్ ట్రైనర్‌గా రూపొందించబడింది మరియు 1996 లో మొదట ఎగిరింది. [1] [2] [3] ఎయిర్‌ఫ్రేమ్ పూర్తిగా కలప నుండి నిర్మించబడింది మరియు విమాన ఫాబ్రిక్‌తో కప్పబడి ఉంటుంది. ల్యాండింగ్ గేర్ బంగీ సస్పెన్షన్‌తో సాంప్రదాయిక ఆకృతీకరణను కలిగి ఉంది. క్యాబిన్ అంతర్గతంగా 42 లో (107 సెం.మీ) వెడల్పు మరియు డూప్డ్ స్టోల్ స్టైల్ వింగ్టిప్స్ ఐచ్ఛికం. విమానం యొక్క వ్యవస్థాపించిన విద్యుత్ పరిధి 52 నుండి 100 హెచ్‌పి (39 నుండి 75 కిలోవాట్) మరియు ప్రామాణిక ఇంజిన్ 52 హెచ్‌పి (39 కిలోవాట్) రోటాక్స్ 503, అయితే 70 హెచ్‌పి (52 కిలోవాట్ -81 ఇంజన్లు కూడా ఉపయోగించబడ్డాయి. [1] [2] [3] RW11 ప్రణాళికలుగా మాత్రమే అందించబడుతుంది మరియు విమానాన్ని పూర్తి చేయడానికి 500 గంటలు పడుతుందని డిజైనర్ అంచనా వేసింది. [1] [2] [3] [4] కిట్‌ప్లాన్లు, పర్డీ మరియు రాగ్‌వింగ్ నుండి డేటా [1] [2] [3] పోల్చదగిన పాత్ర, కాన్ఫిగరేషన్ మరియు యుగం యొక్క సాధారణ లక్షణాల పనితీరు విమానం</v>
      </c>
      <c r="E143" s="1" t="s">
        <v>154</v>
      </c>
      <c r="F143" s="1" t="str">
        <f>IFERROR(__xludf.DUMMYFUNCTION("GOOGLETRANSLATE(E:E, ""en"", ""te"")"),"హోమ్‌బిల్ట్ విమానం")</f>
        <v>హోమ్‌బిల్ట్ విమానం</v>
      </c>
      <c r="G143" s="1" t="s">
        <v>155</v>
      </c>
      <c r="H143" s="1" t="str">
        <f>IFERROR(__xludf.DUMMYFUNCTION("GOOGLETRANSLATE(G:G, ""en"", ""te"")"),"అమెరికా")</f>
        <v>అమెరికా</v>
      </c>
      <c r="I143" s="1" t="s">
        <v>2249</v>
      </c>
      <c r="J143" s="1" t="str">
        <f>IFERROR(__xludf.DUMMYFUNCTION("GOOGLETRANSLATE(I:I, ""en"", ""te"")"),"రాగ్వింగ్ విమాన నమూనాలు")</f>
        <v>రాగ్వింగ్ విమాన నమూనాలు</v>
      </c>
      <c r="K143" s="1" t="s">
        <v>2250</v>
      </c>
      <c r="L143" s="1" t="s">
        <v>2251</v>
      </c>
      <c r="N143" s="1">
        <v>1996.0</v>
      </c>
      <c r="O143" s="1" t="s">
        <v>135</v>
      </c>
      <c r="P143" s="1" t="s">
        <v>1532</v>
      </c>
      <c r="Q143" s="1" t="s">
        <v>1546</v>
      </c>
      <c r="R143" s="1" t="s">
        <v>334</v>
      </c>
      <c r="S143" s="1" t="s">
        <v>2325</v>
      </c>
      <c r="T143" s="1" t="s">
        <v>2326</v>
      </c>
      <c r="U143" s="1" t="s">
        <v>1631</v>
      </c>
      <c r="V143" s="1" t="s">
        <v>2300</v>
      </c>
      <c r="X143" s="1" t="s">
        <v>2212</v>
      </c>
      <c r="Y143" s="1" t="s">
        <v>2327</v>
      </c>
      <c r="Z143" s="1" t="s">
        <v>2328</v>
      </c>
      <c r="AB143" s="1" t="s">
        <v>166</v>
      </c>
      <c r="AC143" s="2" t="s">
        <v>167</v>
      </c>
      <c r="AD143" s="1" t="s">
        <v>2255</v>
      </c>
      <c r="AE143" s="1" t="s">
        <v>1617</v>
      </c>
      <c r="AF143" s="1" t="s">
        <v>583</v>
      </c>
      <c r="AG143" s="1" t="s">
        <v>2329</v>
      </c>
      <c r="AH143" s="1" t="s">
        <v>1502</v>
      </c>
      <c r="AJ143" s="1" t="s">
        <v>586</v>
      </c>
      <c r="AK143" s="1" t="s">
        <v>195</v>
      </c>
      <c r="AY143" s="1" t="s">
        <v>2330</v>
      </c>
      <c r="BN143" s="1">
        <v>1996.0</v>
      </c>
    </row>
    <row r="144">
      <c r="A144" s="1" t="s">
        <v>2331</v>
      </c>
      <c r="B144" s="1" t="str">
        <f>IFERROR(__xludf.DUMMYFUNCTION("GOOGLETRANSLATE(A:A, ""en"", ""te"")"),"రెయిన్బో ఏరోట్రైక్")</f>
        <v>రెయిన్బో ఏరోట్రైక్</v>
      </c>
      <c r="C144" s="1" t="s">
        <v>2332</v>
      </c>
      <c r="D144" s="1" t="str">
        <f>IFERROR(__xludf.DUMMYFUNCTION("GOOGLETRANSLATE(C:C, ""en"", ""te"")"),"రెయిన్బో ఏరోట్రైక్ అనేది దక్షిణాఫ్రికా రెండు-సీట్ల అల్ట్రాలైట్ ట్రైక్‌ల కుటుంబం, ఇది ఈడెన్‌విలే, గౌటెంగ్ యొక్క రెయిన్బో విమానంతో తయారు చేయబడింది మరియు te త్సాహిక నిర్మాణం కోసం కిట్ రూపంలో లభిస్తుంది లేదా పూర్తిగా సమావేశమైంది. ఈ రకం దాని సుదూర విమానాలకు గు"&amp;"ర్తించబడింది. [1] [2] [3] [4] [5] [6] ప్రస్తుత ఏరోట్రైక్ సిరీస్‌లో ఒకే ప్రాథమిక రూపకల్పన యొక్క రెండు వైవిధ్యాలు ఉన్నాయి, స్కౌట్ మరియు కోబ్రా. రెండూ ఒకే ప్రాథమిక రూపకల్పనను పంచుకుంటాయి, వీటిలో రెండు-సీట్ల క్యారేజ్ ఫ్రేమ్, సస్పెన్షన్, స్టీరింగ్ మరియు మడత వి"&amp;"లోమ ""V"" మాస్ట్ అసెంబ్లీ ఉన్నాయి. స్కౌట్ కనిష్టంగా అమర్చబడి ఉంటుంది, అయితే కోబ్రాకు కాక్‌పిట్ పాడ్ ఫెయిరింగ్, విండ్‌షీల్డ్, ఇన్స్ట్రుమెంట్ ప్యానెల్, జీను బ్యాగులు మరియు వీల్ ప్యాంటులతో సహా ప్రామాణిక పరికరాలుగా అనేక ఎంపికలు ఉన్నాయి. [1] [6] రెండు మోడళ్లకు"&amp;" సరఫరా చేసిన కిట్ నుండి సమీకరించటానికి 30-40 గంటలు అవసరం. [1] ఏరోట్రైక్ సిరీస్ అతని రికార్డు సుదూర విమానాల కోసం మైక్ బ్లైత్ ఎంపిక. 1995 లో మొట్టమొదటిది దక్షిణాఫ్రికాలోని కేప్ టౌన్ నుండి నార్వేలోని నార్త్ కేప్ వరకు 10,255 మైళ్ళు (16,504 కిమీ) మరియు రెండవది"&amp;" 29,000 మైళ్ళు (46,671 కిమీ) ప్రపంచవ్యాప్తంగా విమాన ప్రయాణం. [1] [2] [[(3] క్లిచ్ మరియు రెయిన్బో విమానం నుండి డేటా [1] [7] [8] పోల్చదగిన పాత్ర, కాన్ఫిగరేషన్ మరియు ERA యొక్క సాధారణ లక్షణాల పనితీరు విమానం")</f>
        <v>రెయిన్బో ఏరోట్రైక్ అనేది దక్షిణాఫ్రికా రెండు-సీట్ల అల్ట్రాలైట్ ట్రైక్‌ల కుటుంబం, ఇది ఈడెన్‌విలే, గౌటెంగ్ యొక్క రెయిన్బో విమానంతో తయారు చేయబడింది మరియు te త్సాహిక నిర్మాణం కోసం కిట్ రూపంలో లభిస్తుంది లేదా పూర్తిగా సమావేశమైంది. ఈ రకం దాని సుదూర విమానాలకు గుర్తించబడింది. [1] [2] [3] [4] [5] [6] ప్రస్తుత ఏరోట్రైక్ సిరీస్‌లో ఒకే ప్రాథమిక రూపకల్పన యొక్క రెండు వైవిధ్యాలు ఉన్నాయి, స్కౌట్ మరియు కోబ్రా. రెండూ ఒకే ప్రాథమిక రూపకల్పనను పంచుకుంటాయి, వీటిలో రెండు-సీట్ల క్యారేజ్ ఫ్రేమ్, సస్పెన్షన్, స్టీరింగ్ మరియు మడత విలోమ "V" మాస్ట్ అసెంబ్లీ ఉన్నాయి. స్కౌట్ కనిష్టంగా అమర్చబడి ఉంటుంది, అయితే కోబ్రాకు కాక్‌పిట్ పాడ్ ఫెయిరింగ్, విండ్‌షీల్డ్, ఇన్స్ట్రుమెంట్ ప్యానెల్, జీను బ్యాగులు మరియు వీల్ ప్యాంటులతో సహా ప్రామాణిక పరికరాలుగా అనేక ఎంపికలు ఉన్నాయి. [1] [6] రెండు మోడళ్లకు సరఫరా చేసిన కిట్ నుండి సమీకరించటానికి 30-40 గంటలు అవసరం. [1] ఏరోట్రైక్ సిరీస్ అతని రికార్డు సుదూర విమానాల కోసం మైక్ బ్లైత్ ఎంపిక. 1995 లో మొట్టమొదటిది దక్షిణాఫ్రికాలోని కేప్ టౌన్ నుండి నార్వేలోని నార్త్ కేప్ వరకు 10,255 మైళ్ళు (16,504 కిమీ) మరియు రెండవది 29,000 మైళ్ళు (46,671 కిమీ) ప్రపంచవ్యాప్తంగా విమాన ప్రయాణం. [1] [2] [[(3] క్లిచ్ మరియు రెయిన్బో విమానం నుండి డేటా [1] [7] [8] పోల్చదగిన పాత్ర, కాన్ఫిగరేషన్ మరియు ERA యొక్క సాధారణ లక్షణాల పనితీరు విమానం</v>
      </c>
      <c r="E144" s="1" t="s">
        <v>1994</v>
      </c>
      <c r="F144" s="1" t="str">
        <f>IFERROR(__xludf.DUMMYFUNCTION("GOOGLETRANSLATE(E:E, ""en"", ""te"")"),"అల్ట్రాలైట్ ట్రైక్")</f>
        <v>అల్ట్రాలైట్ ట్రైక్</v>
      </c>
      <c r="G144" s="1" t="s">
        <v>2333</v>
      </c>
      <c r="H144" s="1" t="str">
        <f>IFERROR(__xludf.DUMMYFUNCTION("GOOGLETRANSLATE(G:G, ""en"", ""te"")"),"దక్షిణ ఆఫ్రికా")</f>
        <v>దక్షిణ ఆఫ్రికా</v>
      </c>
      <c r="I144" s="1" t="s">
        <v>2334</v>
      </c>
      <c r="J144" s="1" t="str">
        <f>IFERROR(__xludf.DUMMYFUNCTION("GOOGLETRANSLATE(I:I, ""en"", ""te"")"),"రెయిన్బో విమానం")</f>
        <v>రెయిన్బో విమానం</v>
      </c>
      <c r="K144" s="1" t="s">
        <v>2335</v>
      </c>
      <c r="O144" s="1" t="s">
        <v>135</v>
      </c>
      <c r="Q144" s="1" t="s">
        <v>2336</v>
      </c>
      <c r="R144" s="1" t="s">
        <v>2337</v>
      </c>
      <c r="S144" s="1" t="s">
        <v>2338</v>
      </c>
      <c r="T144" s="1" t="s">
        <v>2339</v>
      </c>
      <c r="U144" s="1" t="s">
        <v>2340</v>
      </c>
      <c r="V144" s="1" t="s">
        <v>2341</v>
      </c>
      <c r="W144" s="1" t="s">
        <v>2342</v>
      </c>
      <c r="X144" s="1" t="s">
        <v>2343</v>
      </c>
      <c r="Y144" s="1" t="s">
        <v>2344</v>
      </c>
      <c r="Z144" s="1" t="s">
        <v>142</v>
      </c>
      <c r="AB144" s="1" t="s">
        <v>2002</v>
      </c>
      <c r="AC144" s="1" t="s">
        <v>2345</v>
      </c>
      <c r="AD144" s="1" t="s">
        <v>426</v>
      </c>
      <c r="AE144" s="1" t="s">
        <v>2346</v>
      </c>
      <c r="AF144" s="1" t="s">
        <v>2347</v>
      </c>
      <c r="AG144" s="1" t="s">
        <v>1244</v>
      </c>
      <c r="AH144" s="1" t="s">
        <v>2348</v>
      </c>
      <c r="AI144" s="1" t="s">
        <v>2349</v>
      </c>
      <c r="AJ144" s="1" t="s">
        <v>2350</v>
      </c>
      <c r="AK144" s="1" t="s">
        <v>195</v>
      </c>
      <c r="AR144" s="1" t="s">
        <v>253</v>
      </c>
      <c r="AY144" s="1" t="s">
        <v>1435</v>
      </c>
      <c r="BB144" s="1">
        <v>8.0</v>
      </c>
    </row>
    <row r="145">
      <c r="A145" s="1" t="s">
        <v>2351</v>
      </c>
      <c r="B145" s="1" t="str">
        <f>IFERROR(__xludf.DUMMYFUNCTION("GOOGLETRANSLATE(A:A, ""en"", ""te"")"),"రాన్స్ ఎస్ -12 ఎయిలే")</f>
        <v>రాన్స్ ఎస్ -12 ఎయిలే</v>
      </c>
      <c r="C145" s="1" t="s">
        <v>2352</v>
      </c>
      <c r="D145" s="1" t="str">
        <f>IFERROR(__xludf.DUMMYFUNCTION("GOOGLETRANSLATE(C:C, ""en"", ""te"")"),"RANS S-12 AIRALE అనేది సంబంధిత అమెరికన్ సింగిల్-ఇంజిన్, పషర్ కాన్ఫిగరేషన్, రాండి ష్లిట్టర్ రూపొందించిన మరియు రాన్స్ ఇంక్ చేత తయారు చేయబడిన హై-వింగ్ మోనోప్లేన్స్ యొక్క కుటుంబం. ఈ విమానం te త్సాహిక నిర్మాణం కోసం కిట్ రూపంలో లభిస్తుంది. [1] [2] [[3] [3] [4] "&amp;"[4] [5] [5] [5] [6] [6] [7] [8] 1 జూన్ 2006 న రాన్స్ యొక్క విస్తృతమైన పునర్వ్యవస్థీకరణలో భాగంగా ఎస్ -12 ఎయిలే, ఎస్ -14 ఎయిలే, ఎస్ -17 స్ట్రింగర్ మరియు ఎస్ -18 స్ట్రింగర్ II యొక్క ఉత్పత్తి ముగిసింది. ఎస్ -12 ఎక్స్ఎల్ ఎయిలే మొదట ఉద్దేశించబడింది అదే సమయంలో ల"&amp;"ైన్ నుండి కత్తిరించండి, కాని కస్టమర్ డిమాండ్ మోడల్‌ను నిలుపుకోవటానికి కంపెనీని ఒప్పించారు మరియు ఇది ఇప్పటికీ 2015 లో ప్రత్యేక ఆర్డర్‌గా లభిస్తుంది. [6] [9] ఎస్ -12 ఎయిలేల్‌ను రాండి ష్లిట్టర్ రూపొందించారు మరియు మార్చి 1990 లో వినోద మరియు విమాన శిక్షణా ఉపయో"&amp;"గం కోసం రెండు సీట్ల పక్కపక్కనే, ట్రైసైకిల్ గేర్ అల్ట్రాలైట్ విమానంగా ప్రవేశపెట్టారు. ఎస్ -12 యొక్క సింగిల్-సీట్ వెర్షన్, ఎస్ -14 ఎయిలేల్, ఒక సంవత్సరం తరువాత రూపొందించబడింది మరియు 1991 లో ఉత్పత్తిలోకి ప్రవేశించింది. ఎస్ -17 స్ట్రింగర్ ఎస్ -14 యొక్క రెక్కలు"&amp;", తోక, బూమ్ ట్యూబ్‌ను కలిగి ఉంది, ఇది న్యూతో జతచేయబడింది ఫార్వర్డ్ 4130 స్టీల్ ట్యూబ్ కాక్‌పిట్ మరియు సాంప్రదాయిక ల్యాండింగ్ గేర్‌తో అమర్చబడి, ఓపెన్-కాక్‌పిట్ అల్ట్రాలైట్‌ను రూపొందించడానికి యుఎస్ ఫార్ 103 అల్ట్రాలైట్ వాహనాల నిబంధనలకు అనుగుణంగా ఉంటుంది. ఎస"&amp;"్ -18 స్ట్రింగర్ II ఎస్ -12 యొక్క రెక్కలు, తోక మరియు బూమ్ ట్యూబ్‌ను ఉపయోగిస్తుంది, మళ్ళీ కొత్త ఫార్వర్డ్ స్టీల్ ట్యూబ్ ఫ్యూజ్‌లేజ్‌తో టెన్డం సీటు, సాంప్రదాయ ల్యాండింగ్ గేర్, ఓపెన్ కాక్‌పిట్ అల్ట్రాలైట్ ట్రైనర్. [1] [5] అనేక రాన్స్ మోడళ్ల మాదిరిగానే, ఈ కుట"&amp;"ుంబంలో వెల్డెడ్ 4130 స్టీల్ ట్యూబ్ కాక్‌పిట్ ఉంది, బోల్ట్ 6061-టి 6 అల్యూమినియం ట్యూబ్ వెనుక ఫ్యూజ్‌లేజ్‌తో. అన్ని ఫ్యూజ్‌లేజ్, వింగ్ మరియు తోక ఉపరితలాలు డాక్రాన్ లేదా కొన్ని మోడళ్ల డోప్ మరియు ఫాబ్రిక్‌లో కప్పబడి ఉంటాయి. రెక్కలు అల్యూమినియం ట్యూబ్ మరియు ప"&amp;"క్కటెముకల నుండి నిర్మించబడ్డాయి, ఫీచర్ ఫ్లాప్‌లు మరియు మడత లేదా తొలగించగలవి. [1] [2] [5] ప్రస్తుత S-12XL 50 HP (37 kW) యొక్క రోటాక్స్ 503 చేత శక్తిని పొందుతుంది, రోటాక్స్ 582 64 HP (48 kW), రోటాక్స్ 912UL 80 HP (60 kW) మరియు 100 HP యొక్క రోటాక్స్ 912UL (7"&amp;"5 kW) ఎంపికలుగా లభిస్తుంది. [2] [5] [10] విమాన కుటుంబానికి 1000 ఎస్ -12 లకు పైగా పంపిణీ చేయడంతో మంచి ఆదరణ లభించింది. 1998 లో కిట్‌ప్లానెస్ మ్యాగజైన్ S-14 ""స్క్వీకీ క్లీన్ హ్యాండ్లింగ్ కొద్దిగా జెట్ లాగా అనిపిస్తుంది, కాని అల్ట్రాలైట్ లాగా ఉంటుంది"" అని అ"&amp;"న్నారు. [2] [9] RANS వెబ్‌సైట్ నుండి డేటా [10] పోల్చదగిన పాత్ర, కాన్ఫిగరేషన్ మరియు ERA యొక్క సాధారణ లక్షణాల పనితీరు విమానం")</f>
        <v>RANS S-12 AIRALE అనేది సంబంధిత అమెరికన్ సింగిల్-ఇంజిన్, పషర్ కాన్ఫిగరేషన్, రాండి ష్లిట్టర్ రూపొందించిన మరియు రాన్స్ ఇంక్ చేత తయారు చేయబడిన హై-వింగ్ మోనోప్లేన్స్ యొక్క కుటుంబం. ఈ విమానం te త్సాహిక నిర్మాణం కోసం కిట్ రూపంలో లభిస్తుంది. [1] [2] [[3] [3] [4] [4] [5] [5] [5] [6] [6] [7] [8] 1 జూన్ 2006 న రాన్స్ యొక్క విస్తృతమైన పునర్వ్యవస్థీకరణలో భాగంగా ఎస్ -12 ఎయిలే, ఎస్ -14 ఎయిలే, ఎస్ -17 స్ట్రింగర్ మరియు ఎస్ -18 స్ట్రింగర్ II యొక్క ఉత్పత్తి ముగిసింది. ఎస్ -12 ఎక్స్ఎల్ ఎయిలే మొదట ఉద్దేశించబడింది అదే సమయంలో లైన్ నుండి కత్తిరించండి, కాని కస్టమర్ డిమాండ్ మోడల్‌ను నిలుపుకోవటానికి కంపెనీని ఒప్పించారు మరియు ఇది ఇప్పటికీ 2015 లో ప్రత్యేక ఆర్డర్‌గా లభిస్తుంది. [6] [9] ఎస్ -12 ఎయిలేల్‌ను రాండి ష్లిట్టర్ రూపొందించారు మరియు మార్చి 1990 లో వినోద మరియు విమాన శిక్షణా ఉపయోగం కోసం రెండు సీట్ల పక్కపక్కనే, ట్రైసైకిల్ గేర్ అల్ట్రాలైట్ విమానంగా ప్రవేశపెట్టారు. ఎస్ -12 యొక్క సింగిల్-సీట్ వెర్షన్, ఎస్ -14 ఎయిలేల్, ఒక సంవత్సరం తరువాత రూపొందించబడింది మరియు 1991 లో ఉత్పత్తిలోకి ప్రవేశించింది. ఎస్ -17 స్ట్రింగర్ ఎస్ -14 యొక్క రెక్కలు, తోక, బూమ్ ట్యూబ్‌ను కలిగి ఉంది, ఇది న్యూతో జతచేయబడింది ఫార్వర్డ్ 4130 స్టీల్ ట్యూబ్ కాక్‌పిట్ మరియు సాంప్రదాయిక ల్యాండింగ్ గేర్‌తో అమర్చబడి, ఓపెన్-కాక్‌పిట్ అల్ట్రాలైట్‌ను రూపొందించడానికి యుఎస్ ఫార్ 103 అల్ట్రాలైట్ వాహనాల నిబంధనలకు అనుగుణంగా ఉంటుంది. ఎస్ -18 స్ట్రింగర్ II ఎస్ -12 యొక్క రెక్కలు, తోక మరియు బూమ్ ట్యూబ్‌ను ఉపయోగిస్తుంది, మళ్ళీ కొత్త ఫార్వర్డ్ స్టీల్ ట్యూబ్ ఫ్యూజ్‌లేజ్‌తో టెన్డం సీటు, సాంప్రదాయ ల్యాండింగ్ గేర్, ఓపెన్ కాక్‌పిట్ అల్ట్రాలైట్ ట్రైనర్. [1] [5] అనేక రాన్స్ మోడళ్ల మాదిరిగానే, ఈ కుటుంబంలో వెల్డెడ్ 4130 స్టీల్ ట్యూబ్ కాక్‌పిట్ ఉంది, బోల్ట్ 6061-టి 6 అల్యూమినియం ట్యూబ్ వెనుక ఫ్యూజ్‌లేజ్‌తో. అన్ని ఫ్యూజ్‌లేజ్, వింగ్ మరియు తోక ఉపరితలాలు డాక్రాన్ లేదా కొన్ని మోడళ్ల డోప్ మరియు ఫాబ్రిక్‌లో కప్పబడి ఉంటాయి. రెక్కలు అల్యూమినియం ట్యూబ్ మరియు పక్కటెముకల నుండి నిర్మించబడ్డాయి, ఫీచర్ ఫ్లాప్‌లు మరియు మడత లేదా తొలగించగలవి. [1] [2] [5] ప్రస్తుత S-12XL 50 HP (37 kW) యొక్క రోటాక్స్ 503 చేత శక్తిని పొందుతుంది, రోటాక్స్ 582 64 HP (48 kW), రోటాక్స్ 912UL 80 HP (60 kW) మరియు 100 HP యొక్క రోటాక్స్ 912UL (75 kW) ఎంపికలుగా లభిస్తుంది. [2] [5] [10] విమాన కుటుంబానికి 1000 ఎస్ -12 లకు పైగా పంపిణీ చేయడంతో మంచి ఆదరణ లభించింది. 1998 లో కిట్‌ప్లానెస్ మ్యాగజైన్ S-14 "స్క్వీకీ క్లీన్ హ్యాండ్లింగ్ కొద్దిగా జెట్ లాగా అనిపిస్తుంది, కాని అల్ట్రాలైట్ లాగా ఉంటుంది" అని అన్నారు. [2] [9] RANS వెబ్‌సైట్ నుండి డేటా [10] పోల్చదగిన పాత్ర, కాన్ఫిగరేషన్ మరియు ERA యొక్క సాధారణ లక్షణాల పనితీరు విమానం</v>
      </c>
      <c r="E145" s="1" t="s">
        <v>621</v>
      </c>
      <c r="F145" s="1" t="str">
        <f>IFERROR(__xludf.DUMMYFUNCTION("GOOGLETRANSLATE(E:E, ""en"", ""te"")"),"కిట్ విమానం")</f>
        <v>కిట్ విమానం</v>
      </c>
      <c r="G145" s="1" t="s">
        <v>155</v>
      </c>
      <c r="H145" s="1" t="str">
        <f>IFERROR(__xludf.DUMMYFUNCTION("GOOGLETRANSLATE(G:G, ""en"", ""te"")"),"అమెరికా")</f>
        <v>అమెరికా</v>
      </c>
      <c r="I145" s="1" t="s">
        <v>2353</v>
      </c>
      <c r="J145" s="1" t="str">
        <f>IFERROR(__xludf.DUMMYFUNCTION("GOOGLETRANSLATE(I:I, ""en"", ""te"")"),"రాన్స్ ఇంక్")</f>
        <v>రాన్స్ ఇంక్</v>
      </c>
      <c r="K145" s="1" t="s">
        <v>2354</v>
      </c>
      <c r="L145" s="1" t="s">
        <v>1821</v>
      </c>
      <c r="O145" s="1" t="s">
        <v>135</v>
      </c>
      <c r="P145" s="1" t="s">
        <v>352</v>
      </c>
      <c r="Q145" s="1" t="s">
        <v>1939</v>
      </c>
      <c r="R145" s="1" t="s">
        <v>2355</v>
      </c>
      <c r="S145" s="1" t="s">
        <v>2356</v>
      </c>
      <c r="T145" s="1" t="s">
        <v>1515</v>
      </c>
      <c r="U145" s="1" t="s">
        <v>2357</v>
      </c>
      <c r="V145" s="1" t="s">
        <v>2358</v>
      </c>
      <c r="X145" s="1" t="s">
        <v>2359</v>
      </c>
      <c r="Y145" s="1" t="s">
        <v>1881</v>
      </c>
      <c r="Z145" s="1" t="s">
        <v>1614</v>
      </c>
      <c r="AA145" s="1" t="s">
        <v>2360</v>
      </c>
      <c r="AB145" s="1" t="s">
        <v>635</v>
      </c>
      <c r="AC145" s="2" t="s">
        <v>167</v>
      </c>
      <c r="AD145" s="1" t="s">
        <v>2361</v>
      </c>
      <c r="AE145" s="1" t="s">
        <v>168</v>
      </c>
      <c r="AF145" s="1" t="s">
        <v>2362</v>
      </c>
      <c r="AG145" s="1" t="s">
        <v>2047</v>
      </c>
      <c r="AH145" s="1" t="s">
        <v>2363</v>
      </c>
      <c r="AI145" s="1" t="s">
        <v>2364</v>
      </c>
      <c r="AJ145" s="1" t="s">
        <v>2365</v>
      </c>
      <c r="AK145" s="1" t="s">
        <v>195</v>
      </c>
      <c r="AP145" s="1" t="s">
        <v>2366</v>
      </c>
      <c r="AR145" s="1" t="s">
        <v>2367</v>
      </c>
      <c r="AS145" s="1">
        <v>6.33</v>
      </c>
      <c r="AX145" s="1" t="s">
        <v>642</v>
      </c>
      <c r="AY145" s="1" t="s">
        <v>524</v>
      </c>
      <c r="BA145" s="1" t="s">
        <v>2368</v>
      </c>
      <c r="BB145" s="1">
        <v>7.0</v>
      </c>
      <c r="BN145" s="4">
        <v>32933.0</v>
      </c>
      <c r="DB145" s="1" t="s">
        <v>2369</v>
      </c>
    </row>
    <row r="146">
      <c r="A146" s="1" t="s">
        <v>2370</v>
      </c>
      <c r="B146" s="1" t="str">
        <f>IFERROR(__xludf.DUMMYFUNCTION("GOOGLETRANSLATE(A:A, ""en"", ""te"")"),"రిచర్డ్ 125 ప్రయాణికుడు")</f>
        <v>రిచర్డ్ 125 ప్రయాణికుడు</v>
      </c>
      <c r="C146" s="1" t="s">
        <v>2371</v>
      </c>
      <c r="D146" s="1" t="str">
        <f>IFERROR(__xludf.DUMMYFUNCTION("GOOGLETRANSLATE(C:C, ""en"", ""te"")"),"రిచర్డ్ 125 ప్రయాణికుడు రెండు-ప్రయాణీకుల హోమ్‌బిల్ట్ విమాన రూపకల్పన. [1] 125 ప్రయాణికులను 1969 లో ప్రవేశపెట్టారు, మరియు రెండవ శుద్ధి చేసిన నమూనా 1972 లో నిర్మించబడింది. ఈ విమానం చాలా హోమ్‌బాయిల్ట్‌లు కలప లేదా గొట్టం మరియు ఫాబ్రిక్ నిర్మాణాన్ని ఉపయోగించిన "&amp;"సమయంలో, ఒత్తిడితో కూడిన చర్మాన్ని అన్ని అల్యూమినియం నిర్మాణాన్ని ఉపయోగించింది. ఈ ప్రణాళికలను దాని డిజైనర్ చార్లెస్ రిచర్డ్ హోమ్‌బిల్ట్ నిర్మాణానికి విక్రయించారు. 150 హెచ్‌పి వేరియంట్ తరువాత అభివృద్ధి చేయబడింది. [2] 125 ప్రయాణికుడు సాంప్రదాయిక ల్యాండింగ్ గ"&amp;"ేర్‌తో పక్కపక్కనే ప్రయాణీకుల స్ట్రట్-బ్రేస్డ్ హై వింగ్ విమానం. విమానం అన్ని లోహ నిర్మాణాలను ఉపయోగిస్తుంది. సీట్ల మధ్య ఒకే నియంత్రణ కాలమ్ పైలట్‌కు నియంత్రణగా పనిచేస్తుంది. ఇంధనం 50 గాలన్ వింగ్ ట్యాంకులలో నిల్వ చేయబడుతుంది. [3] పోల్చదగిన పాత్ర, కాన్ఫిగరేషన్"&amp;" మరియు ERA యొక్క స్పోర్ట్ ఏవియేషన్ జనరల్ లక్షణాల నుండి డేటా పనితీరు విమానం")</f>
        <v>రిచర్డ్ 125 ప్రయాణికుడు రెండు-ప్రయాణీకుల హోమ్‌బిల్ట్ విమాన రూపకల్పన. [1] 125 ప్రయాణికులను 1969 లో ప్రవేశపెట్టారు, మరియు రెండవ శుద్ధి చేసిన నమూనా 1972 లో నిర్మించబడింది. ఈ విమానం చాలా హోమ్‌బాయిల్ట్‌లు కలప లేదా గొట్టం మరియు ఫాబ్రిక్ నిర్మాణాన్ని ఉపయోగించిన సమయంలో, ఒత్తిడితో కూడిన చర్మాన్ని అన్ని అల్యూమినియం నిర్మాణాన్ని ఉపయోగించింది. ఈ ప్రణాళికలను దాని డిజైనర్ చార్లెస్ రిచర్డ్ హోమ్‌బిల్ట్ నిర్మాణానికి విక్రయించారు. 150 హెచ్‌పి వేరియంట్ తరువాత అభివృద్ధి చేయబడింది. [2] 125 ప్రయాణికుడు సాంప్రదాయిక ల్యాండింగ్ గేర్‌తో పక్కపక్కనే ప్రయాణీకుల స్ట్రట్-బ్రేస్డ్ హై వింగ్ విమానం. విమానం అన్ని లోహ నిర్మాణాలను ఉపయోగిస్తుంది. సీట్ల మధ్య ఒకే నియంత్రణ కాలమ్ పైలట్‌కు నియంత్రణగా పనిచేస్తుంది. ఇంధనం 50 గాలన్ వింగ్ ట్యాంకులలో నిల్వ చేయబడుతుంది. [3] పోల్చదగిన పాత్ర, కాన్ఫిగరేషన్ మరియు ERA యొక్క స్పోర్ట్ ఏవియేషన్ జనరల్ లక్షణాల నుండి డేటా పనితీరు విమానం</v>
      </c>
      <c r="E146" s="1" t="s">
        <v>154</v>
      </c>
      <c r="F146" s="1" t="str">
        <f>IFERROR(__xludf.DUMMYFUNCTION("GOOGLETRANSLATE(E:E, ""en"", ""te"")"),"హోమ్‌బిల్ట్ విమానం")</f>
        <v>హోమ్‌బిల్ట్ విమానం</v>
      </c>
      <c r="G146" s="1" t="s">
        <v>155</v>
      </c>
      <c r="H146" s="1" t="str">
        <f>IFERROR(__xludf.DUMMYFUNCTION("GOOGLETRANSLATE(G:G, ""en"", ""te"")"),"అమెరికా")</f>
        <v>అమెరికా</v>
      </c>
      <c r="I146" s="1" t="s">
        <v>2372</v>
      </c>
      <c r="J146" s="1" t="str">
        <f>IFERROR(__xludf.DUMMYFUNCTION("GOOGLETRANSLATE(I:I, ""en"", ""te"")"),"సి.హెచ్ రిచర్డ్ కంపెనీ")</f>
        <v>సి.హెచ్ రిచర్డ్ కంపెనీ</v>
      </c>
      <c r="L146" s="1" t="s">
        <v>2373</v>
      </c>
      <c r="P146" s="1" t="s">
        <v>2374</v>
      </c>
      <c r="Q146" s="1" t="s">
        <v>2375</v>
      </c>
      <c r="S146" s="1" t="s">
        <v>2376</v>
      </c>
      <c r="T146" s="1" t="s">
        <v>2377</v>
      </c>
      <c r="U146" s="1" t="s">
        <v>1958</v>
      </c>
      <c r="V146" s="1" t="s">
        <v>2378</v>
      </c>
      <c r="W146" s="1" t="s">
        <v>1777</v>
      </c>
      <c r="Y146" s="1" t="s">
        <v>2379</v>
      </c>
      <c r="AB146" s="1" t="s">
        <v>166</v>
      </c>
      <c r="AC146" s="2" t="s">
        <v>167</v>
      </c>
      <c r="AE146" s="1" t="s">
        <v>2380</v>
      </c>
      <c r="AF146" s="1" t="s">
        <v>909</v>
      </c>
      <c r="AG146" s="1" t="s">
        <v>371</v>
      </c>
      <c r="AH146" s="1" t="s">
        <v>2381</v>
      </c>
      <c r="AJ146" s="1">
        <v>2.0</v>
      </c>
      <c r="AK146" s="1">
        <v>2.0</v>
      </c>
      <c r="AR146" s="1" t="s">
        <v>253</v>
      </c>
      <c r="BJ146" s="1" t="s">
        <v>2382</v>
      </c>
    </row>
    <row r="147">
      <c r="A147" s="1" t="s">
        <v>2383</v>
      </c>
      <c r="B147" s="1" t="str">
        <f>IFERROR(__xludf.DUMMYFUNCTION("GOOGLETRANSLATE(A:A, ""en"", ""te"")"),"రేడియోప్లేన్ btt")</f>
        <v>రేడియోప్లేన్ btt</v>
      </c>
      <c r="C147" s="1" t="s">
        <v>2384</v>
      </c>
      <c r="D147" s="1" t="str">
        <f>IFERROR(__xludf.DUMMYFUNCTION("GOOGLETRANSLATE(C:C, ""en"", ""te"")"),"రేడియోప్లేన్ BTT, కంపెనీ RP-71 గా, అమెరికా నేవీ WS-426/2 గా, మరియు US వైమానిక దళం WS-462/2 గా, రేడియోప్లేన్ కంపెనీ ఉత్పత్తి చేసిన లక్ష్య డ్రోన్ల కుటుంబం (తరువాత నార్త్రోప్ యొక్క విభజన). [1] రెండవ ప్రపంచ యుద్ధానంతర కాలంలో, రేడియోప్లేన్ OQ-2 టార్గెట్ డ్రోన్"&amp;" యొక్క విజయాన్ని మరొక విజయవంతమైన పిస్టన్-శక్తితో పనిచేసే లక్ష్య డ్రోన్లతో అనుసరించింది, దీనిని బేసిక్ ట్రైనింగ్ టార్గెట్ (BTT) కుటుంబం (BTT హోదా అని పిలుస్తారు 1980 ల వరకు సృష్టించబడలేదు, కానీ ఇక్కడ హోదా యొక్క చిక్కును పరిష్కరించడానికి అనుకూలమైన మార్గంగా "&amp;"ఉపయోగించబడింది). BTT లు మిగిలిన 20 వ శతాబ్దం పాటు సేవలో ఉన్నాయి. BTT కుటుంబం 1940 ల చివరలో జీవితాన్ని ప్రారంభించింది, OQ-19D యొక్క US ఆర్మీ హోదాతో OQ-19D ద్వారా, మరియు US నేవీ నేవీ పేరు పిట్టల KD2R తో యుఎస్ నేవీ పేరు. ప్రారంభ మోడళ్లలో మెటల్ ఫ్యూజ్‌లేజ్ మర"&amp;"ియు చెక్క రెక్కలు ఉన్నాయి, కానీ ఉత్పత్తి ఆల్-మెటల్ విమానంలో ప్రామాణికం చేయబడింది. రేడియోప్లేన్ ఒక ప్రయోగాత్మక XQ-10 వేరియంట్‌ను అభివృద్ధి చేసింది, ఇది ఎక్కువగా ప్లాస్టిక్‌తో తయారు చేయబడింది, అయితే మూల్యాంకనాలు బాగా జరిగాయి అయినప్పటికీ, ఇది ఇప్పటికే ఉన్న స"&amp;"ాంకేతిక పరిజ్ఞానంపై పెద్ద మెరుగుదలగా పరిగణించబడలేదు మరియు ఇది ఉత్పత్తిలోకి వెళ్ళలేదు. రేడియోప్లేన్ 1952 లో నార్త్రోప్ చేత నార్త్రోప్ వెంచురా డివిజన్గా కొనుగోలు చేసింది, అయినప్పటికీ ""రేడియోప్లేన్"" పేరు కొంతకాలం కొనసాగింది. 1963 లో, యుఎస్ మిలిటరీ ప్రామాణి"&amp;"క హోదా వ్యవస్థను అవలంబించినప్పుడు, మిగిలి ఉన్న యుఎస్ ఆర్మీ బిటిటి వేరియంట్లు MQM-33S గా మారాయి మరియు నేవీ సేవలో ఉన్న కుటుంబంలో ఉన్న ఏకైక సభ్యుడు KD2R-1 MQM-36 షెల్డక్ అయ్యారు. MQM-36 BTT కుటుంబంలో ఎక్కువగా అభివృద్ధి చెందింది, కాని ఇతర సభ్యుల మాదిరిగానే సా"&amp;"ధారణ ఆకృతీకరణను కలిగి ఉంది. ఇది మొదటి తరం OQ-2A సిరీస్ కంటే పెద్దది మరియు అధునాతనమైనది, మరియు 72 HP (54 kW) తో మరింత శక్తివంతమైన ఫ్లాట్-ఫోర్ ఫోర్-స్ట్రోక్ మెక్‌కలోచ్ పిస్టన్ ఇంజిన్‌తో శక్తినిచ్చింది. MQM-36 ల్యూన్‌బర్గ్ లెన్స్ రాడార్ మెరుగుదల పరికరాలను దా"&amp;"ని వింగ్‌టిప్స్‌లో తీసుకువెళ్ళింది, ఇది పెద్ద విమానం యొక్క రాడార్ సంతకాన్ని ఉత్పత్తి చేసింది. ఎయిర్ సెర్చ్ రాడార్ నియంత్రణ సంకేతాలతో జోక్యం చేసుకున్నందున రాడార్ రిఫ్లెక్టర్లు (లునెబర్గ్ లెన్స్) యుఎస్ నేవీ ఉపయోగించలేదు. అందువలన ఎయిర్ సెర్చ్ రాడార్ ఉపయోగించ"&amp;"బడలేదు. ప్రయోగం రాటో బూస్టర్ లేదా బంగీ కాటాపుల్ట్ మరియు పారాచూట్ చేత రికవరీ. BTT యొక్క ఒక వైవిధ్యం RP-71 ను నియమించింది, [2] ను SD-1 అబ్జర్వర్ అని కూడా పిలుస్తారు మరియు తరువాత పున es రూపకల్పన చేసిన MQM-57 ఫాల్కనర్, [3] యుద్ధభూమి నిఘా కోసం నిర్మించబడింది, "&amp;"1955 లో మొదటి విమానంతో. షెల్డక్‌కు ప్రదర్శన, కానీ కొంచెం పొడవుగా మరియు స్టాకియర్ ఫ్యూజ్‌లేజ్ కలిగి ఉంది. ఇది రేడియో-నియంత్రణ బ్యాకప్‌తో ఆటోపైలట్ వ్యవస్థను కలిగి ఉంది మరియు కెమెరాలను, అలాగే రాత్రి నిఘా కోసం ప్రకాశం మంటలను కలిగి ఉంటుంది. రెక్కల మధ్య వెనుక భ"&amp;"ాగంలో ఒక మూపురం ద్వారా పరికరాలు లోడ్ చేయబడ్డాయి. ఇది అరగంట కన్నా కొంచెం ఎక్కువ ఓర్పును కలిగి ఉన్నప్పటికీ, ఇది పరిమిత ఉపయోగం, సుమారు 1,500 మంది ఫాల్కనర్లు నిర్మించబడ్డాయి మరియు ఈ రకాన్ని అంతర్జాతీయంగా అనేక వేర్వేరు సైనిక శక్తులతో ఉపయోగించారు, 1970 లలో సేవల"&amp;"ో ఉన్నారు. మొత్తం 73,000 బిటిటి లక్ష్యాలు నిర్మించబడ్డాయి మరియు ఈ రకాన్ని కనీసం 18 దేశాలు ఉపయోగించాయి. కొందరు ఇప్పటికీ సేవలో ఉండి ఉండవచ్చు. జేన్ యొక్క అన్ని ప్రపంచ విమానాల నుండి డేటా 1966-67. [21] సాధారణ లక్షణాల పనితీరు")</f>
        <v>రేడియోప్లేన్ BTT, కంపెనీ RP-71 గా, అమెరికా నేవీ WS-426/2 గా, మరియు US వైమానిక దళం WS-462/2 గా, రేడియోప్లేన్ కంపెనీ ఉత్పత్తి చేసిన లక్ష్య డ్రోన్ల కుటుంబం (తరువాత నార్త్రోప్ యొక్క విభజన). [1] రెండవ ప్రపంచ యుద్ధానంతర కాలంలో, రేడియోప్లేన్ OQ-2 టార్గెట్ డ్రోన్ యొక్క విజయాన్ని మరొక విజయవంతమైన పిస్టన్-శక్తితో పనిచేసే లక్ష్య డ్రోన్లతో అనుసరించింది, దీనిని బేసిక్ ట్రైనింగ్ టార్గెట్ (BTT) కుటుంబం (BTT హోదా అని పిలుస్తారు 1980 ల వరకు సృష్టించబడలేదు, కానీ ఇక్కడ హోదా యొక్క చిక్కును పరిష్కరించడానికి అనుకూలమైన మార్గంగా ఉపయోగించబడింది). BTT లు మిగిలిన 20 వ శతాబ్దం పాటు సేవలో ఉన్నాయి. BTT కుటుంబం 1940 ల చివరలో జీవితాన్ని ప్రారంభించింది, OQ-19D యొక్క US ఆర్మీ హోదాతో OQ-19D ద్వారా, మరియు US నేవీ నేవీ పేరు పిట్టల KD2R తో యుఎస్ నేవీ పేరు. ప్రారంభ మోడళ్లలో మెటల్ ఫ్యూజ్‌లేజ్ మరియు చెక్క రెక్కలు ఉన్నాయి, కానీ ఉత్పత్తి ఆల్-మెటల్ విమానంలో ప్రామాణికం చేయబడింది. రేడియోప్లేన్ ఒక ప్రయోగాత్మక XQ-10 వేరియంట్‌ను అభివృద్ధి చేసింది, ఇది ఎక్కువగా ప్లాస్టిక్‌తో తయారు చేయబడింది, అయితే మూల్యాంకనాలు బాగా జరిగాయి అయినప్పటికీ, ఇది ఇప్పటికే ఉన్న సాంకేతిక పరిజ్ఞానంపై పెద్ద మెరుగుదలగా పరిగణించబడలేదు మరియు ఇది ఉత్పత్తిలోకి వెళ్ళలేదు. రేడియోప్లేన్ 1952 లో నార్త్రోప్ చేత నార్త్రోప్ వెంచురా డివిజన్గా కొనుగోలు చేసింది, అయినప్పటికీ "రేడియోప్లేన్" పేరు కొంతకాలం కొనసాగింది. 1963 లో, యుఎస్ మిలిటరీ ప్రామాణిక హోదా వ్యవస్థను అవలంబించినప్పుడు, మిగిలి ఉన్న యుఎస్ ఆర్మీ బిటిటి వేరియంట్లు MQM-33S గా మారాయి మరియు నేవీ సేవలో ఉన్న కుటుంబంలో ఉన్న ఏకైక సభ్యుడు KD2R-1 MQM-36 షెల్డక్ అయ్యారు. MQM-36 BTT కుటుంబంలో ఎక్కువగా అభివృద్ధి చెందింది, కాని ఇతర సభ్యుల మాదిరిగానే సాధారణ ఆకృతీకరణను కలిగి ఉంది. ఇది మొదటి తరం OQ-2A సిరీస్ కంటే పెద్దది మరియు అధునాతనమైనది, మరియు 72 HP (54 kW) తో మరింత శక్తివంతమైన ఫ్లాట్-ఫోర్ ఫోర్-స్ట్రోక్ మెక్‌కలోచ్ పిస్టన్ ఇంజిన్‌తో శక్తినిచ్చింది. MQM-36 ల్యూన్‌బర్గ్ లెన్స్ రాడార్ మెరుగుదల పరికరాలను దాని వింగ్‌టిప్స్‌లో తీసుకువెళ్ళింది, ఇది పెద్ద విమానం యొక్క రాడార్ సంతకాన్ని ఉత్పత్తి చేసింది. ఎయిర్ సెర్చ్ రాడార్ నియంత్రణ సంకేతాలతో జోక్యం చేసుకున్నందున రాడార్ రిఫ్లెక్టర్లు (లునెబర్గ్ లెన్స్) యుఎస్ నేవీ ఉపయోగించలేదు. అందువలన ఎయిర్ సెర్చ్ రాడార్ ఉపయోగించబడలేదు. ప్రయోగం రాటో బూస్టర్ లేదా బంగీ కాటాపుల్ట్ మరియు పారాచూట్ చేత రికవరీ. BTT యొక్క ఒక వైవిధ్యం RP-71 ను నియమించింది, [2] ను SD-1 అబ్జర్వర్ అని కూడా పిలుస్తారు మరియు తరువాత పున es రూపకల్పన చేసిన MQM-57 ఫాల్కనర్, [3] యుద్ధభూమి నిఘా కోసం నిర్మించబడింది, 1955 లో మొదటి విమానంతో. షెల్డక్‌కు ప్రదర్శన, కానీ కొంచెం పొడవుగా మరియు స్టాకియర్ ఫ్యూజ్‌లేజ్ కలిగి ఉంది. ఇది రేడియో-నియంత్రణ బ్యాకప్‌తో ఆటోపైలట్ వ్యవస్థను కలిగి ఉంది మరియు కెమెరాలను, అలాగే రాత్రి నిఘా కోసం ప్రకాశం మంటలను కలిగి ఉంటుంది. రెక్కల మధ్య వెనుక భాగంలో ఒక మూపురం ద్వారా పరికరాలు లోడ్ చేయబడ్డాయి. ఇది అరగంట కన్నా కొంచెం ఎక్కువ ఓర్పును కలిగి ఉన్నప్పటికీ, ఇది పరిమిత ఉపయోగం, సుమారు 1,500 మంది ఫాల్కనర్లు నిర్మించబడ్డాయి మరియు ఈ రకాన్ని అంతర్జాతీయంగా అనేక వేర్వేరు సైనిక శక్తులతో ఉపయోగించారు, 1970 లలో సేవలో ఉన్నారు. మొత్తం 73,000 బిటిటి లక్ష్యాలు నిర్మించబడ్డాయి మరియు ఈ రకాన్ని కనీసం 18 దేశాలు ఉపయోగించాయి. కొందరు ఇప్పటికీ సేవలో ఉండి ఉండవచ్చు. జేన్ యొక్క అన్ని ప్రపంచ విమానాల నుండి డేటా 1966-67. [21] సాధారణ లక్షణాల పనితీరు</v>
      </c>
      <c r="E147" s="1" t="s">
        <v>2385</v>
      </c>
      <c r="F147" s="1" t="str">
        <f>IFERROR(__xludf.DUMMYFUNCTION("GOOGLETRANSLATE(E:E, ""en"", ""te"")"),"టార్గెట్ డ్రోన్")</f>
        <v>టార్గెట్ డ్రోన్</v>
      </c>
      <c r="G147" s="1" t="s">
        <v>155</v>
      </c>
      <c r="H147" s="1" t="str">
        <f>IFERROR(__xludf.DUMMYFUNCTION("GOOGLETRANSLATE(G:G, ""en"", ""te"")"),"అమెరికా")</f>
        <v>అమెరికా</v>
      </c>
      <c r="I147" s="1" t="s">
        <v>2386</v>
      </c>
      <c r="J147" s="1" t="str">
        <f>IFERROR(__xludf.DUMMYFUNCTION("GOOGLETRANSLATE(I:I, ""en"", ""te"")"),"రేడియోప్లేన్, నార్త్రోప్")</f>
        <v>రేడియోప్లేన్, నార్త్రోప్</v>
      </c>
      <c r="K147" s="1" t="s">
        <v>2387</v>
      </c>
      <c r="O147" s="1" t="s">
        <v>1175</v>
      </c>
      <c r="P147" s="1" t="s">
        <v>2388</v>
      </c>
      <c r="Q147" s="1" t="s">
        <v>2389</v>
      </c>
      <c r="R147" s="1" t="s">
        <v>2390</v>
      </c>
      <c r="S147" s="1" t="s">
        <v>2391</v>
      </c>
      <c r="T147" s="1" t="s">
        <v>2392</v>
      </c>
      <c r="U147" s="1" t="s">
        <v>2393</v>
      </c>
      <c r="V147" s="1" t="s">
        <v>2394</v>
      </c>
      <c r="W147" s="1" t="s">
        <v>2395</v>
      </c>
      <c r="X147" s="1" t="s">
        <v>2396</v>
      </c>
      <c r="Y147" s="1" t="s">
        <v>2397</v>
      </c>
      <c r="Z147" s="1" t="s">
        <v>2398</v>
      </c>
      <c r="AA147" s="1" t="s">
        <v>2399</v>
      </c>
      <c r="AH147" s="1" t="s">
        <v>2400</v>
      </c>
      <c r="AJ147" s="1" t="s">
        <v>2401</v>
      </c>
      <c r="AP147" s="1" t="s">
        <v>2402</v>
      </c>
      <c r="AS147" s="1">
        <v>7.0</v>
      </c>
    </row>
    <row r="148">
      <c r="A148" s="1" t="s">
        <v>2403</v>
      </c>
      <c r="B148" s="1" t="str">
        <f>IFERROR(__xludf.DUMMYFUNCTION("GOOGLETRANSLATE(A:A, ""en"", ""te"")"),"రాన్స్ ఎస్ -11 ముసుగు")</f>
        <v>రాన్స్ ఎస్ -11 ముసుగు</v>
      </c>
      <c r="C148" s="1" t="s">
        <v>2404</v>
      </c>
      <c r="D148" s="1" t="str">
        <f>IFERROR(__xludf.DUMMYFUNCTION("GOOGLETRANSLATE(C:C, ""en"", ""te"")"),"రాన్స్ ఎస్ -11 పర్స్యూట్ అనేది ఒక అమెరికన్ సింగిల్-ఇంజిన్, ట్రాక్టర్ కాన్ఫిగరేషన్, సింగిల్-సీట్, లో-వింగ్ విమానం, ఇది లిఫ్టింగ్ బాడీ సూత్రం ఆధారంగా, రాండి ష్లిట్టర్ చేత రూపొందించబడింది మరియు నిర్మించింది. ఈ ముసుగు 1998 లో అభివృద్ధిలో జాబితా చేయబడింది, కాన"&amp;"ి ప్రోటోటైప్‌లు మాత్రమే పూర్తయ్యాయి మరియు విమానం ప్రస్తుత RANS విమాన రేఖలో భాగం కాదు. [1] [2] 1960 లలో నాసా ప్రారంభించిన లిఫ్టింగ్ బాడీ కాన్సెప్ట్ ఆధారంగా ఎస్ -11 ఒక ప్రత్యేకమైన సింగిల్ సీట్ స్పోర్ట్ విమానంగా భావించబడింది. విమాన రూపకల్పన విమానం ఫ్యూజ్‌లేజ"&amp;"్ మరియు అనుబంధ స్ట్రేక్‌ల నుండి 80% లిఫ్ట్ మరియు దాని స్ట్రెయిట్ రెక్కల నుండి 20% మాత్రమే పొందుతుంది. [1] ఈ ముసుగు అనేది ట్రైసైకిల్ ల్యాండింగ్ గేర్ మరియు డ్యూయల్ రడ్డర్‌లతో కూడిన స్ట్రాక్డ్, తక్కువ వింగ్ సింగిల్ లేదా డ్యూయల్ సీట్ విమానం. ఇది అల్యూమినియం ప"&amp;"క్కటెముకలు మరియు మిశ్రమ షెల్ తో వెల్డెడ్ స్టీల్ ఫ్యూజ్‌లేజ్ నుండి తయారు చేయబడింది. [3] ప్రోటోటైప్ యొక్క ఇంజిన్ 80 హెచ్‌పి (60 కిలోవాట్) యొక్క రోటాక్స్ 912UL, 64 హెచ్‌పి (48 కిలోవాట్ల) లో రోటాక్స్ 582 ఒక ఎంపికగా అందించబడుతుంది. [1] N2164K అనే ప్రోటోటైప్ జూ"&amp;"లై 1990 లో ఫెడరల్ ఏవియేషన్ అడ్మినిస్ట్రేషన్‌లో నమోదు చేయబడింది మరియు 19 జనవరి 1991 న నాశనం చేయబడింది. N4299Y అనే మరో నమూనా జూన్ 1991 లో FAA లో నమోదు చేయబడింది మరియు దాని రిజిస్ట్రేషన్ మార్చి 2001 లో రద్దు చేయబడింది. మరొక ప్రోటోటైప్, N7012W, N7012W, 5 మే 1"&amp;"993 న FAA రిజిస్ట్రేషన్ మంజూరు చేయబడింది. [4] [5] [6] ఒక ప్రోటోటైప్ ఎస్ -11, ఎన్ 2164 కె, 19 జనవరి 1991 న ప్రమాదంలో చిక్కుకుంది. ఈ విమానం ఎత్తులో స్వాధీనం చేసుకున్న పిస్టన్ వల్ల ఇంజిన్ వైఫల్యానికి గురైంది. ల్యాండింగ్ కష్టం మరియు మంటలు చెలరేగాయి. పైలట్‌కు "&amp;"తీవ్రమైన గాయాలు వచ్చాయి. జాతీయ రవాణా భద్రతా బోర్డు కారణ కారకాలను ఇంజిన్ వైఫల్యంగా అంచనా వేసింది, తరువాత ల్యాండింగ్‌పై అధిక సంతతికి చెందిన రేటు. విమానం నాశనం చేసినట్లుగా జాబితా చేయబడింది. [4] [7] [8] ఏరోక్రాఫ్టర్, [1] జనాదరణ పొందిన మెకానిక్స్ జనరల్ లక్షణాల"&amp;"ు పోల్చదగిన పాత్ర, కాన్ఫిగరేషన్ మరియు ERA యొక్క పనితీరు విమానం")</f>
        <v>రాన్స్ ఎస్ -11 పర్స్యూట్ అనేది ఒక అమెరికన్ సింగిల్-ఇంజిన్, ట్రాక్టర్ కాన్ఫిగరేషన్, సింగిల్-సీట్, లో-వింగ్ విమానం, ఇది లిఫ్టింగ్ బాడీ సూత్రం ఆధారంగా, రాండి ష్లిట్టర్ చేత రూపొందించబడింది మరియు నిర్మించింది. ఈ ముసుగు 1998 లో అభివృద్ధిలో జాబితా చేయబడింది, కాని ప్రోటోటైప్‌లు మాత్రమే పూర్తయ్యాయి మరియు విమానం ప్రస్తుత RANS విమాన రేఖలో భాగం కాదు. [1] [2] 1960 లలో నాసా ప్రారంభించిన లిఫ్టింగ్ బాడీ కాన్సెప్ట్ ఆధారంగా ఎస్ -11 ఒక ప్రత్యేకమైన సింగిల్ సీట్ స్పోర్ట్ విమానంగా భావించబడింది. విమాన రూపకల్పన విమానం ఫ్యూజ్‌లేజ్ మరియు అనుబంధ స్ట్రేక్‌ల నుండి 80% లిఫ్ట్ మరియు దాని స్ట్రెయిట్ రెక్కల నుండి 20% మాత్రమే పొందుతుంది. [1] ఈ ముసుగు అనేది ట్రైసైకిల్ ల్యాండింగ్ గేర్ మరియు డ్యూయల్ రడ్డర్‌లతో కూడిన స్ట్రాక్డ్, తక్కువ వింగ్ సింగిల్ లేదా డ్యూయల్ సీట్ విమానం. ఇది అల్యూమినియం పక్కటెముకలు మరియు మిశ్రమ షెల్ తో వెల్డెడ్ స్టీల్ ఫ్యూజ్‌లేజ్ నుండి తయారు చేయబడింది. [3] ప్రోటోటైప్ యొక్క ఇంజిన్ 80 హెచ్‌పి (60 కిలోవాట్) యొక్క రోటాక్స్ 912UL, 64 హెచ్‌పి (48 కిలోవాట్ల) లో రోటాక్స్ 582 ఒక ఎంపికగా అందించబడుతుంది. [1] N2164K అనే ప్రోటోటైప్ జూలై 1990 లో ఫెడరల్ ఏవియేషన్ అడ్మినిస్ట్రేషన్‌లో నమోదు చేయబడింది మరియు 19 జనవరి 1991 న నాశనం చేయబడింది. N4299Y అనే మరో నమూనా జూన్ 1991 లో FAA లో నమోదు చేయబడింది మరియు దాని రిజిస్ట్రేషన్ మార్చి 2001 లో రద్దు చేయబడింది. మరొక ప్రోటోటైప్, N7012W, N7012W, 5 మే 1993 న FAA రిజిస్ట్రేషన్ మంజూరు చేయబడింది. [4] [5] [6] ఒక ప్రోటోటైప్ ఎస్ -11, ఎన్ 2164 కె, 19 జనవరి 1991 న ప్రమాదంలో చిక్కుకుంది. ఈ విమానం ఎత్తులో స్వాధీనం చేసుకున్న పిస్టన్ వల్ల ఇంజిన్ వైఫల్యానికి గురైంది. ల్యాండింగ్ కష్టం మరియు మంటలు చెలరేగాయి. పైలట్‌కు తీవ్రమైన గాయాలు వచ్చాయి. జాతీయ రవాణా భద్రతా బోర్డు కారణ కారకాలను ఇంజిన్ వైఫల్యంగా అంచనా వేసింది, తరువాత ల్యాండింగ్‌పై అధిక సంతతికి చెందిన రేటు. విమానం నాశనం చేసినట్లుగా జాబితా చేయబడింది. [4] [7] [8] ఏరోక్రాఫ్టర్, [1] జనాదరణ పొందిన మెకానిక్స్ జనరల్ లక్షణాలు పోల్చదగిన పాత్ర, కాన్ఫిగరేషన్ మరియు ERA యొక్క పనితీరు విమానం</v>
      </c>
      <c r="E148" s="1" t="s">
        <v>621</v>
      </c>
      <c r="F148" s="1" t="str">
        <f>IFERROR(__xludf.DUMMYFUNCTION("GOOGLETRANSLATE(E:E, ""en"", ""te"")"),"కిట్ విమానం")</f>
        <v>కిట్ విమానం</v>
      </c>
      <c r="G148" s="1" t="s">
        <v>155</v>
      </c>
      <c r="H148" s="1" t="str">
        <f>IFERROR(__xludf.DUMMYFUNCTION("GOOGLETRANSLATE(G:G, ""en"", ""te"")"),"అమెరికా")</f>
        <v>అమెరికా</v>
      </c>
      <c r="I148" s="1" t="s">
        <v>2353</v>
      </c>
      <c r="J148" s="1" t="str">
        <f>IFERROR(__xludf.DUMMYFUNCTION("GOOGLETRANSLATE(I:I, ""en"", ""te"")"),"రాన్స్ ఇంక్")</f>
        <v>రాన్స్ ఇంక్</v>
      </c>
      <c r="K148" s="1" t="s">
        <v>2354</v>
      </c>
      <c r="L148" s="1" t="s">
        <v>1821</v>
      </c>
      <c r="N148" s="1">
        <v>1991.0</v>
      </c>
      <c r="O148" s="1" t="s">
        <v>1208</v>
      </c>
      <c r="P148" s="1" t="s">
        <v>1532</v>
      </c>
      <c r="Q148" s="1" t="s">
        <v>554</v>
      </c>
      <c r="T148" s="1" t="s">
        <v>627</v>
      </c>
      <c r="U148" s="1" t="s">
        <v>2405</v>
      </c>
      <c r="V148" s="1" t="s">
        <v>2406</v>
      </c>
      <c r="Y148" s="1" t="s">
        <v>1706</v>
      </c>
      <c r="Z148" s="1" t="s">
        <v>1864</v>
      </c>
      <c r="AB148" s="1" t="s">
        <v>635</v>
      </c>
      <c r="AC148" s="2" t="s">
        <v>167</v>
      </c>
      <c r="AD148" s="1" t="s">
        <v>2407</v>
      </c>
      <c r="AE148" s="1" t="s">
        <v>2408</v>
      </c>
      <c r="AG148" s="1" t="s">
        <v>1900</v>
      </c>
      <c r="AH148" s="1" t="s">
        <v>1499</v>
      </c>
      <c r="AJ148" s="1" t="s">
        <v>2409</v>
      </c>
      <c r="AR148" s="1" t="s">
        <v>253</v>
      </c>
      <c r="AY148" s="1" t="s">
        <v>1523</v>
      </c>
    </row>
    <row r="149">
      <c r="A149" s="1" t="s">
        <v>2410</v>
      </c>
      <c r="B149" s="1" t="str">
        <f>IFERROR(__xludf.DUMMYFUNCTION("GOOGLETRANSLATE(A:A, ""en"", ""te"")"),"రాన్స్ ఎస్ -16 షెకారి")</f>
        <v>రాన్స్ ఎస్ -16 షెకారి</v>
      </c>
      <c r="C149" s="1" t="s">
        <v>2411</v>
      </c>
      <c r="D149" s="1" t="str">
        <f>IFERROR(__xludf.DUMMYFUNCTION("GOOGLETRANSLATE(C:C, ""en"", ""te"")"),"రాన్స్ ఎస్ -16 షెకారి అనేది ఒక అమెరికన్ సింగిల్-ఇంజిన్, రెండు-సీట్ల, తక్కువ-వింగ్, ఏరోబాటిక్ మోనోప్లేన్ [40) వేగంగా నిర్మించిన సమయాలు మరియు అధిక పనితీరుపై దృష్టి సారించే కొత్త తరం RANS విమానం వలె భావించబడింది, షెకారి ద్వంద్వ ఏరోబాటిక్స్ కోసం నొక్కి చెప్పబ"&amp;"డింది. [3] S-16 80 HP (60 kW) యొక్క రోటాక్స్ 912UL తో ఎగురవేయబడింది, కాని సాధారణంగా 130 HP (97 kW) యొక్క ఖండాంతర IO-240 వంటి ఇంజిన్లతో కూడి ఉంటుంది మరియు 160 HP (119 kWW వరకు ఇంజిన్లను అంగీకరించవచ్చు ). నిర్మాణ సమయం బిల్డర్ అనుభవాన్ని బట్టి 600 నుండి 1500"&amp;" మనిషి-గంటలు. [1] [2] [5] [4] కిట్ 8 సంవత్సరాలుగా లభించిన తరువాత, 1 జూన్ 2006 న రాన్స్ తన ఉత్పత్తి శ్రేణిని విస్తృతంగా పునర్వ్యవస్థీకరించడంలో భాగంగా ఎస్ -16 యొక్క ఉత్పత్తి ముగిసింది. ఇరవై రెండు పూర్తయింది మరియు 2005 చివరి నాటికి ఎగిరింది. [1] [6] కిట్‌ప్ల"&amp;"ాన్‌ల నుండి డేటా, [5] ఏరోక్రాఫ్టర్ [2] సాధారణ లక్షణాల పనితీరు")</f>
        <v>రాన్స్ ఎస్ -16 షెకారి అనేది ఒక అమెరికన్ సింగిల్-ఇంజిన్, రెండు-సీట్ల, తక్కువ-వింగ్, ఏరోబాటిక్ మోనోప్లేన్ [40) వేగంగా నిర్మించిన సమయాలు మరియు అధిక పనితీరుపై దృష్టి సారించే కొత్త తరం RANS విమానం వలె భావించబడింది, షెకారి ద్వంద్వ ఏరోబాటిక్స్ కోసం నొక్కి చెప్పబడింది. [3] S-16 80 HP (60 kW) యొక్క రోటాక్స్ 912UL తో ఎగురవేయబడింది, కాని సాధారణంగా 130 HP (97 kW) యొక్క ఖండాంతర IO-240 వంటి ఇంజిన్లతో కూడి ఉంటుంది మరియు 160 HP (119 kWW వరకు ఇంజిన్లను అంగీకరించవచ్చు ). నిర్మాణ సమయం బిల్డర్ అనుభవాన్ని బట్టి 600 నుండి 1500 మనిషి-గంటలు. [1] [2] [5] [4] కిట్ 8 సంవత్సరాలుగా లభించిన తరువాత, 1 జూన్ 2006 న రాన్స్ తన ఉత్పత్తి శ్రేణిని విస్తృతంగా పునర్వ్యవస్థీకరించడంలో భాగంగా ఎస్ -16 యొక్క ఉత్పత్తి ముగిసింది. ఇరవై రెండు పూర్తయింది మరియు 2005 చివరి నాటికి ఎగిరింది. [1] [6] కిట్‌ప్లాన్‌ల నుండి డేటా, [5] ఏరోక్రాఫ్టర్ [2] సాధారణ లక్షణాల పనితీరు</v>
      </c>
      <c r="E149" s="1" t="s">
        <v>2412</v>
      </c>
      <c r="F149" s="1" t="str">
        <f>IFERROR(__xludf.DUMMYFUNCTION("GOOGLETRANSLATE(E:E, ""en"", ""te"")"),"Te త్సాహిక నిర్మిత ఏరోబాటిక్ మోనోప్లేన్")</f>
        <v>Te త్సాహిక నిర్మిత ఏరోబాటిక్ మోనోప్లేన్</v>
      </c>
      <c r="G149" s="1" t="s">
        <v>155</v>
      </c>
      <c r="H149" s="1" t="str">
        <f>IFERROR(__xludf.DUMMYFUNCTION("GOOGLETRANSLATE(G:G, ""en"", ""te"")"),"అమెరికా")</f>
        <v>అమెరికా</v>
      </c>
      <c r="I149" s="1" t="s">
        <v>2353</v>
      </c>
      <c r="J149" s="1" t="str">
        <f>IFERROR(__xludf.DUMMYFUNCTION("GOOGLETRANSLATE(I:I, ""en"", ""te"")"),"రాన్స్ ఇంక్")</f>
        <v>రాన్స్ ఇంక్</v>
      </c>
      <c r="K149" s="1" t="s">
        <v>2354</v>
      </c>
      <c r="L149" s="1" t="s">
        <v>1821</v>
      </c>
      <c r="N149" s="1">
        <v>1994.0</v>
      </c>
      <c r="O149" s="1" t="s">
        <v>1208</v>
      </c>
      <c r="P149" s="1" t="s">
        <v>2413</v>
      </c>
      <c r="Q149" s="1" t="s">
        <v>1461</v>
      </c>
      <c r="R149" s="1" t="s">
        <v>2414</v>
      </c>
      <c r="S149" s="1" t="s">
        <v>2415</v>
      </c>
      <c r="T149" s="1" t="s">
        <v>1631</v>
      </c>
      <c r="U149" s="1" t="s">
        <v>2238</v>
      </c>
      <c r="V149" s="1" t="s">
        <v>2416</v>
      </c>
      <c r="W149" s="1" t="s">
        <v>1465</v>
      </c>
      <c r="X149" s="1" t="s">
        <v>2417</v>
      </c>
      <c r="Y149" s="1" t="s">
        <v>1881</v>
      </c>
      <c r="Z149" s="1" t="s">
        <v>1520</v>
      </c>
      <c r="AB149" s="1" t="s">
        <v>2418</v>
      </c>
      <c r="AC149" s="2" t="s">
        <v>167</v>
      </c>
      <c r="AD149" s="1" t="s">
        <v>2419</v>
      </c>
      <c r="AE149" s="1" t="s">
        <v>2420</v>
      </c>
      <c r="AF149" s="1" t="s">
        <v>542</v>
      </c>
      <c r="AG149" s="1" t="s">
        <v>1537</v>
      </c>
      <c r="AH149" s="1" t="s">
        <v>2421</v>
      </c>
      <c r="AJ149" s="1" t="s">
        <v>2422</v>
      </c>
      <c r="AK149" s="1" t="s">
        <v>2423</v>
      </c>
      <c r="AY149" s="1" t="s">
        <v>2424</v>
      </c>
      <c r="BA149" s="1" t="s">
        <v>2425</v>
      </c>
      <c r="BN149" s="1">
        <v>1998.0</v>
      </c>
    </row>
    <row r="150">
      <c r="A150" s="1" t="s">
        <v>2426</v>
      </c>
      <c r="B150" s="1" t="str">
        <f>IFERROR(__xludf.DUMMYFUNCTION("GOOGLETRANSLATE(A:A, ""en"", ""te"")"),"రాన్స్ ఎస్ -4 కొయెట్")</f>
        <v>రాన్స్ ఎస్ -4 కొయెట్</v>
      </c>
      <c r="C150" s="1" t="s">
        <v>2427</v>
      </c>
      <c r="D150" s="1" t="str">
        <f>IFERROR(__xludf.DUMMYFUNCTION("GOOGLETRANSLATE(C:C, ""en"", ""te"")"),"RANS S-4 కొయెట్ మరియు RANS S-5 కొయెట్ అమెరికన్ సింగిల్-ఇంజిన్, ట్రాక్టర్ కాన్ఫిగరేషన్, సింగిల్-సీట్, హై-వింగ్ మోనోప్లేన్స్ రాండి ష్లిట్టర్ మరియు ఏరో-మాక్స్ మరియు తరువాత రాన్స్ ఇంక్ చేత తయారు చేయబడిన కుటుంబం. అల్ట్రాలైట్ విమానం లేదా te త్సాహిక-నిర్మిత విమా"&amp;"నం వలె te త్సాహిక నిర్మాణం కోసం కిట్ రూపంలో లభించింది. [1] [2] [3] [4] [5] [6] [7] [8] రెండు డిజైన్ల ఉత్పత్తి 23 సంవత్సరాలు అందుబాటులో ఉన్న తరువాత 1 జూన్ 2006 న పూర్తయింది. [9] కొయెట్ సింగిల్ సీటును 1982 లో రాండి ష్లిట్టర్ రూపొందించారు, ఆ సమయంలో ఇప్పటికే "&amp;"ఉన్న అల్ట్రాలైట్ డిజైన్లపై అతని అసంతృప్తి ఫలితంగా. మొదటి ఎస్ -2 కొయెట్ ప్రోటోటైప్ నిర్మాణం నవంబర్ 1982 లో ప్రారంభమైంది, మార్చి 1983 లో మొదటి ఫ్లైట్ తరువాత. [10] వాస్తవానికి ఈ డిజైన్‌ను కొత్త సంస్థ ఏరో-మాక్స్ తయారు చేయవలసి ఉంది, ఇది ష్లిట్టర్ మరియు అతని స్"&amp;"నేహితుడి మధ్య భాగస్వామ్యం. ఈ భాగస్వామ్యం ఆర్థిక సమస్యలపై విఫలమైంది మరియు కిట్ తయారీ ష్లిటర్స్ కంపెనీ రాన్స్ కు పంపబడింది, ఆ సమయంలో సెయిల్‌ట్రిక్‌లను నిర్మించింది. [3] కుటుంబం యొక్క రెండు నమూనాలు వెల్డెడ్ 4130 స్టీల్ ట్యూబ్ కాక్‌పిట్‌ను కలిగి ఉన్నాయి, బోల్"&amp;"ట్డ్ అల్యూమినియం ట్యూబ్ వెనుక ఫ్యూజ్‌లేజ్, వింగ్ మరియు తోక ఉపరితలాలు అన్నీ కుట్టడానికి ముందు డాక్రాన్ ఎన్వలప్‌లలో కప్పబడి ఉంటాయి, ఇది నిర్మాణ సమయాన్ని తగ్గిస్తుంది. నివేదించబడిన నిర్మాణ సమయం 211 మనిషి-గంటలు. [1] [2] కొయెట్ ఎస్ -4 లో సాంప్రదాయ ల్యాండింగ్ గ"&amp;"ేర్ ఉంది, ఎస్ -5 లో ట్రైసైకిల్ గేర్ ఉంది. రెండింటినీ ఫ్లోట్లు మరియు స్కిస్ కలిగి ఉంటుంది. అసలు ప్రాథమిక ఇంజిన్ 28 హెచ్‌పి (21 కిలోవాట్) యొక్క రోటాక్స్ 277, 40 హెచ్‌పి (30 కిలోవాట్ల) లో రోటాక్స్ 447 మరియు 50 హెచ్‌పి (37 కిలోవాట్ల) లో రోటాక్స్ 503 తరువాత ఎం"&amp;"పికలుగా లభిస్తాయి. [1] [2] [ 11] కొయెట్ II రెండు-సీటర్ తరువాత S-5 నుండి అభివృద్ధి చేయబడింది. [2] డిసెంబర్ 1998 నాటికి 246 ఎస్ -4 లు మరియు ఎస్ -5 లు నిర్మించబడ్డాయి మరియు ఎగిరిపోయాయి. [1] చాలా ఎస్ -4 లు యుఎస్‌లో నమోదుకాని అల్ట్రాలైట్‌లుగా ఎగురుతున్నాయి, కా"&amp;"ని నవంబర్ 2010 లో నాలుగు ఎస్ -5 లతో పాటు నాలుగు నమోదు చేయబడ్డాయి. నవంబర్ 2010 లో కెనడాలో నాలుగు ఎస్ -4 లు మరియు ఒక ఎస్ -5 నమోదు చేయబడ్డాయి. డిసెంబర్ 2010 లో యునైటెడ్ కింగ్‌డమ్‌లో తొమ్మిది S-4 లు మరియు మూడు S-5 లు నమోదు చేయబడ్డాయి. [12] [13] [14] [15] [16]"&amp;" కిట్‌ప్లాన్లు మరియు ఏరోక్రాఫ్టర్ నుండి డేటా [1] [2] సాధారణ లక్షణాలు పనితీరు ఏవియానిక్స్ పోల్చదగిన పాత్ర, కాన్ఫిగరేషన్ మరియు ERA యొక్క విమానం")</f>
        <v>RANS S-4 కొయెట్ మరియు RANS S-5 కొయెట్ అమెరికన్ సింగిల్-ఇంజిన్, ట్రాక్టర్ కాన్ఫిగరేషన్, సింగిల్-సీట్, హై-వింగ్ మోనోప్లేన్స్ రాండి ష్లిట్టర్ మరియు ఏరో-మాక్స్ మరియు తరువాత రాన్స్ ఇంక్ చేత తయారు చేయబడిన కుటుంబం. అల్ట్రాలైట్ విమానం లేదా te త్సాహిక-నిర్మిత విమానం వలె te త్సాహిక నిర్మాణం కోసం కిట్ రూపంలో లభించింది. [1] [2] [3] [4] [5] [6] [7] [8] రెండు డిజైన్ల ఉత్పత్తి 23 సంవత్సరాలు అందుబాటులో ఉన్న తరువాత 1 జూన్ 2006 న పూర్తయింది. [9] కొయెట్ సింగిల్ సీటును 1982 లో రాండి ష్లిట్టర్ రూపొందించారు, ఆ సమయంలో ఇప్పటికే ఉన్న అల్ట్రాలైట్ డిజైన్లపై అతని అసంతృప్తి ఫలితంగా. మొదటి ఎస్ -2 కొయెట్ ప్రోటోటైప్ నిర్మాణం నవంబర్ 1982 లో ప్రారంభమైంది, మార్చి 1983 లో మొదటి ఫ్లైట్ తరువాత. [10] వాస్తవానికి ఈ డిజైన్‌ను కొత్త సంస్థ ఏరో-మాక్స్ తయారు చేయవలసి ఉంది, ఇది ష్లిట్టర్ మరియు అతని స్నేహితుడి మధ్య భాగస్వామ్యం. ఈ భాగస్వామ్యం ఆర్థిక సమస్యలపై విఫలమైంది మరియు కిట్ తయారీ ష్లిటర్స్ కంపెనీ రాన్స్ కు పంపబడింది, ఆ సమయంలో సెయిల్‌ట్రిక్‌లను నిర్మించింది. [3] కుటుంబం యొక్క రెండు నమూనాలు వెల్డెడ్ 4130 స్టీల్ ట్యూబ్ కాక్‌పిట్‌ను కలిగి ఉన్నాయి, బోల్ట్డ్ అల్యూమినియం ట్యూబ్ వెనుక ఫ్యూజ్‌లేజ్, వింగ్ మరియు తోక ఉపరితలాలు అన్నీ కుట్టడానికి ముందు డాక్రాన్ ఎన్వలప్‌లలో కప్పబడి ఉంటాయి, ఇది నిర్మాణ సమయాన్ని తగ్గిస్తుంది. నివేదించబడిన నిర్మాణ సమయం 211 మనిషి-గంటలు. [1] [2] కొయెట్ ఎస్ -4 లో సాంప్రదాయ ల్యాండింగ్ గేర్ ఉంది, ఎస్ -5 లో ట్రైసైకిల్ గేర్ ఉంది. రెండింటినీ ఫ్లోట్లు మరియు స్కిస్ కలిగి ఉంటుంది. అసలు ప్రాథమిక ఇంజిన్ 28 హెచ్‌పి (21 కిలోవాట్) యొక్క రోటాక్స్ 277, 40 హెచ్‌పి (30 కిలోవాట్ల) లో రోటాక్స్ 447 మరియు 50 హెచ్‌పి (37 కిలోవాట్ల) లో రోటాక్స్ 503 తరువాత ఎంపికలుగా లభిస్తాయి. [1] [2] [ 11] కొయెట్ II రెండు-సీటర్ తరువాత S-5 నుండి అభివృద్ధి చేయబడింది. [2] డిసెంబర్ 1998 నాటికి 246 ఎస్ -4 లు మరియు ఎస్ -5 లు నిర్మించబడ్డాయి మరియు ఎగిరిపోయాయి. [1] చాలా ఎస్ -4 లు యుఎస్‌లో నమోదుకాని అల్ట్రాలైట్‌లుగా ఎగురుతున్నాయి, కాని నవంబర్ 2010 లో నాలుగు ఎస్ -5 లతో పాటు నాలుగు నమోదు చేయబడ్డాయి. నవంబర్ 2010 లో కెనడాలో నాలుగు ఎస్ -4 లు మరియు ఒక ఎస్ -5 నమోదు చేయబడ్డాయి. డిసెంబర్ 2010 లో యునైటెడ్ కింగ్‌డమ్‌లో తొమ్మిది S-4 లు మరియు మూడు S-5 లు నమోదు చేయబడ్డాయి. [12] [13] [14] [15] [16] కిట్‌ప్లాన్లు మరియు ఏరోక్రాఫ్టర్ నుండి డేటా [1] [2] సాధారణ లక్షణాలు పనితీరు ఏవియానిక్స్ పోల్చదగిన పాత్ర, కాన్ఫిగరేషన్ మరియు ERA యొక్క విమానం</v>
      </c>
      <c r="E150" s="1" t="s">
        <v>621</v>
      </c>
      <c r="F150" s="1" t="str">
        <f>IFERROR(__xludf.DUMMYFUNCTION("GOOGLETRANSLATE(E:E, ""en"", ""te"")"),"కిట్ విమానం")</f>
        <v>కిట్ విమానం</v>
      </c>
      <c r="G150" s="1" t="s">
        <v>155</v>
      </c>
      <c r="H150" s="1" t="str">
        <f>IFERROR(__xludf.DUMMYFUNCTION("GOOGLETRANSLATE(G:G, ""en"", ""te"")"),"అమెరికా")</f>
        <v>అమెరికా</v>
      </c>
      <c r="I150" s="1" t="s">
        <v>2353</v>
      </c>
      <c r="J150" s="1" t="str">
        <f>IFERROR(__xludf.DUMMYFUNCTION("GOOGLETRANSLATE(I:I, ""en"", ""te"")"),"రాన్స్ ఇంక్")</f>
        <v>రాన్స్ ఇంక్</v>
      </c>
      <c r="K150" s="1" t="s">
        <v>2354</v>
      </c>
      <c r="L150" s="1" t="s">
        <v>1821</v>
      </c>
      <c r="N150" s="1" t="s">
        <v>2428</v>
      </c>
      <c r="O150" s="1" t="s">
        <v>1208</v>
      </c>
      <c r="P150" s="1" t="s">
        <v>1807</v>
      </c>
      <c r="Q150" s="1" t="s">
        <v>1892</v>
      </c>
      <c r="S150" s="1" t="s">
        <v>2429</v>
      </c>
      <c r="T150" s="1" t="s">
        <v>2430</v>
      </c>
      <c r="U150" s="1" t="s">
        <v>2431</v>
      </c>
      <c r="V150" s="1" t="s">
        <v>2432</v>
      </c>
      <c r="W150" s="1" t="s">
        <v>561</v>
      </c>
      <c r="X150" s="1" t="s">
        <v>2433</v>
      </c>
      <c r="Y150" s="1" t="s">
        <v>2197</v>
      </c>
      <c r="Z150" s="1" t="s">
        <v>424</v>
      </c>
      <c r="AA150" s="1" t="s">
        <v>2434</v>
      </c>
      <c r="AB150" s="1" t="s">
        <v>635</v>
      </c>
      <c r="AC150" s="2" t="s">
        <v>167</v>
      </c>
      <c r="AD150" s="1" t="s">
        <v>2435</v>
      </c>
      <c r="AE150" s="1" t="s">
        <v>2436</v>
      </c>
      <c r="AF150" s="1" t="s">
        <v>583</v>
      </c>
      <c r="AG150" s="1" t="s">
        <v>825</v>
      </c>
      <c r="AH150" s="1" t="s">
        <v>2437</v>
      </c>
      <c r="AJ150" s="1" t="s">
        <v>2438</v>
      </c>
      <c r="AR150" s="1" t="s">
        <v>253</v>
      </c>
      <c r="AX150" s="1" t="s">
        <v>2439</v>
      </c>
      <c r="BJ150" s="1" t="s">
        <v>2440</v>
      </c>
    </row>
    <row r="151">
      <c r="A151" s="1" t="s">
        <v>2441</v>
      </c>
      <c r="B151" s="1" t="str">
        <f>IFERROR(__xludf.DUMMYFUNCTION("GOOGLETRANSLATE(A:A, ""en"", ""te"")"),"రాన్స్ ఎస్ -6 కొయెట్ II")</f>
        <v>రాన్స్ ఎస్ -6 కొయెట్ II</v>
      </c>
      <c r="C151" s="1" t="s">
        <v>2442</v>
      </c>
      <c r="D151" s="1" t="str">
        <f>IFERROR(__xludf.DUMMYFUNCTION("GOOGLETRANSLATE(C:C, ""en"", ""te"")"),"RANS S-6 కొయెట్ II అనేది ఒక అమెరికన్ సింగిల్-ఇంజిన్, ట్రాక్టర్ కాన్ఫిగరేషన్, రెండు-సీట్ల, హై-వింగ్ మోనోప్లేన్, ఇది రాండి ష్లిటర్ రూపొందించింది మరియు రాన్స్ ఇంక్ చేత తయారు చేయబడింది. కొయెట్ te త్సాహిక నిర్మాణం కోసం లేదా పూర్తి చేసిన కాంతిగా కిట్ రూపంలో లభి"&amp;"స్తుంది -స్పోర్ట్ విమానం. [1] [2] [3] [4] [5] [6] [7] [8] అసలు సింగిల్ సీట్ ఎస్ -4 కొయెట్‌ను 1982 లో రాన్స్ యజమాని రాండి ష్లిట్టర్ రూపొందించారు, ఆ సమయంలో ఇప్పటికే ఉన్న అల్ట్రాలైట్ డిజైన్లపై ఆయనకున్న అసంతృప్తి ఫలితంగా. మొట్టమొదటి కొయెట్ ప్రోటోటైప్ నిర్మాణం"&amp;" నవంబర్ 1982 లో ప్రారంభమైంది, మార్చి 1983 లో మొదటి ఫ్లైట్ తరువాత. [9] కొయెట్ II రెండు-సీటర్లు ఎస్ -5 కొయెట్ నుండి అభివృద్ధి చేయబడ్డాయి, ఇది ఎస్ -4 కొయెట్ యొక్క అభివృద్ధి. ప్రారంభ రెండు సీట్ల మోడల్, ఎస్ -6, ఏప్రిల్ 1990 లో మెరుగైన S-6ES (""ఎక్స్‌టెండెడ్ స్"&amp;"పాన్"") మోడల్ ద్వారా భర్తీ చేయబడింది. 1993 లో, ES ను S-6S సూపర్ కొయెట్ ఉత్పత్తిలో చేరింది. [1] [[[4] [5] [6] [ S-6 యొక్క అన్ని నమూనాలు వెల్డెడ్ 4130 స్టీల్ ట్యూబ్ కాక్‌పిట్‌ను కలిగి ఉంటాయి, బోల్ట్డ్ అల్యూమినియం ట్యూబ్ వెనుక ఫ్యూజ్‌లేజ్, వింగ్ మరియు తోక ఉప"&amp;"రితలాలు అన్నీ ఫాబ్రిక్‌తో కప్పబడి ఉంటాయి. ప్రారంభ S-6 మరియు S-6ES లలో, ఫాబ్రిక్ ముందస్తుగా కుట్టిన డాక్రాన్ ఎన్వలప్‌లను కలిగి ఉంటుంది, ఇది నిర్మాణ సమయాన్ని తగ్గిస్తుంది. S-6 లు, అయితే, మరింత సాంప్రదాయ డోప్ మరియు ఫాబ్రిక్‌ను ఉపయోగిస్తాయి. ES కోసం నివేదించబ"&amp;"డిన నిర్మాణ సమయాలు సూపర్ కోసం 250 మ్యాన్-గంటలు 500 మరియు 500. [1] [2] [3] [4] [5] [6] కొయెట్ II కిట్‌ను ట్రైసైకిల్ లేదా సాంప్రదాయ ల్యాండింగ్ గేర్‌తో ఆర్డర్ చేయవచ్చు మరియు ఫ్లోట్లు మరియు స్కిస్‌లతో కూడా అమర్చవచ్చు. అసలు ప్రాథమిక ఇంజిన్ 50 హెచ్‌పి (37 కిలోవ"&amp;"ాట్ల) లో రోటాక్స్ 503, 64 హెచ్‌పి (48 కిలోవాట్ల) లో రోటాక్స్ 582 ఒక ఎంపికగా లభిస్తుంది. ఈ రోజు, ప్రామాణిక ఇంజిన్ 80 హెచ్‌పి (60 కిలోవాట్ ఈ విమానం సౌర్ ఎస్ 2200 ఉల్ [10] తో కూడా అమర్చవచ్చు, కొయెట్ వినియోగదారులతో ప్రాచుర్యం పొందిందని నిరూపించబడింది, జనవరి 2"&amp;"008 నాటికి 1800 కి పైగా ఉదాహరణలు ఉన్నాయి. [4] [5] [7] నవంబర్ 2010 లో 615 ఐర్లాండ్‌ను మినహాయించి రష్యాకు పశ్చిమాన యూరోపియన్ దేశాల రిజిస్టర్లలో ఉన్నాయి. [11] [12] S-6E లకు ఒక ఉదాహరణ అట్లాంటిక్ మహాసముద్రం మీదుగా రెండుసార్లు ఎగురవేయబడింది. [2] టేలర్ 1996 నుండ"&amp;"ి వచ్చిన డేటా [17] పోల్చదగిన పాత్ర, కాన్ఫిగరేషన్ మరియు ERA యొక్క సాధారణ లక్షణాల పనితీరు విమానం")</f>
        <v>RANS S-6 కొయెట్ II అనేది ఒక అమెరికన్ సింగిల్-ఇంజిన్, ట్రాక్టర్ కాన్ఫిగరేషన్, రెండు-సీట్ల, హై-వింగ్ మోనోప్లేన్, ఇది రాండి ష్లిటర్ రూపొందించింది మరియు రాన్స్ ఇంక్ చేత తయారు చేయబడింది. కొయెట్ te త్సాహిక నిర్మాణం కోసం లేదా పూర్తి చేసిన కాంతిగా కిట్ రూపంలో లభిస్తుంది -స్పోర్ట్ విమానం. [1] [2] [3] [4] [5] [6] [7] [8] అసలు సింగిల్ సీట్ ఎస్ -4 కొయెట్‌ను 1982 లో రాన్స్ యజమాని రాండి ష్లిట్టర్ రూపొందించారు, ఆ సమయంలో ఇప్పటికే ఉన్న అల్ట్రాలైట్ డిజైన్లపై ఆయనకున్న అసంతృప్తి ఫలితంగా. మొట్టమొదటి కొయెట్ ప్రోటోటైప్ నిర్మాణం నవంబర్ 1982 లో ప్రారంభమైంది, మార్చి 1983 లో మొదటి ఫ్లైట్ తరువాత. [9] కొయెట్ II రెండు-సీటర్లు ఎస్ -5 కొయెట్ నుండి అభివృద్ధి చేయబడ్డాయి, ఇది ఎస్ -4 కొయెట్ యొక్క అభివృద్ధి. ప్రారంభ రెండు సీట్ల మోడల్, ఎస్ -6, ఏప్రిల్ 1990 లో మెరుగైన S-6ES ("ఎక్స్‌టెండెడ్ స్పాన్") మోడల్ ద్వారా భర్తీ చేయబడింది. 1993 లో, ES ను S-6S సూపర్ కొయెట్ ఉత్పత్తిలో చేరింది. [1] [[[4] [5] [6] [ S-6 యొక్క అన్ని నమూనాలు వెల్డెడ్ 4130 స్టీల్ ట్యూబ్ కాక్‌పిట్‌ను కలిగి ఉంటాయి, బోల్ట్డ్ అల్యూమినియం ట్యూబ్ వెనుక ఫ్యూజ్‌లేజ్, వింగ్ మరియు తోక ఉపరితలాలు అన్నీ ఫాబ్రిక్‌తో కప్పబడి ఉంటాయి. ప్రారంభ S-6 మరియు S-6ES లలో, ఫాబ్రిక్ ముందస్తుగా కుట్టిన డాక్రాన్ ఎన్వలప్‌లను కలిగి ఉంటుంది, ఇది నిర్మాణ సమయాన్ని తగ్గిస్తుంది. S-6 లు, అయితే, మరింత సాంప్రదాయ డోప్ మరియు ఫాబ్రిక్‌ను ఉపయోగిస్తాయి. ES కోసం నివేదించబడిన నిర్మాణ సమయాలు సూపర్ కోసం 250 మ్యాన్-గంటలు 500 మరియు 500. [1] [2] [3] [4] [5] [6] కొయెట్ II కిట్‌ను ట్రైసైకిల్ లేదా సాంప్రదాయ ల్యాండింగ్ గేర్‌తో ఆర్డర్ చేయవచ్చు మరియు ఫ్లోట్లు మరియు స్కిస్‌లతో కూడా అమర్చవచ్చు. అసలు ప్రాథమిక ఇంజిన్ 50 హెచ్‌పి (37 కిలోవాట్ల) లో రోటాక్స్ 503, 64 హెచ్‌పి (48 కిలోవాట్ల) లో రోటాక్స్ 582 ఒక ఎంపికగా లభిస్తుంది. ఈ రోజు, ప్రామాణిక ఇంజిన్ 80 హెచ్‌పి (60 కిలోవాట్ ఈ విమానం సౌర్ ఎస్ 2200 ఉల్ [10] తో కూడా అమర్చవచ్చు, కొయెట్ వినియోగదారులతో ప్రాచుర్యం పొందిందని నిరూపించబడింది, జనవరి 2008 నాటికి 1800 కి పైగా ఉదాహరణలు ఉన్నాయి. [4] [5] [7] నవంబర్ 2010 లో 615 ఐర్లాండ్‌ను మినహాయించి రష్యాకు పశ్చిమాన యూరోపియన్ దేశాల రిజిస్టర్లలో ఉన్నాయి. [11] [12] S-6E లకు ఒక ఉదాహరణ అట్లాంటిక్ మహాసముద్రం మీదుగా రెండుసార్లు ఎగురవేయబడింది. [2] టేలర్ 1996 నుండి వచ్చిన డేటా [17] పోల్చదగిన పాత్ర, కాన్ఫిగరేషన్ మరియు ERA యొక్క సాధారణ లక్షణాల పనితీరు విమానం</v>
      </c>
      <c r="E151" s="1" t="s">
        <v>2443</v>
      </c>
      <c r="F151" s="1" t="str">
        <f>IFERROR(__xludf.DUMMYFUNCTION("GOOGLETRANSLATE(E:E, ""en"", ""te"")"),"కిట్ మరియు లైట్-స్పోర్ట్ విమానం")</f>
        <v>కిట్ మరియు లైట్-స్పోర్ట్ విమానం</v>
      </c>
      <c r="G151" s="1" t="s">
        <v>155</v>
      </c>
      <c r="H151" s="1" t="str">
        <f>IFERROR(__xludf.DUMMYFUNCTION("GOOGLETRANSLATE(G:G, ""en"", ""te"")"),"అమెరికా")</f>
        <v>అమెరికా</v>
      </c>
      <c r="I151" s="1" t="s">
        <v>2353</v>
      </c>
      <c r="J151" s="1" t="str">
        <f>IFERROR(__xludf.DUMMYFUNCTION("GOOGLETRANSLATE(I:I, ""en"", ""te"")"),"రాన్స్ ఇంక్")</f>
        <v>రాన్స్ ఇంక్</v>
      </c>
      <c r="K151" s="1" t="s">
        <v>2354</v>
      </c>
      <c r="L151" s="1" t="s">
        <v>1821</v>
      </c>
      <c r="N151" s="1">
        <v>1988.0</v>
      </c>
      <c r="O151" s="1" t="s">
        <v>1208</v>
      </c>
      <c r="P151" s="1" t="s">
        <v>554</v>
      </c>
      <c r="Q151" s="1" t="s">
        <v>2444</v>
      </c>
      <c r="T151" s="1" t="s">
        <v>1445</v>
      </c>
      <c r="U151" s="1" t="s">
        <v>2445</v>
      </c>
      <c r="V151" s="1" t="s">
        <v>2358</v>
      </c>
      <c r="W151" s="1" t="s">
        <v>558</v>
      </c>
      <c r="X151" s="1" t="s">
        <v>2446</v>
      </c>
      <c r="Z151" s="1" t="s">
        <v>1229</v>
      </c>
      <c r="AA151" s="1" t="s">
        <v>2447</v>
      </c>
      <c r="AB151" s="1" t="s">
        <v>2448</v>
      </c>
      <c r="AC151" s="2" t="s">
        <v>167</v>
      </c>
      <c r="AD151" s="1" t="s">
        <v>374</v>
      </c>
      <c r="AF151" s="1" t="s">
        <v>583</v>
      </c>
      <c r="AG151" s="1" t="s">
        <v>1452</v>
      </c>
      <c r="AJ151" s="1" t="s">
        <v>2449</v>
      </c>
      <c r="AK151" s="1" t="s">
        <v>2423</v>
      </c>
      <c r="AR151" s="1" t="s">
        <v>2450</v>
      </c>
      <c r="BF151" s="1" t="s">
        <v>2451</v>
      </c>
      <c r="BG151" s="1" t="s">
        <v>2452</v>
      </c>
    </row>
    <row r="152">
      <c r="A152" s="1" t="s">
        <v>2453</v>
      </c>
      <c r="B152" s="1" t="str">
        <f>IFERROR(__xludf.DUMMYFUNCTION("GOOGLETRANSLATE(A:A, ""en"", ""te"")"),"రాన్స్ ఎస్ -7 కొరియర్")</f>
        <v>రాన్స్ ఎస్ -7 కొరియర్</v>
      </c>
      <c r="C152" s="1" t="s">
        <v>2454</v>
      </c>
      <c r="D152" s="1" t="str">
        <f>IFERROR(__xludf.DUMMYFUNCTION("GOOGLETRANSLATE(C:C, ""en"", ""te"")"),"రాన్స్ ఎస్ -7 కొరియర్ ఒక అమెరికన్ సింగిల్-ఇంజిన్, ట్రాక్టర్ కాన్ఫిగరేషన్, రెండు సీట్లు, టెన్డం, హై-వింగ్ మోనోప్లేన్ రాండి ష్లిటర్ రూపొందించారు మరియు రాన్స్ ఇంక్ చేత తయారు చేయబడింది. కొరియర్ te త్సాహిక నిర్మాణం కోసం కిట్ రూపంలో లేదా పూర్తయినట్లుగా లభిస్తుం"&amp;"ది లైట్-స్పోర్ట్ విమానం. S-7 మొదట సింగిల్ సీట్ S-4 కొయెట్ కోసం శిక్షకుడిగా భావించబడింది. మొట్టమొదట నవంబర్ 1985 లో ఎగిరింది, ష్లిట్టర్ మెచ్చుకున్న విమానానికి కొరియర్ పేరు పెట్టబడింది, హెలియో కొరియర్. [3] [4] [6] [8] [10] S-7 లో వెల్డెడ్ 4130 స్టీల్ ట్యూబ్ "&amp;"కాక్‌పిట్ ఉంది, బోల్ట్డ్ అల్యూమినియం ట్యూబ్ వెనుక ఫ్యూజ్‌లేజ్, వింగ్ మరియు తోక ఉపరితలాలు అన్నీ డోప్ మరియు ఫాబ్రిక్‌తో కప్పబడి ఉంటాయి. కొరియర్ కోసం నివేదించబడిన నిర్మాణ సమయాలు 500-700 మ్యాన్-గంటలు. [1] [2] [4] కొరియర్ సాంప్రదాయిక ల్యాండింగ్ గేర్‌తో మాత్రమే"&amp;" లభిస్తుంది కాని ఫ్లోట్లు మరియు స్కిస్‌లతో అమర్చవచ్చు. అసలు ప్రాథమిక ఇంజిన్ 50 హెచ్‌పి (37 కిలోవాట్ల) లో రోటాక్స్ 503, 64 హెచ్‌పి (48 కిలోవాట్ల) లో రోటాక్స్ 582 ఒక ఎంపికగా లభిస్తుంది. ఈ రోజు ప్రామాణిక ఇంజిన్ 100 HP (75 kW) రోటాక్స్ 912లు. [1] [2] [3] [4] "&amp;"కనీసం ఒక ఎస్ 7 ను జాబిరు 2200 ఫ్లాట్-ఫోర్, ఫోర్-స్ట్రోక్ డైరెక్ట్-డ్రైవ్ ఇంజిన్‌తో అమర్చారు. [11] కొరియర్ యొక్క 325 ఉదాహరణలు డిసెంబర్ 2007 నాటికి పూర్తయ్యాయి. [2] నవంబర్ 2010 లో 74 రష్యాకు పశ్చిమాన యూరోపియన్ దేశాల రిజిస్టర్లలో ఉన్నాయి. [12] సమీక్షకుడు మార"&amp;"ినో బోరిక్ 2015 సమీక్షలో మాట్లాడుతూ, ""ఈ శుద్ధి చేసిన చిన్న ఫన్ ఫ్లైయర్ ... తనను తాను అర్హమైన ప్రాచుర్యం పొందింది."" [13] డిసెంబర్ 2020 లో విస్తృతమైన సమీక్షలో, అవ్వేబ్ రచయిత డేవ్ ప్రిజియో డిజైన్ యొక్క ఎర్గోనామిక్స్ మరియు ఎకనామిక్స్ను ప్రశంసించారు. ""S-7 య"&amp;"ొక్క మంచి లక్షణం దాని 30-అంగుళాల వెడల్పు గల క్యాబిన్. పెద్ద వ్యక్తులకు కూడా, మీరు ఒక పిల్లలో ఉన్న విధంగా S-7 లోకి పిండి వేయవలసిన అవసరం లేదు. ఇది చాలా చక్కనిది అదే చేస్తుంది తక్కువ నిర్వహణ వ్యయంతో సూపర్ కబ్‌గా విషయం. ""[14] కిట్‌ప్లాన్‌ల నుండి డేటా [1] [2]"&amp;" పోల్చదగిన పాత్ర, కాన్ఫిగరేషన్ మరియు యుగం యొక్క సాధారణ లక్షణాల పనితీరు విమానం")</f>
        <v>రాన్స్ ఎస్ -7 కొరియర్ ఒక అమెరికన్ సింగిల్-ఇంజిన్, ట్రాక్టర్ కాన్ఫిగరేషన్, రెండు సీట్లు, టెన్డం, హై-వింగ్ మోనోప్లేన్ రాండి ష్లిటర్ రూపొందించారు మరియు రాన్స్ ఇంక్ చేత తయారు చేయబడింది. కొరియర్ te త్సాహిక నిర్మాణం కోసం కిట్ రూపంలో లేదా పూర్తయినట్లుగా లభిస్తుంది లైట్-స్పోర్ట్ విమానం. S-7 మొదట సింగిల్ సీట్ S-4 కొయెట్ కోసం శిక్షకుడిగా భావించబడింది. మొట్టమొదట నవంబర్ 1985 లో ఎగిరింది, ష్లిట్టర్ మెచ్చుకున్న విమానానికి కొరియర్ పేరు పెట్టబడింది, హెలియో కొరియర్. [3] [4] [6] [8] [10] S-7 లో వెల్డెడ్ 4130 స్టీల్ ట్యూబ్ కాక్‌పిట్ ఉంది, బోల్ట్డ్ అల్యూమినియం ట్యూబ్ వెనుక ఫ్యూజ్‌లేజ్, వింగ్ మరియు తోక ఉపరితలాలు అన్నీ డోప్ మరియు ఫాబ్రిక్‌తో కప్పబడి ఉంటాయి. కొరియర్ కోసం నివేదించబడిన నిర్మాణ సమయాలు 500-700 మ్యాన్-గంటలు. [1] [2] [4] కొరియర్ సాంప్రదాయిక ల్యాండింగ్ గేర్‌తో మాత్రమే లభిస్తుంది కాని ఫ్లోట్లు మరియు స్కిస్‌లతో అమర్చవచ్చు. అసలు ప్రాథమిక ఇంజిన్ 50 హెచ్‌పి (37 కిలోవాట్ల) లో రోటాక్స్ 503, 64 హెచ్‌పి (48 కిలోవాట్ల) లో రోటాక్స్ 582 ఒక ఎంపికగా లభిస్తుంది. ఈ రోజు ప్రామాణిక ఇంజిన్ 100 HP (75 kW) రోటాక్స్ 912లు. [1] [2] [3] [4] కనీసం ఒక ఎస్ 7 ను జాబిరు 2200 ఫ్లాట్-ఫోర్, ఫోర్-స్ట్రోక్ డైరెక్ట్-డ్రైవ్ ఇంజిన్‌తో అమర్చారు. [11] కొరియర్ యొక్క 325 ఉదాహరణలు డిసెంబర్ 2007 నాటికి పూర్తయ్యాయి. [2] నవంబర్ 2010 లో 74 రష్యాకు పశ్చిమాన యూరోపియన్ దేశాల రిజిస్టర్లలో ఉన్నాయి. [12] సమీక్షకుడు మారినో బోరిక్ 2015 సమీక్షలో మాట్లాడుతూ, "ఈ శుద్ధి చేసిన చిన్న ఫన్ ఫ్లైయర్ ... తనను తాను అర్హమైన ప్రాచుర్యం పొందింది." [13] డిసెంబర్ 2020 లో విస్తృతమైన సమీక్షలో, అవ్వేబ్ రచయిత డేవ్ ప్రిజియో డిజైన్ యొక్క ఎర్గోనామిక్స్ మరియు ఎకనామిక్స్ను ప్రశంసించారు. "S-7 యొక్క మంచి లక్షణం దాని 30-అంగుళాల వెడల్పు గల క్యాబిన్. పెద్ద వ్యక్తులకు కూడా, మీరు ఒక పిల్లలో ఉన్న విధంగా S-7 లోకి పిండి వేయవలసిన అవసరం లేదు. ఇది చాలా చక్కనిది అదే చేస్తుంది తక్కువ నిర్వహణ వ్యయంతో సూపర్ కబ్‌గా విషయం. "[14] కిట్‌ప్లాన్‌ల నుండి డేటా [1] [2] పోల్చదగిన పాత్ర, కాన్ఫిగరేషన్ మరియు యుగం యొక్క సాధారణ లక్షణాల పనితీరు విమానం</v>
      </c>
      <c r="E152" s="1" t="s">
        <v>621</v>
      </c>
      <c r="F152" s="1" t="str">
        <f>IFERROR(__xludf.DUMMYFUNCTION("GOOGLETRANSLATE(E:E, ""en"", ""te"")"),"కిట్ విమానం")</f>
        <v>కిట్ విమానం</v>
      </c>
      <c r="G152" s="1" t="s">
        <v>155</v>
      </c>
      <c r="H152" s="1" t="str">
        <f>IFERROR(__xludf.DUMMYFUNCTION("GOOGLETRANSLATE(G:G, ""en"", ""te"")"),"అమెరికా")</f>
        <v>అమెరికా</v>
      </c>
      <c r="I152" s="1" t="s">
        <v>2353</v>
      </c>
      <c r="J152" s="1" t="str">
        <f>IFERROR(__xludf.DUMMYFUNCTION("GOOGLETRANSLATE(I:I, ""en"", ""te"")"),"రాన్స్ ఇంక్")</f>
        <v>రాన్స్ ఇంక్</v>
      </c>
      <c r="K152" s="1" t="s">
        <v>2354</v>
      </c>
      <c r="L152" s="1" t="s">
        <v>1821</v>
      </c>
      <c r="N152" s="4">
        <v>31352.0</v>
      </c>
      <c r="O152" s="1" t="s">
        <v>1208</v>
      </c>
      <c r="P152" s="1" t="s">
        <v>2455</v>
      </c>
      <c r="Q152" s="1" t="s">
        <v>2456</v>
      </c>
      <c r="R152" s="1" t="s">
        <v>2457</v>
      </c>
      <c r="S152" s="1" t="s">
        <v>2458</v>
      </c>
      <c r="T152" s="1" t="s">
        <v>1718</v>
      </c>
      <c r="U152" s="1" t="s">
        <v>2459</v>
      </c>
      <c r="V152" s="1" t="s">
        <v>2460</v>
      </c>
      <c r="X152" s="1" t="s">
        <v>2461</v>
      </c>
      <c r="Z152" s="1" t="s">
        <v>1229</v>
      </c>
      <c r="AA152" s="1" t="s">
        <v>2462</v>
      </c>
      <c r="AB152" s="1" t="s">
        <v>635</v>
      </c>
      <c r="AC152" s="2" t="s">
        <v>167</v>
      </c>
      <c r="AD152" s="1" t="s">
        <v>2463</v>
      </c>
      <c r="AE152" s="1" t="s">
        <v>2464</v>
      </c>
      <c r="AF152" s="1" t="s">
        <v>2465</v>
      </c>
      <c r="AG152" s="1" t="s">
        <v>2466</v>
      </c>
      <c r="AH152" s="1" t="s">
        <v>2467</v>
      </c>
      <c r="AI152" s="1" t="s">
        <v>2468</v>
      </c>
      <c r="AJ152" s="1" t="s">
        <v>2469</v>
      </c>
      <c r="AK152" s="1" t="s">
        <v>2423</v>
      </c>
      <c r="AR152" s="1" t="s">
        <v>2470</v>
      </c>
      <c r="BF152" s="1" t="s">
        <v>2451</v>
      </c>
      <c r="BG152" s="1" t="s">
        <v>2452</v>
      </c>
    </row>
    <row r="153">
      <c r="A153" s="1" t="s">
        <v>2471</v>
      </c>
      <c r="B153" s="1" t="str">
        <f>IFERROR(__xludf.DUMMYFUNCTION("GOOGLETRANSLATE(A:A, ""en"", ""te"")"),"రావిన్ 500")</f>
        <v>రావిన్ 500</v>
      </c>
      <c r="C153" s="1" t="s">
        <v>2472</v>
      </c>
      <c r="D153" s="1" t="str">
        <f>IFERROR(__xludf.DUMMYFUNCTION("GOOGLETRANSLATE(C:C, ""en"", ""te"")"),"రావిన్ 500 అనేది దక్షిణాఫ్రికా te త్సాహిక-నిర్మిత విమానం, ఇది రావిన్ విమానాల ప్రిటోరియా చేత రూపొందించబడింది మరియు నిర్మించింది. ఈ విమానం మొదట 15 సెప్టెంబర్ 2002 న ప్రయాణించింది మరియు ఇది te త్సాహిక నిర్మాణానికి కిట్‌గా లేదా పూర్తి రెడీ-టు-ఫ్లై విమానంగా సర"&amp;"ఫరా చేయబడుతుంది. [1] [2] రావిన్ 500 అల్యూమినియం పైపర్ PA-24 కోమంచె రూపకల్పనపై ఆధారపడి ఉంటుంది, కానీ మిశ్రమ పదార్థాలలో ఇవ్వబడింది మరియు 6-7%స్కేల్ చేయబడింది. [3] రావిన్ 500 లో కాంటిలివర్ లో-వింగ్, నాలుగు-సీట్ల పరివేష్టిత క్యాబిన్, తలుపులు యాక్సెస్ చేయబడ్డా"&amp;"యి, ముడుచుకునే ట్రైసైకిల్ ల్యాండింగ్ గేర్ మరియు ట్రాక్టర్ కాన్ఫిగరేషన్‌లో ఒకే ఇంజిన్ ఉన్నాయి. క్యాబిన్ 45 లో (114 సెం.మీ) వెడల్పు. [1] [2] విమానం యొక్క 35 అడుగుల (10.7 మీ) స్పాన్ వింగ్ 157 చదరపు అడుగుల (14.6 మీ 2) విస్తీర్ణంలో ఉంది మరియు ఫ్లాప్స్ మరియు వి"&amp;"ంగ్లెట్స్ ను మౌంట్ చేస్తుంది. విమానం సిఫార్సు చేసిన ఇంజిన్ 260 నుండి 300 హెచ్‌పి (194 నుండి 224 కిలోవాట్) లైమింగ్ IO-540 ఫోర్-స్ట్రోక్ పవర్‌ప్లాంట్. సరఫరా చేసిన కిట్ నుండి నిర్మాణ సమయం 1400 గంటలుగా అంచనా వేయబడింది. [1] డిసెంబర్ 2013 నాటికి మొత్తం 22 విమాన"&amp;"ాలు లేదా వస్తు సామగ్రిని సరఫరా చేశారని మరియు వీటిలో 17 పూర్తయ్యాయని కంపెనీ నివేదించింది. [4] కిట్‌ప్లాన్లు మరియు రావిన్ విమానాల నుండి డేటా [1] [2] సాధారణ లక్షణాల పనితీరు")</f>
        <v>రావిన్ 500 అనేది దక్షిణాఫ్రికా te త్సాహిక-నిర్మిత విమానం, ఇది రావిన్ విమానాల ప్రిటోరియా చేత రూపొందించబడింది మరియు నిర్మించింది. ఈ విమానం మొదట 15 సెప్టెంబర్ 2002 న ప్రయాణించింది మరియు ఇది te త్సాహిక నిర్మాణానికి కిట్‌గా లేదా పూర్తి రెడీ-టు-ఫ్లై విమానంగా సరఫరా చేయబడుతుంది. [1] [2] రావిన్ 500 అల్యూమినియం పైపర్ PA-24 కోమంచె రూపకల్పనపై ఆధారపడి ఉంటుంది, కానీ మిశ్రమ పదార్థాలలో ఇవ్వబడింది మరియు 6-7%స్కేల్ చేయబడింది. [3] రావిన్ 500 లో కాంటిలివర్ లో-వింగ్, నాలుగు-సీట్ల పరివేష్టిత క్యాబిన్, తలుపులు యాక్సెస్ చేయబడ్డాయి, ముడుచుకునే ట్రైసైకిల్ ల్యాండింగ్ గేర్ మరియు ట్రాక్టర్ కాన్ఫిగరేషన్‌లో ఒకే ఇంజిన్ ఉన్నాయి. క్యాబిన్ 45 లో (114 సెం.మీ) వెడల్పు. [1] [2] విమానం యొక్క 35 అడుగుల (10.7 మీ) స్పాన్ వింగ్ 157 చదరపు అడుగుల (14.6 మీ 2) విస్తీర్ణంలో ఉంది మరియు ఫ్లాప్స్ మరియు వింగ్లెట్స్ ను మౌంట్ చేస్తుంది. విమానం సిఫార్సు చేసిన ఇంజిన్ 260 నుండి 300 హెచ్‌పి (194 నుండి 224 కిలోవాట్) లైమింగ్ IO-540 ఫోర్-స్ట్రోక్ పవర్‌ప్లాంట్. సరఫరా చేసిన కిట్ నుండి నిర్మాణ సమయం 1400 గంటలుగా అంచనా వేయబడింది. [1] డిసెంబర్ 2013 నాటికి మొత్తం 22 విమానాలు లేదా వస్తు సామగ్రిని సరఫరా చేశారని మరియు వీటిలో 17 పూర్తయ్యాయని కంపెనీ నివేదించింది. [4] కిట్‌ప్లాన్లు మరియు రావిన్ విమానాల నుండి డేటా [1] [2] సాధారణ లక్షణాల పనితీరు</v>
      </c>
      <c r="E153" s="1" t="s">
        <v>132</v>
      </c>
      <c r="F153" s="1" t="str">
        <f>IFERROR(__xludf.DUMMYFUNCTION("GOOGLETRANSLATE(E:E, ""en"", ""te"")"),"Te త్సాహిక నిర్మించిన విమానం")</f>
        <v>Te త్సాహిక నిర్మించిన విమానం</v>
      </c>
      <c r="G153" s="1" t="s">
        <v>2333</v>
      </c>
      <c r="H153" s="1" t="str">
        <f>IFERROR(__xludf.DUMMYFUNCTION("GOOGLETRANSLATE(G:G, ""en"", ""te"")"),"దక్షిణ ఆఫ్రికా")</f>
        <v>దక్షిణ ఆఫ్రికా</v>
      </c>
      <c r="I153" s="1" t="s">
        <v>2473</v>
      </c>
      <c r="J153" s="1" t="str">
        <f>IFERROR(__xludf.DUMMYFUNCTION("GOOGLETRANSLATE(I:I, ""en"", ""te"")"),"రావిన్ విమానం")</f>
        <v>రావిన్ విమానం</v>
      </c>
      <c r="K153" s="1" t="s">
        <v>2474</v>
      </c>
      <c r="N153" s="3">
        <v>37514.0</v>
      </c>
      <c r="O153" s="1" t="s">
        <v>135</v>
      </c>
      <c r="P153" s="1" t="s">
        <v>2475</v>
      </c>
      <c r="Q153" s="1" t="s">
        <v>1716</v>
      </c>
      <c r="S153" s="1" t="s">
        <v>2476</v>
      </c>
      <c r="T153" s="1" t="s">
        <v>1789</v>
      </c>
      <c r="U153" s="1" t="s">
        <v>2477</v>
      </c>
      <c r="V153" s="1" t="s">
        <v>1942</v>
      </c>
      <c r="W153" s="1" t="s">
        <v>2478</v>
      </c>
      <c r="X153" s="1" t="s">
        <v>2479</v>
      </c>
      <c r="AA153" s="1" t="s">
        <v>2480</v>
      </c>
      <c r="AB153" s="1" t="s">
        <v>144</v>
      </c>
      <c r="AC153" s="1" t="s">
        <v>2345</v>
      </c>
      <c r="AD153" s="1" t="s">
        <v>190</v>
      </c>
      <c r="AE153" s="1" t="s">
        <v>2481</v>
      </c>
      <c r="AF153" s="1" t="s">
        <v>542</v>
      </c>
      <c r="AG153" s="1" t="s">
        <v>1465</v>
      </c>
      <c r="AH153" s="1" t="s">
        <v>2482</v>
      </c>
      <c r="AI153" s="1" t="s">
        <v>1710</v>
      </c>
      <c r="AJ153" s="1">
        <v>17.0</v>
      </c>
      <c r="AK153" s="1" t="s">
        <v>490</v>
      </c>
      <c r="BF153" s="1" t="s">
        <v>2483</v>
      </c>
      <c r="BG153" s="1" t="s">
        <v>2484</v>
      </c>
    </row>
    <row r="154">
      <c r="A154" s="1" t="s">
        <v>2485</v>
      </c>
      <c r="B154" s="1" t="str">
        <f>IFERROR(__xludf.DUMMYFUNCTION("GOOGLETRANSLATE(A:A, ""en"", ""te"")"),"రిచర్డ్ 150 ప్రయాణికుడు")</f>
        <v>రిచర్డ్ 150 ప్రయాణికుడు</v>
      </c>
      <c r="C154" s="1" t="s">
        <v>2486</v>
      </c>
      <c r="D154" s="1" t="str">
        <f>IFERROR(__xludf.DUMMYFUNCTION("GOOGLETRANSLATE(C:C, ""en"", ""te"")"),"రిచర్డ్ 150 ప్రయాణికుడు C.H. చేత రూపొందించబడిన మరియు నిర్మించిన ఒక అమెరికన్ రెండు-సీట్ల క్యాబిన్ మోనోప్లేన్. కాలిఫోర్నియాలోని లాంకాస్టర్ యొక్క రిచర్డ్ కంపెనీ కిట్ రూపంలో లేదా te త్సాహిక నిర్మాణానికి ప్రణాళికలుగా విక్రయించబడుతుంది. [1] 1969 లో ప్రారంభ రిచర"&amp;"్డ్ 125 ప్రయాణికుల అభివృద్ధి, 150 ప్రయాణికుడు రెక్కలు, మోనోకోక్ ఫ్యూజ్‌లేజ్ మరియు టెయిల్ యూనిట్ యొక్క ఆల్-మెటల్ నిర్మాణంతో ఒక బ్రేస్డ్ హై-వింగ్ మోనోప్లేన్. ఇది టెయిల్‌వీల్‌తో మార్చలేని సాంప్రదాయిక ల్యాండింగ్ గేర్‌ను కలిగి ఉంది. ఈ నమూనాను 150 హెచ్‌పి (112 "&amp;"కిలోవాట్ల) లైమింగ్ ఓ -320-ఎ 2 ఎ ఎయిర్-కూల్డ్ ఇంజిన్ రెండు బ్లేడెడ్ మెటల్ ట్రాక్టర్ ప్రొపెల్లర్‌తో నడిచింది. పరివేష్టిత క్యాబిన్ ద్వంద్వ నియంత్రణలతో రెండు సైడ్-బై సీట్లను కలిగి ఉంది మరియు సీట్ల వెనుక సామాను స్థలం ఉంది. 1972 లో ప్రోటోటైప్ మొదట ప్రయాణించిన త"&amp;"రువాత, వేర్వేరు వింగ్ విభాగం మరియు 100 చదరపు అడుగుల (9.29 మీ 2) విస్తీర్ణంలో కొత్త వింగ్ రూపొందించబడింది. [1] జేన్ యొక్క అన్ని ప్రపంచ విమానాల నుండి డేటా 1973-74 [1] సాధారణ లక్షణాల పనితీరు")</f>
        <v>రిచర్డ్ 150 ప్రయాణికుడు C.H. చేత రూపొందించబడిన మరియు నిర్మించిన ఒక అమెరికన్ రెండు-సీట్ల క్యాబిన్ మోనోప్లేన్. కాలిఫోర్నియాలోని లాంకాస్టర్ యొక్క రిచర్డ్ కంపెనీ కిట్ రూపంలో లేదా te త్సాహిక నిర్మాణానికి ప్రణాళికలుగా విక్రయించబడుతుంది. [1] 1969 లో ప్రారంభ రిచర్డ్ 125 ప్రయాణికుల అభివృద్ధి, 150 ప్రయాణికుడు రెక్కలు, మోనోకోక్ ఫ్యూజ్‌లేజ్ మరియు టెయిల్ యూనిట్ యొక్క ఆల్-మెటల్ నిర్మాణంతో ఒక బ్రేస్డ్ హై-వింగ్ మోనోప్లేన్. ఇది టెయిల్‌వీల్‌తో మార్చలేని సాంప్రదాయిక ల్యాండింగ్ గేర్‌ను కలిగి ఉంది. ఈ నమూనాను 150 హెచ్‌పి (112 కిలోవాట్ల) లైమింగ్ ఓ -320-ఎ 2 ఎ ఎయిర్-కూల్డ్ ఇంజిన్ రెండు బ్లేడెడ్ మెటల్ ట్రాక్టర్ ప్రొపెల్లర్‌తో నడిచింది. పరివేష్టిత క్యాబిన్ ద్వంద్వ నియంత్రణలతో రెండు సైడ్-బై సీట్లను కలిగి ఉంది మరియు సీట్ల వెనుక సామాను స్థలం ఉంది. 1972 లో ప్రోటోటైప్ మొదట ప్రయాణించిన తరువాత, వేర్వేరు వింగ్ విభాగం మరియు 100 చదరపు అడుగుల (9.29 మీ 2) విస్తీర్ణంలో కొత్త వింగ్ రూపొందించబడింది. [1] జేన్ యొక్క అన్ని ప్రపంచ విమానాల నుండి డేటా 1973-74 [1] సాధారణ లక్షణాల పనితీరు</v>
      </c>
      <c r="E154" s="1" t="s">
        <v>2487</v>
      </c>
      <c r="F154" s="1" t="str">
        <f>IFERROR(__xludf.DUMMYFUNCTION("GOOGLETRANSLATE(E:E, ""en"", ""te"")"),"రెండు-సీట్ల క్యాబిన్ మోనోప్లేన్")</f>
        <v>రెండు-సీట్ల క్యాబిన్ మోనోప్లేన్</v>
      </c>
      <c r="G154" s="1" t="s">
        <v>155</v>
      </c>
      <c r="H154" s="1" t="str">
        <f>IFERROR(__xludf.DUMMYFUNCTION("GOOGLETRANSLATE(G:G, ""en"", ""te"")"),"అమెరికా")</f>
        <v>అమెరికా</v>
      </c>
      <c r="I154" s="1" t="s">
        <v>2488</v>
      </c>
      <c r="J154" s="1" t="str">
        <f>IFERROR(__xludf.DUMMYFUNCTION("GOOGLETRANSLATE(I:I, ""en"", ""te"")"),"C.H. రిచర్డ్ కంపెనీ")</f>
        <v>C.H. రిచర్డ్ కంపెనీ</v>
      </c>
      <c r="N154" s="1">
        <v>1972.0</v>
      </c>
      <c r="O154" s="1">
        <v>2.0</v>
      </c>
      <c r="P154" s="1" t="s">
        <v>2489</v>
      </c>
      <c r="Q154" s="1" t="s">
        <v>626</v>
      </c>
      <c r="R154" s="1" t="s">
        <v>1607</v>
      </c>
      <c r="S154" s="1" t="s">
        <v>2490</v>
      </c>
      <c r="T154" s="1" t="s">
        <v>2491</v>
      </c>
      <c r="U154" s="1" t="s">
        <v>1958</v>
      </c>
      <c r="V154" s="1" t="s">
        <v>2492</v>
      </c>
      <c r="W154" s="1" t="s">
        <v>2493</v>
      </c>
      <c r="Z154" s="1" t="s">
        <v>2494</v>
      </c>
      <c r="AG154" s="1" t="s">
        <v>339</v>
      </c>
      <c r="AH154" s="1" t="s">
        <v>1975</v>
      </c>
      <c r="BF154" s="1" t="s">
        <v>2370</v>
      </c>
      <c r="BG154" s="1" t="s">
        <v>2495</v>
      </c>
    </row>
    <row r="155">
      <c r="A155" s="1" t="s">
        <v>2496</v>
      </c>
      <c r="B155" s="1" t="str">
        <f>IFERROR(__xludf.DUMMYFUNCTION("GOOGLETRANSLATE(A:A, ""en"", ""te"")"),"రోలాండ్ ME 109 ప్రతిరూపం")</f>
        <v>రోలాండ్ ME 109 ప్రతిరూపం</v>
      </c>
      <c r="C155" s="1" t="s">
        <v>2497</v>
      </c>
      <c r="D155" s="1" t="str">
        <f>IFERROR(__xludf.DUMMYFUNCTION("GOOGLETRANSLATE(C:C, ""en"", ""te"")"),"రోలాండ్ ME 109 ప్రతిరూపం జర్మన్ అల్ట్రాలైట్ మరియు లైట్-స్పోర్ట్ విమానం, ఇది మెండిగ్ యొక్క రోలాండ్ విమానాల అభివృద్ధి. ఈ విమానం రెండవ ప్రపంచ యుద్ధం మెసెర్స్‌మిట్ బిఎఫ్ 109 జి -6 ఫైటర్ విమానాలకు 83% ప్రతిరూపం మరియు te త్సాహిక నిర్మాణానికి కిట్‌గా లేదా పూర్తి"&amp;" రెడీ-టు-ఫ్లై-విమానయానంగా సరఫరా చేయబడుతుంది. [1] [2] ఈ విమానం ఫెడెరేషన్ ఏరోనటిక్ ఇంటర్నేషనల్ మైక్రోలైట్ రూల్స్ మరియు యుఎస్ లైట్-స్పోర్ట్ ఎయిర్క్రాఫ్ట్ నిబంధనలకు అనుగుణంగా రూపొందించబడింది. ఇది ప్రతిబింబించే విమానం వలె, ఇది ఒక కాంటిలివర్ లో-వింగ్, ఫ్రేమ్డ్ "&amp;"పందిరి కింద రెండు-సీట్ల-రుచిగల పరివేష్టిత కాక్‌పిట్, ముడుచుకునే సాంప్రదాయిక ల్యాండింగ్ గేర్ మరియు ట్రాక్టర్ కాన్ఫిగరేషన్‌లో ఒకే ఇంజిన్ కలిగి ఉంది. [1] ఈ విమానం ప్రధానంగా అల్యూమినియం షీట్ నుండి తయారు చేయబడింది. దాని 8.13 మీ (26.7 అడుగులు) స్పాన్ వింగ్ 17.5"&amp;" మీ 2 (188 చదరపు అడుగులు) మరియు ఫ్లాప్‌లను మౌంట్ చేస్తుంది. ఉద్దేశించిన ప్రామాణిక ఇంజిన్ 100 హెచ్‌పి (75 కిలోవాట్) రోటాక్స్ 912లు, అయినప్పటికీ 180 హెచ్‌పి (134 కిలోవాట్ చెక్ రిపబ్లిక్లో ఉప-కాంట్రాక్ట్ కింద ME 109 ప్రతిరూపాన్ని ఉత్పత్తి చేయాలనేది ప్రణాళిక."&amp;" [1] బేయర్ల్ మరియు రోలాండ్ విమానం నుండి డేటా [1] [2] సాధారణ లక్షణాల పనితీరు")</f>
        <v>రోలాండ్ ME 109 ప్రతిరూపం జర్మన్ అల్ట్రాలైట్ మరియు లైట్-స్పోర్ట్ విమానం, ఇది మెండిగ్ యొక్క రోలాండ్ విమానాల అభివృద్ధి. ఈ విమానం రెండవ ప్రపంచ యుద్ధం మెసెర్స్‌మిట్ బిఎఫ్ 109 జి -6 ఫైటర్ విమానాలకు 83% ప్రతిరూపం మరియు te త్సాహిక నిర్మాణానికి కిట్‌గా లేదా పూర్తి రెడీ-టు-ఫ్లై-విమానయానంగా సరఫరా చేయబడుతుంది. [1] [2] ఈ విమానం ఫెడెరేషన్ ఏరోనటిక్ ఇంటర్నేషనల్ మైక్రోలైట్ రూల్స్ మరియు యుఎస్ లైట్-స్పోర్ట్ ఎయిర్క్రాఫ్ట్ నిబంధనలకు అనుగుణంగా రూపొందించబడింది. ఇది ప్రతిబింబించే విమానం వలె, ఇది ఒక కాంటిలివర్ లో-వింగ్, ఫ్రేమ్డ్ పందిరి కింద రెండు-సీట్ల-రుచిగల పరివేష్టిత కాక్‌పిట్, ముడుచుకునే సాంప్రదాయిక ల్యాండింగ్ గేర్ మరియు ట్రాక్టర్ కాన్ఫిగరేషన్‌లో ఒకే ఇంజిన్ కలిగి ఉంది. [1] ఈ విమానం ప్రధానంగా అల్యూమినియం షీట్ నుండి తయారు చేయబడింది. దాని 8.13 మీ (26.7 అడుగులు) స్పాన్ వింగ్ 17.5 మీ 2 (188 చదరపు అడుగులు) మరియు ఫ్లాప్‌లను మౌంట్ చేస్తుంది. ఉద్దేశించిన ప్రామాణిక ఇంజిన్ 100 హెచ్‌పి (75 కిలోవాట్) రోటాక్స్ 912లు, అయినప్పటికీ 180 హెచ్‌పి (134 కిలోవాట్ చెక్ రిపబ్లిక్లో ఉప-కాంట్రాక్ట్ కింద ME 109 ప్రతిరూపాన్ని ఉత్పత్తి చేయాలనేది ప్రణాళిక. [1] బేయర్ల్ మరియు రోలాండ్ విమానం నుండి డేటా [1] [2] సాధారణ లక్షణాల పనితీరు</v>
      </c>
      <c r="E155" s="1" t="s">
        <v>178</v>
      </c>
      <c r="F155" s="1" t="str">
        <f>IFERROR(__xludf.DUMMYFUNCTION("GOOGLETRANSLATE(E:E, ""en"", ""te"")"),"అల్ట్రాలైట్ విమానం మరియు లైట్-స్పోర్ట్ విమానం")</f>
        <v>అల్ట్రాలైట్ విమానం మరియు లైట్-స్పోర్ట్ విమానం</v>
      </c>
      <c r="G155" s="1" t="s">
        <v>133</v>
      </c>
      <c r="H155" s="1" t="str">
        <f>IFERROR(__xludf.DUMMYFUNCTION("GOOGLETRANSLATE(G:G, ""en"", ""te"")"),"జర్మనీ")</f>
        <v>జర్మనీ</v>
      </c>
      <c r="I155" s="1" t="s">
        <v>2498</v>
      </c>
      <c r="J155" s="1" t="str">
        <f>IFERROR(__xludf.DUMMYFUNCTION("GOOGLETRANSLATE(I:I, ""en"", ""te"")"),"రోలాండ్ విమానం")</f>
        <v>రోలాండ్ విమానం</v>
      </c>
      <c r="K155" s="1" t="s">
        <v>2499</v>
      </c>
      <c r="O155" s="1" t="s">
        <v>135</v>
      </c>
      <c r="P155" s="1" t="s">
        <v>2500</v>
      </c>
      <c r="Q155" s="1" t="s">
        <v>2501</v>
      </c>
      <c r="S155" s="1" t="s">
        <v>2502</v>
      </c>
      <c r="U155" s="1" t="s">
        <v>1006</v>
      </c>
      <c r="V155" s="1" t="s">
        <v>2503</v>
      </c>
      <c r="W155" s="1" t="s">
        <v>192</v>
      </c>
      <c r="AB155" s="1" t="s">
        <v>189</v>
      </c>
      <c r="AC155" s="2" t="s">
        <v>145</v>
      </c>
      <c r="AD155" s="1" t="s">
        <v>2504</v>
      </c>
      <c r="AI155" s="1" t="s">
        <v>2505</v>
      </c>
      <c r="AJ155" s="1" t="s">
        <v>2506</v>
      </c>
      <c r="AK155" s="1" t="s">
        <v>195</v>
      </c>
      <c r="BF155" s="1" t="s">
        <v>2507</v>
      </c>
      <c r="BG155" s="1" t="s">
        <v>2508</v>
      </c>
    </row>
    <row r="156">
      <c r="A156" s="1" t="s">
        <v>2285</v>
      </c>
      <c r="B156" s="1" t="str">
        <f>IFERROR(__xludf.DUMMYFUNCTION("GOOGLETRANSLATE(A:A, ""en"", ""te"")"),"రోటార్టెక్ క్లౌడ్ డాన్సర్ I")</f>
        <v>రోటార్టెక్ క్లౌడ్ డాన్సర్ I</v>
      </c>
      <c r="C156" s="1" t="s">
        <v>2509</v>
      </c>
      <c r="D156" s="1" t="str">
        <f>IFERROR(__xludf.DUMMYFUNCTION("GOOGLETRANSLATE(C:C, ""en"", ""te"")"),"రోటార్టెక్ క్లౌడ్ డాన్సర్ I ఒక జర్మన్ ఆటోజైరో, ఇది రోటోర్టెక్ ఆఫ్ గోరిస్రీడ్, ఆల్గావు చేత రూపొందించబడింది మరియు నిర్మించబడింది. విమానం పూర్తి రెడీ-టు-ఫ్లై-ఎయిర్‌క్రాఫ్ట్‌గా సరఫరా చేయబడుతుంది. [1] క్లౌడ్ డాన్సర్ I ఒక సింగిల్ మెయిన్ రోటర్, బబుల్ పందిరితో సి"&amp;"ంగిల్-సీట్ల పరివేష్టిత కాక్‌పిట్, వీల్ ప్యాంటుతో ట్రైసైకిల్ ల్యాండింగ్ గేర్ మరియు జంట సిలిండర్, ఎయిర్-కూల్డ్ 70 లేదా 84 హెచ్‌పి (52 లేదా 63 కిలోవాట్) హిర్త్ టూ స్ట్రోక్ ఇంజిన్ మౌంట్ చేయబడింది పషర్ కాన్ఫిగరేషన్‌లో. 65 హెచ్‌పి (48 కిలోవాట్ విమానం ఫ్యూజ్‌లేజ"&amp;"్ మరియు తోకను అల్యూమినియం మరియు కెవ్లర్ మిశ్రమాల నుండి తయారు చేస్తారు. దీని 7.40 మీ (24.3 అడుగులు) వ్యాసం రోటర్ 17.5 సెం.మీ (6.9 అంగుళాలు) తీగను కలిగి ఉంది మరియు విద్యుదయస్కాంత క్లచ్ మరియు కార్డాన్ డ్రైవ్‌తో ప్రీ-రొటలర్‌తో అమర్చబడి ఉంటుంది. ఎలక్ట్రిక్ ట్ర"&amp;"ిమ్ మరియు ఎలక్ట్రానిక్ ఇన్స్ట్రుమెంట్ ప్యానెల్ ప్రామాణిక పరికరాలు. ఈ విమానం ఖాళీ బరువు 170 కిలోల (375 ఎల్బి) మరియు స్థూల బరువు 300 కిలోలు (661 పౌండ్లు), ఇది 130 కిలోల (287 ఎల్బి) ఉపయోగకరమైన లోడ్ ఇస్తుంది. [1] బేయర్ల్ నుండి డేటా [1] సాధారణ లక్షణాల పనితీరు")</f>
        <v>రోటార్టెక్ క్లౌడ్ డాన్సర్ I ఒక జర్మన్ ఆటోజైరో, ఇది రోటోర్టెక్ ఆఫ్ గోరిస్రీడ్, ఆల్గావు చేత రూపొందించబడింది మరియు నిర్మించబడింది. విమానం పూర్తి రెడీ-టు-ఫ్లై-ఎయిర్‌క్రాఫ్ట్‌గా సరఫరా చేయబడుతుంది. [1] క్లౌడ్ డాన్సర్ I ఒక సింగిల్ మెయిన్ రోటర్, బబుల్ పందిరితో సింగిల్-సీట్ల పరివేష్టిత కాక్‌పిట్, వీల్ ప్యాంటుతో ట్రైసైకిల్ ల్యాండింగ్ గేర్ మరియు జంట సిలిండర్, ఎయిర్-కూల్డ్ 70 లేదా 84 హెచ్‌పి (52 లేదా 63 కిలోవాట్) హిర్త్ టూ స్ట్రోక్ ఇంజిన్ మౌంట్ చేయబడింది పషర్ కాన్ఫిగరేషన్‌లో. 65 హెచ్‌పి (48 కిలోవాట్ విమానం ఫ్యూజ్‌లేజ్ మరియు తోకను అల్యూమినియం మరియు కెవ్లర్ మిశ్రమాల నుండి తయారు చేస్తారు. దీని 7.40 మీ (24.3 అడుగులు) వ్యాసం రోటర్ 17.5 సెం.మీ (6.9 అంగుళాలు) తీగను కలిగి ఉంది మరియు విద్యుదయస్కాంత క్లచ్ మరియు కార్డాన్ డ్రైవ్‌తో ప్రీ-రొటలర్‌తో అమర్చబడి ఉంటుంది. ఎలక్ట్రిక్ ట్రిమ్ మరియు ఎలక్ట్రానిక్ ఇన్స్ట్రుమెంట్ ప్యానెల్ ప్రామాణిక పరికరాలు. ఈ విమానం ఖాళీ బరువు 170 కిలోల (375 ఎల్బి) మరియు స్థూల బరువు 300 కిలోలు (661 పౌండ్లు), ఇది 130 కిలోల (287 ఎల్బి) ఉపయోగకరమైన లోడ్ ఇస్తుంది. [1] బేయర్ల్ నుండి డేటా [1] సాధారణ లక్షణాల పనితీరు</v>
      </c>
      <c r="E156" s="1" t="s">
        <v>530</v>
      </c>
      <c r="F156" s="1" t="str">
        <f>IFERROR(__xludf.DUMMYFUNCTION("GOOGLETRANSLATE(E:E, ""en"", ""te"")"),"ఆటోజీరో")</f>
        <v>ఆటోజీరో</v>
      </c>
      <c r="G156" s="1" t="s">
        <v>133</v>
      </c>
      <c r="H156" s="1" t="str">
        <f>IFERROR(__xludf.DUMMYFUNCTION("GOOGLETRANSLATE(G:G, ""en"", ""te"")"),"జర్మనీ")</f>
        <v>జర్మనీ</v>
      </c>
      <c r="I156" s="1" t="s">
        <v>2276</v>
      </c>
      <c r="J156" s="1" t="str">
        <f>IFERROR(__xludf.DUMMYFUNCTION("GOOGLETRANSLATE(I:I, ""en"", ""te"")"),"రోటోర్టెక్")</f>
        <v>రోటోర్టెక్</v>
      </c>
      <c r="K156" s="2" t="s">
        <v>2277</v>
      </c>
      <c r="O156" s="1" t="s">
        <v>135</v>
      </c>
      <c r="T156" s="1" t="s">
        <v>1999</v>
      </c>
      <c r="U156" s="1" t="s">
        <v>2279</v>
      </c>
      <c r="V156" s="1" t="s">
        <v>2510</v>
      </c>
      <c r="W156" s="1" t="s">
        <v>141</v>
      </c>
      <c r="Z156" s="1" t="s">
        <v>2282</v>
      </c>
      <c r="AA156" s="1" t="s">
        <v>2511</v>
      </c>
      <c r="AB156" s="2" t="s">
        <v>538</v>
      </c>
      <c r="AC156" s="2" t="s">
        <v>145</v>
      </c>
      <c r="AD156" s="1" t="s">
        <v>1469</v>
      </c>
      <c r="AE156" s="1" t="s">
        <v>2512</v>
      </c>
      <c r="AF156" s="1" t="s">
        <v>2284</v>
      </c>
      <c r="AG156" s="1" t="s">
        <v>2513</v>
      </c>
      <c r="BR156" s="1" t="s">
        <v>2514</v>
      </c>
    </row>
    <row r="157">
      <c r="A157" s="1" t="s">
        <v>2515</v>
      </c>
      <c r="B157" s="1" t="str">
        <f>IFERROR(__xludf.DUMMYFUNCTION("GOOGLETRANSLATE(A:A, ""en"", ""te"")"),"రోటార్టెక్ క్లౌడ్ డాన్సర్ II")</f>
        <v>రోటార్టెక్ క్లౌడ్ డాన్సర్ II</v>
      </c>
      <c r="C157" s="1" t="s">
        <v>2516</v>
      </c>
      <c r="D157" s="1" t="str">
        <f>IFERROR(__xludf.DUMMYFUNCTION("GOOGLETRANSLATE(C:C, ""en"", ""te"")"),"రోటార్టెక్ క్లౌడ్ డాన్సర్ II ఒక జర్మన్ ఆటోజైరో, ఇది జోచెన్ స్టెయిన్బెక్ చేత రూపొందించబడింది మరియు రోటోర్టెక్ ఆఫ్ గోరిస్రీడ్, ఆల్గావు చేత నిర్మించబడింది. ఈ విమానం మొట్టమొదట 2009 లో ఏరో ఫ్రెడ్రిచ్‌షాఫెన్‌లో చూపబడింది మరియు ఇది పూర్తి రెడీ-టు-ఫ్లై-ఎయిర్‌క్రా"&amp;"ఫ్ట్‌గా సరఫరా చేయబడుతుంది. [1] క్లౌడ్ డాన్సర్ II ఒకే నాలుగు-బ్లేడెడ్ మెయిన్ రోటర్, సైడ్-బై-సైడ్ కాన్ఫిగరేషన్ పరివేష్టిత కాక్‌పిట్‌లో రెండు-సీట్లు, వీల్ ప్యాంటుతో ట్రైసైకిల్ ల్యాండింగ్ గేర్ మరియు జంట సిలిండర్, ఎయిర్-కూల్డ్, నాలుగు-స్ట్రోక్, టర్బోచార్జ్డ్ 1"&amp;"35 హెచ్‌పి ( 101 kW) రోటార్టెక్ MPE ఇంజిన్ ఇంటిలో అభివృద్ధి చేయబడింది మరియు పషర్ కాన్ఫిగరేషన్‌లో అమర్చబడింది. ఇది గ్రహాల తగ్గింపు డ్రైవ్ అయినప్పటికీ మూడు-బ్లేడెడ్ కాంపోజిట్ ప్రొపెల్లర్‌ను నడుపుతుంది. [1] విమానం ఫ్యూజ్‌లేజ్ మరియు మూడు నిలువు ఉపరితల తోక అల్"&amp;"యూమినియం మరియు కెవ్లర్ మిశ్రమాల నుండి తయారవుతాయి. దీని 6.7 మీ (22.0 అడుగులు) వ్యాసం రోటర్ 17.5 సెం.మీ (6.9 అంగుళాలు) తీగను కలిగి ఉంది మరియు మైక్రో-ప్రాసెసర్ నియంత్రిత హైడ్రాలిక్ ప్రీ-రొటేటర్‌తో అమర్చబడి ఉంటుంది. ప్రోటోటైప్ విమానం మూడు-బ్లేడెడ్ మెయిన్ రోటర"&amp;"్‌ను అమర్చారు, అయితే ఇది అభివృద్ధి సమయంలో నాలుగు-బ్లేడెడ్ యూనిట్‌గా మార్చబడింది. నాలుగు-బ్లేడెడ్ రోటర్ మెరుగైన వైబ్రేషన్ స్థాయిలను అందిస్తుంది, కానీ నిల్వ కోసం పెద్ద స్థలం అవసరమయ్యే ఖర్చుతో. ఎలక్ట్రానిక్ టచ్‌స్క్రీన్ ఇన్స్ట్రుమెంట్ ప్యానెల్ ప్రామాణిక పరిక"&amp;"రాలు. ఈ విమానం ఖాళీ బరువు 248.5 కిలోల (548 పౌండ్లు) మరియు స్థూల బరువు 450 కిలోలు (992 ఎల్బి), ఇది 201.5 కిలోల (444 పౌండ్లు) యొక్క ఉపయోగకరమైన లోడ్‌ను ఇస్తుంది. ఇంధన ట్యాంకులు 115 లీటర్లు (25 ఇంప్ గల్; 30 యుఎస్ గాల్) ను కలిగి ఉన్నాయి, ఇది 120 కిలోల (265 ఎల్"&amp;"బి) పూర్తి ఇంధన పేలోడ్‌ను ఇస్తుంది. [1] బేయర్ల్ నుండి డేటా [1] సాధారణ లక్షణాల పనితీరు")</f>
        <v>రోటార్టెక్ క్లౌడ్ డాన్సర్ II ఒక జర్మన్ ఆటోజైరో, ఇది జోచెన్ స్టెయిన్బెక్ చేత రూపొందించబడింది మరియు రోటోర్టెక్ ఆఫ్ గోరిస్రీడ్, ఆల్గావు చేత నిర్మించబడింది. ఈ విమానం మొట్టమొదట 2009 లో ఏరో ఫ్రెడ్రిచ్‌షాఫెన్‌లో చూపబడింది మరియు ఇది పూర్తి రెడీ-టు-ఫ్లై-ఎయిర్‌క్రాఫ్ట్‌గా సరఫరా చేయబడుతుంది. [1] క్లౌడ్ డాన్సర్ II ఒకే నాలుగు-బ్లేడెడ్ మెయిన్ రోటర్, సైడ్-బై-సైడ్ కాన్ఫిగరేషన్ పరివేష్టిత కాక్‌పిట్‌లో రెండు-సీట్లు, వీల్ ప్యాంటుతో ట్రైసైకిల్ ల్యాండింగ్ గేర్ మరియు జంట సిలిండర్, ఎయిర్-కూల్డ్, నాలుగు-స్ట్రోక్, టర్బోచార్జ్డ్ 135 హెచ్‌పి ( 101 kW) రోటార్టెక్ MPE ఇంజిన్ ఇంటిలో అభివృద్ధి చేయబడింది మరియు పషర్ కాన్ఫిగరేషన్‌లో అమర్చబడింది. ఇది గ్రహాల తగ్గింపు డ్రైవ్ అయినప్పటికీ మూడు-బ్లేడెడ్ కాంపోజిట్ ప్రొపెల్లర్‌ను నడుపుతుంది. [1] విమానం ఫ్యూజ్‌లేజ్ మరియు మూడు నిలువు ఉపరితల తోక అల్యూమినియం మరియు కెవ్లర్ మిశ్రమాల నుండి తయారవుతాయి. దీని 6.7 మీ (22.0 అడుగులు) వ్యాసం రోటర్ 17.5 సెం.మీ (6.9 అంగుళాలు) తీగను కలిగి ఉంది మరియు మైక్రో-ప్రాసెసర్ నియంత్రిత హైడ్రాలిక్ ప్రీ-రొటేటర్‌తో అమర్చబడి ఉంటుంది. ప్రోటోటైప్ విమానం మూడు-బ్లేడెడ్ మెయిన్ రోటర్‌ను అమర్చారు, అయితే ఇది అభివృద్ధి సమయంలో నాలుగు-బ్లేడెడ్ యూనిట్‌గా మార్చబడింది. నాలుగు-బ్లేడెడ్ రోటర్ మెరుగైన వైబ్రేషన్ స్థాయిలను అందిస్తుంది, కానీ నిల్వ కోసం పెద్ద స్థలం అవసరమయ్యే ఖర్చుతో. ఎలక్ట్రానిక్ టచ్‌స్క్రీన్ ఇన్స్ట్రుమెంట్ ప్యానెల్ ప్రామాణిక పరికరాలు. ఈ విమానం ఖాళీ బరువు 248.5 కిలోల (548 పౌండ్లు) మరియు స్థూల బరువు 450 కిలోలు (992 ఎల్బి), ఇది 201.5 కిలోల (444 పౌండ్లు) యొక్క ఉపయోగకరమైన లోడ్‌ను ఇస్తుంది. ఇంధన ట్యాంకులు 115 లీటర్లు (25 ఇంప్ గల్; 30 యుఎస్ గాల్) ను కలిగి ఉన్నాయి, ఇది 120 కిలోల (265 ఎల్బి) పూర్తి ఇంధన పేలోడ్‌ను ఇస్తుంది. [1] బేయర్ల్ నుండి డేటా [1] సాధారణ లక్షణాల పనితీరు</v>
      </c>
      <c r="E157" s="1" t="s">
        <v>530</v>
      </c>
      <c r="F157" s="1" t="str">
        <f>IFERROR(__xludf.DUMMYFUNCTION("GOOGLETRANSLATE(E:E, ""en"", ""te"")"),"ఆటోజీరో")</f>
        <v>ఆటోజీరో</v>
      </c>
      <c r="G157" s="1" t="s">
        <v>133</v>
      </c>
      <c r="H157" s="1" t="str">
        <f>IFERROR(__xludf.DUMMYFUNCTION("GOOGLETRANSLATE(G:G, ""en"", ""te"")"),"జర్మనీ")</f>
        <v>జర్మనీ</v>
      </c>
      <c r="I157" s="1" t="s">
        <v>2276</v>
      </c>
      <c r="J157" s="1" t="str">
        <f>IFERROR(__xludf.DUMMYFUNCTION("GOOGLETRANSLATE(I:I, ""en"", ""te"")"),"రోటోర్టెక్")</f>
        <v>రోటోర్టెక్</v>
      </c>
      <c r="K157" s="2" t="s">
        <v>2277</v>
      </c>
      <c r="L157" s="1" t="s">
        <v>2517</v>
      </c>
      <c r="O157" s="1" t="s">
        <v>135</v>
      </c>
      <c r="T157" s="1" t="s">
        <v>2518</v>
      </c>
      <c r="U157" s="1" t="s">
        <v>185</v>
      </c>
      <c r="V157" s="1" t="s">
        <v>2519</v>
      </c>
      <c r="W157" s="1" t="s">
        <v>2520</v>
      </c>
      <c r="Z157" s="1" t="s">
        <v>390</v>
      </c>
      <c r="AA157" s="1" t="s">
        <v>2521</v>
      </c>
      <c r="AB157" s="2" t="s">
        <v>538</v>
      </c>
      <c r="AC157" s="2" t="s">
        <v>145</v>
      </c>
      <c r="AD157" s="1" t="s">
        <v>1469</v>
      </c>
      <c r="AE157" s="1" t="s">
        <v>2522</v>
      </c>
      <c r="AF157" s="1" t="s">
        <v>542</v>
      </c>
      <c r="AG157" s="1" t="s">
        <v>2523</v>
      </c>
      <c r="AK157" s="1" t="s">
        <v>195</v>
      </c>
      <c r="BN157" s="1">
        <v>2009.0</v>
      </c>
      <c r="BR157" s="1" t="s">
        <v>2524</v>
      </c>
    </row>
    <row r="158">
      <c r="A158" s="1" t="s">
        <v>2257</v>
      </c>
      <c r="B158" s="1" t="str">
        <f>IFERROR(__xludf.DUMMYFUNCTION("GOOGLETRANSLATE(A:A, ""en"", ""te"")"),"రాగ్వింగ్ RW4 మిడ్‌వింగ్ స్పోర్ట్")</f>
        <v>రాగ్వింగ్ RW4 మిడ్‌వింగ్ స్పోర్ట్</v>
      </c>
      <c r="C158" s="1" t="s">
        <v>2525</v>
      </c>
      <c r="D158" s="1" t="str">
        <f>IFERROR(__xludf.DUMMYFUNCTION("GOOGLETRANSLATE(C:C, ""en"", ""te"")"),"రాగ్‌వింగ్ RW4 మిడ్‌వింగ్ స్పోర్ట్ ఒకే సీటు, స్ట్రట్-బ్రేస్డ్ మిడ్ వింగ్, రోజర్ మన్ చేత రూపొందించబడిన సింగిల్ ఇంజిన్ అల్ట్రాలైట్ విమానం మరియు te త్సాహిక నిర్మాణం కోసం రాగ్‌వింగ్ విమాన నమూనాల ప్రణాళికలుగా విక్రయించబడింది. [1] [2] [3] [4] [5 ] RW4 హై-వింగ్ "&amp;"రాగ్వింగ్ RW1 అల్ట్రా-పియట్ నుండి చాలా 103 అల్ట్రాలైట్ వాహనాల కంప్లైంట్ విమానాల నుండి తీసుకోబడింది, ఆ వర్గం యొక్క 254 lb (115 kg) ఖాళీ బరువు పరిమితిలో ఖాళీ బరువు ఉంటుంది. RW4 క్లాసిక్ 1931 వింటేజ్ చర్చి మిడ్‌వింగ్ స్పోర్ట్ మోనోప్లేన్ పైలాన్ రేసర్ యొక్క అల"&amp;"్ట్రాలైట్ ప్రతిరూపంగా రూపొందించబడింది. [1] [2] [4] RW4 ఎయిర్‌ఫ్రేమ్ పూర్తిగా కలప నుండి నిర్మించబడింది మరియు విమాన ఫాబ్రిక్‌తో కప్పబడి ఉంటుంది. ల్యాండింగ్ గేర్ బంగీ సస్పెన్షన్‌తో సాంప్రదాయిక ఆకృతీకరణను కలిగి ఉంది. అసలు చర్చి రూపకల్పనలో, RW4 పైలట్ క్రిందికి"&amp;" చూడటానికి అనుమతించడానికి రెక్క మరియు ఫ్యూజ్‌లేజ్ మధ్య అంతరాన్ని కలిగి ఉంది. విమానం యొక్క వ్యవస్థాపించిన విద్యుత్ శ్రేణి 20 నుండి 48 హెచ్‌పి (15 నుండి 36 కిలోవాట్) మరియు ప్రామాణిక ఇంజిన్ మొదట 30 హెచ్‌పి (22 కిలోవాట్) కవాసాకి 340. 35 హెచ్‌పి (26 కిలోవాట్ k"&amp;"W) రోటాక్స్ 277 టూ-స్ట్రోక్ మరియు 28 హెచ్‌పి (21 kW) 2SI 430 రెండు-స్ట్రోక్ కూడా ఉపయోగించబడ్డాయి. [1] [2] [3] పాక్షిక కిట్లు మరియు నిర్మాణ వస్తు సామగ్రి 1990 ల చివరలో అందుబాటులో ఉన్నాయి, కానీ నేడు ఈ విమానం ప్రణాళికల రూపంలో మాత్రమే అందించబడుతుంది. నివేదించ"&amp;"బడిన నిర్మాణ సమయం 400–600 గంటలు, అయినప్పటికీ డిజైనర్ 350 గంటలు పేర్కొంది. [1] [2] [4] [5] కిట్‌ప్లాన్లు, పర్డీ మరియు రాగ్‌వింగ్ నుండి డేటా [2] [3] [4] సాధారణ లక్షణాల పనితీరు")</f>
        <v>రాగ్‌వింగ్ RW4 మిడ్‌వింగ్ స్పోర్ట్ ఒకే సీటు, స్ట్రట్-బ్రేస్డ్ మిడ్ వింగ్, రోజర్ మన్ చేత రూపొందించబడిన సింగిల్ ఇంజిన్ అల్ట్రాలైట్ విమానం మరియు te త్సాహిక నిర్మాణం కోసం రాగ్‌వింగ్ విమాన నమూనాల ప్రణాళికలుగా విక్రయించబడింది. [1] [2] [3] [4] [5 ] RW4 హై-వింగ్ రాగ్వింగ్ RW1 అల్ట్రా-పియట్ నుండి చాలా 103 అల్ట్రాలైట్ వాహనాల కంప్లైంట్ విమానాల నుండి తీసుకోబడింది, ఆ వర్గం యొక్క 254 lb (115 kg) ఖాళీ బరువు పరిమితిలో ఖాళీ బరువు ఉంటుంది. RW4 క్లాసిక్ 1931 వింటేజ్ చర్చి మిడ్‌వింగ్ స్పోర్ట్ మోనోప్లేన్ పైలాన్ రేసర్ యొక్క అల్ట్రాలైట్ ప్రతిరూపంగా రూపొందించబడింది. [1] [2] [4] RW4 ఎయిర్‌ఫ్రేమ్ పూర్తిగా కలప నుండి నిర్మించబడింది మరియు విమాన ఫాబ్రిక్‌తో కప్పబడి ఉంటుంది. ల్యాండింగ్ గేర్ బంగీ సస్పెన్షన్‌తో సాంప్రదాయిక ఆకృతీకరణను కలిగి ఉంది. అసలు చర్చి రూపకల్పనలో, RW4 పైలట్ క్రిందికి చూడటానికి అనుమతించడానికి రెక్క మరియు ఫ్యూజ్‌లేజ్ మధ్య అంతరాన్ని కలిగి ఉంది. విమానం యొక్క వ్యవస్థాపించిన విద్యుత్ శ్రేణి 20 నుండి 48 హెచ్‌పి (15 నుండి 36 కిలోవాట్) మరియు ప్రామాణిక ఇంజిన్ మొదట 30 హెచ్‌పి (22 కిలోవాట్) కవాసాకి 340. 35 హెచ్‌పి (26 కిలోవాట్ kW) రోటాక్స్ 277 టూ-స్ట్రోక్ మరియు 28 హెచ్‌పి (21 kW) 2SI 430 రెండు-స్ట్రోక్ కూడా ఉపయోగించబడ్డాయి. [1] [2] [3] పాక్షిక కిట్లు మరియు నిర్మాణ వస్తు సామగ్రి 1990 ల చివరలో అందుబాటులో ఉన్నాయి, కానీ నేడు ఈ విమానం ప్రణాళికల రూపంలో మాత్రమే అందించబడుతుంది. నివేదించబడిన నిర్మాణ సమయం 400–600 గంటలు, అయినప్పటికీ డిజైనర్ 350 గంటలు పేర్కొంది. [1] [2] [4] [5] కిట్‌ప్లాన్లు, పర్డీ మరియు రాగ్‌వింగ్ నుండి డేటా [2] [3] [4] సాధారణ లక్షణాల పనితీరు</v>
      </c>
      <c r="E158" s="1" t="s">
        <v>383</v>
      </c>
      <c r="F158" s="1" t="str">
        <f>IFERROR(__xludf.DUMMYFUNCTION("GOOGLETRANSLATE(E:E, ""en"", ""te"")"),"అల్ట్రాలైట్ విమానం")</f>
        <v>అల్ట్రాలైట్ విమానం</v>
      </c>
      <c r="G158" s="1" t="s">
        <v>155</v>
      </c>
      <c r="H158" s="1" t="str">
        <f>IFERROR(__xludf.DUMMYFUNCTION("GOOGLETRANSLATE(G:G, ""en"", ""te"")"),"అమెరికా")</f>
        <v>అమెరికా</v>
      </c>
      <c r="I158" s="1" t="s">
        <v>2249</v>
      </c>
      <c r="J158" s="1" t="str">
        <f>IFERROR(__xludf.DUMMYFUNCTION("GOOGLETRANSLATE(I:I, ""en"", ""te"")"),"రాగ్వింగ్ విమాన నమూనాలు")</f>
        <v>రాగ్వింగ్ విమాన నమూనాలు</v>
      </c>
      <c r="K158" s="1" t="s">
        <v>2250</v>
      </c>
      <c r="L158" s="1" t="s">
        <v>2251</v>
      </c>
      <c r="N158" s="1">
        <v>1994.0</v>
      </c>
      <c r="O158" s="1" t="s">
        <v>135</v>
      </c>
      <c r="P158" s="1" t="s">
        <v>1605</v>
      </c>
      <c r="Q158" s="1" t="s">
        <v>2526</v>
      </c>
      <c r="R158" s="1" t="s">
        <v>2527</v>
      </c>
      <c r="S158" s="1" t="s">
        <v>2528</v>
      </c>
      <c r="T158" s="1" t="s">
        <v>2529</v>
      </c>
      <c r="U158" s="1" t="s">
        <v>1878</v>
      </c>
      <c r="V158" s="1" t="s">
        <v>2530</v>
      </c>
      <c r="X158" s="1" t="s">
        <v>2229</v>
      </c>
      <c r="Y158" s="1" t="s">
        <v>1200</v>
      </c>
      <c r="Z158" s="1" t="s">
        <v>1450</v>
      </c>
      <c r="AB158" s="1" t="s">
        <v>392</v>
      </c>
      <c r="AC158" s="2" t="s">
        <v>167</v>
      </c>
      <c r="AD158" s="1" t="s">
        <v>2255</v>
      </c>
      <c r="AE158" s="1" t="s">
        <v>2159</v>
      </c>
      <c r="AF158" s="1" t="s">
        <v>583</v>
      </c>
      <c r="AG158" s="1" t="s">
        <v>1763</v>
      </c>
      <c r="AH158" s="1" t="s">
        <v>429</v>
      </c>
      <c r="AJ158" s="1" t="s">
        <v>2531</v>
      </c>
      <c r="AY158" s="1" t="s">
        <v>561</v>
      </c>
      <c r="BF158" s="1" t="s">
        <v>2288</v>
      </c>
      <c r="BG158" s="1" t="s">
        <v>2532</v>
      </c>
    </row>
    <row r="159">
      <c r="A159" s="1" t="s">
        <v>2533</v>
      </c>
      <c r="B159" s="1" t="str">
        <f>IFERROR(__xludf.DUMMYFUNCTION("GOOGLETRANSLATE(A:A, ""en"", ""te"")"),"రాన్స్ ఎస్ -10 సాకోటా")</f>
        <v>రాన్స్ ఎస్ -10 సాకోటా</v>
      </c>
      <c r="C159" s="1" t="s">
        <v>2534</v>
      </c>
      <c r="D159" s="1" t="str">
        <f>IFERROR(__xludf.DUMMYFUNCTION("GOOGLETRANSLATE(C:C, ""en"", ""te"")"),"RANS S-10 సాకోటా అనేది ఒక అమెరికన్ సింగిల్-ఇంజిన్, ట్రాక్టర్ కాన్ఫిగరేషన్, సైడ్-బై-సైడ్ కాన్ఫిగరేషన్‌లో రెండు సీట్లు, ఏరోబాటిక్స్ కోసం రాండి ష్లిట్టర్ రూపొందించిన మిడ్-వింగ్ మోనోప్లేన్ మరియు రాన్స్ ఇంక్ చేత తయారు చేయబడింది. సాకోటా కిట్ రూపంలో లభిస్తుంది t"&amp;"e త్సాహిక నిర్మాణం కోసం. [1] [2] [3] [4] [5] [6] [7] 1 జూన్ 2006 న రాన్స్ యొక్క దాని ఉత్పత్తి శ్రేణి యొక్క విస్తృతమైన పునర్వ్యవస్థీకరణలో భాగంగా ఎస్ -10 యొక్క ఉత్పత్తి ముగిసింది, 18 సంవత్సరాలు అందుబాటులో ఉన్న తరువాత, కానీ ఎస్ -10 సుమారు 2009 లో తిరిగి ప్రవ"&amp;"ేశపెట్టబడింది మరియు మళ్ళీ అందుబాటులో ఉంది. [3] [40 ఏపుల్లు స్పోర్ట్స్ మాన్ కాంపిటీషన్ ఏరోబాటిక్స్ మరియు అడ్వాన్స్‌డ్ ఏరోబాటిక్స్ కోసం చవకైన సింగిల్-సీట్ ఏరోబాటిక్ విమానాల వలె 1986 లో రాండి ష్లిట్టర్ చేత ఎస్ -9 గందరగోళాన్ని రూపొందించారు. ఎస్ -10 సాకోటా రెం"&amp;"డు సంవత్సరాల తరువాత, 1988 లో, ఎస్ -9 యొక్క రెండు-సీట్ల వెర్షన్‌గా రూపొందించబడింది, ఇది ఇద్దరు యజమానులతో సోలో లేదా ఫ్లై క్రాస్ కంట్రీని ఎగిరినప్పుడు ఏరోబాటిక్స్ నిర్వహించగలదు. [3] అనేక RANS మోడళ్ల మాదిరిగానే, S-10 లో వెల్డెడ్ 4130 స్టీల్ ట్యూబ్ కాక్‌పిట్ ఉ"&amp;"ంది, బోల్ట్ అల్యూమినియం ట్యూబ్ వెనుక ఫ్యూజ్‌లేజ్‌తో. అన్ని ఫ్యూజ్‌లేజ్, వింగ్ మరియు తోక ఉపరితలాలు డోప్ మరియు ఫాబ్రిక్‌తో కప్పబడి ఉంటాయి. నివేదించబడిన నిర్మాణ సమయం 600 మనిషి-గంటలు. [1] [2] సాకోటాలో సాంప్రదాయ ల్యాండింగ్ గేర్ ఉంది. ప్రాథమిక ఇంజిన్ 64 హెచ్‌పి"&amp;" (48 కిలోవాట్) యొక్క రోటాక్స్ 582 మరియు 80 హెచ్‌పి (60 కిలోవాట్) యొక్క రోటాక్స్ 912UL మరియు 100 హెచ్‌పి (75 కిలోవాట్ల) యొక్క రోటాక్స్ 912ఎల్‌ఎల్‌లను ఎంపికలుగా లభించేది. [1] [2] [10] డిసెంబర్ 2011 నాటికి 215 ఎస్ -10 లు నిర్మించబడ్డాయి మరియు ఎగిరిపోయాయి. [7"&amp;"] నవంబర్ 2010 లో అమెరికాలో 42 ఎస్ -10 లు రిజిస్టర్ చేయబడ్డాయి, ఆరుగురు కెనడాలో మరియు UK లో 12 రిజిస్టర్డ్. [11] [12] [13] మరో 58 రష్యాకు పశ్చిమాన యూరోపియన్ దేశాల రిజిస్టర్లలో ఉన్నాయి. [14] RANS వెబ్‌సైట్ నుండి డేటా [10] సాధారణ లక్షణాలు పనితీరు ఏవియానిక్స్"&amp;" పోల్చదగిన పాత్ర, కాన్ఫిగరేషన్ మరియు ERA యొక్క విమానం")</f>
        <v>RANS S-10 సాకోటా అనేది ఒక అమెరికన్ సింగిల్-ఇంజిన్, ట్రాక్టర్ కాన్ఫిగరేషన్, సైడ్-బై-సైడ్ కాన్ఫిగరేషన్‌లో రెండు సీట్లు, ఏరోబాటిక్స్ కోసం రాండి ష్లిట్టర్ రూపొందించిన మిడ్-వింగ్ మోనోప్లేన్ మరియు రాన్స్ ఇంక్ చేత తయారు చేయబడింది. సాకోటా కిట్ రూపంలో లభిస్తుంది te త్సాహిక నిర్మాణం కోసం. [1] [2] [3] [4] [5] [6] [7] 1 జూన్ 2006 న రాన్స్ యొక్క దాని ఉత్పత్తి శ్రేణి యొక్క విస్తృతమైన పునర్వ్యవస్థీకరణలో భాగంగా ఎస్ -10 యొక్క ఉత్పత్తి ముగిసింది, 18 సంవత్సరాలు అందుబాటులో ఉన్న తరువాత, కానీ ఎస్ -10 సుమారు 2009 లో తిరిగి ప్రవేశపెట్టబడింది మరియు మళ్ళీ అందుబాటులో ఉంది. [3] [40 ఏపుల్లు స్పోర్ట్స్ మాన్ కాంపిటీషన్ ఏరోబాటిక్స్ మరియు అడ్వాన్స్‌డ్ ఏరోబాటిక్స్ కోసం చవకైన సింగిల్-సీట్ ఏరోబాటిక్ విమానాల వలె 1986 లో రాండి ష్లిట్టర్ చేత ఎస్ -9 గందరగోళాన్ని రూపొందించారు. ఎస్ -10 సాకోటా రెండు సంవత్సరాల తరువాత, 1988 లో, ఎస్ -9 యొక్క రెండు-సీట్ల వెర్షన్‌గా రూపొందించబడింది, ఇది ఇద్దరు యజమానులతో సోలో లేదా ఫ్లై క్రాస్ కంట్రీని ఎగిరినప్పుడు ఏరోబాటిక్స్ నిర్వహించగలదు. [3] అనేక RANS మోడళ్ల మాదిరిగానే, S-10 లో వెల్డెడ్ 4130 స్టీల్ ట్యూబ్ కాక్‌పిట్ ఉంది, బోల్ట్ అల్యూమినియం ట్యూబ్ వెనుక ఫ్యూజ్‌లేజ్‌తో. అన్ని ఫ్యూజ్‌లేజ్, వింగ్ మరియు తోక ఉపరితలాలు డోప్ మరియు ఫాబ్రిక్‌తో కప్పబడి ఉంటాయి. నివేదించబడిన నిర్మాణ సమయం 600 మనిషి-గంటలు. [1] [2] సాకోటాలో సాంప్రదాయ ల్యాండింగ్ గేర్ ఉంది. ప్రాథమిక ఇంజిన్ 64 హెచ్‌పి (48 కిలోవాట్) యొక్క రోటాక్స్ 582 మరియు 80 హెచ్‌పి (60 కిలోవాట్) యొక్క రోటాక్స్ 912UL మరియు 100 హెచ్‌పి (75 కిలోవాట్ల) యొక్క రోటాక్స్ 912ఎల్‌ఎల్‌లను ఎంపికలుగా లభించేది. [1] [2] [10] డిసెంబర్ 2011 నాటికి 215 ఎస్ -10 లు నిర్మించబడ్డాయి మరియు ఎగిరిపోయాయి. [7] నవంబర్ 2010 లో అమెరికాలో 42 ఎస్ -10 లు రిజిస్టర్ చేయబడ్డాయి, ఆరుగురు కెనడాలో మరియు UK లో 12 రిజిస్టర్డ్. [11] [12] [13] మరో 58 రష్యాకు పశ్చిమాన యూరోపియన్ దేశాల రిజిస్టర్లలో ఉన్నాయి. [14] RANS వెబ్‌సైట్ నుండి డేటా [10] సాధారణ లక్షణాలు పనితీరు ఏవియానిక్స్ పోల్చదగిన పాత్ర, కాన్ఫిగరేషన్ మరియు ERA యొక్క విమానం</v>
      </c>
      <c r="E159" s="1" t="s">
        <v>621</v>
      </c>
      <c r="F159" s="1" t="str">
        <f>IFERROR(__xludf.DUMMYFUNCTION("GOOGLETRANSLATE(E:E, ""en"", ""te"")"),"కిట్ విమానం")</f>
        <v>కిట్ విమానం</v>
      </c>
      <c r="G159" s="1" t="s">
        <v>155</v>
      </c>
      <c r="H159" s="1" t="str">
        <f>IFERROR(__xludf.DUMMYFUNCTION("GOOGLETRANSLATE(G:G, ""en"", ""te"")"),"అమెరికా")</f>
        <v>అమెరికా</v>
      </c>
      <c r="I159" s="1" t="s">
        <v>2353</v>
      </c>
      <c r="J159" s="1" t="str">
        <f>IFERROR(__xludf.DUMMYFUNCTION("GOOGLETRANSLATE(I:I, ""en"", ""te"")"),"రాన్స్ ఇంక్")</f>
        <v>రాన్స్ ఇంక్</v>
      </c>
      <c r="K159" s="1" t="s">
        <v>2354</v>
      </c>
      <c r="L159" s="1" t="s">
        <v>1821</v>
      </c>
      <c r="N159" s="4">
        <v>32203.0</v>
      </c>
      <c r="O159" s="1" t="s">
        <v>1208</v>
      </c>
      <c r="P159" s="1" t="s">
        <v>1513</v>
      </c>
      <c r="Q159" s="1" t="s">
        <v>1461</v>
      </c>
      <c r="R159" s="1" t="s">
        <v>2535</v>
      </c>
      <c r="S159" s="1" t="s">
        <v>2536</v>
      </c>
      <c r="T159" s="1" t="s">
        <v>511</v>
      </c>
      <c r="U159" s="1" t="s">
        <v>526</v>
      </c>
      <c r="V159" s="1" t="s">
        <v>2358</v>
      </c>
      <c r="X159" s="1" t="s">
        <v>2537</v>
      </c>
      <c r="Y159" s="1" t="s">
        <v>632</v>
      </c>
      <c r="Z159" s="1" t="s">
        <v>424</v>
      </c>
      <c r="AA159" s="1" t="s">
        <v>2538</v>
      </c>
      <c r="AB159" s="1" t="s">
        <v>635</v>
      </c>
      <c r="AC159" s="2" t="s">
        <v>167</v>
      </c>
      <c r="AD159" s="1" t="s">
        <v>426</v>
      </c>
      <c r="AE159" s="1" t="s">
        <v>168</v>
      </c>
      <c r="AF159" s="1" t="s">
        <v>2539</v>
      </c>
      <c r="AG159" s="1" t="s">
        <v>1556</v>
      </c>
      <c r="AH159" s="1" t="s">
        <v>1883</v>
      </c>
      <c r="AI159" s="1" t="s">
        <v>2540</v>
      </c>
      <c r="AJ159" s="1" t="s">
        <v>2541</v>
      </c>
      <c r="AK159" s="1" t="s">
        <v>195</v>
      </c>
      <c r="AP159" s="1" t="s">
        <v>2366</v>
      </c>
      <c r="AS159" s="1">
        <v>4.23</v>
      </c>
      <c r="AX159" s="1" t="s">
        <v>2542</v>
      </c>
      <c r="AY159" s="1" t="s">
        <v>1837</v>
      </c>
      <c r="BA159" s="1" t="s">
        <v>2543</v>
      </c>
      <c r="BB159" s="1">
        <v>7.0</v>
      </c>
      <c r="BF159" s="1" t="s">
        <v>2544</v>
      </c>
      <c r="BG159" s="1" t="s">
        <v>2545</v>
      </c>
      <c r="BN159" s="1">
        <v>1988.0</v>
      </c>
      <c r="DB159" s="1" t="s">
        <v>2546</v>
      </c>
    </row>
    <row r="160">
      <c r="A160" s="1" t="s">
        <v>2547</v>
      </c>
      <c r="B160" s="1" t="str">
        <f>IFERROR(__xludf.DUMMYFUNCTION("GOOGLETRANSLATE(A:A, ""en"", ""te"")"),"రావెన్ 2x లు")</f>
        <v>రావెన్ 2x లు</v>
      </c>
      <c r="C160" s="1" t="s">
        <v>2548</v>
      </c>
      <c r="D160" s="1" t="str">
        <f>IFERROR(__xludf.DUMMYFUNCTION("GOOGLETRANSLATE(C:C, ""en"", ""te"")"),"రావెన్ 2x లు (ఇంగ్లీష్: అదనపు) అనేది కెనడియన్ ఏరోబాటిక్ te త్సాహిక-నిర్మిత బైప్‌లేన్, ఇది బ్రిటిష్ కొలంబియాలోని సర్రే యొక్క రావెన్ ఎయిర్‌క్రాఫ్ట్ చేత రూపొందించబడింది మరియు నిర్మించింది. ఈ విమానం కిట్‌గా లేదా te త్సాహిక నిర్మాణానికి ప్రణాళికలుగా సరఫరా చేయబ"&amp;"డుతుంది. [1] 2xS లో స్ట్రట్-బ్రేస్డ్ బిప్‌లేన్ లేఅవుట్, బబుల్ పందిరి కింద రెండు-సీట్ల-టెన్డం పరివేష్టిత కాక్‌పిట్, స్థిర సాంప్రదాయ ల్యాండింగ్ గేర్ మరియు ట్రాక్టర్ కాన్ఫిగరేషన్‌లో ఒకే ఇంజిన్ ఉన్నాయి. కాక్‌పిట్ 24 అంగుళాలు (61 సెం.మీ) వెడల్పు [1] ఈ విమానం మ"&amp;"ిశ్రమ నిర్మాణం నుండి తయారవుతుంది, వెల్డెడ్ స్టీల్ గొట్టాలు, అల్యూమినియం మరియు కలపను ఉపయోగించి, దాని ఎగిరే ఉపరితలాలు డోప్డ్ విమాన ఫాబ్రిక్‌లో కప్పబడి ఉంటాయి. దీని 19.1 అడుగుల (5.8 మీ) స్పాన్ వింగ్ 119.4 చదరపు అడుగుల (11.09 మీ 2) విస్తీర్ణంలో ఉంది. విమానం య"&amp;"ొక్క సిఫార్సు చేసిన ఇంజిన్ శక్తి శ్రేణి 260 నుండి 400 హెచ్‌పి (194 నుండి 298 కిలోవాట్) మరియు ఉపయోగించిన ప్రామాణిక ఇంజన్లు 280 హెచ్‌పి (209 కిలోవాట్) లైమింగ్ IO-540 ఫోర్-స్ట్రోక్ పవర్‌ప్లాంట్. 2xs రోల్ రేటు 330 డిగ్రీలు/సెకను. సరఫరా చేసిన కిట్ నుండి నిర్మా"&amp;"ణ సమయం 2000 గంటలుగా అంచనా వేయబడింది. [1] [2] నవంబర్ 2012 నాటికి ఫెడరల్ ఏవియేషన్ అడ్మినిస్ట్రేషన్తో అమెరికాలో ఒక ఉదాహరణ నమోదు చేయబడింది, కానీ రవాణా కెనడాతో దాని స్వదేశంలో ఏదీ లేదు. [3] [4] కిట్‌ప్లాన్లు మరియు రావెన్ విమానం నుండి డేటా [1] [2] సాధారణ లక్షణాల"&amp;" పనితీరు")</f>
        <v>రావెన్ 2x లు (ఇంగ్లీష్: అదనపు) అనేది కెనడియన్ ఏరోబాటిక్ te త్సాహిక-నిర్మిత బైప్‌లేన్, ఇది బ్రిటిష్ కొలంబియాలోని సర్రే యొక్క రావెన్ ఎయిర్‌క్రాఫ్ట్ చేత రూపొందించబడింది మరియు నిర్మించింది. ఈ విమానం కిట్‌గా లేదా te త్సాహిక నిర్మాణానికి ప్రణాళికలుగా సరఫరా చేయబడుతుంది. [1] 2xS లో స్ట్రట్-బ్రేస్డ్ బిప్‌లేన్ లేఅవుట్, బబుల్ పందిరి కింద రెండు-సీట్ల-టెన్డం పరివేష్టిత కాక్‌పిట్, స్థిర సాంప్రదాయ ల్యాండింగ్ గేర్ మరియు ట్రాక్టర్ కాన్ఫిగరేషన్‌లో ఒకే ఇంజిన్ ఉన్నాయి. కాక్‌పిట్ 24 అంగుళాలు (61 సెం.మీ) వెడల్పు [1] ఈ విమానం మిశ్రమ నిర్మాణం నుండి తయారవుతుంది, వెల్డెడ్ స్టీల్ గొట్టాలు, అల్యూమినియం మరియు కలపను ఉపయోగించి, దాని ఎగిరే ఉపరితలాలు డోప్డ్ విమాన ఫాబ్రిక్‌లో కప్పబడి ఉంటాయి. దీని 19.1 అడుగుల (5.8 మీ) స్పాన్ వింగ్ 119.4 చదరపు అడుగుల (11.09 మీ 2) విస్తీర్ణంలో ఉంది. విమానం యొక్క సిఫార్సు చేసిన ఇంజిన్ శక్తి శ్రేణి 260 నుండి 400 హెచ్‌పి (194 నుండి 298 కిలోవాట్) మరియు ఉపయోగించిన ప్రామాణిక ఇంజన్లు 280 హెచ్‌పి (209 కిలోవాట్) లైమింగ్ IO-540 ఫోర్-స్ట్రోక్ పవర్‌ప్లాంట్. 2xs రోల్ రేటు 330 డిగ్రీలు/సెకను. సరఫరా చేసిన కిట్ నుండి నిర్మాణ సమయం 2000 గంటలుగా అంచనా వేయబడింది. [1] [2] నవంబర్ 2012 నాటికి ఫెడరల్ ఏవియేషన్ అడ్మినిస్ట్రేషన్తో అమెరికాలో ఒక ఉదాహరణ నమోదు చేయబడింది, కానీ రవాణా కెనడాతో దాని స్వదేశంలో ఏదీ లేదు. [3] [4] కిట్‌ప్లాన్లు మరియు రావెన్ విమానం నుండి డేటా [1] [2] సాధారణ లక్షణాల పనితీరు</v>
      </c>
      <c r="E160" s="1" t="s">
        <v>132</v>
      </c>
      <c r="F160" s="1" t="str">
        <f>IFERROR(__xludf.DUMMYFUNCTION("GOOGLETRANSLATE(E:E, ""en"", ""te"")"),"Te త్సాహిక నిర్మించిన విమానం")</f>
        <v>Te త్సాహిక నిర్మించిన విమానం</v>
      </c>
      <c r="G160" s="1" t="s">
        <v>855</v>
      </c>
      <c r="H160" s="1" t="str">
        <f>IFERROR(__xludf.DUMMYFUNCTION("GOOGLETRANSLATE(G:G, ""en"", ""te"")"),"కెనడా")</f>
        <v>కెనడా</v>
      </c>
      <c r="I160" s="1" t="s">
        <v>2549</v>
      </c>
      <c r="J160" s="1" t="str">
        <f>IFERROR(__xludf.DUMMYFUNCTION("GOOGLETRANSLATE(I:I, ""en"", ""te"")"),"రావెన్ విమానం")</f>
        <v>రావెన్ విమానం</v>
      </c>
      <c r="K160" s="1" t="s">
        <v>2550</v>
      </c>
      <c r="O160" s="1" t="s">
        <v>135</v>
      </c>
      <c r="P160" s="1" t="s">
        <v>1442</v>
      </c>
      <c r="Q160" s="1" t="s">
        <v>2551</v>
      </c>
      <c r="R160" s="1" t="s">
        <v>334</v>
      </c>
      <c r="S160" s="1" t="s">
        <v>2552</v>
      </c>
      <c r="T160" s="1" t="s">
        <v>2553</v>
      </c>
      <c r="U160" s="1" t="s">
        <v>2554</v>
      </c>
      <c r="V160" s="1" t="s">
        <v>2555</v>
      </c>
      <c r="W160" s="1" t="s">
        <v>1862</v>
      </c>
      <c r="X160" s="1" t="s">
        <v>2556</v>
      </c>
      <c r="Z160" s="1" t="s">
        <v>2557</v>
      </c>
      <c r="AB160" s="1" t="s">
        <v>144</v>
      </c>
      <c r="AC160" s="2" t="s">
        <v>866</v>
      </c>
      <c r="AD160" s="1" t="s">
        <v>190</v>
      </c>
      <c r="AE160" s="1" t="s">
        <v>2558</v>
      </c>
      <c r="AF160" s="1" t="s">
        <v>542</v>
      </c>
      <c r="AG160" s="1" t="s">
        <v>1986</v>
      </c>
      <c r="AH160" s="1" t="s">
        <v>832</v>
      </c>
      <c r="AI160" s="1" t="s">
        <v>2559</v>
      </c>
      <c r="AJ160" s="1" t="s">
        <v>2560</v>
      </c>
      <c r="AK160" s="1" t="s">
        <v>195</v>
      </c>
      <c r="BF160" s="1" t="s">
        <v>2561</v>
      </c>
      <c r="BG160" s="1" t="s">
        <v>2562</v>
      </c>
      <c r="BN160" s="1">
        <v>2009.0</v>
      </c>
    </row>
    <row r="161">
      <c r="A161" s="1" t="s">
        <v>2563</v>
      </c>
      <c r="B161" s="1" t="str">
        <f>IFERROR(__xludf.DUMMYFUNCTION("GOOGLETRANSLATE(A:A, ""en"", ""te"")"),"రెనెగేడ్ ఫాల్కన్ ఎల్ఎస్")</f>
        <v>రెనెగేడ్ ఫాల్కన్ ఎల్ఎస్</v>
      </c>
      <c r="C161" s="1" t="s">
        <v>2564</v>
      </c>
      <c r="D161" s="1" t="str">
        <f>IFERROR(__xludf.DUMMYFUNCTION("GOOGLETRANSLATE(C:C, ""en"", ""te"")"),"ఫాల్కన్ ఎల్ఎస్ అనేది రెండు-సీట్ల, తక్కువ వింగ్, లైట్ స్పోర్ట్ విమానం, ఇది మొదట హంగేరిలోని కొర్వస్ విమానం కొర్వస్ ఫాంటమ్ గా నిర్మించబడింది మరియు 2008–2010 మధ్య టి అండ్ టి ఏవియేషన్ మరియు రెనెగేడ్ లైట్ స్పోర్ట్ 2010-ప్రెజెంట్ చేత యుఎస్‌లోకి దిగుమతి చేయబడింది"&amp;". [2] [ డిజైన్ లైసెన్స్ పొందబడిందా లేదా రివర్స్ ఇంజనీరింగ్ చేయబడిందా అనే దానిపై కొర్వస్ ఎయిర్క్రాఫ్ట్ మరియు రెనెగేడ్ లైట్ స్పోర్ట్ మధ్య విభేదాలు ఉన్నాయి. [1] [5] 6 అక్టోబర్ 2010 న, ఫాల్కన్ LS లైమింగ్ IO-233-LSA ఇంజిన్‌తో ప్రయాణించే మొదటి విమానంగా మారింది."&amp;" [6] [7] వాస్తవానికి టి అండ్ టి ఏవియేషన్ వారి IO-233-LSA ఇంజిన్‌ను అభివృద్ధి చేయడంలో సహాయపడటానికి లైమింగ్ చేత ఎంపిక చేయబడింది. [8] రెనెగేడ్ టి అండ్ టి ఏవియేషన్‌ను కొనుగోలు చేసినప్పుడు వారు లైమింగ్‌తో ఇంజిన్ డెవలప్‌మెంట్ భాగస్వామ్యాన్ని కొనసాగించారు. IO-23"&amp;"3-LSA కార్బ్యురేటర్ మరియు ఛాంపియన్ ఎలక్ట్రానిక్ జ్వలన వ్యవస్థను కలిగి ఉన్నప్పుడు 115 HP (86 kW) [9] ను ఉత్పత్తి చేస్తుంది. ఎగ్జాస్ట్ సిస్టమ్ [10] 123 హెచ్‌పి (92 కిలోవాట్) సాధించడానికి. [11] ఫాల్కన్ LS లో 46 ఇన్ (117 సెం.మీ) వెడల్పు క్యాబిన్, బాలిస్టిక్ ప"&amp;"ారాచూట్ మరియు రెక్కలు ఉన్నాయి, వీటిని భూమి రవాణా లేదా నిల్వ కోసం 15 నిమిషాల్లో తొలగించవచ్చు. టి అండ్ టి ఏవియేషన్ ఫాల్కన్ ఎల్ఎస్ లో 1.5 విప్లవం స్పిన్స్, లూప్స్ మరియు బారెల్ రోల్స్ ను ప్రదర్శించింది. [12] రెనెగేడ్ పెద్ద సామాను కంపార్ట్మెంట్ను ప్లాన్ చేస్తు"&amp;"ంది. [1] [13] మార్చి 2017 లో యుఎస్ఎలోని ఫెడరల్ ఏవియేషన్ అడ్మినిస్ట్రేషన్‌లో ఏడు ఫాల్కన్ ఎల్ఎస్ విమానాలు నమోదు చేయబడ్డాయి. [14] రెనెగేడ్ వెబ్‌సైట్ నుండి డేటా [18] సాధారణ లక్షణాలు పనితీరు ఏవియానిక్స్")</f>
        <v>ఫాల్కన్ ఎల్ఎస్ అనేది రెండు-సీట్ల, తక్కువ వింగ్, లైట్ స్పోర్ట్ విమానం, ఇది మొదట హంగేరిలోని కొర్వస్ విమానం కొర్వస్ ఫాంటమ్ గా నిర్మించబడింది మరియు 2008–2010 మధ్య టి అండ్ టి ఏవియేషన్ మరియు రెనెగేడ్ లైట్ స్పోర్ట్ 2010-ప్రెజెంట్ చేత యుఎస్‌లోకి దిగుమతి చేయబడింది. [2] [ డిజైన్ లైసెన్స్ పొందబడిందా లేదా రివర్స్ ఇంజనీరింగ్ చేయబడిందా అనే దానిపై కొర్వస్ ఎయిర్క్రాఫ్ట్ మరియు రెనెగేడ్ లైట్ స్పోర్ట్ మధ్య విభేదాలు ఉన్నాయి. [1] [5] 6 అక్టోబర్ 2010 న, ఫాల్కన్ LS లైమింగ్ IO-233-LSA ఇంజిన్‌తో ప్రయాణించే మొదటి విమానంగా మారింది. [6] [7] వాస్తవానికి టి అండ్ టి ఏవియేషన్ వారి IO-233-LSA ఇంజిన్‌ను అభివృద్ధి చేయడంలో సహాయపడటానికి లైమింగ్ చేత ఎంపిక చేయబడింది. [8] రెనెగేడ్ టి అండ్ టి ఏవియేషన్‌ను కొనుగోలు చేసినప్పుడు వారు లైమింగ్‌తో ఇంజిన్ డెవలప్‌మెంట్ భాగస్వామ్యాన్ని కొనసాగించారు. IO-233-LSA కార్బ్యురేటర్ మరియు ఛాంపియన్ ఎలక్ట్రానిక్ జ్వలన వ్యవస్థను కలిగి ఉన్నప్పుడు 115 HP (86 kW) [9] ను ఉత్పత్తి చేస్తుంది. ఎగ్జాస్ట్ సిస్టమ్ [10] 123 హెచ్‌పి (92 కిలోవాట్) సాధించడానికి. [11] ఫాల్కన్ LS లో 46 ఇన్ (117 సెం.మీ) వెడల్పు క్యాబిన్, బాలిస్టిక్ పారాచూట్ మరియు రెక్కలు ఉన్నాయి, వీటిని భూమి రవాణా లేదా నిల్వ కోసం 15 నిమిషాల్లో తొలగించవచ్చు. టి అండ్ టి ఏవియేషన్ ఫాల్కన్ ఎల్ఎస్ లో 1.5 విప్లవం స్పిన్స్, లూప్స్ మరియు బారెల్ రోల్స్ ను ప్రదర్శించింది. [12] రెనెగేడ్ పెద్ద సామాను కంపార్ట్మెంట్ను ప్లాన్ చేస్తుంది. [1] [13] మార్చి 2017 లో యుఎస్ఎలోని ఫెడరల్ ఏవియేషన్ అడ్మినిస్ట్రేషన్‌లో ఏడు ఫాల్కన్ ఎల్ఎస్ విమానాలు నమోదు చేయబడ్డాయి. [14] రెనెగేడ్ వెబ్‌సైట్ నుండి డేటా [18] సాధారణ లక్షణాలు పనితీరు ఏవియానిక్స్</v>
      </c>
      <c r="E161" s="1" t="s">
        <v>2565</v>
      </c>
      <c r="F161" s="1" t="str">
        <f>IFERROR(__xludf.DUMMYFUNCTION("GOOGLETRANSLATE(E:E, ""en"", ""te"")"),"మోనోప్లేన్ పర్యటన")</f>
        <v>మోనోప్లేన్ పర్యటన</v>
      </c>
      <c r="G161" s="1" t="s">
        <v>155</v>
      </c>
      <c r="H161" s="1" t="str">
        <f>IFERROR(__xludf.DUMMYFUNCTION("GOOGLETRANSLATE(G:G, ""en"", ""te"")"),"అమెరికా")</f>
        <v>అమెరికా</v>
      </c>
      <c r="I161" s="1" t="s">
        <v>2566</v>
      </c>
      <c r="J161" s="1" t="str">
        <f>IFERROR(__xludf.DUMMYFUNCTION("GOOGLETRANSLATE(I:I, ""en"", ""te"")"),"తిరుగుబాటు లైట్ స్పోర్ట్")</f>
        <v>తిరుగుబాటు లైట్ స్పోర్ట్</v>
      </c>
      <c r="K161" s="1" t="s">
        <v>2567</v>
      </c>
      <c r="O161" s="1">
        <v>2.0</v>
      </c>
      <c r="P161" s="1" t="s">
        <v>2568</v>
      </c>
      <c r="Q161" s="1" t="s">
        <v>2569</v>
      </c>
      <c r="S161" s="1" t="s">
        <v>2570</v>
      </c>
      <c r="T161" s="1" t="s">
        <v>2571</v>
      </c>
      <c r="U161" s="1" t="s">
        <v>1825</v>
      </c>
      <c r="V161" s="1" t="s">
        <v>2572</v>
      </c>
      <c r="W161" s="1" t="s">
        <v>2573</v>
      </c>
      <c r="X161" s="1" t="s">
        <v>2574</v>
      </c>
      <c r="AB161" s="1" t="s">
        <v>2575</v>
      </c>
      <c r="AE161" s="1" t="s">
        <v>1990</v>
      </c>
      <c r="AG161" s="1" t="s">
        <v>2576</v>
      </c>
      <c r="AJ161" s="1" t="s">
        <v>2577</v>
      </c>
      <c r="AR161" s="1" t="s">
        <v>253</v>
      </c>
      <c r="AY161" s="1" t="s">
        <v>2578</v>
      </c>
      <c r="BA161" s="1" t="s">
        <v>2321</v>
      </c>
      <c r="BB161" s="1">
        <v>14.0</v>
      </c>
      <c r="BF161" s="1" t="s">
        <v>2579</v>
      </c>
      <c r="BG161" s="1" t="s">
        <v>2580</v>
      </c>
    </row>
    <row r="162">
      <c r="A162" s="1" t="s">
        <v>2581</v>
      </c>
      <c r="B162" s="1" t="str">
        <f>IFERROR(__xludf.DUMMYFUNCTION("GOOGLETRANSLATE(A:A, ""en"", ""te"")"),"రోలాండ్ ఎస్-స్టోల్")</f>
        <v>రోలాండ్ ఎస్-స్టోల్</v>
      </c>
      <c r="C162" s="1" t="s">
        <v>2582</v>
      </c>
      <c r="D162" s="1" t="str">
        <f>IFERROR(__xludf.DUMMYFUNCTION("GOOGLETRANSLATE(C:C, ""en"", ""te"")"),"రోలాండ్ ఎస్-స్టోల్ జర్మన్ స్టోల్ అల్ట్రాలైట్ మరియు లైట్-స్పోర్ట్ విమానం, దీనిని రోలాండ్ విమానం ఉత్పత్తి చేస్తుంది. ఈ విమానం te త్సాహిక నిర్మాణానికి కిట్‌గా లేదా పూర్తి రెడీ-టు-ఫ్లై-ఎయిర్‌క్రాఫ్ట్‌గా సరఫరా చేయబడుతుంది. [1] [2] ఈ విమానం ఫెడెరేషన్ ఏరోనటిక్ ఇ"&amp;"ంటర్నేషనల్ మైక్రోలైట్ రూల్స్ మరియు యుఎస్ లైట్-స్పోర్ట్ ఎయిర్క్రాఫ్ట్ నిబంధనలకు అనుగుణంగా రూపొందించబడింది. ఇది స్ట్రట్-బ్రేస్డ్ హై-వింగ్, రెండు-సీట్ల-సైడ్-సైడ్ కాన్ఫిగరేషన్ పరివేష్టిత కాక్‌పిట్ తలుపుల ద్వారా యాక్సెస్ చేయబడింది, స్థిర ట్రైసైకిల్ ల్యాండింగ్ "&amp;"గేర్ మరియు ట్రాక్టర్ కాన్ఫిగరేషన్‌లో ఒకే ఇంజిన్. [1] [2] ఈ విమానం షీట్ అల్యూమినియం నుండి తయారు చేయబడింది. దాని 8.20 మీ (26.9 అడుగులు) స్పాన్ వింగ్ 11.4 మీ 2 (123 చదరపు అడుగులు) ప్రముఖ ఎడ్జ్ స్లాట్లు మరియు ఫ్లాప్‌లను కలిగి ఉంది. రెక్కకు జ్యూరీ స్ట్రట్స్‌తో"&amp;" వి-స్ట్రట్స్ మద్దతు ఇస్తున్నాయి. అందుబాటులో ఉన్న ప్రామాణిక ఇంజిన్ 80 HP (60 kW) రోటాక్స్ 912UL ఫోర్-స్ట్రోక్ పవర్‌ప్లాంట్. నిల్వ కోసం S- స్టోల్ డి-రిగ్ చేయబడవచ్చు మరియు మడత రెక్కలు ఫ్యాక్టరీ ఎంపిక. విమానం చక్రాలు, స్కిస్ మరియు ఫ్లోట్లతో అమర్చవచ్చు మరియు "&amp;"గ్లైడర్‌లను లాగడానికి మరియు గ్లైడర్‌లను వేలాడదీయడానికి ఉపయోగించవచ్చు. [1] [2] సమీక్షకుడు మారినో బోరిక్ 2015 సమీక్షలో ఈ రూపకల్పనను వివరించాడు, ""అధిక విశ్వసనీయత, దృ ness త్వం మరియు నిజమైన స్వల్ప-క్షేత్ర సామర్థ్యం గాలిలో మరియు భూమిలో క్షమించే లక్షణాలతో మంచి"&amp;" స్వభావం గల విమానం చేస్తాయి, ఇక్కడ దాని బలమైన అండర్ క్యారేజ్, హై గ్రౌండ్ క్లియరెన్స్ మరియు టండ్రా టైర్లు కఠినమైన స్ట్రిప్స్‌ను ఎదుర్కోవటానికి సహాయపడతాయి. ""[2] బేయర్ల్ మరియు రోలాండ్ విమానాల నుండి డేటా [1] [3] సాధారణ లక్షణాల పనితీరు")</f>
        <v>రోలాండ్ ఎస్-స్టోల్ జర్మన్ స్టోల్ అల్ట్రాలైట్ మరియు లైట్-స్పోర్ట్ విమానం, దీనిని రోలాండ్ విమానం ఉత్పత్తి చేస్తుంది. ఈ విమానం te త్సాహిక నిర్మాణానికి కిట్‌గా లేదా పూర్తి రెడీ-టు-ఫ్లై-ఎయిర్‌క్రాఫ్ట్‌గా సరఫరా చేయబడుతుంది. [1] [2] ఈ విమానం ఫెడెరేషన్ ఏరోనటిక్ ఇంటర్నేషనల్ మైక్రోలైట్ రూల్స్ మరియు యుఎస్ లైట్-స్పోర్ట్ ఎయిర్క్రాఫ్ట్ నిబంధనలకు అనుగుణంగా రూపొందించబడింది. ఇది స్ట్రట్-బ్రేస్డ్ హై-వింగ్, రెండు-సీట్ల-సైడ్-సైడ్ కాన్ఫిగరేషన్ పరివేష్టిత కాక్‌పిట్ తలుపుల ద్వారా యాక్సెస్ చేయబడింది, స్థిర ట్రైసైకిల్ ల్యాండింగ్ గేర్ మరియు ట్రాక్టర్ కాన్ఫిగరేషన్‌లో ఒకే ఇంజిన్. [1] [2] ఈ విమానం షీట్ అల్యూమినియం నుండి తయారు చేయబడింది. దాని 8.20 మీ (26.9 అడుగులు) స్పాన్ వింగ్ 11.4 మీ 2 (123 చదరపు అడుగులు) ప్రముఖ ఎడ్జ్ స్లాట్లు మరియు ఫ్లాప్‌లను కలిగి ఉంది. రెక్కకు జ్యూరీ స్ట్రట్స్‌తో వి-స్ట్రట్స్ మద్దతు ఇస్తున్నాయి. అందుబాటులో ఉన్న ప్రామాణిక ఇంజిన్ 80 HP (60 kW) రోటాక్స్ 912UL ఫోర్-స్ట్రోక్ పవర్‌ప్లాంట్. నిల్వ కోసం S- స్టోల్ డి-రిగ్ చేయబడవచ్చు మరియు మడత రెక్కలు ఫ్యాక్టరీ ఎంపిక. విమానం చక్రాలు, స్కిస్ మరియు ఫ్లోట్లతో అమర్చవచ్చు మరియు గ్లైడర్‌లను లాగడానికి మరియు గ్లైడర్‌లను వేలాడదీయడానికి ఉపయోగించవచ్చు. [1] [2] సమీక్షకుడు మారినో బోరిక్ 2015 సమీక్షలో ఈ రూపకల్పనను వివరించాడు, "అధిక విశ్వసనీయత, దృ ness త్వం మరియు నిజమైన స్వల్ప-క్షేత్ర సామర్థ్యం గాలిలో మరియు భూమిలో క్షమించే లక్షణాలతో మంచి స్వభావం గల విమానం చేస్తాయి, ఇక్కడ దాని బలమైన అండర్ క్యారేజ్, హై గ్రౌండ్ క్లియరెన్స్ మరియు టండ్రా టైర్లు కఠినమైన స్ట్రిప్స్‌ను ఎదుర్కోవటానికి సహాయపడతాయి. "[2] బేయర్ల్ మరియు రోలాండ్ విమానాల నుండి డేటా [1] [3] సాధారణ లక్షణాల పనితీరు</v>
      </c>
      <c r="E162" s="1" t="s">
        <v>178</v>
      </c>
      <c r="F162" s="1" t="str">
        <f>IFERROR(__xludf.DUMMYFUNCTION("GOOGLETRANSLATE(E:E, ""en"", ""te"")"),"అల్ట్రాలైట్ విమానం మరియు లైట్-స్పోర్ట్ విమానం")</f>
        <v>అల్ట్రాలైట్ విమానం మరియు లైట్-స్పోర్ట్ విమానం</v>
      </c>
      <c r="G162" s="1" t="s">
        <v>133</v>
      </c>
      <c r="H162" s="1" t="str">
        <f>IFERROR(__xludf.DUMMYFUNCTION("GOOGLETRANSLATE(G:G, ""en"", ""te"")"),"జర్మనీ")</f>
        <v>జర్మనీ</v>
      </c>
      <c r="I162" s="1" t="s">
        <v>2498</v>
      </c>
      <c r="J162" s="1" t="str">
        <f>IFERROR(__xludf.DUMMYFUNCTION("GOOGLETRANSLATE(I:I, ""en"", ""te"")"),"రోలాండ్ విమానం")</f>
        <v>రోలాండ్ విమానం</v>
      </c>
      <c r="K162" s="1" t="s">
        <v>2499</v>
      </c>
      <c r="O162" s="1" t="s">
        <v>135</v>
      </c>
      <c r="P162" s="1" t="s">
        <v>2583</v>
      </c>
      <c r="Q162" s="1" t="s">
        <v>2584</v>
      </c>
      <c r="S162" s="1" t="s">
        <v>2585</v>
      </c>
      <c r="T162" s="1" t="s">
        <v>2586</v>
      </c>
      <c r="U162" s="1" t="s">
        <v>2587</v>
      </c>
      <c r="V162" s="1" t="s">
        <v>1665</v>
      </c>
      <c r="W162" s="1" t="s">
        <v>537</v>
      </c>
      <c r="Y162" s="1" t="s">
        <v>2588</v>
      </c>
      <c r="Z162" s="1" t="s">
        <v>2001</v>
      </c>
      <c r="AB162" s="1" t="s">
        <v>189</v>
      </c>
      <c r="AC162" s="2" t="s">
        <v>145</v>
      </c>
      <c r="AD162" s="1" t="s">
        <v>190</v>
      </c>
      <c r="AE162" s="1" t="s">
        <v>2589</v>
      </c>
      <c r="AG162" s="1" t="s">
        <v>1435</v>
      </c>
      <c r="AH162" s="1" t="s">
        <v>662</v>
      </c>
      <c r="AI162" s="1" t="s">
        <v>2590</v>
      </c>
      <c r="AK162" s="1" t="s">
        <v>195</v>
      </c>
      <c r="BA162" s="1" t="s">
        <v>2321</v>
      </c>
    </row>
    <row r="163">
      <c r="A163" s="1" t="s">
        <v>2591</v>
      </c>
      <c r="B163" s="1" t="str">
        <f>IFERROR(__xludf.DUMMYFUNCTION("GOOGLETRANSLATE(A:A, ""en"", ""te"")"),"రోలాండ్ Z-602")</f>
        <v>రోలాండ్ Z-602</v>
      </c>
      <c r="C163" s="1" t="s">
        <v>2592</v>
      </c>
      <c r="D163" s="1" t="str">
        <f>IFERROR(__xludf.DUMMYFUNCTION("GOOGLETRANSLATE(C:C, ""en"", ""te"")"),"రోలాండ్ Z-602 అనేది జర్మన్ అల్ట్రాలైట్ మరియు లైట్-స్పోర్ట్ విమానం, ఇది మెండిగ్ యొక్క రోలాండ్ విమానాలచే ఉత్పత్తి అవుతుంది. ఈ విమానం te త్సాహిక నిర్మాణానికి కిట్‌గా లేదా పూర్తి రెడీ-టు-ఫ్లై-ఎయిర్‌క్రాఫ్ట్‌గా సరఫరా చేయబడుతుంది. [1] [2] ఈ విమానం ఫెడెరేషన్ ఏరో"&amp;"నటిక్ ఇంటర్నేషనల్ మైక్రోలైట్ రూల్స్ మరియు యుఎస్ లైట్-స్పోర్ట్ ఎయిర్క్రాఫ్ట్ నిబంధనలకు అనుగుణంగా రూపొందించబడింది. ఇది కాంటిలివర్ లో-వింగ్, బబుల్ పందిరి కింద రెండు-సైడ్-సైడ్-సైడ్ కాన్ఫిగరేషన్ పరివేష్టిత కాక్‌పిట్, స్థిర ట్రైసైకిల్ ల్యాండింగ్ గేర్ లేదా సాంప్"&amp;"రదాయిక ల్యాండింగ్ గేర్ మరియు ట్రాక్టర్ కాన్ఫిగరేషన్‌లో ఒకే ఇంజిన్ కలిగి ఉంది. [1] [2] ఈ విమానం షీట్ అల్యూమినియం నుండి తయారు చేయబడింది. దాని 8.23 ​​మీ (27.0 అడుగులు) స్పాన్ వింగ్ 12.4 మీ 2 (133 చదరపు అడుగులు) మరియు ఫ్లాప్‌లను కలిగి ఉంది. అందుబాటులో ఉన్న ప్"&amp;"రామాణిక ఇంజిన్ 100 HP (75 kW) రోటాక్స్ 912లు నాలుగు-స్ట్రోక్ పవర్‌ప్లాంట్. [1] [2] Z-602 మూడు ల్యాండింగ్ గేర్ కాన్ఫిగరేషన్‌లతో అందించబడుతుంది: స్థిర ట్రైసైకిల్, సాంప్రదాయిక మరియు RG మోడల్‌గా ముడుచుకుంటుంది. ఇది ఆర్థిక వ్యవస్థ మరియు ఎక్స్‌క్లూసివ్ అనే రెండ"&amp;"ు వేర్వేరు స్థాయిల ఎంపికలతో విక్రయించబడింది. స్థిర గేర్ మోడల్‌ను 20 నిమిషాల్లో ట్రెయిలర్ ద్వారా డెరిజ్ చేసి రవాణా చేయవచ్చు. [1] [2] ఆగష్టు 2012 నాటికి, ఫెడరల్ ఏవియేషన్ అడ్మినిస్ట్రేషన్ యొక్క ఆమోదించబడిన ప్రత్యేక లైట్-స్పోర్ట్ విమానాల జాబితాలో డిజైన్ కనిపి"&amp;"ంచదు. [3] సమీక్షకుడు మారినో బోరిక్ 2015 సమీక్షలో ఈ డిజైన్‌ను ""విమానంలో ఒక సొగసైన రూపాన్ని కలిగి ఉంది"" అని అభివర్ణించారు. [2] బేయర్ల్ మరియు రోలాండ్ విమానాల నుండి డేటా [1] [4] సాధారణ లక్షణాల పనితీరు")</f>
        <v>రోలాండ్ Z-602 అనేది జర్మన్ అల్ట్రాలైట్ మరియు లైట్-స్పోర్ట్ విమానం, ఇది మెండిగ్ యొక్క రోలాండ్ విమానాలచే ఉత్పత్తి అవుతుంది. ఈ విమానం te త్సాహిక నిర్మాణానికి కిట్‌గా లేదా పూర్తి రెడీ-టు-ఫ్లై-ఎయిర్‌క్రాఫ్ట్‌గా సరఫరా చేయబడుతుంది. [1] [2] ఈ విమానం ఫెడెరేషన్ ఏరోనటిక్ ఇంటర్నేషనల్ మైక్రోలైట్ రూల్స్ మరియు యుఎస్ లైట్-స్పోర్ట్ ఎయిర్క్రాఫ్ట్ నిబంధనలకు అనుగుణంగా రూపొందించబడింది. ఇది కాంటిలివర్ లో-వింగ్, బబుల్ పందిరి కింద రెండు-సైడ్-సైడ్-సైడ్ కాన్ఫిగరేషన్ పరివేష్టిత కాక్‌పిట్, స్థిర ట్రైసైకిల్ ల్యాండింగ్ గేర్ లేదా సాంప్రదాయిక ల్యాండింగ్ గేర్ మరియు ట్రాక్టర్ కాన్ఫిగరేషన్‌లో ఒకే ఇంజిన్ కలిగి ఉంది. [1] [2] ఈ విమానం షీట్ అల్యూమినియం నుండి తయారు చేయబడింది. దాని 8.23 ​​మీ (27.0 అడుగులు) స్పాన్ వింగ్ 12.4 మీ 2 (133 చదరపు అడుగులు) మరియు ఫ్లాప్‌లను కలిగి ఉంది. అందుబాటులో ఉన్న ప్రామాణిక ఇంజిన్ 100 HP (75 kW) రోటాక్స్ 912లు నాలుగు-స్ట్రోక్ పవర్‌ప్లాంట్. [1] [2] Z-602 మూడు ల్యాండింగ్ గేర్ కాన్ఫిగరేషన్‌లతో అందించబడుతుంది: స్థిర ట్రైసైకిల్, సాంప్రదాయిక మరియు RG మోడల్‌గా ముడుచుకుంటుంది. ఇది ఆర్థిక వ్యవస్థ మరియు ఎక్స్‌క్లూసివ్ అనే రెండు వేర్వేరు స్థాయిల ఎంపికలతో విక్రయించబడింది. స్థిర గేర్ మోడల్‌ను 20 నిమిషాల్లో ట్రెయిలర్ ద్వారా డెరిజ్ చేసి రవాణా చేయవచ్చు. [1] [2] ఆగష్టు 2012 నాటికి, ఫెడరల్ ఏవియేషన్ అడ్మినిస్ట్రేషన్ యొక్క ఆమోదించబడిన ప్రత్యేక లైట్-స్పోర్ట్ విమానాల జాబితాలో డిజైన్ కనిపించదు. [3] సమీక్షకుడు మారినో బోరిక్ 2015 సమీక్షలో ఈ డిజైన్‌ను "విమానంలో ఒక సొగసైన రూపాన్ని కలిగి ఉంది" అని అభివర్ణించారు. [2] బేయర్ల్ మరియు రోలాండ్ విమానాల నుండి డేటా [1] [4] సాధారణ లక్షణాల పనితీరు</v>
      </c>
      <c r="E163" s="1" t="s">
        <v>178</v>
      </c>
      <c r="F163" s="1" t="str">
        <f>IFERROR(__xludf.DUMMYFUNCTION("GOOGLETRANSLATE(E:E, ""en"", ""te"")"),"అల్ట్రాలైట్ విమానం మరియు లైట్-స్పోర్ట్ విమానం")</f>
        <v>అల్ట్రాలైట్ విమానం మరియు లైట్-స్పోర్ట్ విమానం</v>
      </c>
      <c r="G163" s="1" t="s">
        <v>133</v>
      </c>
      <c r="H163" s="1" t="str">
        <f>IFERROR(__xludf.DUMMYFUNCTION("GOOGLETRANSLATE(G:G, ""en"", ""te"")"),"జర్మనీ")</f>
        <v>జర్మనీ</v>
      </c>
      <c r="I163" s="1" t="s">
        <v>2498</v>
      </c>
      <c r="J163" s="1" t="str">
        <f>IFERROR(__xludf.DUMMYFUNCTION("GOOGLETRANSLATE(I:I, ""en"", ""te"")"),"రోలాండ్ విమానం")</f>
        <v>రోలాండ్ విమానం</v>
      </c>
      <c r="K163" s="1" t="s">
        <v>2499</v>
      </c>
      <c r="O163" s="1" t="s">
        <v>135</v>
      </c>
      <c r="P163" s="1" t="s">
        <v>2583</v>
      </c>
      <c r="Q163" s="1" t="s">
        <v>2593</v>
      </c>
      <c r="S163" s="1" t="s">
        <v>2594</v>
      </c>
      <c r="T163" s="1" t="s">
        <v>2595</v>
      </c>
      <c r="U163" s="1" t="s">
        <v>2596</v>
      </c>
      <c r="V163" s="1" t="s">
        <v>186</v>
      </c>
      <c r="W163" s="1" t="s">
        <v>2597</v>
      </c>
      <c r="Y163" s="1" t="s">
        <v>2598</v>
      </c>
      <c r="Z163" s="1" t="s">
        <v>2282</v>
      </c>
      <c r="AA163" s="1" t="s">
        <v>2599</v>
      </c>
      <c r="AB163" s="1" t="s">
        <v>189</v>
      </c>
      <c r="AC163" s="2" t="s">
        <v>145</v>
      </c>
      <c r="AD163" s="1" t="s">
        <v>190</v>
      </c>
      <c r="AE163" s="1" t="s">
        <v>2600</v>
      </c>
      <c r="AG163" s="1" t="s">
        <v>2601</v>
      </c>
      <c r="AH163" s="1" t="s">
        <v>2602</v>
      </c>
      <c r="AI163" s="1" t="s">
        <v>2603</v>
      </c>
      <c r="AK163" s="1" t="s">
        <v>195</v>
      </c>
      <c r="AY163" s="1" t="s">
        <v>2597</v>
      </c>
      <c r="BA163" s="1" t="s">
        <v>2604</v>
      </c>
    </row>
    <row r="164">
      <c r="A164" s="1" t="s">
        <v>2605</v>
      </c>
      <c r="B164" s="1" t="str">
        <f>IFERROR(__xludf.DUMMYFUNCTION("GOOGLETRANSLATE(A:A, ""en"", ""te"")"),"రాజ్ హమ్సా ఎక్స్-ఎయిర్")</f>
        <v>రాజ్ హమ్సా ఎక్స్-ఎయిర్</v>
      </c>
      <c r="C164" s="1" t="s">
        <v>2606</v>
      </c>
      <c r="D164" s="1" t="str">
        <f>IFERROR(__xludf.DUMMYFUNCTION("GOOGLETRANSLATE(C:C, ""en"", ""te"")"),"రాజ్ హంసా ఎక్స్-ఎయిర్ ఒక భారతీయ, రెండు-సీట్ల, హై-వింగ్, ట్రైసైకిల్ గేర్, ట్రాక్టర్ కాన్ఫిగరేషన్, రాజ్ హమ్సా అల్ట్రాలైట్స్ ఆఫ్ బెంగళూరు, కర్ణాటక, కిట్ రూపంలో ఉత్పత్తి చేయబడిన అల్ట్రాలైట్ విమానం, te త్సాహిక నిర్మాణం కోసం. [1] [2] [ 3] [4] [5] [6] [7] ఎక్స్-"&amp;"ఎయిర్ చోటియా వీడ్‌హాపర్ యొక్క అభివృద్ధిగా ప్రారంభమైంది, ఐలెరాన్‌లను మరియు పరివేష్టిత క్యాబిన్‌ను చేర్చడానికి పున es రూపకల్పన చేసింది. ఐరోపాలో ప్రారంభ ఉత్పత్తి తరువాత తయారీని భారతదేశంలో రాజ్ హమ్సాకు మార్చారు. చాలా దేశాలలో ఈ విమానాన్ని రాండ్ కార్ ఎక్స్-ఎయిర"&amp;"్ అంటారు. USA లో దీనిని కొన్నిసార్లు లైట్ వింగ్ ఎక్స్-ఎయిర్ అని పిలుస్తారు. ఈ విమానం తరువాత మరింత సాంప్రదాయిక ఎక్స్-ఎయిర్ హనుమాన్ గా అభివృద్ధి చేయబడింది, ఇది ఇంజిన్‌ను ఎగువ కీల్ ట్యూబ్ నుండి ముక్కుకు మార్చింది. [2] [3] [4] [7] [8] X- గాలి బోల్ట్ అల్యూమిని"&amp;"యం గొట్టాల నుండి నిర్మించబడింది, ఇది సెంట్రల్ వెల్డెడ్ స్టీల్ కాక్‌పిట్ కేజ్‌కు జతచేయబడుతుంది. రెక్కలు మరియు తోక ఉపరితలాలు ముందే కుట్టిన డాక్రాన్ సెయిల్‌క్లాత్ ఎన్వలప్‌లలో ఉన్నాయి. ఈ విమానం దాని కీల్ చుట్టూ నిర్మించబడింది, ఇది పెద్ద గొట్టం, ఇది ముందు భాగం"&amp;"లో హై-మౌంటెడ్ ఇంజిన్ నుండి వెనుక తోక వరకు నడుస్తుంది. రెక్కలకు జ్యూరీ స్ట్రట్‌లతో వి-స్ట్రట్స్ మద్దతు ఇస్తున్నాయి. ల్యాండింగ్ గేర్ మూడు చక్రాలపై ఒలియో షాక్ అబ్జార్బర్‌లను కలిగి ఉంటుంది. నోస్‌వీల్ స్టీరబుల్ మరియు మెయిన్‌వీల్ బ్రేక్‌లు ప్రామాణికమైనవి. ద్వంద"&amp;"్వ నియంత్రణలు ప్రామాణికమైనవి, కానీ కాక్‌పిట్ తలుపులు ఐచ్ఛికం. కాక్‌పిట్‌ను సమీక్షకుడు ఆండ్రీ క్లిచ్ ""యాక్సెస్ చేయడం కొంచెం కష్టం"" అని విమర్శించారు. [2] X- గాలిని ఫ్లోట్లు లేదా స్కిస్‌తో అమర్చవచ్చు. 120 ఎల్బి (54 కిలోలు) లోపు బరువు ఉంటే 50 నుండి 75 హెచ్‌"&amp;"పి (37 నుండి 56 కిలోవాట్ల వరకు) ఇంజిన్లను అమర్చవచ్చు. నిర్మాణ సమయం 40 గంటలు అంచనా వేయబడింది. [2] [5] తక్కువ ధర మరియు BCAR విభాగం ""S"" ధృవీకరణ కారణంగా X- గాలి యునైటెడ్ కింగ్‌డమ్‌లో ప్రాచుర్యం పొందింది. [4] ప్రోటోటైప్ డి-మోటార్ ఎల్ఎఫ్ 26 ఫ్లాట్ హెడ్ ఇంజిన్"&amp;" కోసం ఒక ఎక్స్-ఎయిర్ టెస్ట్‌బెడ్‌గా ఉపయోగించబడింది. [9] రాజ్ హమ్సా నుండి డేటా [10] సాధారణ లక్షణాలు పనితీరు సంబంధిత అభివృద్ధి అభివృద్ధి విమానం పోల్చదగిన పాత్ర, కాన్ఫిగరేషన్ మరియు ERA")</f>
        <v>రాజ్ హంసా ఎక్స్-ఎయిర్ ఒక భారతీయ, రెండు-సీట్ల, హై-వింగ్, ట్రైసైకిల్ గేర్, ట్రాక్టర్ కాన్ఫిగరేషన్, రాజ్ హమ్సా అల్ట్రాలైట్స్ ఆఫ్ బెంగళూరు, కర్ణాటక, కిట్ రూపంలో ఉత్పత్తి చేయబడిన అల్ట్రాలైట్ విమానం, te త్సాహిక నిర్మాణం కోసం. [1] [2] [ 3] [4] [5] [6] [7] ఎక్స్-ఎయిర్ చోటియా వీడ్‌హాపర్ యొక్క అభివృద్ధిగా ప్రారంభమైంది, ఐలెరాన్‌లను మరియు పరివేష్టిత క్యాబిన్‌ను చేర్చడానికి పున es రూపకల్పన చేసింది. ఐరోపాలో ప్రారంభ ఉత్పత్తి తరువాత తయారీని భారతదేశంలో రాజ్ హమ్సాకు మార్చారు. చాలా దేశాలలో ఈ విమానాన్ని రాండ్ కార్ ఎక్స్-ఎయిర్ అంటారు. USA లో దీనిని కొన్నిసార్లు లైట్ వింగ్ ఎక్స్-ఎయిర్ అని పిలుస్తారు. ఈ విమానం తరువాత మరింత సాంప్రదాయిక ఎక్స్-ఎయిర్ హనుమాన్ గా అభివృద్ధి చేయబడింది, ఇది ఇంజిన్‌ను ఎగువ కీల్ ట్యూబ్ నుండి ముక్కుకు మార్చింది. [2] [3] [4] [7] [8] X- గాలి బోల్ట్ అల్యూమినియం గొట్టాల నుండి నిర్మించబడింది, ఇది సెంట్రల్ వెల్డెడ్ స్టీల్ కాక్‌పిట్ కేజ్‌కు జతచేయబడుతుంది. రెక్కలు మరియు తోక ఉపరితలాలు ముందే కుట్టిన డాక్రాన్ సెయిల్‌క్లాత్ ఎన్వలప్‌లలో ఉన్నాయి. ఈ విమానం దాని కీల్ చుట్టూ నిర్మించబడింది, ఇది పెద్ద గొట్టం, ఇది ముందు భాగంలో హై-మౌంటెడ్ ఇంజిన్ నుండి వెనుక తోక వరకు నడుస్తుంది. రెక్కలకు జ్యూరీ స్ట్రట్‌లతో వి-స్ట్రట్స్ మద్దతు ఇస్తున్నాయి. ల్యాండింగ్ గేర్ మూడు చక్రాలపై ఒలియో షాక్ అబ్జార్బర్‌లను కలిగి ఉంటుంది. నోస్‌వీల్ స్టీరబుల్ మరియు మెయిన్‌వీల్ బ్రేక్‌లు ప్రామాణికమైనవి. ద్వంద్వ నియంత్రణలు ప్రామాణికమైనవి, కానీ కాక్‌పిట్ తలుపులు ఐచ్ఛికం. కాక్‌పిట్‌ను సమీక్షకుడు ఆండ్రీ క్లిచ్ "యాక్సెస్ చేయడం కొంచెం కష్టం" అని విమర్శించారు. [2] X- గాలిని ఫ్లోట్లు లేదా స్కిస్‌తో అమర్చవచ్చు. 120 ఎల్బి (54 కిలోలు) లోపు బరువు ఉంటే 50 నుండి 75 హెచ్‌పి (37 నుండి 56 కిలోవాట్ల వరకు) ఇంజిన్లను అమర్చవచ్చు. నిర్మాణ సమయం 40 గంటలు అంచనా వేయబడింది. [2] [5] తక్కువ ధర మరియు BCAR విభాగం "S" ధృవీకరణ కారణంగా X- గాలి యునైటెడ్ కింగ్‌డమ్‌లో ప్రాచుర్యం పొందింది. [4] ప్రోటోటైప్ డి-మోటార్ ఎల్ఎఫ్ 26 ఫ్లాట్ హెడ్ ఇంజిన్ కోసం ఒక ఎక్స్-ఎయిర్ టెస్ట్‌బెడ్‌గా ఉపయోగించబడింది. [9] రాజ్ హమ్సా నుండి డేటా [10] సాధారణ లక్షణాలు పనితీరు సంబంధిత అభివృద్ధి అభివృద్ధి విమానం పోల్చదగిన పాత్ర, కాన్ఫిగరేషన్ మరియు ERA</v>
      </c>
      <c r="E164" s="1" t="s">
        <v>621</v>
      </c>
      <c r="F164" s="1" t="str">
        <f>IFERROR(__xludf.DUMMYFUNCTION("GOOGLETRANSLATE(E:E, ""en"", ""te"")"),"కిట్ విమానం")</f>
        <v>కిట్ విమానం</v>
      </c>
      <c r="G164" s="1" t="s">
        <v>2607</v>
      </c>
      <c r="H164" s="1" t="str">
        <f>IFERROR(__xludf.DUMMYFUNCTION("GOOGLETRANSLATE(G:G, ""en"", ""te"")"),"భారతదేశం")</f>
        <v>భారతదేశం</v>
      </c>
      <c r="I164" s="1" t="s">
        <v>2608</v>
      </c>
      <c r="J164" s="1" t="str">
        <f>IFERROR(__xludf.DUMMYFUNCTION("GOOGLETRANSLATE(I:I, ""en"", ""te"")"),"రాజ్ హమ్సా అల్ట్రాలైట్స్")</f>
        <v>రాజ్ హమ్సా అల్ట్రాలైట్స్</v>
      </c>
      <c r="K164" s="1" t="s">
        <v>2609</v>
      </c>
      <c r="L164" s="1" t="s">
        <v>2610</v>
      </c>
      <c r="O164" s="1" t="s">
        <v>135</v>
      </c>
      <c r="P164" s="1" t="s">
        <v>2611</v>
      </c>
      <c r="Q164" s="1" t="s">
        <v>2612</v>
      </c>
      <c r="R164" s="1" t="s">
        <v>2613</v>
      </c>
      <c r="T164" s="1" t="s">
        <v>2614</v>
      </c>
      <c r="V164" s="1" t="s">
        <v>2615</v>
      </c>
      <c r="W164" s="1" t="s">
        <v>149</v>
      </c>
      <c r="Y164" s="1" t="s">
        <v>2598</v>
      </c>
      <c r="Z164" s="1" t="s">
        <v>2616</v>
      </c>
      <c r="AA164" s="1" t="s">
        <v>2617</v>
      </c>
      <c r="AB164" s="1" t="s">
        <v>635</v>
      </c>
      <c r="AC164" s="2" t="s">
        <v>2618</v>
      </c>
      <c r="AE164" s="1" t="s">
        <v>2346</v>
      </c>
      <c r="AF164" s="1" t="s">
        <v>2619</v>
      </c>
      <c r="AG164" s="1" t="s">
        <v>1244</v>
      </c>
      <c r="AH164" s="1" t="s">
        <v>981</v>
      </c>
      <c r="AJ164" s="1" t="s">
        <v>2620</v>
      </c>
      <c r="AK164" s="1" t="s">
        <v>195</v>
      </c>
      <c r="AR164" s="1" t="s">
        <v>253</v>
      </c>
      <c r="AX164" s="1" t="s">
        <v>2621</v>
      </c>
      <c r="BB164" s="1">
        <v>9.0</v>
      </c>
      <c r="BF164" s="1" t="s">
        <v>2622</v>
      </c>
      <c r="BG164" s="1" t="s">
        <v>2623</v>
      </c>
      <c r="BJ164" s="1" t="s">
        <v>2624</v>
      </c>
      <c r="BN164" s="1">
        <v>1993.0</v>
      </c>
    </row>
    <row r="165">
      <c r="A165" s="1" t="s">
        <v>2625</v>
      </c>
      <c r="B165" s="1" t="str">
        <f>IFERROR(__xludf.DUMMYFUNCTION("GOOGLETRANSLATE(A:A, ""en"", ""te"")"),"రీన్ ఫ్లూగ్జీగ్బావు RW 3 మల్టీప్లాన్")</f>
        <v>రీన్ ఫ్లూగ్జీగ్బావు RW 3 మల్టీప్లాన్</v>
      </c>
      <c r="C165" s="1" t="s">
        <v>2626</v>
      </c>
      <c r="D165" s="1" t="str">
        <f>IFERROR(__xludf.DUMMYFUNCTION("GOOGLETRANSLATE(C:C, ""en"", ""te"")"),"రీన్ ఫ్లూగ్జ్యూగ్బావు RW 3 మల్టీప్లాన్ అనేది రెండు-సీట్ల లైట్ పషర్ కాన్ఫిగరేషన్ విమానం, ఇది 1958 మరియు 1961 మధ్య రీన్ ఫ్లూగ్జూగ్బావ్ GmbH చేత తక్కువ సంఖ్యలో ఉత్పత్తి చేయబడింది. RW 3 మల్టీప్లాన్ అనే ప్రోటోటైప్ 1955 లో హన్నో ఫిషర్ రూపొందించారు. అతను ప్రతిపా"&amp;"దించిన ఏరోడైనమిక్ సూత్రాలను పరీక్షించడానికి. వీటిని మొదట FIBO 2A లైట్ విమానంలో పరీక్షించారు. దీని తరువాత మొట్టమొదటి RW 3A మల్టీప్లాన్ D-EJA లు ఉన్నాయి, ఇది అధిక కారక నిష్పత్తి వింగ్, ముడుచుకునే ట్రైసైకిల్ అండర్ క్యారేజ్ మరియు టి-తోకతో మిశ్రమ నిర్మాణం యొక్"&amp;"క రెండు-సీట్ల తేలికపాటి విమానం. 65 హెచ్.పి. పోర్స్చే 678/0 ఇంజిన్ సెంటర్ ఫ్యూజ్‌లేజ్‌లో ఖననం చేయబడింది మరియు ఫిన్ మరియు చుక్కాని మధ్య నిలువు స్లాట్‌లో అమర్చిన పషర్ ప్రొపెల్లర్‌ను నడిపించింది. [1] ఇద్దరు యజమానులకు ద్వంద్వ నియంత్రణలు అందించబడ్డాయి మరియు పొడ"&amp;"వైన పొక్కు పందిరి క్రింద ఉన్నాయి. [2] రెండవ RW 3A-V2 నిర్మించబడింది మరియు పరీక్షించబడింది. [3] క్రెఫెల్డ్-యుర్డింగెన్‌లోని వారి కర్మాగారంలో మల్టీప్లాన్స్ యొక్క ప్రారంభ బ్యాచ్‌ను నిర్మించిన రీన్ ఫ్లూగ్జీగ్బావ్ జిఎంబిహెచ్ (ఆర్‌ఎఫ్‌బి) కు ఫిషర్ ఉత్పత్తి లైసె"&amp;"న్స్ మంజూరు చేశాడు. మొట్టమొదటి ఉత్పత్తి విమానం 8 ఫిబ్రవరి 1958 న ఎగురవేయబడింది మరియు ఇది పోర్స్చే 75 H.P. అమర్చిన 678/4 ఇంజిన్. RFB మొత్తం 22 మల్టీప్లాన్లను నిర్మించింది మరియు 1961 లో ఉత్పత్తిని నిలిపివేసినప్పుడు మరో మూడింటిని వదిలివేసింది. మరో ఉదాహరణ te "&amp;"త్సాహిక కన్స్ట్రక్టర్ చేత నిర్మించబడింది. [4] RFB అధిక శక్తితో కూడిన సంస్కరణ యొక్క రెండు ఉదాహరణలను నిర్మించింది, RW 3C-90 పాసాట్ మరియు వీటిలో మరియు అన్ని ఇతర RW 3 లపై, వారు ఐచ్ఛిక వింగ్‌టిప్ ఎక్స్‌టెన్షన్ ప్యానెల్‌లను అందించారు, ఇది మల్టీప్లాన్‌ను శక్తి-స"&amp;"హాయక సెయిల్ ప్లేన్‌గా ఎగరడానికి వీలు కల్పించింది. [5] పొడిగింపులు 34 అడుగుల 9 INS నుండి 50 అడుగుల 6 అంగుళాల వరకు స్పాన్ పెరిగాయి. [6] మల్టీప్లాన్‌ను ప్రధానంగా ప్రైవేట్ పైలట్ యజమానులు నిర్వహిస్తున్నారు. 2009 లో జర్మన్ సివిల్ ఎయిర్క్రాఫ్ట్ రిజిస్టర్‌లో రెండ"&amp;"ు ఉదాహరణలు పనిచేస్తున్నాయి మరియు జర్మన్ ఏవియేషన్ మ్యూజియమ్‌లలో రెండు విమానాలు ప్రదర్శించబడ్డాయి, వీటిలో డి-ఈఫ్‌తో సహా బెర్లిన్ మధ్యలో డ్యూయిషెస్ టెక్నిక్‌ముసియంలో ప్రదర్శించబడుతుంది. [7] (ప్రతి సింప్సన్‌కు) గ్రీన్ జనరల్ లక్షణాల పనితీరు నుండి డేటా")</f>
        <v>రీన్ ఫ్లూగ్జ్యూగ్బావు RW 3 మల్టీప్లాన్ అనేది రెండు-సీట్ల లైట్ పషర్ కాన్ఫిగరేషన్ విమానం, ఇది 1958 మరియు 1961 మధ్య రీన్ ఫ్లూగ్జూగ్బావ్ GmbH చేత తక్కువ సంఖ్యలో ఉత్పత్తి చేయబడింది. RW 3 మల్టీప్లాన్ అనే ప్రోటోటైప్ 1955 లో హన్నో ఫిషర్ రూపొందించారు. అతను ప్రతిపాదించిన ఏరోడైనమిక్ సూత్రాలను పరీక్షించడానికి. వీటిని మొదట FIBO 2A లైట్ విమానంలో పరీక్షించారు. దీని తరువాత మొట్టమొదటి RW 3A మల్టీప్లాన్ D-EJA లు ఉన్నాయి, ఇది అధిక కారక నిష్పత్తి వింగ్, ముడుచుకునే ట్రైసైకిల్ అండర్ క్యారేజ్ మరియు టి-తోకతో మిశ్రమ నిర్మాణం యొక్క రెండు-సీట్ల తేలికపాటి విమానం. 65 హెచ్.పి. పోర్స్చే 678/0 ఇంజిన్ సెంటర్ ఫ్యూజ్‌లేజ్‌లో ఖననం చేయబడింది మరియు ఫిన్ మరియు చుక్కాని మధ్య నిలువు స్లాట్‌లో అమర్చిన పషర్ ప్రొపెల్లర్‌ను నడిపించింది. [1] ఇద్దరు యజమానులకు ద్వంద్వ నియంత్రణలు అందించబడ్డాయి మరియు పొడవైన పొక్కు పందిరి క్రింద ఉన్నాయి. [2] రెండవ RW 3A-V2 నిర్మించబడింది మరియు పరీక్షించబడింది. [3] క్రెఫెల్డ్-యుర్డింగెన్‌లోని వారి కర్మాగారంలో మల్టీప్లాన్స్ యొక్క ప్రారంభ బ్యాచ్‌ను నిర్మించిన రీన్ ఫ్లూగ్జీగ్బావ్ జిఎంబిహెచ్ (ఆర్‌ఎఫ్‌బి) కు ఫిషర్ ఉత్పత్తి లైసెన్స్ మంజూరు చేశాడు. మొట్టమొదటి ఉత్పత్తి విమానం 8 ఫిబ్రవరి 1958 న ఎగురవేయబడింది మరియు ఇది పోర్స్చే 75 H.P. అమర్చిన 678/4 ఇంజిన్. RFB మొత్తం 22 మల్టీప్లాన్లను నిర్మించింది మరియు 1961 లో ఉత్పత్తిని నిలిపివేసినప్పుడు మరో మూడింటిని వదిలివేసింది. మరో ఉదాహరణ te త్సాహిక కన్స్ట్రక్టర్ చేత నిర్మించబడింది. [4] RFB అధిక శక్తితో కూడిన సంస్కరణ యొక్క రెండు ఉదాహరణలను నిర్మించింది, RW 3C-90 పాసాట్ మరియు వీటిలో మరియు అన్ని ఇతర RW 3 లపై, వారు ఐచ్ఛిక వింగ్‌టిప్ ఎక్స్‌టెన్షన్ ప్యానెల్‌లను అందించారు, ఇది మల్టీప్లాన్‌ను శక్తి-సహాయక సెయిల్ ప్లేన్‌గా ఎగరడానికి వీలు కల్పించింది. [5] పొడిగింపులు 34 అడుగుల 9 INS నుండి 50 అడుగుల 6 అంగుళాల వరకు స్పాన్ పెరిగాయి. [6] మల్టీప్లాన్‌ను ప్రధానంగా ప్రైవేట్ పైలట్ యజమానులు నిర్వహిస్తున్నారు. 2009 లో జర్మన్ సివిల్ ఎయిర్క్రాఫ్ట్ రిజిస్టర్‌లో రెండు ఉదాహరణలు పనిచేస్తున్నాయి మరియు జర్మన్ ఏవియేషన్ మ్యూజియమ్‌లలో రెండు విమానాలు ప్రదర్శించబడ్డాయి, వీటిలో డి-ఈఫ్‌తో సహా బెర్లిన్ మధ్యలో డ్యూయిషెస్ టెక్నిక్‌ముసియంలో ప్రదర్శించబడుతుంది. [7] (ప్రతి సింప్సన్‌కు) గ్రీన్ జనరల్ లక్షణాల పనితీరు నుండి డేటా</v>
      </c>
      <c r="E165" s="1" t="s">
        <v>2627</v>
      </c>
      <c r="F165" s="1" t="str">
        <f>IFERROR(__xludf.DUMMYFUNCTION("GOOGLETRANSLATE(E:E, ""en"", ""te"")"),"రెండు-సీట్ల లైట్ పషర్ విమానం")</f>
        <v>రెండు-సీట్ల లైట్ పషర్ విమానం</v>
      </c>
      <c r="G165" s="1" t="s">
        <v>133</v>
      </c>
      <c r="H165" s="1" t="str">
        <f>IFERROR(__xludf.DUMMYFUNCTION("GOOGLETRANSLATE(G:G, ""en"", ""te"")"),"జర్మనీ")</f>
        <v>జర్మనీ</v>
      </c>
      <c r="I165" s="1" t="s">
        <v>2628</v>
      </c>
      <c r="J165" s="1" t="str">
        <f>IFERROR(__xludf.DUMMYFUNCTION("GOOGLETRANSLATE(I:I, ""en"", ""te"")"),"రీన్ ఫ్లూగ్జీగ్బావ్ Gmbh")</f>
        <v>రీన్ ఫ్లూగ్జీగ్బావ్ Gmbh</v>
      </c>
      <c r="K165" s="1" t="s">
        <v>2629</v>
      </c>
      <c r="L165" s="1" t="s">
        <v>2630</v>
      </c>
      <c r="N165" s="1">
        <v>1956.0</v>
      </c>
      <c r="O165" s="1">
        <v>1.0</v>
      </c>
      <c r="P165" s="1" t="s">
        <v>2475</v>
      </c>
      <c r="Q165" s="1" t="s">
        <v>2631</v>
      </c>
      <c r="R165" s="1" t="s">
        <v>418</v>
      </c>
      <c r="S165" s="1" t="s">
        <v>2632</v>
      </c>
      <c r="T165" s="1" t="s">
        <v>2633</v>
      </c>
      <c r="U165" s="1" t="s">
        <v>2634</v>
      </c>
      <c r="V165" s="1" t="s">
        <v>2635</v>
      </c>
      <c r="W165" s="1" t="s">
        <v>1837</v>
      </c>
      <c r="X165" s="1" t="s">
        <v>1987</v>
      </c>
      <c r="Y165" s="1" t="s">
        <v>2636</v>
      </c>
      <c r="Z165" s="1" t="s">
        <v>2637</v>
      </c>
      <c r="AA165" s="1" t="s">
        <v>2638</v>
      </c>
      <c r="AC165" s="2" t="s">
        <v>145</v>
      </c>
      <c r="AG165" s="1" t="s">
        <v>1833</v>
      </c>
      <c r="AJ165" s="1">
        <v>27.0</v>
      </c>
      <c r="AK165" s="1">
        <v>1.0</v>
      </c>
      <c r="AP165" s="1" t="s">
        <v>1251</v>
      </c>
      <c r="AQ165" s="1" t="s">
        <v>2639</v>
      </c>
      <c r="AR165" s="1" t="s">
        <v>2640</v>
      </c>
      <c r="AX165" s="1" t="s">
        <v>2641</v>
      </c>
      <c r="BN165" s="1">
        <v>1958.0</v>
      </c>
    </row>
    <row r="166">
      <c r="A166" s="1" t="s">
        <v>2642</v>
      </c>
      <c r="B166" s="1" t="str">
        <f>IFERROR(__xludf.DUMMYFUNCTION("GOOGLETRANSLATE(A:A, ""en"", ""te"")"),"రోల్స్ రాయిస్ ముస్తాంగ్ Mk.x")</f>
        <v>రోల్స్ రాయిస్ ముస్తాంగ్ Mk.x</v>
      </c>
      <c r="C166" s="1" t="s">
        <v>2643</v>
      </c>
      <c r="D166" s="1" t="str">
        <f>IFERROR(__xludf.DUMMYFUNCTION("GOOGLETRANSLATE(C:C, ""en"", ""te"")"),"నార్త్ అమెరికన్ ముస్తాంగ్ MK.X (""మార్క్ 10"" లో వలె; ""రోల్స్ రాయిస్ ముస్తాంగ్"" అని కూడా పిలుస్తారు) యుఎస్ నార్త్ అమెరికన్ పి -51 ముస్తాంగ్ యొక్క బ్రిటిష్ వేరియంట్, రోల్స్ రాయిస్ మెర్లిన్ ఇంజిన్ ఉపయోగించి ఒక ప్రయోగాత్మక 1942 లో రోల్స్ రాయిస్ కంపెనీ చేపట"&amp;"్టిన కార్యక్రమం. ఏప్రిల్ 1942 లో, రాయల్ ఎయిర్ ఫోర్స్ ఎయిర్ ఫైటింగ్ డెవలప్‌మెంట్ యూనిట్ (AFDU) అల్లిసన్ V-1710-ఇంజిన్ ముస్తాంగ్‌ను అధిక ఎత్తులో పరీక్షించింది మరియు అది కోరుకుంటున్నట్లు కనుగొన్నారు, కాని వారి కమాండింగ్ ఆఫీసర్, వింగ్ కమాండర్ ఇయాన్ కాంప్‌బెల్"&amp;"-ఆర్డే, దాని యుక్తి మరియు తక్కువ-ఎత్తు వేగంతో ఎంతగానో ఆకట్టుకున్నాడు, అతను రోనాల్డ్ హార్కర్‌ను రోల్స్ రాయిస్ యొక్క విమాన పరీక్ష స్థాపన నుండి హక్నాల్ వద్ద ఎగరడానికి ఆహ్వానించాడు. పనితీరు, 15,000 అడుగుల (4,572 మీ) వరకు అసాధారణమైనది అయినప్పటికీ, అధిక ఎత్తులో"&amp;" సరిపోదని త్వరగా స్పష్టమైంది. ఈ లోపం ఎక్కువగా సింగిల్-స్టేజ్ సూపర్ఛార్జ్డ్ అల్లిసన్ ఇంజిన్ కారణంగా ఉంది, దీనికి అధిక ఎత్తులో శక్తి లేదు. అయినప్పటికీ, ముస్తాంగ్ యొక్క అధునాతన ఏరోడైనమిక్స్ ప్రయోజనాన్ని చూపించింది, ఎందుకంటే ముస్తాంగ్ MK.I సమకాలీన కర్టిస్ P-4"&amp;"0 యోధుల కంటే 30 mph (48 కిమీ/గం) వేగంగా ఉంది. ముస్తాంగ్ Mk.i స్పిట్‌ఫైర్ MK VC కన్నా 5,000 అడుగులు (1,524 మీ) మరియు 35 mph (56 కిమీ/గం) 15,000 అడుగుల (4,572 మీ) వద్ద వేగంగా ఉంది ముస్తాంగ్ అల్లిసన్ కంటే చాలా శక్తివంతమైన ఇంజిన్. [1] రోల్స్ రాయిస్ ఇంజనీర్లు "&amp;"రెండు-దశల మెర్లిన్ 61 తో నడిచే ముస్తాంగ్ పనితీరులో గణనీయమైన మెరుగుదలకు దారితీస్తుందని మరియు ఐదు మస్టాంగ్స్‌ను మెర్లిన్ పవర్‌గా ""ముస్తాంగ్ Mk.x"" (అనగా, Mk.10) గా మార్చడం ప్రారంభించారు ఇంజిన్ బేకు కనీస మార్పు, మెర్లిన్ ఇంజిన్ అడాప్టెడ్ ఇంజిన్ ఫార్మర్లలో చ"&amp;"క్కగా అమర్చబడి ఉంటుంది. అదనపు ""గడ్డం"" రేడియేటర్‌తో కూడిన మృదువైన ఇంజిన్ కౌలింగ్‌ను వివిధ కాన్ఫిగరేషన్లలో ప్రయత్నించారు, ఎందుకంటే రెండు-దశల మెర్లిన్ ప్రామాణిక ముస్తాంగ్ రేడియేటర్‌తో మాత్రమే పొందగలిగే దానికంటే ఎక్కువ శీతలీకరణ సామర్థ్యం అవసరం. మెర్లిన్ 65 "&amp;"సిరీస్ ఇంజిన్ అన్ని ప్రోటోటైప్‌లలో ఉపయోగించబడింది, ఎందుకంటే ఇది మెర్లిన్ 66 స్పిట్‌ఫైర్ MK IX కి శక్తినిస్తుంది, ఇది చాలా పోలికను అనుమతిస్తుంది. మార్పిడుల వేగం కారణంగా, ఇంజన్లు తరచూ విమానం నుండి విమానాలకు మార్చబడతాయి, అలాగే కొత్త యూనిట్ల ద్వారా భర్తీ చేయబ"&amp;"డతాయి. ముస్తాంగ్ X సీరియల్ AM208 22,000 అడుగుల (6,506 మీ) వద్ద 433 mph (697 కిమీ/గం) కు చేరుకుంది మరియు 40,600 అడుగుల (12,375 మీ) యొక్క సంపూర్ణ పైకప్పుతో పరీక్షించబడింది . వైమానిక మంత్రిత్వ శాఖ అధికారి, ఎయిర్ చీఫ్ సర్ విల్ఫ్రిడ్ ఫ్రీమాన్ (విమాన ఉత్పత్తి మ"&amp;"ంత్రిత్వ శాఖలో చీఫ్ ఎగ్జిక్యూటివ్ - మ్యాప్) మెర్లిన్ -శక్తితో కూడిన మస్టాంగ్స్ కోసం గట్టిగా లాబీయింగ్ చేశారు, ఐదు ప్రయోగాత్మక ముస్తాంగ్ MK XS లో రెండింటినీ కార్ల్ స్పాట్జ్కు విచారణ మరియు మూల్యాంకనం కోసం పట్టుబట్టారు బ్రిటన్లో యు.ఎస్. ఎనిమిదవ వైమానిక దళం. "&amp;"ఈ ఫ్రీమాన్ లో యుఎస్ అసిస్టెంట్ ఎయిర్ అటాచ్ లండన్, థామస్ హిచ్కాక్ జూనియర్, అత్యున్నత స్థాయిలో లాబీయింగ్ చేసిన తరువాత, అమెరికన్ ఉత్పత్తి 1943 ప్రారంభంలో ఉత్తర అమెరికా రూపొందించిన ముస్తాంగ్ యొక్క నమూనా యొక్క నమూనా యొక్క నమూనా యొక్క నమూనా ప్రారంభమైంది. అల్లిస"&amp;"న్ ఇంజిన్ స్థానంలో ప్యాకర్డ్ V-1650-3 మెర్లిన్ ఇంజిన్‌ను ఉపయోగించిన XP-78. P-51 ఎయిర్ఫ్రేమ్ మరియు మెర్లిన్ ఇంజిన్ యొక్క జత తరువాత మోడల్ NA-102 (కాలిఫోర్నియాలోని ఇంగ్లెవుడ్ వద్ద తయారు చేయబడింది) లేదా P-51C మోడల్ NA-103 కోసం P-51B గా నియమించబడింది (టెక్సాస్"&amp;"‌లోని డల్లాస్‌లోని కొత్త ప్లాంట్ వద్ద తయారు చేయబడింది వేసవి 1943 నుండి). RAF ఈ రెండు మోడళ్లకు ముస్తాంగ్ Mk.iii అని పేరు పెట్టారు. పనితీరు పరీక్షలలో, P-51B 25,000 అడుగుల (7,620 మీ) వద్ద 441 mph (710 km/h) సాధించింది, మరియు డ్రాప్ ట్యాంకుల వాడకంతో తదుపరి వి"&amp;"స్తరించిన పరిధి మెర్లిన్-శక్తితో కూడిన ముస్తాంగ్ వెర్షన్‌ను బాంబర్ ఎస్కార్ట్‌గా ప్రవేశపెట్టడానికి వీలు కల్పించింది. జూన్ 1943 లో, రోల్స్ రాయిస్ ముస్తాంగ్‌ను గ్రిఫ్ఫోన్ 65 తో తిరిగి ఇంజిన్ చేయాలని ప్రతిపాదించాడు, అయినప్పటికీ ""ఫ్లయింగ్ టెస్ట్ బెడ్"" (F.T.B"&amp;".) నాటకీయ పున es రూపకల్పనను కలిగి ఉంటుంది. మూడు మిగులు ముస్తాంగ్ I ఎయిర్‌ఫ్రేమ్‌లను విమాన ఉత్పత్తి మంత్రిత్వ శాఖ (MAP) కేటాయించింది మరియు మరింత శక్తివంతమైన గ్రిఫ్ఫోన్ ఇంజిన్ యొక్క మిడ్-అమిడ్‌షిప్‌ల సంస్థాపనకు ప్రధాన భాగాలను అందించడానికి కూల్చివేయబడింది, ర"&amp;"ెండింటిలోనూ V-1710 అల్లిసన్ సంస్థాపన వంటిది అమెరికన్ బెల్ పి -39 ఎరాకోబ్రా మరియు బెల్ పి -63 కింగ్‌కోబ్రా. ఈ ప్రాజెక్ట్ ఒక మాక్-అప్‌లో ముగిసింది, అయినప్పటికీ మెర్లిన్ 61 తాత్కాలికంగా వ్యవస్థాపించబడింది, AL960 గా సీరియల్ చేయబడింది, దీనిని 1944 లో మంత్రిత్వ"&amp;" శాఖ ప్రతినిధులు పరిశీలించారు, కాని దీనికి ప్రాధాన్యత హోదా ఇవ్వలేదు. మరింత శక్తివంతమైన ఇంజన్లు లేదా టర్బోప్రాప్‌లతో కూడిన మరిన్ని అధ్యయనాలు ఆమోదం ఇవ్వబడలేదు మరియు అభివృద్ధి ఒప్పందం 1945 లో రద్దు చేయబడింది, మాక్-అప్ నాశనం చేయబడింది. [2] పోల్చదగిన పాత్ర, కా"&amp;"న్ఫిగరేషన్ మరియు ERA సంబంధిత జాబితాల సంబంధిత అభివృద్ధి విమానం")</f>
        <v>నార్త్ అమెరికన్ ముస్తాంగ్ MK.X ("మార్క్ 10" లో వలె; "రోల్స్ రాయిస్ ముస్తాంగ్" అని కూడా పిలుస్తారు) యుఎస్ నార్త్ అమెరికన్ పి -51 ముస్తాంగ్ యొక్క బ్రిటిష్ వేరియంట్, రోల్స్ రాయిస్ మెర్లిన్ ఇంజిన్ ఉపయోగించి ఒక ప్రయోగాత్మక 1942 లో రోల్స్ రాయిస్ కంపెనీ చేపట్టిన కార్యక్రమం. ఏప్రిల్ 1942 లో, రాయల్ ఎయిర్ ఫోర్స్ ఎయిర్ ఫైటింగ్ డెవలప్‌మెంట్ యూనిట్ (AFDU) అల్లిసన్ V-1710-ఇంజిన్ ముస్తాంగ్‌ను అధిక ఎత్తులో పరీక్షించింది మరియు అది కోరుకుంటున్నట్లు కనుగొన్నారు, కాని వారి కమాండింగ్ ఆఫీసర్, వింగ్ కమాండర్ ఇయాన్ కాంప్‌బెల్-ఆర్డే, దాని యుక్తి మరియు తక్కువ-ఎత్తు వేగంతో ఎంతగానో ఆకట్టుకున్నాడు, అతను రోనాల్డ్ హార్కర్‌ను రోల్స్ రాయిస్ యొక్క విమాన పరీక్ష స్థాపన నుండి హక్నాల్ వద్ద ఎగరడానికి ఆహ్వానించాడు. పనితీరు, 15,000 అడుగుల (4,572 మీ) వరకు అసాధారణమైనది అయినప్పటికీ, అధిక ఎత్తులో సరిపోదని త్వరగా స్పష్టమైంది. ఈ లోపం ఎక్కువగా సింగిల్-స్టేజ్ సూపర్ఛార్జ్డ్ అల్లిసన్ ఇంజిన్ కారణంగా ఉంది, దీనికి అధిక ఎత్తులో శక్తి లేదు. అయినప్పటికీ, ముస్తాంగ్ యొక్క అధునాతన ఏరోడైనమిక్స్ ప్రయోజనాన్ని చూపించింది, ఎందుకంటే ముస్తాంగ్ MK.I సమకాలీన కర్టిస్ P-40 యోధుల కంటే 30 mph (48 కిమీ/గం) వేగంగా ఉంది. ముస్తాంగ్ Mk.i స్పిట్‌ఫైర్ MK VC కన్నా 5,000 అడుగులు (1,524 మీ) మరియు 35 mph (56 కిమీ/గం) 15,000 అడుగుల (4,572 మీ) వద్ద వేగంగా ఉంది ముస్తాంగ్ అల్లిసన్ కంటే చాలా శక్తివంతమైన ఇంజిన్. [1] రోల్స్ రాయిస్ ఇంజనీర్లు రెండు-దశల మెర్లిన్ 61 తో నడిచే ముస్తాంగ్ పనితీరులో గణనీయమైన మెరుగుదలకు దారితీస్తుందని మరియు ఐదు మస్టాంగ్స్‌ను మెర్లిన్ పవర్‌గా "ముస్తాంగ్ Mk.x" (అనగా, Mk.10) గా మార్చడం ప్రారంభించారు ఇంజిన్ బేకు కనీస మార్పు, మెర్లిన్ ఇంజిన్ అడాప్టెడ్ ఇంజిన్ ఫార్మర్లలో చక్కగా అమర్చబడి ఉంటుంది. అదనపు "గడ్డం" రేడియేటర్‌తో కూడిన మృదువైన ఇంజిన్ కౌలింగ్‌ను వివిధ కాన్ఫిగరేషన్లలో ప్రయత్నించారు, ఎందుకంటే రెండు-దశల మెర్లిన్ ప్రామాణిక ముస్తాంగ్ రేడియేటర్‌తో మాత్రమే పొందగలిగే దానికంటే ఎక్కువ శీతలీకరణ సామర్థ్యం అవసరం. మెర్లిన్ 65 సిరీస్ ఇంజిన్ అన్ని ప్రోటోటైప్‌లలో ఉపయోగించబడింది, ఎందుకంటే ఇది మెర్లిన్ 66 స్పిట్‌ఫైర్ MK IX కి శక్తినిస్తుంది, ఇది చాలా పోలికను అనుమతిస్తుంది. మార్పిడుల వేగం కారణంగా, ఇంజన్లు తరచూ విమానం నుండి విమానాలకు మార్చబడతాయి, అలాగే కొత్త యూనిట్ల ద్వారా భర్తీ చేయబడతాయి. ముస్తాంగ్ X సీరియల్ AM208 22,000 అడుగుల (6,506 మీ) వద్ద 433 mph (697 కిమీ/గం) కు చేరుకుంది మరియు 40,600 అడుగుల (12,375 మీ) యొక్క సంపూర్ణ పైకప్పుతో పరీక్షించబడింది . వైమానిక మంత్రిత్వ శాఖ అధికారి, ఎయిర్ చీఫ్ సర్ విల్ఫ్రిడ్ ఫ్రీమాన్ (విమాన ఉత్పత్తి మంత్రిత్వ శాఖలో చీఫ్ ఎగ్జిక్యూటివ్ - మ్యాప్) మెర్లిన్ -శక్తితో కూడిన మస్టాంగ్స్ కోసం గట్టిగా లాబీయింగ్ చేశారు, ఐదు ప్రయోగాత్మక ముస్తాంగ్ MK XS లో రెండింటినీ కార్ల్ స్పాట్జ్కు విచారణ మరియు మూల్యాంకనం కోసం పట్టుబట్టారు బ్రిటన్లో యు.ఎస్. ఎనిమిదవ వైమానిక దళం. ఈ ఫ్రీమాన్ లో యుఎస్ అసిస్టెంట్ ఎయిర్ అటాచ్ లండన్, థామస్ హిచ్కాక్ జూనియర్, అత్యున్నత స్థాయిలో లాబీయింగ్ చేసిన తరువాత, అమెరికన్ ఉత్పత్తి 1943 ప్రారంభంలో ఉత్తర అమెరికా రూపొందించిన ముస్తాంగ్ యొక్క నమూనా యొక్క నమూనా యొక్క నమూనా యొక్క నమూనా ప్రారంభమైంది. అల్లిసన్ ఇంజిన్ స్థానంలో ప్యాకర్డ్ V-1650-3 మెర్లిన్ ఇంజిన్‌ను ఉపయోగించిన XP-78. P-51 ఎయిర్ఫ్రేమ్ మరియు మెర్లిన్ ఇంజిన్ యొక్క జత తరువాత మోడల్ NA-102 (కాలిఫోర్నియాలోని ఇంగ్లెవుడ్ వద్ద తయారు చేయబడింది) లేదా P-51C మోడల్ NA-103 కోసం P-51B గా నియమించబడింది (టెక్సాస్‌లోని డల్లాస్‌లోని కొత్త ప్లాంట్ వద్ద తయారు చేయబడింది వేసవి 1943 నుండి). RAF ఈ రెండు మోడళ్లకు ముస్తాంగ్ Mk.iii అని పేరు పెట్టారు. పనితీరు పరీక్షలలో, P-51B 25,000 అడుగుల (7,620 మీ) వద్ద 441 mph (710 km/h) సాధించింది, మరియు డ్రాప్ ట్యాంకుల వాడకంతో తదుపరి విస్తరించిన పరిధి మెర్లిన్-శక్తితో కూడిన ముస్తాంగ్ వెర్షన్‌ను బాంబర్ ఎస్కార్ట్‌గా ప్రవేశపెట్టడానికి వీలు కల్పించింది. జూన్ 1943 లో, రోల్స్ రాయిస్ ముస్తాంగ్‌ను గ్రిఫ్ఫోన్ 65 తో తిరిగి ఇంజిన్ చేయాలని ప్రతిపాదించాడు, అయినప్పటికీ "ఫ్లయింగ్ టెస్ట్ బెడ్" (F.T.B.) నాటకీయ పున es రూపకల్పనను కలిగి ఉంటుంది. మూడు మిగులు ముస్తాంగ్ I ఎయిర్‌ఫ్రేమ్‌లను విమాన ఉత్పత్తి మంత్రిత్వ శాఖ (MAP) కేటాయించింది మరియు మరింత శక్తివంతమైన గ్రిఫ్ఫోన్ ఇంజిన్ యొక్క మిడ్-అమిడ్‌షిప్‌ల సంస్థాపనకు ప్రధాన భాగాలను అందించడానికి కూల్చివేయబడింది, రెండింటిలోనూ V-1710 అల్లిసన్ సంస్థాపన వంటిది అమెరికన్ బెల్ పి -39 ఎరాకోబ్రా మరియు బెల్ పి -63 కింగ్‌కోబ్రా. ఈ ప్రాజెక్ట్ ఒక మాక్-అప్‌లో ముగిసింది, అయినప్పటికీ మెర్లిన్ 61 తాత్కాలికంగా వ్యవస్థాపించబడింది, AL960 గా సీరియల్ చేయబడింది, దీనిని 1944 లో మంత్రిత్వ శాఖ ప్రతినిధులు పరిశీలించారు, కాని దీనికి ప్రాధాన్యత హోదా ఇవ్వలేదు. మరింత శక్తివంతమైన ఇంజన్లు లేదా టర్బోప్రాప్‌లతో కూడిన మరిన్ని అధ్యయనాలు ఆమోదం ఇవ్వబడలేదు మరియు అభివృద్ధి ఒప్పందం 1945 లో రద్దు చేయబడింది, మాక్-అప్ నాశనం చేయబడింది. [2] పోల్చదగిన పాత్ర, కాన్ఫిగరేషన్ మరియు ERA సంబంధిత జాబితాల సంబంధిత అభివృద్ధి విమానం</v>
      </c>
      <c r="E166" s="1" t="s">
        <v>2644</v>
      </c>
      <c r="F166" s="1" t="str">
        <f>IFERROR(__xludf.DUMMYFUNCTION("GOOGLETRANSLATE(E:E, ""en"", ""te"")"),"ప్రయోగాత్మక విమానం")</f>
        <v>ప్రయోగాత్మక విమానం</v>
      </c>
      <c r="I166" s="1" t="s">
        <v>401</v>
      </c>
      <c r="J166" s="1" t="str">
        <f>IFERROR(__xludf.DUMMYFUNCTION("GOOGLETRANSLATE(I:I, ""en"", ""te"")"),"నార్త్ అమెరికన్ ఏవియేషన్")</f>
        <v>నార్త్ అమెరికన్ ఏవియేషన్</v>
      </c>
      <c r="K166" s="1" t="s">
        <v>402</v>
      </c>
      <c r="N166" s="3">
        <v>15627.0</v>
      </c>
      <c r="AA166" s="1" t="s">
        <v>2645</v>
      </c>
      <c r="AB166" s="1" t="s">
        <v>2646</v>
      </c>
      <c r="AJ166" s="1">
        <v>5.0</v>
      </c>
      <c r="AR166" s="1" t="s">
        <v>253</v>
      </c>
      <c r="BF166" s="1" t="s">
        <v>1744</v>
      </c>
      <c r="BG166" s="1" t="s">
        <v>1745</v>
      </c>
      <c r="BN166" s="1" t="s">
        <v>2647</v>
      </c>
      <c r="DC166" s="1" t="s">
        <v>2648</v>
      </c>
      <c r="DD166" s="1" t="s">
        <v>2649</v>
      </c>
      <c r="DE166" s="1" t="s">
        <v>2650</v>
      </c>
      <c r="DF166" s="1" t="s">
        <v>2651</v>
      </c>
    </row>
    <row r="167">
      <c r="A167" s="1" t="s">
        <v>2652</v>
      </c>
      <c r="B167" s="1" t="str">
        <f>IFERROR(__xludf.DUMMYFUNCTION("GOOGLETRANSLATE(A:A, ""en"", ""te"")"),"రొమానో R.82")</f>
        <v>రొమానో R.82</v>
      </c>
      <c r="C167" s="1" t="s">
        <v>2653</v>
      </c>
      <c r="D167" s="1" t="str">
        <f>IFERROR(__xludf.DUMMYFUNCTION("GOOGLETRANSLATE(C:C, ""en"", ""te"")"),"రొమానో R-82 అనేది రెండు-సీట్ల ఇంటర్మీడియట్ మరియు ఏరోబాటిక్ ట్రైనర్, ఇది ఎటియన్నే రొమానో చేత రూపొందించబడింది, ఇది చాంటియర్స్ ఏనావాల్స్ ఎటియన్నే రొమానో నిర్మించిన ఉత్పత్తి విమానాలతో. ప్రోటోటైప్ రొమానో R-80.01 అనేది ఒక ప్రైవేట్ వెంచర్ డిజైన్, ఇది చాంటియర్స్ "&amp;"ఏనావాల్స్ ఎటియన్నే రొమానో రెండు-సీట్ల ఏరోబాటిక్ బిప్‌లేన్ కోసం ప్రదర్శనకారుడిగా ఉపయోగించడం. 1935 లో 179 kW (240 HP) లోరైన్ 7ME రేడియల్ ఇంజిన్‌తో పరీక్షించబడింది, తరువాత దీనిని 209 kW (280 HP) సాల్మ్సన్ 9ABA రేడియల్‌తో అమర్చారు మరియు R-80.2 ను తిరిగి నియమి"&amp;"ంచారు. R.80.2 అనేది స్థిర టెయిల్‌వీల్ ల్యాండింగ్ గేర్‌తో కూడిన బిప్‌లేన్ మరియు స్కోప్‌ను రెండు-సీట్ల డ్యూయల్-కంట్రోల్ ఏరోబాటిక్ ట్రైనర్‌గా మార్చడంతో దీనిని R.82.01 ను తిరిగి నియమించారు. మరో రెండు ప్రోటోటైప్‌లు నిర్మించబడ్డాయి, వీటిని ప్రైవేట్ యజమానులకు వి"&amp;"క్రయించారు. రొమానో 1937 లో జాతీయం చేసిన SNCase లో భాగమైంది మరియు ఫ్రెంచ్ వైమానిక దళం R-82 ను ఉత్పత్తిలోకి ఆదేశించింది, 147 విమానాలు పంపిణీ చేయబడ్డాయి. ఫ్రెంచ్ నావికాదళం 30 R-82 లను కూడా ఆదేశించింది మరియు అన్ని వైమానిక దళం మరియు నేవీ విమానాలు మే 1940 నాటిక"&amp;"ి పంపిణీ చేయబడ్డాయి. 1938 లో రెండు విమానాలను స్పెయిన్‌కు పంపించారు మరియు జాతీయవాద వర్గానికి వ్యతిరేకంగా పోరాటంలో స్పానిష్ రిపబ్లికన్ ప్రభుత్వం ఉపయోగించారు. [1] [2] నుండి డేటా సాధారణ లక్షణాలు పనితీరు సంబంధిత అభివృద్ధి సంబంధిత జాబితాలు")</f>
        <v>రొమానో R-82 అనేది రెండు-సీట్ల ఇంటర్మీడియట్ మరియు ఏరోబాటిక్ ట్రైనర్, ఇది ఎటియన్నే రొమానో చేత రూపొందించబడింది, ఇది చాంటియర్స్ ఏనావాల్స్ ఎటియన్నే రొమానో నిర్మించిన ఉత్పత్తి విమానాలతో. ప్రోటోటైప్ రొమానో R-80.01 అనేది ఒక ప్రైవేట్ వెంచర్ డిజైన్, ఇది చాంటియర్స్ ఏనావాల్స్ ఎటియన్నే రొమానో రెండు-సీట్ల ఏరోబాటిక్ బిప్‌లేన్ కోసం ప్రదర్శనకారుడిగా ఉపయోగించడం. 1935 లో 179 kW (240 HP) లోరైన్ 7ME రేడియల్ ఇంజిన్‌తో పరీక్షించబడింది, తరువాత దీనిని 209 kW (280 HP) సాల్మ్సన్ 9ABA రేడియల్‌తో అమర్చారు మరియు R-80.2 ను తిరిగి నియమించారు. R.80.2 అనేది స్థిర టెయిల్‌వీల్ ల్యాండింగ్ గేర్‌తో కూడిన బిప్‌లేన్ మరియు స్కోప్‌ను రెండు-సీట్ల డ్యూయల్-కంట్రోల్ ఏరోబాటిక్ ట్రైనర్‌గా మార్చడంతో దీనిని R.82.01 ను తిరిగి నియమించారు. మరో రెండు ప్రోటోటైప్‌లు నిర్మించబడ్డాయి, వీటిని ప్రైవేట్ యజమానులకు విక్రయించారు. రొమానో 1937 లో జాతీయం చేసిన SNCase లో భాగమైంది మరియు ఫ్రెంచ్ వైమానిక దళం R-82 ను ఉత్పత్తిలోకి ఆదేశించింది, 147 విమానాలు పంపిణీ చేయబడ్డాయి. ఫ్రెంచ్ నావికాదళం 30 R-82 లను కూడా ఆదేశించింది మరియు అన్ని వైమానిక దళం మరియు నేవీ విమానాలు మే 1940 నాటికి పంపిణీ చేయబడ్డాయి. 1938 లో రెండు విమానాలను స్పెయిన్‌కు పంపించారు మరియు జాతీయవాద వర్గానికి వ్యతిరేకంగా పోరాటంలో స్పానిష్ రిపబ్లికన్ ప్రభుత్వం ఉపయోగించారు. [1] [2] నుండి డేటా సాధారణ లక్షణాలు పనితీరు సంబంధిత అభివృద్ధి సంబంధిత జాబితాలు</v>
      </c>
      <c r="E167" s="1" t="s">
        <v>2654</v>
      </c>
      <c r="F167" s="1" t="str">
        <f>IFERROR(__xludf.DUMMYFUNCTION("GOOGLETRANSLATE(E:E, ""en"", ""te"")"),"రెండు-సీట్ల ఇంటర్మీడియట్ మరియు ఏరోబాటిక్ ట్రైనర్")</f>
        <v>రెండు-సీట్ల ఇంటర్మీడియట్ మరియు ఏరోబాటిక్ ట్రైనర్</v>
      </c>
      <c r="G167" s="1" t="s">
        <v>113</v>
      </c>
      <c r="H167" s="1" t="str">
        <f>IFERROR(__xludf.DUMMYFUNCTION("GOOGLETRANSLATE(G:G, ""en"", ""te"")"),"ఫ్రాన్స్")</f>
        <v>ఫ్రాన్స్</v>
      </c>
      <c r="I167" s="1" t="s">
        <v>2655</v>
      </c>
      <c r="J167" s="1" t="str">
        <f>IFERROR(__xludf.DUMMYFUNCTION("GOOGLETRANSLATE(I:I, ""en"", ""te"")"),"చాంటియర్స్ ఏనావాల్స్ ఎటియన్నే రొమానో")</f>
        <v>చాంటియర్స్ ఏనావాల్స్ ఎటియన్నే రొమానో</v>
      </c>
      <c r="K167" s="1" t="s">
        <v>2656</v>
      </c>
      <c r="L167" s="1" t="s">
        <v>2657</v>
      </c>
      <c r="M167" s="1" t="s">
        <v>2658</v>
      </c>
      <c r="N167" s="1">
        <v>1936.0</v>
      </c>
      <c r="O167" s="1">
        <v>2.0</v>
      </c>
      <c r="P167" s="1" t="s">
        <v>2659</v>
      </c>
      <c r="Q167" s="1" t="s">
        <v>2660</v>
      </c>
      <c r="R167" s="1" t="s">
        <v>2661</v>
      </c>
      <c r="S167" s="1" t="s">
        <v>2662</v>
      </c>
      <c r="T167" s="1" t="s">
        <v>2663</v>
      </c>
      <c r="U167" s="1" t="s">
        <v>2664</v>
      </c>
      <c r="V167" s="1" t="s">
        <v>2665</v>
      </c>
      <c r="W167" s="1" t="s">
        <v>2666</v>
      </c>
      <c r="X167" s="1" t="s">
        <v>2667</v>
      </c>
      <c r="Y167" s="1" t="s">
        <v>2668</v>
      </c>
      <c r="AA167" s="1" t="s">
        <v>2669</v>
      </c>
      <c r="AB167" s="1" t="s">
        <v>2670</v>
      </c>
      <c r="AC167" s="2" t="s">
        <v>713</v>
      </c>
      <c r="AJ167" s="1">
        <v>180.0</v>
      </c>
      <c r="BI167" s="2" t="s">
        <v>2671</v>
      </c>
      <c r="DE167" s="1" t="s">
        <v>2672</v>
      </c>
      <c r="DF167" s="1" t="s">
        <v>2673</v>
      </c>
    </row>
    <row r="168">
      <c r="A168" s="1" t="s">
        <v>2674</v>
      </c>
      <c r="B168" s="1" t="str">
        <f>IFERROR(__xludf.DUMMYFUNCTION("GOOGLETRANSLATE(A:A, ""en"", ""te"")"),"రోటర్ ఫ్లైట్ డైనమిక్స్ ఎల్ఫినో")</f>
        <v>రోటర్ ఫ్లైట్ డైనమిక్స్ ఎల్ఫినో</v>
      </c>
      <c r="C168" s="1" t="s">
        <v>2675</v>
      </c>
      <c r="D168" s="1" t="str">
        <f>IFERROR(__xludf.DUMMYFUNCTION("GOOGLETRANSLATE(C:C, ""en"", ""te"")"),"రోటర్ ఫ్లైట్ డైనమిక్స్ ఎల్ఫినో (సాధారణ కార్యకలాపాలలో లీప్ ఫ్లైట్ మరియు డిజైనర్లు ""ఎల్ ఇఫ్ ఇఫ్ ఐ నో"" గా ఉచ్చరించారు) అనేది ఎర్నీ బోయెట్ మరియు డిక్ డెగ్రా చేత రూపొందించబడిన ఒక అమెరికన్ ప్రయోగాత్మక ఆటోజైరో, వారి కంపెనీ రోటర్ ఫ్లైట్ డైనమిక్స్ నిర్మించిన ఒకే"&amp;" ప్రోటోటైప్ విమామా, ఫ్లోరిడా. ఈ విమానం పోలీసు లేదా పారామిలిటరీ ఉపయోగం కోసం మూల్యాంకనం కోసం ప్రూఫ్-ఆఫ్-కాన్సెప్ట్‌గా ఉద్దేశించబడింది. [1] [2] సున్నా స్పీడ్ టేక్-ఆఫ్స్ మరియు ల్యాండింగ్‌లు మరియు మరింత సమర్థవంతమైన ఫార్వర్డ్ ఫ్లైట్‌ను అనుమతించడానికి శక్తితో కూ"&amp;"డిన రోటర్ ఆటోజీరో వాడకాన్ని పరీక్షించడానికి LFINO రూపొందించబడింది. ఈ డిజైన్‌లో ఒకే మూడు-బ్లేడెడ్ మెయిన్ రోటర్ ఉంది, ఇది ఇంట్లో నిర్మించబడింది, రెండు-సీట్ల పక్కపక్కనే-వైపు కాన్ఫిగరేషన్ పరివేష్టిత బల్బస్ కాక్‌పిట్, స్టబ్ రెక్కలపై అమర్చిన ట్రైసైకిల్ ల్యాండిం"&amp;"గ్ గేర్, ట్రిపుల్ తోక మరియు ఒకే నాలుగు సిలిండర్ లిక్విడ్ -పషర్ కాన్ఫిగరేషన్‌లో కూల్డ్ సుబారు ఆటోమోటివ్ ఇంజిన్. [1] [3] [4] విమానం యొక్క ఫ్రేమ్ అల్యూమినియం నుండి తయారవుతుంది మరియు క్యాబిన్ నిర్మాణేతర ఫైబర్గ్లాస్. ఈ విమానం ""జంప్"" టేకాఫ్‌లను అనుమతించడానికి"&amp;" హెలికాప్టర్ తరహా సామూహిక పిచ్ నియంత్రణను కలిగి ఉంది. రోటర్ వ్యవస్థను 150% క్రూయిజ్ RPM కి శక్తివంతం చేసి, ఆపై విమానాన్ని గాలిలోకి దూకడానికి వేగంగా సమిష్టిగా పెంచడం ద్వారా టేకాఫ్లు సాధించబడతాయి, అక్కడ అది దూరంగా ఎగురుతుంది. [2] ఏకైక ఉదాహరణ 2005 లో నిర్మిం"&amp;"చబడింది మరియు 21 మార్చి 2005 న ప్రయోగాత్మక -te త్సాహిక -నిర్మిత విభాగంలో ఫెడరల్ ఏవియేషన్ అడ్మినిస్ట్రేషన్తో అమెరికాలో నమోదు చేయబడింది. ఇది మొదట ఫిబ్రవరి 2006 లో ప్రయాణించింది. ఈ విమానం మొదట ఫ్లోరిడాలోని వాచులాలో బహిరంగంగా చూపబడింది బెన్సెన్ డేస్ ఏప్రిల్ 2"&amp;"005 లో స్టాటిక్ డిస్ప్లేగా చూపిస్తుంది, ఎందుకంటే ఇది ఇంకా ఎగరలేదు. ఇది మొదట ఏప్రిల్ 2006 లో బెన్సెన్ రోజులలో బహిరంగంగా ఎగురుతుంది. ఈ నమూనా స్పెయిన్‌కు ఎగుమతి చేయబడింది మరియు దాని యుఎస్ రిజిస్ట్రేషన్ 11 ఏప్రిల్ 2008 న రద్దు చేయబడింది. [1] [2] [3] [5] ఏరో న"&amp;"్యూస్ నెట్‌వర్క్ నుండి డేటా [2] సాధారణ లక్షణాల పనితీరు")</f>
        <v>రోటర్ ఫ్లైట్ డైనమిక్స్ ఎల్ఫినో (సాధారణ కార్యకలాపాలలో లీప్ ఫ్లైట్ మరియు డిజైనర్లు "ఎల్ ఇఫ్ ఇఫ్ ఐ నో" గా ఉచ్చరించారు) అనేది ఎర్నీ బోయెట్ మరియు డిక్ డెగ్రా చేత రూపొందించబడిన ఒక అమెరికన్ ప్రయోగాత్మక ఆటోజైరో, వారి కంపెనీ రోటర్ ఫ్లైట్ డైనమిక్స్ నిర్మించిన ఒకే ప్రోటోటైప్ విమామా, ఫ్లోరిడా. ఈ విమానం పోలీసు లేదా పారామిలిటరీ ఉపయోగం కోసం మూల్యాంకనం కోసం ప్రూఫ్-ఆఫ్-కాన్సెప్ట్‌గా ఉద్దేశించబడింది. [1] [2] సున్నా స్పీడ్ టేక్-ఆఫ్స్ మరియు ల్యాండింగ్‌లు మరియు మరింత సమర్థవంతమైన ఫార్వర్డ్ ఫ్లైట్‌ను అనుమతించడానికి శక్తితో కూడిన రోటర్ ఆటోజీరో వాడకాన్ని పరీక్షించడానికి LFINO రూపొందించబడింది. ఈ డిజైన్‌లో ఒకే మూడు-బ్లేడెడ్ మెయిన్ రోటర్ ఉంది, ఇది ఇంట్లో నిర్మించబడింది, రెండు-సీట్ల పక్కపక్కనే-వైపు కాన్ఫిగరేషన్ పరివేష్టిత బల్బస్ కాక్‌పిట్, స్టబ్ రెక్కలపై అమర్చిన ట్రైసైకిల్ ల్యాండింగ్ గేర్, ట్రిపుల్ తోక మరియు ఒకే నాలుగు సిలిండర్ లిక్విడ్ -పషర్ కాన్ఫిగరేషన్‌లో కూల్డ్ సుబారు ఆటోమోటివ్ ఇంజిన్. [1] [3] [4] విమానం యొక్క ఫ్రేమ్ అల్యూమినియం నుండి తయారవుతుంది మరియు క్యాబిన్ నిర్మాణేతర ఫైబర్గ్లాస్. ఈ విమానం "జంప్" టేకాఫ్‌లను అనుమతించడానికి హెలికాప్టర్ తరహా సామూహిక పిచ్ నియంత్రణను కలిగి ఉంది. రోటర్ వ్యవస్థను 150% క్రూయిజ్ RPM కి శక్తివంతం చేసి, ఆపై విమానాన్ని గాలిలోకి దూకడానికి వేగంగా సమిష్టిగా పెంచడం ద్వారా టేకాఫ్లు సాధించబడతాయి, అక్కడ అది దూరంగా ఎగురుతుంది. [2] ఏకైక ఉదాహరణ 2005 లో నిర్మించబడింది మరియు 21 మార్చి 2005 న ప్రయోగాత్మక -te త్సాహిక -నిర్మిత విభాగంలో ఫెడరల్ ఏవియేషన్ అడ్మినిస్ట్రేషన్తో అమెరికాలో నమోదు చేయబడింది. ఇది మొదట ఫిబ్రవరి 2006 లో ప్రయాణించింది. ఈ విమానం మొదట ఫ్లోరిడాలోని వాచులాలో బహిరంగంగా చూపబడింది బెన్సెన్ డేస్ ఏప్రిల్ 2005 లో స్టాటిక్ డిస్ప్లేగా చూపిస్తుంది, ఎందుకంటే ఇది ఇంకా ఎగరలేదు. ఇది మొదట ఏప్రిల్ 2006 లో బెన్సెన్ రోజులలో బహిరంగంగా ఎగురుతుంది. ఈ నమూనా స్పెయిన్‌కు ఎగుమతి చేయబడింది మరియు దాని యుఎస్ రిజిస్ట్రేషన్ 11 ఏప్రిల్ 2008 న రద్దు చేయబడింది. [1] [2] [3] [5] ఏరో న్యూస్ నెట్‌వర్క్ నుండి డేటా [2] సాధారణ లక్షణాల పనితీరు</v>
      </c>
      <c r="E168" s="1" t="s">
        <v>530</v>
      </c>
      <c r="F168" s="1" t="str">
        <f>IFERROR(__xludf.DUMMYFUNCTION("GOOGLETRANSLATE(E:E, ""en"", ""te"")"),"ఆటోజీరో")</f>
        <v>ఆటోజీరో</v>
      </c>
      <c r="G168" s="1" t="s">
        <v>155</v>
      </c>
      <c r="H168" s="1" t="str">
        <f>IFERROR(__xludf.DUMMYFUNCTION("GOOGLETRANSLATE(G:G, ""en"", ""te"")"),"అమెరికా")</f>
        <v>అమెరికా</v>
      </c>
      <c r="I168" s="1" t="s">
        <v>2676</v>
      </c>
      <c r="J168" s="1" t="str">
        <f>IFERROR(__xludf.DUMMYFUNCTION("GOOGLETRANSLATE(I:I, ""en"", ""te"")"),"రోటర్ ఫ్లైట్ డైనమిక్స్")</f>
        <v>రోటర్ ఫ్లైట్ డైనమిక్స్</v>
      </c>
      <c r="K168" s="1" t="s">
        <v>2677</v>
      </c>
      <c r="L168" s="1" t="s">
        <v>2678</v>
      </c>
      <c r="N168" s="4">
        <v>38749.0</v>
      </c>
      <c r="O168" s="1" t="s">
        <v>135</v>
      </c>
      <c r="T168" s="1" t="s">
        <v>2679</v>
      </c>
      <c r="V168" s="1" t="s">
        <v>2680</v>
      </c>
      <c r="W168" s="1" t="s">
        <v>2681</v>
      </c>
      <c r="AB168" s="2" t="s">
        <v>538</v>
      </c>
      <c r="AC168" s="2" t="s">
        <v>167</v>
      </c>
      <c r="AD168" s="1" t="s">
        <v>2682</v>
      </c>
      <c r="AJ168" s="1" t="s">
        <v>1208</v>
      </c>
      <c r="AK168" s="1" t="s">
        <v>195</v>
      </c>
      <c r="BN168" s="1">
        <v>2005.0</v>
      </c>
    </row>
    <row r="169">
      <c r="A169" s="1" t="s">
        <v>2683</v>
      </c>
      <c r="B169" s="1" t="str">
        <f>IFERROR(__xludf.DUMMYFUNCTION("GOOGLETRANSLATE(A:A, ""en"", ""te"")"),"రాగ్వింగ్ RW22 టైగర్ చిమ్మట")</f>
        <v>రాగ్వింగ్ RW22 టైగర్ చిమ్మట</v>
      </c>
      <c r="C169" s="1" t="s">
        <v>2684</v>
      </c>
      <c r="D169" s="1" t="str">
        <f>IFERROR(__xludf.DUMMYFUNCTION("GOOGLETRANSLATE(C:C, ""en"", ""te"")"),"రాగ్‌వింగ్ RW22 టైగర్ చిమ్మట రెండు-సీట్ల తేమ, బిప్‌లేన్, సాంప్రదాయిక ల్యాండింగ్ గేర్, రోజర్ మన్ చేత రూపొందించబడిన సింగిల్ ఇంజిన్ హోమ్‌బిల్ట్ విమానం మరియు te త్సాహిక నిర్మాణం కోసం రాగ్వింగ్ విమాన డిజైన్ల ద్వారా ప్రణాళికలుగా విక్రయించబడింది. [1] [2] [3] RW2"&amp;"2 అనేది డి హవిలాండ్ టైగర్ చిమ్మట యొక్క 80% స్కేల్ ప్రతిరూపం మరియు అసలు టైగర్ మాత్ డిజైన్‌ను గైడ్‌గా ఉపయోగించి అభివృద్ధి చేయబడింది. [1] [2] RW22 US ప్రయోగాత్మక హోమ్‌బ్యూల్ట్ ఎయిర్‌క్రాఫ్ట్ వర్గం కోసం రూపొందించబడింది మరియు ఇది మొదట జూన్ 1999 లో ఎగురవేయబడింద"&amp;"ి. ఇది USA లో ప్రయోగాత్మక లైట్-స్పోర్ట్ విమానంగా కూడా అర్హత సాధించింది. [1] [2] ఎయిర్‌ఫ్రేమ్ కలప మరియు గొట్టం నుండి నిర్మించబడింది మరియు విమాన ఫాబ్రిక్‌తో కప్పబడి ఉంటుంది. ల్యాండింగ్ గేర్ సాంప్రదాయిక కాన్ఫిగరేషన్. విమానం యొక్క నామమాత్రపు ఇన్‌స్టాల్ చేసిన "&amp;"విద్యుత్ పరిధి 50 నుండి 100 హెచ్‌పి (37 నుండి 75 కిలోవాట్) మరియు ప్రామాణిక ఇంజిన్ 70 హెచ్‌పి (52 కిలోవాట్ 503 మరియు 80 HP (60 kW) రోటాక్స్ 912UL ఇంజిన్ కూడా ఉపయోగించబడ్డాయి. [1] [2] RW22 మొదట పూర్తి శీఘ్ర-నిర్మాణ కిట్‌గా అందుబాటులో ఉంది, ఇంజిన్ తక్కువ మాత"&amp;"్రమే, కానీ నేడు ప్రణాళికలుగా మాత్రమే అందించబడుతుంది మరియు విమానాన్ని పూర్తి చేయడానికి డిజైనర్ అంచనా వేస్తుంది. [1] [2] [3] కిట్‌ప్లాన్లు మరియు రాగ్‌వింగ్ నుండి డేటా [1] [2] పోల్చదగిన పాత్ర, కాన్ఫిగరేషన్ మరియు ERA యొక్క సాధారణ లక్షణాలు పనితీరు విమానం")</f>
        <v>రాగ్‌వింగ్ RW22 టైగర్ చిమ్మట రెండు-సీట్ల తేమ, బిప్‌లేన్, సాంప్రదాయిక ల్యాండింగ్ గేర్, రోజర్ మన్ చేత రూపొందించబడిన సింగిల్ ఇంజిన్ హోమ్‌బిల్ట్ విమానం మరియు te త్సాహిక నిర్మాణం కోసం రాగ్వింగ్ విమాన డిజైన్ల ద్వారా ప్రణాళికలుగా విక్రయించబడింది. [1] [2] [3] RW22 అనేది డి హవిలాండ్ టైగర్ చిమ్మట యొక్క 80% స్కేల్ ప్రతిరూపం మరియు అసలు టైగర్ మాత్ డిజైన్‌ను గైడ్‌గా ఉపయోగించి అభివృద్ధి చేయబడింది. [1] [2] RW22 US ప్రయోగాత్మక హోమ్‌బ్యూల్ట్ ఎయిర్‌క్రాఫ్ట్ వర్గం కోసం రూపొందించబడింది మరియు ఇది మొదట జూన్ 1999 లో ఎగురవేయబడింది. ఇది USA లో ప్రయోగాత్మక లైట్-స్పోర్ట్ విమానంగా కూడా అర్హత సాధించింది. [1] [2] ఎయిర్‌ఫ్రేమ్ కలప మరియు గొట్టం నుండి నిర్మించబడింది మరియు విమాన ఫాబ్రిక్‌తో కప్పబడి ఉంటుంది. ల్యాండింగ్ గేర్ సాంప్రదాయిక కాన్ఫిగరేషన్. విమానం యొక్క నామమాత్రపు ఇన్‌స్టాల్ చేసిన విద్యుత్ పరిధి 50 నుండి 100 హెచ్‌పి (37 నుండి 75 కిలోవాట్) మరియు ప్రామాణిక ఇంజిన్ 70 హెచ్‌పి (52 కిలోవాట్ 503 మరియు 80 HP (60 kW) రోటాక్స్ 912UL ఇంజిన్ కూడా ఉపయోగించబడ్డాయి. [1] [2] RW22 మొదట పూర్తి శీఘ్ర-నిర్మాణ కిట్‌గా అందుబాటులో ఉంది, ఇంజిన్ తక్కువ మాత్రమే, కానీ నేడు ప్రణాళికలుగా మాత్రమే అందించబడుతుంది మరియు విమానాన్ని పూర్తి చేయడానికి డిజైనర్ అంచనా వేస్తుంది. [1] [2] [3] కిట్‌ప్లాన్లు మరియు రాగ్‌వింగ్ నుండి డేటా [1] [2] పోల్చదగిన పాత్ర, కాన్ఫిగరేషన్ మరియు ERA యొక్క సాధారణ లక్షణాలు పనితీరు విమానం</v>
      </c>
      <c r="E169" s="1" t="s">
        <v>154</v>
      </c>
      <c r="F169" s="1" t="str">
        <f>IFERROR(__xludf.DUMMYFUNCTION("GOOGLETRANSLATE(E:E, ""en"", ""te"")"),"హోమ్‌బిల్ట్ విమానం")</f>
        <v>హోమ్‌బిల్ట్ విమానం</v>
      </c>
      <c r="G169" s="1" t="s">
        <v>155</v>
      </c>
      <c r="H169" s="1" t="str">
        <f>IFERROR(__xludf.DUMMYFUNCTION("GOOGLETRANSLATE(G:G, ""en"", ""te"")"),"అమెరికా")</f>
        <v>అమెరికా</v>
      </c>
      <c r="I169" s="1" t="s">
        <v>2249</v>
      </c>
      <c r="J169" s="1" t="str">
        <f>IFERROR(__xludf.DUMMYFUNCTION("GOOGLETRANSLATE(I:I, ""en"", ""te"")"),"రాగ్వింగ్ విమాన నమూనాలు")</f>
        <v>రాగ్వింగ్ విమాన నమూనాలు</v>
      </c>
      <c r="K169" s="1" t="s">
        <v>2250</v>
      </c>
      <c r="L169" s="1" t="s">
        <v>2251</v>
      </c>
      <c r="N169" s="4">
        <v>36312.0</v>
      </c>
      <c r="O169" s="1" t="s">
        <v>135</v>
      </c>
      <c r="P169" s="1" t="s">
        <v>1193</v>
      </c>
      <c r="Q169" s="1" t="s">
        <v>1545</v>
      </c>
      <c r="R169" s="1" t="s">
        <v>2685</v>
      </c>
      <c r="S169" s="1" t="s">
        <v>822</v>
      </c>
      <c r="T169" s="1" t="s">
        <v>2686</v>
      </c>
      <c r="U169" s="1" t="s">
        <v>2679</v>
      </c>
      <c r="V169" s="1" t="s">
        <v>2254</v>
      </c>
      <c r="X169" s="1" t="s">
        <v>1913</v>
      </c>
      <c r="Y169" s="1" t="s">
        <v>1200</v>
      </c>
      <c r="Z169" s="1" t="s">
        <v>515</v>
      </c>
      <c r="AB169" s="1" t="s">
        <v>166</v>
      </c>
      <c r="AC169" s="2" t="s">
        <v>167</v>
      </c>
      <c r="AD169" s="1" t="s">
        <v>2255</v>
      </c>
      <c r="AE169" s="1" t="s">
        <v>1617</v>
      </c>
      <c r="AF169" s="1" t="s">
        <v>583</v>
      </c>
      <c r="AG169" s="1" t="s">
        <v>1612</v>
      </c>
      <c r="AH169" s="1" t="s">
        <v>1417</v>
      </c>
      <c r="AJ169" s="1" t="s">
        <v>2687</v>
      </c>
      <c r="AK169" s="1" t="s">
        <v>195</v>
      </c>
      <c r="AY169" s="1" t="s">
        <v>1556</v>
      </c>
      <c r="BF169" s="1" t="s">
        <v>2688</v>
      </c>
      <c r="BG169" s="1" t="s">
        <v>2689</v>
      </c>
      <c r="BN169" s="1">
        <v>2000.0</v>
      </c>
    </row>
    <row r="170">
      <c r="A170" s="1" t="s">
        <v>2690</v>
      </c>
      <c r="B170" s="1" t="str">
        <f>IFERROR(__xludf.DUMMYFUNCTION("GOOGLETRANSLATE(A:A, ""en"", ""te"")"),"రాకీ మౌంటైన్ వింగ్స్ రిడ్జ్ రన్నర్")</f>
        <v>రాకీ మౌంటైన్ వింగ్స్ రిడ్జ్ రన్నర్</v>
      </c>
      <c r="C170" s="1" t="s">
        <v>2691</v>
      </c>
      <c r="D170" s="1" t="str">
        <f>IFERROR(__xludf.DUMMYFUNCTION("GOOGLETRANSLATE(C:C, ""en"", ""te"")"),"రాకీ మౌంటైన్ వింగ్స్ రిడ్జ్ రన్నర్ అమెరికన్ హై వింగ్, స్ట్రట్-బ్రేస్డ్, సింగిల్ ఇంజిన్, సాంప్రదాయిక ల్యాండింగ్ గేర్ విమానాల కుటుంబం, వీటిని స్టాస్ ష్రాడర్ రూపొందించారు మరియు 2000 నుండి 2018 వరకు te త్సాహిక నిర్మాణం కోసం ఇడాహోలోని నాంపా యొక్క రాకీ మౌంటైన్ "&amp;"వింగ్స్ చేత నిర్మించబడింది. [[1] [1] [1] [2] [2] [3] [3] [3] [4] [4] [5] 2018 లో ఒక దావా తరువాత కంపెనీ మూసివేయబడింది, ఉత్పత్తి ముగిసింది మరియు దాని వెబ్‌సైట్ జూన్ 2019 నాటికి తొలగించబడింది. [9] [10] జూలై 2000 లో విస్కాన్సిన్‌లోని ఓష్కోష్‌లోని ఎయిర్‌వెంచర్"&amp;" వద్ద ప్రవేశపెట్టిన మొదటి రిడ్జ్ రన్నర్ అనేది చాలా 103 అల్ట్రాలైట్ వెహికల్స్ కంప్లైంట్ విమానాగా రూపొందించబడిన సింగిల్ సీటర్, ఆ వర్గం యొక్క 254 ఎల్బి (115 కిలోల) ఖాళీ బరువు పరిమితిలో ఖాళీ బరువు ఉంటుంది. [1] [[2] [3] [4] [5] [6] డిజైనర్, స్టాస్ ష్రాడర్ గతంల"&amp;"ో అవిడ్ విమానాలు, డెన్నీ కిట్‌ఫాక్స్ మరియు స్కై రైడర్ ఎల్‌ఎల్‌సి డిజైన్‌లతో, అన్ని ఇలాంటి విమానాలతో సంబంధం కలిగి ఉన్నాడు. ఫలితంగా వచ్చే విమానాన్ని సమీక్షకుడు ఆండ్రీ క్లిచ్ ""దాని పూర్వీకులకు సమానమైన క్లోన్ అని వర్ణించారు, ఉదాహరణకు, కఠినమైన భూభాగ కార్యకలాప"&amp;"ాల కోసం ఐలెరన్లు మరియు బెలూన్ టైర్ల రకం."" [1] ఈ విమానం ఐచ్ఛిక పొడి పూత 4130 డోప్డ్ ఫాబ్రిక్‌తో కప్పబడిన స్టీల్ ట్యూబ్ ఫ్రేమ్ ఫ్యూజ్‌లేజ్. రెక్క అల్యూమినియం ట్యూబ్ స్పార్‌లతో నిర్మించబడింది మరియు ఫాబ్రిక్-కప్పబడి ఉంటుంది. కిట్‌లో రెక్కల పక్కటెముకలు, సీట్ "&amp;"బెల్ట్‌లు మరియు భుజం పట్టీలు, చక్రాలు మరియు టైర్లతో సహా అనేక ముందస్తు భాగాలు ఉన్నాయి. తయారీదారు నిర్మాణ సమయాన్ని 250–600 గంటలుగా అంచనా వేస్తాడు, ఎంచుకున్న ఎంపికలు మరియు బిల్డర్ అనుభవాన్ని బట్టి. [1] [2] [3] [4] [5] [6] [11] రిడ్జ్ రన్నర్ 1 కి 254 ఎల్బి (1"&amp;"15 కిలోల) ఖాళీ బరువులో ఉండటానికి చాలా తేలికపాటి ఇంజిన్ అవసరం మరియు పేర్కొన్న ఇంజిన్ అవుట్-ఆఫ్-ప్రొడక్షన్ 28 హెచ్‌పి (21 కిలోవాట్) రోటాక్స్ 277 గా మిగిలిపోయింది. [1] కిట్‌ప్లాన్‌ల నుండి డేటా [2] [6] సాధారణ లక్షణాలు పనితీరు సంబంధిత అభివృద్ధి విమానం పోల్చదగి"&amp;"న పాత్ర, కాన్ఫిగరేషన్ మరియు ERA")</f>
        <v>రాకీ మౌంటైన్ వింగ్స్ రిడ్జ్ రన్నర్ అమెరికన్ హై వింగ్, స్ట్రట్-బ్రేస్డ్, సింగిల్ ఇంజిన్, సాంప్రదాయిక ల్యాండింగ్ గేర్ విమానాల కుటుంబం, వీటిని స్టాస్ ష్రాడర్ రూపొందించారు మరియు 2000 నుండి 2018 వరకు te త్సాహిక నిర్మాణం కోసం ఇడాహోలోని నాంపా యొక్క రాకీ మౌంటైన్ వింగ్స్ చేత నిర్మించబడింది. [[1] [1] [1] [2] [2] [3] [3] [3] [4] [4] [5] 2018 లో ఒక దావా తరువాత కంపెనీ మూసివేయబడింది, ఉత్పత్తి ముగిసింది మరియు దాని వెబ్‌సైట్ జూన్ 2019 నాటికి తొలగించబడింది. [9] [10] జూలై 2000 లో విస్కాన్సిన్‌లోని ఓష్కోష్‌లోని ఎయిర్‌వెంచర్ వద్ద ప్రవేశపెట్టిన మొదటి రిడ్జ్ రన్నర్ అనేది చాలా 103 అల్ట్రాలైట్ వెహికల్స్ కంప్లైంట్ విమానాగా రూపొందించబడిన సింగిల్ సీటర్, ఆ వర్గం యొక్క 254 ఎల్బి (115 కిలోల) ఖాళీ బరువు పరిమితిలో ఖాళీ బరువు ఉంటుంది. [1] [[2] [3] [4] [5] [6] డిజైనర్, స్టాస్ ష్రాడర్ గతంలో అవిడ్ విమానాలు, డెన్నీ కిట్‌ఫాక్స్ మరియు స్కై రైడర్ ఎల్‌ఎల్‌సి డిజైన్‌లతో, అన్ని ఇలాంటి విమానాలతో సంబంధం కలిగి ఉన్నాడు. ఫలితంగా వచ్చే విమానాన్ని సమీక్షకుడు ఆండ్రీ క్లిచ్ "దాని పూర్వీకులకు సమానమైన క్లోన్ అని వర్ణించారు, ఉదాహరణకు, కఠినమైన భూభాగ కార్యకలాపాల కోసం ఐలెరన్లు మరియు బెలూన్ టైర్ల రకం." [1] ఈ విమానం ఐచ్ఛిక పొడి పూత 4130 డోప్డ్ ఫాబ్రిక్‌తో కప్పబడిన స్టీల్ ట్యూబ్ ఫ్రేమ్ ఫ్యూజ్‌లేజ్. రెక్క అల్యూమినియం ట్యూబ్ స్పార్‌లతో నిర్మించబడింది మరియు ఫాబ్రిక్-కప్పబడి ఉంటుంది. కిట్‌లో రెక్కల పక్కటెముకలు, సీట్ బెల్ట్‌లు మరియు భుజం పట్టీలు, చక్రాలు మరియు టైర్లతో సహా అనేక ముందస్తు భాగాలు ఉన్నాయి. తయారీదారు నిర్మాణ సమయాన్ని 250–600 గంటలుగా అంచనా వేస్తాడు, ఎంచుకున్న ఎంపికలు మరియు బిల్డర్ అనుభవాన్ని బట్టి. [1] [2] [3] [4] [5] [6] [11] రిడ్జ్ రన్నర్ 1 కి 254 ఎల్బి (115 కిలోల) ఖాళీ బరువులో ఉండటానికి చాలా తేలికపాటి ఇంజిన్ అవసరం మరియు పేర్కొన్న ఇంజిన్ అవుట్-ఆఫ్-ప్రొడక్షన్ 28 హెచ్‌పి (21 కిలోవాట్) రోటాక్స్ 277 గా మిగిలిపోయింది. [1] కిట్‌ప్లాన్‌ల నుండి డేటా [2] [6] సాధారణ లక్షణాలు పనితీరు సంబంధిత అభివృద్ధి విమానం పోల్చదగిన పాత్ర, కాన్ఫిగరేషన్ మరియు ERA</v>
      </c>
      <c r="E170" s="1" t="s">
        <v>383</v>
      </c>
      <c r="F170" s="1" t="str">
        <f>IFERROR(__xludf.DUMMYFUNCTION("GOOGLETRANSLATE(E:E, ""en"", ""te"")"),"అల్ట్రాలైట్ విమానం")</f>
        <v>అల్ట్రాలైట్ విమానం</v>
      </c>
      <c r="G170" s="1" t="s">
        <v>155</v>
      </c>
      <c r="H170" s="1" t="str">
        <f>IFERROR(__xludf.DUMMYFUNCTION("GOOGLETRANSLATE(G:G, ""en"", ""te"")"),"అమెరికా")</f>
        <v>అమెరికా</v>
      </c>
      <c r="I170" s="1" t="s">
        <v>2692</v>
      </c>
      <c r="J170" s="1" t="str">
        <f>IFERROR(__xludf.DUMMYFUNCTION("GOOGLETRANSLATE(I:I, ""en"", ""te"")"),"రాకీ పర్వత రెక్కలు")</f>
        <v>రాకీ పర్వత రెక్కలు</v>
      </c>
      <c r="K170" s="1" t="s">
        <v>2693</v>
      </c>
      <c r="L170" s="1" t="s">
        <v>2694</v>
      </c>
      <c r="O170" s="1" t="s">
        <v>135</v>
      </c>
      <c r="P170" s="1" t="s">
        <v>1807</v>
      </c>
      <c r="Q170" s="1" t="s">
        <v>2695</v>
      </c>
      <c r="R170" s="1" t="s">
        <v>2696</v>
      </c>
      <c r="S170" s="1" t="s">
        <v>2697</v>
      </c>
      <c r="T170" s="1" t="s">
        <v>2698</v>
      </c>
      <c r="U170" s="1" t="s">
        <v>163</v>
      </c>
      <c r="V170" s="1" t="s">
        <v>2699</v>
      </c>
      <c r="X170" s="1" t="s">
        <v>1613</v>
      </c>
      <c r="Z170" s="1" t="s">
        <v>826</v>
      </c>
      <c r="AB170" s="1" t="s">
        <v>392</v>
      </c>
      <c r="AC170" s="2" t="s">
        <v>167</v>
      </c>
      <c r="AD170" s="1" t="s">
        <v>659</v>
      </c>
      <c r="AE170" s="1" t="s">
        <v>2159</v>
      </c>
      <c r="AF170" s="1" t="s">
        <v>583</v>
      </c>
      <c r="AG170" s="1" t="s">
        <v>428</v>
      </c>
      <c r="AH170" s="1" t="s">
        <v>2700</v>
      </c>
      <c r="AJ170" s="1" t="s">
        <v>2701</v>
      </c>
      <c r="AR170" s="1" t="s">
        <v>253</v>
      </c>
      <c r="AX170" s="1" t="s">
        <v>2702</v>
      </c>
      <c r="BF170" s="1" t="s">
        <v>2703</v>
      </c>
      <c r="BG170" s="1" t="s">
        <v>2704</v>
      </c>
      <c r="BN170" s="1">
        <v>2000.0</v>
      </c>
    </row>
    <row r="171">
      <c r="A171" s="1" t="s">
        <v>2705</v>
      </c>
      <c r="B171" s="1" t="str">
        <f>IFERROR(__xludf.DUMMYFUNCTION("GOOGLETRANSLATE(A:A, ""en"", ""te"")"),"రోటర్ ఫ్లైట్ డైనమిక్స్ డామినేటర్")</f>
        <v>రోటర్ ఫ్లైట్ డైనమిక్స్ డామినేటర్</v>
      </c>
      <c r="C171" s="1" t="s">
        <v>2706</v>
      </c>
      <c r="D171" s="1" t="str">
        <f>IFERROR(__xludf.DUMMYFUNCTION("GOOGLETRANSLATE(C:C, ""en"", ""te"")"),"రోటర్ ఫ్లైట్ డైనమిక్స్ డామినేటర్ అనేది ఫ్లోరిడాలోని విమామాకు చెందిన రోటర్ ఫ్లైట్ డైనమిక్స్ యొక్క ఎర్నీ బోయెట్ రూపొందించిన ఒక అమెరికన్ ఆటోజీరో, మరియు te త్సాహిక నిర్మాణం కోసం ప్రణాళికలు మరియు వస్తు సామగ్రి రూపంలో అందుబాటులో ఉంది. [1] డామినేటర్ ఒక ఓపెన్ ఫ్ర"&amp;"ేమ్ ఆటోజీరో, ఇది బోల్ట్ అల్యూమినియం గొట్టాలతో నిర్మించబడింది మరియు 52 హెచ్‌పి (39 కిలోవాట్) రోటాక్స్ 503 ఇంజిన్ చేత పషర్ ప్రొపెల్లర్‌తో శక్తినిస్తుంది. [1] [2] డామినేటర్‌లో ఒకే సీటు మరియు టెన్డం రెండు-సీట్ల వేరియంట్లు ఉన్నాయి. [1] డైనమిక్ మరియు ఏరోడైనమిక్"&amp;" టార్క్‌ను తగ్గించడానికి అధిక టెయిల్‌ప్లేన్‌ను ఉపయోగించిన మొదటి ఆటోజైరోస్‌లో ఇది ఒకటి. [1] డామినేటర్ తన తరగతిలో అధికారిక ప్రపంచ ఆల్టిట్యూడ్ రికార్డును 24,463 అడుగులు (7,456 మీ) వద్ద కలిగి ఉంది. [1] వరల్డ్ డైరెక్టరీ ఆఫ్ లీజర్ ఏవియేషన్ 2004/2005 జెనరల్ క్యా"&amp;"రెక్టరిస్టిక్స్ పనితీరు సంబంధిత జాబితాల నుండి డేటా")</f>
        <v>రోటర్ ఫ్లైట్ డైనమిక్స్ డామినేటర్ అనేది ఫ్లోరిడాలోని విమామాకు చెందిన రోటర్ ఫ్లైట్ డైనమిక్స్ యొక్క ఎర్నీ బోయెట్ రూపొందించిన ఒక అమెరికన్ ఆటోజీరో, మరియు te త్సాహిక నిర్మాణం కోసం ప్రణాళికలు మరియు వస్తు సామగ్రి రూపంలో అందుబాటులో ఉంది. [1] డామినేటర్ ఒక ఓపెన్ ఫ్రేమ్ ఆటోజీరో, ఇది బోల్ట్ అల్యూమినియం గొట్టాలతో నిర్మించబడింది మరియు 52 హెచ్‌పి (39 కిలోవాట్) రోటాక్స్ 503 ఇంజిన్ చేత పషర్ ప్రొపెల్లర్‌తో శక్తినిస్తుంది. [1] [2] డామినేటర్‌లో ఒకే సీటు మరియు టెన్డం రెండు-సీట్ల వేరియంట్లు ఉన్నాయి. [1] డైనమిక్ మరియు ఏరోడైనమిక్ టార్క్‌ను తగ్గించడానికి అధిక టెయిల్‌ప్లేన్‌ను ఉపయోగించిన మొదటి ఆటోజైరోస్‌లో ఇది ఒకటి. [1] డామినేటర్ తన తరగతిలో అధికారిక ప్రపంచ ఆల్టిట్యూడ్ రికార్డును 24,463 అడుగులు (7,456 మీ) వద్ద కలిగి ఉంది. [1] వరల్డ్ డైరెక్టరీ ఆఫ్ లీజర్ ఏవియేషన్ 2004/2005 జెనరల్ క్యారెక్టరిస్టిక్స్ పనితీరు సంబంధిత జాబితాల నుండి డేటా</v>
      </c>
      <c r="E171" s="1" t="s">
        <v>530</v>
      </c>
      <c r="F171" s="1" t="str">
        <f>IFERROR(__xludf.DUMMYFUNCTION("GOOGLETRANSLATE(E:E, ""en"", ""te"")"),"ఆటోజీరో")</f>
        <v>ఆటోజీరో</v>
      </c>
      <c r="G171" s="1" t="s">
        <v>155</v>
      </c>
      <c r="H171" s="1" t="str">
        <f>IFERROR(__xludf.DUMMYFUNCTION("GOOGLETRANSLATE(G:G, ""en"", ""te"")"),"అమెరికా")</f>
        <v>అమెరికా</v>
      </c>
      <c r="I171" s="1" t="s">
        <v>2676</v>
      </c>
      <c r="J171" s="1" t="str">
        <f>IFERROR(__xludf.DUMMYFUNCTION("GOOGLETRANSLATE(I:I, ""en"", ""te"")"),"రోటర్ ఫ్లైట్ డైనమిక్స్")</f>
        <v>రోటర్ ఫ్లైట్ డైనమిక్స్</v>
      </c>
      <c r="K171" s="1" t="s">
        <v>2677</v>
      </c>
      <c r="L171" s="1" t="s">
        <v>2707</v>
      </c>
      <c r="O171" s="1">
        <v>1.0</v>
      </c>
      <c r="T171" s="1" t="s">
        <v>2708</v>
      </c>
      <c r="V171" s="1" t="s">
        <v>2709</v>
      </c>
      <c r="W171" s="1" t="s">
        <v>2710</v>
      </c>
      <c r="Z171" s="1" t="s">
        <v>1418</v>
      </c>
      <c r="AA171" s="1" t="s">
        <v>2711</v>
      </c>
      <c r="AB171" s="2" t="s">
        <v>538</v>
      </c>
      <c r="AG171" s="1" t="s">
        <v>2712</v>
      </c>
      <c r="AR171" s="1" t="s">
        <v>253</v>
      </c>
      <c r="BH171" s="1" t="s">
        <v>2713</v>
      </c>
      <c r="CD171" s="1" t="s">
        <v>2714</v>
      </c>
    </row>
    <row r="172">
      <c r="A172" s="1" t="s">
        <v>2715</v>
      </c>
      <c r="B172" s="1" t="str">
        <f>IFERROR(__xludf.DUMMYFUNCTION("GOOGLETRANSLATE(A:A, ""en"", ""te"")"),"రెయిన్బో చిరుత")</f>
        <v>రెయిన్బో చిరుత</v>
      </c>
      <c r="C172" s="1" t="s">
        <v>2716</v>
      </c>
      <c r="D172" s="1" t="str">
        <f>IFERROR(__xludf.DUMMYFUNCTION("GOOGLETRANSLATE(C:C, ""en"", ""te"")"),"ఇంద్రధనస్సు చిరుత దక్షిణాఫ్రికా అల్ట్రాలైట్ మరియు లైట్-స్పోర్ట్ విమానాలు, వ్లాదిమిర్ చెచిన్ చేత రూపొందించబడింది మరియు ఇంద్రధనస్సు విమానం నిర్మించింది. ఈ విమానం te త్సాహిక నిర్మాణానికి కిట్‌గా లేదా పూర్తి రెడీ-టు-ఫ్లై-ఎయిర్‌క్రాఫ్ట్‌గా సరఫరా చేయబడుతుంది. ["&amp;"1] ఈ విమానం ఉత్తమమైన స్కైరాంజర్ [1] నుండి తీసుకోబడింది మరియు కెనడియన్ అధునాతన అల్ట్రాలైట్ ప్రమాణాలు మరియు యుఎస్ లైట్-స్పోర్ట్ విమాన నియమాలకు అనుగుణంగా రూపొందించబడింది. ఇది స్ట్రట్-బ్రేస్డ్ హై-వింగ్, యాక్సెస్ కోసం ఐచ్ఛిక తలుపులు, స్థిర ట్రైసైకిల్ ల్యాండింగ"&amp;"్ గేర్ లేదా ఐచ్ఛికంగా సాంప్రదాయిక ల్యాండింగ్ గేర్ మరియు ట్రాక్టర్ కాన్ఫిగరేషన్‌లో రెండు-సైడ్-సైడ్ కాన్ఫిగరేషన్ పరివేష్టిత కాక్‌పిట్ కలిగి ఉంది. [1 నటించు ఈ విమానం బోల్ట్-కలిసి అల్యూమినియం గొట్టాల నుండి తయారవుతుంది, దాని ఎగిరే ఉపరితలాలు డాక్రాన్ సెయిల్‌క్ల"&amp;"ాత్‌లో కప్పబడి ఉంటాయి. దీని 9.6 మీ (31.5 అడుగులు) స్పాన్ వింగ్ 13.25 మీ 2 (142.6 చదరపు అడుగులు) మరియు ఫ్లాప్‌లను మౌంట్ చేస్తుంది. అందుబాటులో ఉన్న ప్రామాణిక ఇంజన్లు 64 హెచ్‌పి (48 కిలోవాట్) రోటాక్స్ 582 టూ-స్ట్రోక్, 80 హెచ్‌పి (60 కిలోవాట్ చిరుత XLS ను ట్ర"&amp;"ాన్స్పోర్ట్ కెనడా ఒక అధునాతన అల్ట్రాలైట్‌గా భూ విమానం మరియు సీప్లేన్ రెండింటినీ అంగీకరించారు, ఇది రోటాక్స్ 582 టూ-స్ట్రోక్, రోటాక్స్ 912UL, రోటాక్స్ 912లు, వెర్నర్ VM133 మరియు 85 HP (63 kW) జబీరు చేత శక్తినిస్తుంది 2200A ఇంజన్లు. [3] ఆగష్టు 2012 నాటికి ఫె"&amp;"డరల్ ఏవియేషన్ అడ్మినిస్ట్రేషన్ రిజిస్ట్రీలో మూడు చిరుతలు మరియు ట్రాన్స్పోర్ట్ కెనడా సివిల్ ఎయిర్క్రాఫ్ట్ రిజిస్టర్‌లో రెండు ఉన్నాయి. [4] [5] బేయర్ల్ మరియు తయారీదారు నుండి డేటా [1] [8] సాధారణ లక్షణాల పనితీరు")</f>
        <v>ఇంద్రధనస్సు చిరుత దక్షిణాఫ్రికా అల్ట్రాలైట్ మరియు లైట్-స్పోర్ట్ విమానాలు, వ్లాదిమిర్ చెచిన్ చేత రూపొందించబడింది మరియు ఇంద్రధనస్సు విమానం నిర్మించింది. ఈ విమానం te త్సాహిక నిర్మాణానికి కిట్‌గా లేదా పూర్తి రెడీ-టు-ఫ్లై-ఎయిర్‌క్రాఫ్ట్‌గా సరఫరా చేయబడుతుంది. [1] ఈ విమానం ఉత్తమమైన స్కైరాంజర్ [1] నుండి తీసుకోబడింది మరియు కెనడియన్ అధునాతన అల్ట్రాలైట్ ప్రమాణాలు మరియు యుఎస్ లైట్-స్పోర్ట్ విమాన నియమాలకు అనుగుణంగా రూపొందించబడింది. ఇది స్ట్రట్-బ్రేస్డ్ హై-వింగ్, యాక్సెస్ కోసం ఐచ్ఛిక తలుపులు, స్థిర ట్రైసైకిల్ ల్యాండింగ్ గేర్ లేదా ఐచ్ఛికంగా సాంప్రదాయిక ల్యాండింగ్ గేర్ మరియు ట్రాక్టర్ కాన్ఫిగరేషన్‌లో రెండు-సైడ్-సైడ్ కాన్ఫిగరేషన్ పరివేష్టిత కాక్‌పిట్ కలిగి ఉంది. [1 నటించు ఈ విమానం బోల్ట్-కలిసి అల్యూమినియం గొట్టాల నుండి తయారవుతుంది, దాని ఎగిరే ఉపరితలాలు డాక్రాన్ సెయిల్‌క్లాత్‌లో కప్పబడి ఉంటాయి. దీని 9.6 మీ (31.5 అడుగులు) స్పాన్ వింగ్ 13.25 మీ 2 (142.6 చదరపు అడుగులు) మరియు ఫ్లాప్‌లను మౌంట్ చేస్తుంది. అందుబాటులో ఉన్న ప్రామాణిక ఇంజన్లు 64 హెచ్‌పి (48 కిలోవాట్) రోటాక్స్ 582 టూ-స్ట్రోక్, 80 హెచ్‌పి (60 కిలోవాట్ చిరుత XLS ను ట్రాన్స్పోర్ట్ కెనడా ఒక అధునాతన అల్ట్రాలైట్‌గా భూ విమానం మరియు సీప్లేన్ రెండింటినీ అంగీకరించారు, ఇది రోటాక్స్ 582 టూ-స్ట్రోక్, రోటాక్స్ 912UL, రోటాక్స్ 912లు, వెర్నర్ VM133 మరియు 85 HP (63 kW) జబీరు చేత శక్తినిస్తుంది 2200A ఇంజన్లు. [3] ఆగష్టు 2012 నాటికి ఫెడరల్ ఏవియేషన్ అడ్మినిస్ట్రేషన్ రిజిస్ట్రీలో మూడు చిరుతలు మరియు ట్రాన్స్పోర్ట్ కెనడా సివిల్ ఎయిర్క్రాఫ్ట్ రిజిస్టర్‌లో రెండు ఉన్నాయి. [4] [5] బేయర్ల్ మరియు తయారీదారు నుండి డేటా [1] [8] సాధారణ లక్షణాల పనితీరు</v>
      </c>
      <c r="E172" s="1" t="s">
        <v>178</v>
      </c>
      <c r="F172" s="1" t="str">
        <f>IFERROR(__xludf.DUMMYFUNCTION("GOOGLETRANSLATE(E:E, ""en"", ""te"")"),"అల్ట్రాలైట్ విమానం మరియు లైట్-స్పోర్ట్ విమానం")</f>
        <v>అల్ట్రాలైట్ విమానం మరియు లైట్-స్పోర్ట్ విమానం</v>
      </c>
      <c r="G172" s="1" t="s">
        <v>2333</v>
      </c>
      <c r="H172" s="1" t="str">
        <f>IFERROR(__xludf.DUMMYFUNCTION("GOOGLETRANSLATE(G:G, ""en"", ""te"")"),"దక్షిణ ఆఫ్రికా")</f>
        <v>దక్షిణ ఆఫ్రికా</v>
      </c>
      <c r="I172" s="1" t="s">
        <v>2334</v>
      </c>
      <c r="J172" s="1" t="str">
        <f>IFERROR(__xludf.DUMMYFUNCTION("GOOGLETRANSLATE(I:I, ""en"", ""te"")"),"రెయిన్బో విమానం")</f>
        <v>రెయిన్బో విమానం</v>
      </c>
      <c r="K172" s="1" t="s">
        <v>2335</v>
      </c>
      <c r="L172" s="1" t="s">
        <v>2717</v>
      </c>
      <c r="O172" s="1" t="s">
        <v>135</v>
      </c>
      <c r="P172" s="1" t="s">
        <v>2718</v>
      </c>
      <c r="Q172" s="1" t="s">
        <v>842</v>
      </c>
      <c r="R172" s="1" t="s">
        <v>2719</v>
      </c>
      <c r="S172" s="1" t="s">
        <v>2720</v>
      </c>
      <c r="T172" s="1" t="s">
        <v>2721</v>
      </c>
      <c r="U172" s="1" t="s">
        <v>2722</v>
      </c>
      <c r="V172" s="1" t="s">
        <v>1665</v>
      </c>
      <c r="W172" s="1" t="s">
        <v>2723</v>
      </c>
      <c r="X172" s="1" t="s">
        <v>2724</v>
      </c>
      <c r="Z172" s="1" t="s">
        <v>2725</v>
      </c>
      <c r="AA172" s="1" t="s">
        <v>2726</v>
      </c>
      <c r="AB172" s="1" t="s">
        <v>189</v>
      </c>
      <c r="AC172" s="1" t="s">
        <v>2345</v>
      </c>
      <c r="AD172" s="1" t="s">
        <v>190</v>
      </c>
      <c r="AE172" s="1" t="s">
        <v>2727</v>
      </c>
      <c r="AG172" s="1" t="s">
        <v>2513</v>
      </c>
      <c r="AH172" s="1" t="s">
        <v>2728</v>
      </c>
      <c r="AI172" s="1" t="s">
        <v>2729</v>
      </c>
      <c r="AK172" s="1" t="s">
        <v>195</v>
      </c>
      <c r="AP172" s="1" t="s">
        <v>2730</v>
      </c>
      <c r="AR172" s="1" t="s">
        <v>253</v>
      </c>
      <c r="AS172" s="1">
        <v>7.01</v>
      </c>
      <c r="AY172" s="1" t="s">
        <v>2731</v>
      </c>
      <c r="BA172" s="1" t="s">
        <v>2732</v>
      </c>
      <c r="BB172" s="1">
        <v>10.0</v>
      </c>
      <c r="BF172" s="1" t="s">
        <v>2733</v>
      </c>
      <c r="BG172" s="1" t="s">
        <v>2734</v>
      </c>
      <c r="BJ172" s="1" t="s">
        <v>2735</v>
      </c>
    </row>
    <row r="173">
      <c r="A173" s="1" t="s">
        <v>2736</v>
      </c>
      <c r="B173" s="1" t="str">
        <f>IFERROR(__xludf.DUMMYFUNCTION("GOOGLETRANSLATE(A:A, ""en"", ""te"")"),"రాబిన్ X4")</f>
        <v>రాబిన్ X4</v>
      </c>
      <c r="C173" s="1" t="s">
        <v>2737</v>
      </c>
      <c r="D173" s="1" t="str">
        <f>IFERROR(__xludf.DUMMYFUNCTION("GOOGLETRANSLATE(C:C, ""en"", ""te"")"),"రాబిన్ X4 అనేది ఒక ప్రయోగాత్మక ఫ్రెంచ్ నాలుగు-సీట్ల తేలికపాటి విమానం, ఇది వేర్వేరు రెక్కల ఆకృతీకరణలు మరియు నిర్మాణ సామగ్రిని పరీక్షించడానికి ఏవియన్ల రాబిన్ రూపొందించింది మరియు నిర్మించబడింది. [1] X4 తక్కువ-వింగ్ మోనోప్లేన్, ట్రైసైకిల్ ల్యాండింగ్ గేర్‌తో మ"&amp;"రియు 116 HP (87 kW) టెక్స్ట్రాన్ లైమింగ్ ఇంజిన్ చేత శక్తినిస్తుంది. [1] వాస్తవానికి 4-సీట్ల ATL విమానం వలె రూపొందించబడింది, మరియు ఆ సమయంలో ATL II లేదా ATL.FAR23 అని పిలుస్తారు, తరువాత ఇది డాక్టర్ 400 సిరీస్ విమానాలకు దీర్ఘకాలిక ప్రత్యామ్నాయంగా మారడానికి ఉ"&amp;"ద్దేశించబడింది. [2] పియరీ రాబిన్ తన సంస్థను విక్రయించిన తరువాత, ఈ పేరును X4, X ప్రయోగాత్మక కోసం మరియు 4-సీట్ల కోసం 4 గా మార్చారు; డిజైన్ ATL యొక్క V తోక నుండి మరింత సాంప్రదాయిక క్రూసిఫాం రకానికి మార్చబడింది. ఫ్యూజ్‌లేజ్ ఒక నోమెక్స్ శాండ్‌విచ్‌లో ఫైబర్‌గ్ల"&amp;"ాస్ మరియు ఎపోక్సీ, ఇది ఎక్కువ ద్రవ వక్రతలను అనుమతించింది మరియు సాధారణంగా ME 262 వంటి క్రాస్-సెక్షన్‌లో త్రిభుజాకారంగా ఉంటుంది. [3] ల్యాండింగ్ గేర్ డాక్టర్ 400 నుండి, మరియు ఎటిఎల్ నుండి ఫార్వర్డ్-టిల్టింగ్ పందిరి. [4] [5] రెక్కలు కలప మరియు బట్టలు, ప్రామాణి"&amp;"క డాక్టర్ 400, కానీ స్థిరమైన డైహెడ్రల్; చెక్క నిర్మాణం సవరణలను త్వరగా మరియు చౌకగా చేయడానికి అనుమతించింది. [4] చుక్కాని మరియు ఐలెరాన్లు లోహ నిర్మాణంలో ఉన్నాయి. [4] ఇది మొదట 25 ఫిబ్రవరి 1991 న ప్రయాణించింది, రాబిన్ హెడ్ ఆఫ్ డెవలప్‌మెంట్ డేనియల్ ముల్లెర్‌తో "&amp;"నియంత్రణలు; నాలుగు సీటర్‌గా రూపొందించబడినప్పుడు, ముందు రెండు సీట్లు మాత్రమే వెనుక భాగంలో పరీక్షా పరికరాలతో తీసుకోబడ్డాయి. వివిధ వింగ్ ప్రొఫైల్‌లను, ముఖ్యంగా లామినార్ ప్రవాహాన్ని పరీక్షించడానికి ఎయిర్‌ఫ్రేమ్ ఉపయోగించబడింది; మిశ్రమ-పదార్థ విమానాలను ఉత్పత్తి"&amp;" చేసే సాధ్యత; మరియు క్రొత్త వ్యవస్థలను పరీక్షించడానికి (ఉదా. కేబుల్ నియంత్రణల కంటే రాడ్). [4] సెయింట్-సైర్ వద్ద పరీక్షలు సమానమైన డాక్టర్ 400/20 తో పోల్చినప్పుడు X4 కు స్వల్ప ప్రయోజనాన్ని చూపించాయి, ఉన్నప్పటికీ, ముల్లెర్ ప్రకారం, దాని 'అలసిపోయిన' [6] ఇంజిన"&amp;"్. ఉదాహరణకు, కౌలింగ్ యొక్క ఆప్టిమైజేషన్ ఇంజిన్ శీతలీకరణ డ్రాగ్‌ను 20% లేదా 5% గ్లోబల్ డ్రాగ్; మొత్తంగా క్రూయిజ్ వేగంలో గంటకు 25 కిమీ/గం ఉంది. [7] ఏదేమైనా, మెరుగైన పనితీరు శిక్షణా విమానానికి అనుచితమైన నాన్-బెనిగ్న్ స్టాల్ ఖర్చుతో వచ్చింది. [6] రాబిన్ మరియు"&amp;" బెస్సీ ప్రకారం, ఎయిర్ఫ్రేమ్ చివరికి పెద్ద ఇంజిన్లతో 4+2 సీట్ల కాన్ఫిగరేషన్ వరకు మొత్తం సిరీస్ చేయగలదు మరియు సిరస్ SR22 కు సంభావ్య పోటీదారుగా ఉంటుంది. ఏవియన్ల కొత్త యజమానులు రాబిన్ డిజైన్‌పై ఆసక్తి చూపలేదు మరియు చివరికి అది రద్దు చేయబడింది. [6]")</f>
        <v>రాబిన్ X4 అనేది ఒక ప్రయోగాత్మక ఫ్రెంచ్ నాలుగు-సీట్ల తేలికపాటి విమానం, ఇది వేర్వేరు రెక్కల ఆకృతీకరణలు మరియు నిర్మాణ సామగ్రిని పరీక్షించడానికి ఏవియన్ల రాబిన్ రూపొందించింది మరియు నిర్మించబడింది. [1] X4 తక్కువ-వింగ్ మోనోప్లేన్, ట్రైసైకిల్ ల్యాండింగ్ గేర్‌తో మరియు 116 HP (87 kW) టెక్స్ట్రాన్ లైమింగ్ ఇంజిన్ చేత శక్తినిస్తుంది. [1] వాస్తవానికి 4-సీట్ల ATL విమానం వలె రూపొందించబడింది, మరియు ఆ సమయంలో ATL II లేదా ATL.FAR23 అని పిలుస్తారు, తరువాత ఇది డాక్టర్ 400 సిరీస్ విమానాలకు దీర్ఘకాలిక ప్రత్యామ్నాయంగా మారడానికి ఉద్దేశించబడింది. [2] పియరీ రాబిన్ తన సంస్థను విక్రయించిన తరువాత, ఈ పేరును X4, X ప్రయోగాత్మక కోసం మరియు 4-సీట్ల కోసం 4 గా మార్చారు; డిజైన్ ATL యొక్క V తోక నుండి మరింత సాంప్రదాయిక క్రూసిఫాం రకానికి మార్చబడింది. ఫ్యూజ్‌లేజ్ ఒక నోమెక్స్ శాండ్‌విచ్‌లో ఫైబర్‌గ్లాస్ మరియు ఎపోక్సీ, ఇది ఎక్కువ ద్రవ వక్రతలను అనుమతించింది మరియు సాధారణంగా ME 262 వంటి క్రాస్-సెక్షన్‌లో త్రిభుజాకారంగా ఉంటుంది. [3] ల్యాండింగ్ గేర్ డాక్టర్ 400 నుండి, మరియు ఎటిఎల్ నుండి ఫార్వర్డ్-టిల్టింగ్ పందిరి. [4] [5] రెక్కలు కలప మరియు బట్టలు, ప్రామాణిక డాక్టర్ 400, కానీ స్థిరమైన డైహెడ్రల్; చెక్క నిర్మాణం సవరణలను త్వరగా మరియు చౌకగా చేయడానికి అనుమతించింది. [4] చుక్కాని మరియు ఐలెరాన్లు లోహ నిర్మాణంలో ఉన్నాయి. [4] ఇది మొదట 25 ఫిబ్రవరి 1991 న ప్రయాణించింది, రాబిన్ హెడ్ ఆఫ్ డెవలప్‌మెంట్ డేనియల్ ముల్లెర్‌తో నియంత్రణలు; నాలుగు సీటర్‌గా రూపొందించబడినప్పుడు, ముందు రెండు సీట్లు మాత్రమే వెనుక భాగంలో పరీక్షా పరికరాలతో తీసుకోబడ్డాయి. వివిధ వింగ్ ప్రొఫైల్‌లను, ముఖ్యంగా లామినార్ ప్రవాహాన్ని పరీక్షించడానికి ఎయిర్‌ఫ్రేమ్ ఉపయోగించబడింది; మిశ్రమ-పదార్థ విమానాలను ఉత్పత్తి చేసే సాధ్యత; మరియు క్రొత్త వ్యవస్థలను పరీక్షించడానికి (ఉదా. కేబుల్ నియంత్రణల కంటే రాడ్). [4] సెయింట్-సైర్ వద్ద పరీక్షలు సమానమైన డాక్టర్ 400/20 తో పోల్చినప్పుడు X4 కు స్వల్ప ప్రయోజనాన్ని చూపించాయి, ఉన్నప్పటికీ, ముల్లెర్ ప్రకారం, దాని 'అలసిపోయిన' [6] ఇంజిన్. ఉదాహరణకు, కౌలింగ్ యొక్క ఆప్టిమైజేషన్ ఇంజిన్ శీతలీకరణ డ్రాగ్‌ను 20% లేదా 5% గ్లోబల్ డ్రాగ్; మొత్తంగా క్రూయిజ్ వేగంలో గంటకు 25 కిమీ/గం ఉంది. [7] ఏదేమైనా, మెరుగైన పనితీరు శిక్షణా విమానానికి అనుచితమైన నాన్-బెనిగ్న్ స్టాల్ ఖర్చుతో వచ్చింది. [6] రాబిన్ మరియు బెస్సీ ప్రకారం, ఎయిర్ఫ్రేమ్ చివరికి పెద్ద ఇంజిన్లతో 4+2 సీట్ల కాన్ఫిగరేషన్ వరకు మొత్తం సిరీస్ చేయగలదు మరియు సిరస్ SR22 కు సంభావ్య పోటీదారుగా ఉంటుంది. ఏవియన్ల కొత్త యజమానులు రాబిన్ డిజైన్‌పై ఆసక్తి చూపలేదు మరియు చివరికి అది రద్దు చేయబడింది. [6]</v>
      </c>
      <c r="E173" s="1" t="s">
        <v>2738</v>
      </c>
      <c r="F173" s="1" t="str">
        <f>IFERROR(__xludf.DUMMYFUNCTION("GOOGLETRANSLATE(E:E, ""en"", ""te"")"),"ప్రయోగాత్మక నాలుగు-సీట్ల తేలికపాటి విమానం")</f>
        <v>ప్రయోగాత్మక నాలుగు-సీట్ల తేలికపాటి విమానం</v>
      </c>
      <c r="G173" s="1" t="s">
        <v>113</v>
      </c>
      <c r="H173" s="1" t="str">
        <f>IFERROR(__xludf.DUMMYFUNCTION("GOOGLETRANSLATE(G:G, ""en"", ""te"")"),"ఫ్రాన్స్")</f>
        <v>ఫ్రాన్స్</v>
      </c>
      <c r="I173" s="1" t="s">
        <v>2739</v>
      </c>
      <c r="J173" s="1" t="str">
        <f>IFERROR(__xludf.DUMMYFUNCTION("GOOGLETRANSLATE(I:I, ""en"", ""te"")"),"ఏవియన్లు రాబిన్")</f>
        <v>ఏవియన్లు రాబిన్</v>
      </c>
      <c r="K173" s="1" t="s">
        <v>2740</v>
      </c>
      <c r="N173" s="3">
        <v>33294.0</v>
      </c>
      <c r="AB173" s="1" t="s">
        <v>2741</v>
      </c>
      <c r="AJ173" s="1">
        <v>1.0</v>
      </c>
      <c r="AR173" s="1" t="s">
        <v>253</v>
      </c>
    </row>
    <row r="174">
      <c r="A174" s="1" t="s">
        <v>2742</v>
      </c>
      <c r="B174" s="1" t="str">
        <f>IFERROR(__xludf.DUMMYFUNCTION("GOOGLETRANSLATE(A:A, ""en"", ""te"")"),"ట్రావెల్ ఎయిర్ 2000")</f>
        <v>ట్రావెల్ ఎయిర్ 2000</v>
      </c>
      <c r="C174" s="1" t="s">
        <v>2743</v>
      </c>
      <c r="D174" s="1" t="str">
        <f>IFERROR(__xludf.DUMMYFUNCTION("GOOGLETRANSLATE(C:C, ""en"", ""te"")"),"ట్రావెల్ ఎయిర్ 2000/3000/4000 (వాస్తవానికి, మోడల్ ఎ, మోడల్ బి మరియు మోడల్ బిహెచ్ [1] 1920 ల చివరలో ట్రావెల్ ఎయిర్ మాన్యుఫ్యాక్చరింగ్ కంపెనీ అమెరికాలో ఉత్పత్తి చేయబడిన ఓపెన్-కాక్‌పిట్ బిప్‌లేన్ విమానం. 1924– కాలంలో "" విమానం. స్వాలో న్యూ స్వాలో బిప్‌లేన్. "&amp;"అయితే, ట్రావెల్ ఎయిర్, కొత్త స్వాలో యొక్క చెక్క ఫ్యూజ్‌లేజ్ నిర్మాణాన్ని వెల్డెడ్ స్టీల్ ట్యూబ్‌తో భర్తీ చేసింది. ఒక మధ్యంతర రూపకల్పన, విన్‌స్టెడ్ స్పెషల్, విన్‌స్టెడ్ బ్రదర్స్ చేత స్టీర్మాన్ మరియు స్వాలో వద్ద అభివృద్ధి చేయబడిన మెటల్ ఫ్యూజ్‌లేజ్ ఫ్రేమ్ ను"&amp;"ండి అభివృద్ధి చేయబడింది వాల్టర్ బీచ్, కానీ తరువాత స్వాలో ప్రెసిడెంట్ జేక్ మోలెండిక్ తిరస్కరించారు, ఈ నిర్ణయం స్టీర్మాన్ మరియు బీచ్ రెండింటి నిష్క్రమణను మరియు ట్రావెల్ ఎయిర్ యొక్క సృష్టిని ప్రేరేపించింది. . ఫ్యూజ్‌లేజ్ ఫాబ్రిక్-కప్పబడిన వెల్డెడ్ క్రోమియం-మ"&amp;"ాలిబ్డినం అల్లాయ్ స్టీల్ ట్యూబ్స్, చెక్క బాటెన్స్‌తో ఫెయిర్ చేయబడింది మరియు వాటికి రెండు ఓపెన్ కాక్‌పిట్‌లు ఉన్నాయి, ఫార్వర్డ్ కాక్‌పిట్ ఇద్దరు ప్రయాణీకులను పక్కపక్కనే తీసుకువెళుతుంది. వారు పోలి ఉండే ఫోకర్ D.VII తో సమానంగా, మొదటి ట్రావెల్ ఎయిర్ బైప్లేన్ల "&amp;"యొక్క చుక్కాని మరియు ఐలెరన్లు నియంత్రణలపై ఏరోడైనమిక్ లోడ్లను సమతుల్యం చేయడానికి ""కొమ్ములను"" కలిగి ఉన్నాయి, నియంత్రణ శక్తులను తగ్గించడానికి మరియు మరింత ప్రతిస్పందించే విమానాల కోసం తయారు చేయడంలో సహాయపడుతుంది. ఇవి విలక్షణమైన ట్రావెల్ ఎయిర్ ""ఎలిఫెంట్ ఇయర్"&amp;""" ఐలెరాన్లు, ఇది పాత ఏనుగు చెవులు మరియు విచిత ఫోకర్ యొక్క విమానం యొక్క ప్రసిద్ధ మారుపేర్లకు దారితీసింది. కొన్ని తదుపరి నమూనాలు ప్రతిఘటన లేకుండా అందించబడ్డాయి, తక్కువ లాగడంతో క్లీనర్, మరింత సాంప్రదాయిక రూపాన్ని అందిస్తాయి. పిచ్ శక్తులను ఇన్‌ఫ్లైట్-సర్దుబా"&amp;"టు చేయగల క్షితిజ సమాంతర స్టెబిలైజర్‌తో కత్తిరించవచ్చు. [2] [3] [4] విభిన్న, మార్చుకోగలిగిన రెక్కలు అందించబడ్డాయి, వీటిలో ""స్పీడ్వింగ్"" అని పిలువబడే చిన్న మరియు సన్నని వింగ్‌తో సహా, ఇది వేగాన్ని మెరుగుపరిచింది. ఆ సమయంలో లభించే 90–300 హెచ్‌పి (67–224 కిలో"&amp;"వాట్) పరిధిలో దాదాపుగా మాస్-ఉత్పత్తి చేసిన ప్రతి ఇంజిన్‌తో సహా గణనీయమైన సంఖ్యలో ఇంజన్లు వ్యవస్థాపించబడ్డాయి మరియు జాబితాలో చూడవచ్చు హోదా ఉపసర్గ. ట్రావెల్ ఎయిర్ 1930 నాటి గుగ్గెన్‌హీమ్ సేఫ్ ఎయిర్‌క్రాఫ్ట్ పోటీలో ప్రత్యేకంగా మార్పు చెందిన మోడల్ 4000-T లోకి "&amp;"ప్రవేశించింది, అయితే అర్హత ట్రయల్స్ సమయంలో అన్ని ఉత్పత్తి విమానాలు ప్రవేశించినట్లుగా ఇది అనర్హులు. ట్రావెల్ ఎయిర్ బైప్లేన్లు వారి మంచి ఎగిరే లక్షణాల కోసం ప్రసిద్ది చెందాయి, ఇది 1929 నాటికి అన్ని ప్రత్యర్థులను అధిగమించడానికి ప్రయాణించడానికి సహాయపడి ఉండవచ్చ"&amp;"ు. [3] 19. విస్తృత శ్రేణి సాధారణ విమాన అనువర్తనాలతో పాటు, ట్రావెల్ ఎయిర్ బిప్లేన్లు ప్రారంభ చలన చిత్రాలలో విస్తృతమైన ఉపయోగాన్ని చూశాయి, ఇక్కడ అవి తరచుగా పెరుగుతున్న కొరత ఫోకర్ డి.విఐఐ కోసం నిలబడి ఉంటాయి. కర్టిస్ జెఎన్ -4 జెన్నీ వంటి మిగులు సైనిక విమానాలను"&amp;" పక్కన పెడితే, 1920 ల చివరలో మరియు 1930 ల ప్రారంభంలో, ట్రావెల్ ఎయిర్ బైప్లేన్లు, వారి ప్రధాన పోటీదారు వాకోతో పాటు, అమెరికాలో ఎక్కువగా ఉపయోగించబడుతున్న పౌర బైప్లేన్లు. [2] [ 3] ట్రావెల్ ఎయిర్ బైప్లేన్లు ఎగ్జిక్యూటివ్ ట్రాన్స్‌పోర్ట్‌లుగా ప్రాచుర్యం పొందాయి"&amp;", మరియు చాలా మందిని సంపన్న-స్పోర్ట్స్‌మెన్ సాహసికులు కొనుగోలు చేశారు, వారు ఆ యుగంలో తరచుగా జరిగే పోటీలు మరియు వాయు రేసుల్లో ప్రవేశించారు. [2] [3] ఈ కాలంలోని అనేక విమానాల మాదిరిగానే, అవి ఎయిర్ టాక్సీలుగా కూడా పనిచేశాయి మరియు ఎయిర్ చార్టర్ సేవలను అందించాయి,"&amp;" ప్రయాణీకులు మరియు తేలికపాటి ఎయిర్ కార్గోను తీసుకువెళతాయి, మరియు కొందరు వారు బుష్‌ప్లేన్‌లుగా పనిచేసే చోట ఉత్తరాన ఉన్న మార్గాన్ని కనుగొంటారు. [2] [3] యుద్ధ-సర్ర్ప్లస్ విమానాల సరఫరా క్షీణించినందున మరియు అవి ఉపయోగించిన విమాన మార్కెట్లో అందుబాటులోకి రావడంతో,"&amp;" చాలా మందిని బార్న్‌స్టార్మింగ్ కోసం కూడా ఉపయోగించారు, ఇందులో ఎగ్జిబిషన్ మరియు స్టంట్ ఫ్లయింగ్ మరియు అమ్మకం సవారీలు ఉన్నాయి. [2] [3] వాణిజ్య ఆపరేటర్లు ట్రావెల్ ఎయిర్ బైప్‌లాన్‌లు బహుముఖంగా ఉన్నాయని కనుగొన్నారు, వాటి ఉపయోగకరమైన పేలోడ్, కఠినమైన నిర్మాణం మరి"&amp;"యు (సమయాల్లో) వేగం మరియు సామర్థ్యం కారణంగా. [2] 1930 ల చివరి నుండి 1960 ల ప్రారంభం వరకు, వారి కెరీర్ మరెక్కడా ముగిసే సమయానికి, బుష్ ఎగురుతున్న మరియు పంటల యొక్క కఠినమైన పని కోసం అవి ఎక్కువగా ఉపయోగించబడ్డాయి, మరియు ట్రావెల్ ఎయిర్ బైప్లేన్లు ఎక్కువగా ఉపయోగిం"&amp;"చే క్రాప్డస్టర్లలో ఒకటి, బహుశా మిగులు స్టీర్మాన్ కు రెండవ స్థానంలో ఉన్నాయి కైడెట్ బిప్లేన్లు. [2] [5] మిగిలిన చాలా ట్రావెల్ ఎయిర్ బైప్‌లాన్‌లు పునరుద్ధరించబడ్డాయి మరియు మ్యూజియంలలో ఉన్నాయి, అయితే వ్యక్తిగత వినోదం లేదా విక్రయాలు విక్రయించడం మరియు ఎయిర్‌షోల"&amp;" వద్ద ఎగురుతూ కొద్ది సంఖ్యలో ఉపయోగించబడుతున్నాయి. [2] [4] [7] సాధారణంగా శాన్ డియాగో ప్రాంతంలో ఉన్న 1929 ట్రావెల్ ఎయిర్ అనేది ఏవియేషన్ ట్రాకింగ్ వెబ్‌సైట్ అయిన ఫ్లైట్రాడార్ 24 చే ట్రాక్ చేయబడిన పురాతన క్రమం తప్పకుండా ఎగురుతున్న విమానం. [8] 1927 ట్రావెల్ ఎయ"&amp;"ిర్ క్రమం తప్పకుండా వాషింగ్టన్ లోని ఓర్కాస్ ద్వీపం నుండి సందర్శనా సవారీలు ఇవ్వడానికి ఉపయోగిస్తారు. [9] 2000/3000/4000 సిరీస్ దాని అభివృద్ధి చక్రం ముగిసే సమయానికి, ఒక జత కొత్త డిజైన్లు, ట్రావెల్ ఎయిర్ 12 మరియు 14 దీనిని భర్తీ చేయడానికి అభివృద్ధి చేయబడ్డాయి"&amp;" - 12 కొంచెం చిన్న రెండు -సీట్ల శిక్షకుడిగా మరియు పెద్ద 14 ప్రత్యక్ష ప్రత్యామ్నాయంగా, కొన్ని మార్కెటింగ్ పేర్లను కొనసాగించడానికి కూడా. ట్రావెల్ ఎయిర్ దాని గుర్తింపును నిలుపుకున్నప్పుడు రెండూ ఎగురుతాయి, కానీ ఒకే సంఖ్యలతో కర్టిస్-రైట్ లైన్‌లో చేర్చబడతాయి. ట"&amp;"్రావెల్ ఎయిర్ బైప్లేన్లు 1920/1930 ల యుద్ధ చలనచిత్రాలలో విస్తృతంగా ఉపయోగించబడ్డాయి, ప్రత్యేకించి అవి తరువాత వచ్చిన విమానాలను సూచించడానికి: జర్మనీ యొక్క ఫోకర్ డి-VII ఫైటర్, మొదటి ప్రపంచ యుద్ధం యొక్క అగ్ర పోరాట యోధుడు. మోషన్ పిక్చర్ పరిశ్రమలో, వాటిని ""విచి"&amp;"త"" అని పిలుస్తారు. ఫోకర్స్. "" వాస్తవానికి, ట్రావెల్ ఎయిర్ బైప్లేన్ల కోసం హాలీవుడ్ యొక్క డిమాండ్ చాలా తీవ్రంగా ఉంది, ట్రావెల్ ఎయిర్ యొక్క కాలిఫోర్నియా సేల్స్ మాన్, ఫ్రెడ్ హోయ్ట్, కోక్స్డ్ ట్రావెల్ ఎయిర్ కో-ఫౌండర్ మరియు ప్రిన్సిపల్ ఎయిర్ప్లేన్ డిజైనర్, లా"&amp;"యిడ్ స్టీర్మాన్, 1926 లో కాలిఫోర్నియాలోని వెనిస్ వద్దకు రావడానికి సినీ పరిశ్రమ డిమాండ్ను దోచుకోవడానికి స్వల్పకాలిక స్వతంత్ర స్టీర్మాన్ ఎయిర్క్రాఫ్ట్ కంపెనీని ప్రారంభించడం ద్వారా అతని విమానం (1927 లో విచితలో తిరిగి ప్రారంభించబడింది). [2] [4] [10] ట్రావెల్ "&amp;"ఎయిర్ బైప్‌లాన్‌లను ఉపయోగించే కొన్ని చలనచిత్రాలలో కొన్ని (2000 మరియు 4000, ముఖ్యంగా): [10] [11] ఏరోఫైల్స్ నుండి తేదీ [12] ప్రారంభంలో ప్రయాణ గాలి ప్రతి రకానికి కేటాయించిన అక్షరాలు, ఇంజిన్‌ను సూచించే ప్రత్యయం. వేరియంట్లు ఒక నిర్దిష్ట క్రమంలో ఉపసర్గలు మరియు "&amp;"ప్రత్యయాలతో వేరు చేయబడ్డాయి మరియు వేర్వేరు అమరికలను సూచిస్తాయి. అన్ని ఇతర ఉపసర్గలకు ముందు ఉన్న ఉపసర్గ, ఇది ఒక సీప్లేన్ మరియు ఫ్లోట్లతో అమర్చబడి ఉంది. తరువాత అది రెక్కలు. B అనేది ప్రామాణిక వింగ్, అసలు ప్రాథమిక ఏనుగు చెవి వింగ్‌తో గందరగోళం చెందకూడదు, మరియు "&amp;"D విమానం స్పీడ్‌వింగ్‌తో అమర్చబడిందని సూచించింది. ఇంజిన్ కోడ్ దీనిని అనుసరించింది మరియు గణనీయమైన ప్రయోగం జరిగినప్పుడు సుదీర్ఘ సేవా కాలం కారణంగా, అనేక రకాల ఇంజన్లు ఉత్పత్తి విమానంలో ఈ క్రింది విధంగా వ్యవస్థాపించబడ్డాయి: ఇంజిన్ కోడ్‌ను చాలా తక్కువ సంఖ్యలో క"&amp;"ేసులలో అనుసరించడం, M, ఇది a అని సూచించింది సింగిల్ సీటర్ మెయిల్‌ప్లేన్‌గా కాన్ఫిగర్ చేయబడింది, ఆపై మోడల్ సంఖ్య. అదే వ్యవస్థను తరువాతి సంఖ్యా డెసిగేషన్ సీక్వెన్స్ తో కూడా ఉపయోగించారు. మెయిల్‌ప్లేన్ యొక్క ఏకైక ఉదాహరణ BM-4000, రైట్ J-5 శక్తితో కూడిన మెయిల్‌ప"&amp;"్లేన్, వీటిలో 7 నిర్మించబడ్డాయి. సాధ్యమయ్యే అన్ని వైవిధ్యాలు నిర్మించబడలేదు. అనుబంధాలు కూడా జోడించబడ్డాయి, అవి చేసిన మార్పులకు ప్రత్యేకమైనవి మరియు తరచుగా మార్పిడులు లేదా పోస్ట్-ప్రొడక్షన్ వెర్షన్లకు సూచిస్తాయి. యు.ఎస్. సివిల్ ఎయిర్క్రాఫ్ట్ వాల్యూమ్ నుండి "&amp;"డేటా. 1 (ATC 1 - 100) [46] సాధారణ లక్షణాల పనితీరు (పాక్షిక జాబితా, చాలా రకాలను మాత్రమే కవర్ చేస్తుంది)")</f>
        <v>ట్రావెల్ ఎయిర్ 2000/3000/4000 (వాస్తవానికి, మోడల్ ఎ, మోడల్ బి మరియు మోడల్ బిహెచ్ [1] 1920 ల చివరలో ట్రావెల్ ఎయిర్ మాన్యుఫ్యాక్చరింగ్ కంపెనీ అమెరికాలో ఉత్పత్తి చేయబడిన ఓపెన్-కాక్‌పిట్ బిప్‌లేన్ విమానం. 1924– కాలంలో " విమానం. స్వాలో న్యూ స్వాలో బిప్‌లేన్. అయితే, ట్రావెల్ ఎయిర్, కొత్త స్వాలో యొక్క చెక్క ఫ్యూజ్‌లేజ్ నిర్మాణాన్ని వెల్డెడ్ స్టీల్ ట్యూబ్‌తో భర్తీ చేసింది. ఒక మధ్యంతర రూపకల్పన, విన్‌స్టెడ్ స్పెషల్, విన్‌స్టెడ్ బ్రదర్స్ చేత స్టీర్మాన్ మరియు స్వాలో వద్ద అభివృద్ధి చేయబడిన మెటల్ ఫ్యూజ్‌లేజ్ ఫ్రేమ్ నుండి అభివృద్ధి చేయబడింది వాల్టర్ బీచ్, కానీ తరువాత స్వాలో ప్రెసిడెంట్ జేక్ మోలెండిక్ తిరస్కరించారు, ఈ నిర్ణయం స్టీర్మాన్ మరియు బీచ్ రెండింటి నిష్క్రమణను మరియు ట్రావెల్ ఎయిర్ యొక్క సృష్టిని ప్రేరేపించింది. . ఫ్యూజ్‌లేజ్ ఫాబ్రిక్-కప్పబడిన వెల్డెడ్ క్రోమియం-మాలిబ్డినం అల్లాయ్ స్టీల్ ట్యూబ్స్, చెక్క బాటెన్స్‌తో ఫెయిర్ చేయబడింది మరియు వాటికి రెండు ఓపెన్ కాక్‌పిట్‌లు ఉన్నాయి, ఫార్వర్డ్ కాక్‌పిట్ ఇద్దరు ప్రయాణీకులను పక్కపక్కనే తీసుకువెళుతుంది. వారు పోలి ఉండే ఫోకర్ D.VII తో సమానంగా, మొదటి ట్రావెల్ ఎయిర్ బైప్లేన్ల యొక్క చుక్కాని మరియు ఐలెరన్లు నియంత్రణలపై ఏరోడైనమిక్ లోడ్లను సమతుల్యం చేయడానికి "కొమ్ములను" కలిగి ఉన్నాయి, నియంత్రణ శక్తులను తగ్గించడానికి మరియు మరింత ప్రతిస్పందించే విమానాల కోసం తయారు చేయడంలో సహాయపడుతుంది. ఇవి విలక్షణమైన ట్రావెల్ ఎయిర్ "ఎలిఫెంట్ ఇయర్" ఐలెరాన్లు, ఇది పాత ఏనుగు చెవులు మరియు విచిత ఫోకర్ యొక్క విమానం యొక్క ప్రసిద్ధ మారుపేర్లకు దారితీసింది. కొన్ని తదుపరి నమూనాలు ప్రతిఘటన లేకుండా అందించబడ్డాయి, తక్కువ లాగడంతో క్లీనర్, మరింత సాంప్రదాయిక రూపాన్ని అందిస్తాయి. పిచ్ శక్తులను ఇన్‌ఫ్లైట్-సర్దుబాటు చేయగల క్షితిజ సమాంతర స్టెబిలైజర్‌తో కత్తిరించవచ్చు. [2] [3] [4] విభిన్న, మార్చుకోగలిగిన రెక్కలు అందించబడ్డాయి, వీటిలో "స్పీడ్వింగ్" అని పిలువబడే చిన్న మరియు సన్నని వింగ్‌తో సహా, ఇది వేగాన్ని మెరుగుపరిచింది. ఆ సమయంలో లభించే 90–300 హెచ్‌పి (67–224 కిలోవాట్) పరిధిలో దాదాపుగా మాస్-ఉత్పత్తి చేసిన ప్రతి ఇంజిన్‌తో సహా గణనీయమైన సంఖ్యలో ఇంజన్లు వ్యవస్థాపించబడ్డాయి మరియు జాబితాలో చూడవచ్చు హోదా ఉపసర్గ. ట్రావెల్ ఎయిర్ 1930 నాటి గుగ్గెన్‌హీమ్ సేఫ్ ఎయిర్‌క్రాఫ్ట్ పోటీలో ప్రత్యేకంగా మార్పు చెందిన మోడల్ 4000-T లోకి ప్రవేశించింది, అయితే అర్హత ట్రయల్స్ సమయంలో అన్ని ఉత్పత్తి విమానాలు ప్రవేశించినట్లుగా ఇది అనర్హులు. ట్రావెల్ ఎయిర్ బైప్లేన్లు వారి మంచి ఎగిరే లక్షణాల కోసం ప్రసిద్ది చెందాయి, ఇది 1929 నాటికి అన్ని ప్రత్యర్థులను అధిగమించడానికి ప్రయాణించడానికి సహాయపడి ఉండవచ్చు. [3] 19. విస్తృత శ్రేణి సాధారణ విమాన అనువర్తనాలతో పాటు, ట్రావెల్ ఎయిర్ బిప్లేన్లు ప్రారంభ చలన చిత్రాలలో విస్తృతమైన ఉపయోగాన్ని చూశాయి, ఇక్కడ అవి తరచుగా పెరుగుతున్న కొరత ఫోకర్ డి.విఐఐ కోసం నిలబడి ఉంటాయి. కర్టిస్ జెఎన్ -4 జెన్నీ వంటి మిగులు సైనిక విమానాలను పక్కన పెడితే, 1920 ల చివరలో మరియు 1930 ల ప్రారంభంలో, ట్రావెల్ ఎయిర్ బైప్లేన్లు, వారి ప్రధాన పోటీదారు వాకోతో పాటు, అమెరికాలో ఎక్కువగా ఉపయోగించబడుతున్న పౌర బైప్లేన్లు. [2] [ 3] ట్రావెల్ ఎయిర్ బైప్లేన్లు ఎగ్జిక్యూటివ్ ట్రాన్స్‌పోర్ట్‌లుగా ప్రాచుర్యం పొందాయి, మరియు చాలా మందిని సంపన్న-స్పోర్ట్స్‌మెన్ సాహసికులు కొనుగోలు చేశారు, వారు ఆ యుగంలో తరచుగా జరిగే పోటీలు మరియు వాయు రేసుల్లో ప్రవేశించారు. [2] [3] ఈ కాలంలోని అనేక విమానాల మాదిరిగానే, అవి ఎయిర్ టాక్సీలుగా కూడా పనిచేశాయి మరియు ఎయిర్ చార్టర్ సేవలను అందించాయి, ప్రయాణీకులు మరియు తేలికపాటి ఎయిర్ కార్గోను తీసుకువెళతాయి, మరియు కొందరు వారు బుష్‌ప్లేన్‌లుగా పనిచేసే చోట ఉత్తరాన ఉన్న మార్గాన్ని కనుగొంటారు. [2] [3] యుద్ధ-సర్ర్ప్లస్ విమానాల సరఫరా క్షీణించినందున మరియు అవి ఉపయోగించిన విమాన మార్కెట్లో అందుబాటులోకి రావడంతో, చాలా మందిని బార్న్‌స్టార్మింగ్ కోసం కూడా ఉపయోగించారు, ఇందులో ఎగ్జిబిషన్ మరియు స్టంట్ ఫ్లయింగ్ మరియు అమ్మకం సవారీలు ఉన్నాయి. [2] [3] వాణిజ్య ఆపరేటర్లు ట్రావెల్ ఎయిర్ బైప్‌లాన్‌లు బహుముఖంగా ఉన్నాయని కనుగొన్నారు, వాటి ఉపయోగకరమైన పేలోడ్, కఠినమైన నిర్మాణం మరియు (సమయాల్లో) వేగం మరియు సామర్థ్యం కారణంగా. [2] 1930 ల చివరి నుండి 1960 ల ప్రారంభం వరకు, వారి కెరీర్ మరెక్కడా ముగిసే సమయానికి, బుష్ ఎగురుతున్న మరియు పంటల యొక్క కఠినమైన పని కోసం అవి ఎక్కువగా ఉపయోగించబడ్డాయి, మరియు ట్రావెల్ ఎయిర్ బైప్లేన్లు ఎక్కువగా ఉపయోగించే క్రాప్డస్టర్లలో ఒకటి, బహుశా మిగులు స్టీర్మాన్ కు రెండవ స్థానంలో ఉన్నాయి కైడెట్ బిప్లేన్లు. [2] [5] మిగిలిన చాలా ట్రావెల్ ఎయిర్ బైప్‌లాన్‌లు పునరుద్ధరించబడ్డాయి మరియు మ్యూజియంలలో ఉన్నాయి, అయితే వ్యక్తిగత వినోదం లేదా విక్రయాలు విక్రయించడం మరియు ఎయిర్‌షోల వద్ద ఎగురుతూ కొద్ది సంఖ్యలో ఉపయోగించబడుతున్నాయి. [2] [4] [7] సాధారణంగా శాన్ డియాగో ప్రాంతంలో ఉన్న 1929 ట్రావెల్ ఎయిర్ అనేది ఏవియేషన్ ట్రాకింగ్ వెబ్‌సైట్ అయిన ఫ్లైట్రాడార్ 24 చే ట్రాక్ చేయబడిన పురాతన క్రమం తప్పకుండా ఎగురుతున్న విమానం. [8] 1927 ట్రావెల్ ఎయిర్ క్రమం తప్పకుండా వాషింగ్టన్ లోని ఓర్కాస్ ద్వీపం నుండి సందర్శనా సవారీలు ఇవ్వడానికి ఉపయోగిస్తారు. [9] 2000/3000/4000 సిరీస్ దాని అభివృద్ధి చక్రం ముగిసే సమయానికి, ఒక జత కొత్త డిజైన్లు, ట్రావెల్ ఎయిర్ 12 మరియు 14 దీనిని భర్తీ చేయడానికి అభివృద్ధి చేయబడ్డాయి - 12 కొంచెం చిన్న రెండు -సీట్ల శిక్షకుడిగా మరియు పెద్ద 14 ప్రత్యక్ష ప్రత్యామ్నాయంగా, కొన్ని మార్కెటింగ్ పేర్లను కొనసాగించడానికి కూడా. ట్రావెల్ ఎయిర్ దాని గుర్తింపును నిలుపుకున్నప్పుడు రెండూ ఎగురుతాయి, కానీ ఒకే సంఖ్యలతో కర్టిస్-రైట్ లైన్‌లో చేర్చబడతాయి. ట్రావెల్ ఎయిర్ బైప్లేన్లు 1920/1930 ల యుద్ధ చలనచిత్రాలలో విస్తృతంగా ఉపయోగించబడ్డాయి, ప్రత్యేకించి అవి తరువాత వచ్చిన విమానాలను సూచించడానికి: జర్మనీ యొక్క ఫోకర్ డి-VII ఫైటర్, మొదటి ప్రపంచ యుద్ధం యొక్క అగ్ర పోరాట యోధుడు. మోషన్ పిక్చర్ పరిశ్రమలో, వాటిని "విచిత" అని పిలుస్తారు. ఫోకర్స్. " వాస్తవానికి, ట్రావెల్ ఎయిర్ బైప్లేన్ల కోసం హాలీవుడ్ యొక్క డిమాండ్ చాలా తీవ్రంగా ఉంది, ట్రావెల్ ఎయిర్ యొక్క కాలిఫోర్నియా సేల్స్ మాన్, ఫ్రెడ్ హోయ్ట్, కోక్స్డ్ ట్రావెల్ ఎయిర్ కో-ఫౌండర్ మరియు ప్రిన్సిపల్ ఎయిర్ప్లేన్ డిజైనర్, లాయిడ్ స్టీర్మాన్, 1926 లో కాలిఫోర్నియాలోని వెనిస్ వద్దకు రావడానికి సినీ పరిశ్రమ డిమాండ్ను దోచుకోవడానికి స్వల్పకాలిక స్వతంత్ర స్టీర్మాన్ ఎయిర్క్రాఫ్ట్ కంపెనీని ప్రారంభించడం ద్వారా అతని విమానం (1927 లో విచితలో తిరిగి ప్రారంభించబడింది). [2] [4] [10] ట్రావెల్ ఎయిర్ బైప్‌లాన్‌లను ఉపయోగించే కొన్ని చలనచిత్రాలలో కొన్ని (2000 మరియు 4000, ముఖ్యంగా): [10] [11] ఏరోఫైల్స్ నుండి తేదీ [12] ప్రారంభంలో ప్రయాణ గాలి ప్రతి రకానికి కేటాయించిన అక్షరాలు, ఇంజిన్‌ను సూచించే ప్రత్యయం. వేరియంట్లు ఒక నిర్దిష్ట క్రమంలో ఉపసర్గలు మరియు ప్రత్యయాలతో వేరు చేయబడ్డాయి మరియు వేర్వేరు అమరికలను సూచిస్తాయి. అన్ని ఇతర ఉపసర్గలకు ముందు ఉన్న ఉపసర్గ, ఇది ఒక సీప్లేన్ మరియు ఫ్లోట్లతో అమర్చబడి ఉంది. తరువాత అది రెక్కలు. B అనేది ప్రామాణిక వింగ్, అసలు ప్రాథమిక ఏనుగు చెవి వింగ్‌తో గందరగోళం చెందకూడదు, మరియు D విమానం స్పీడ్‌వింగ్‌తో అమర్చబడిందని సూచించింది. ఇంజిన్ కోడ్ దీనిని అనుసరించింది మరియు గణనీయమైన ప్రయోగం జరిగినప్పుడు సుదీర్ఘ సేవా కాలం కారణంగా, అనేక రకాల ఇంజన్లు ఉత్పత్తి విమానంలో ఈ క్రింది విధంగా వ్యవస్థాపించబడ్డాయి: ఇంజిన్ కోడ్‌ను చాలా తక్కువ సంఖ్యలో కేసులలో అనుసరించడం, M, ఇది a అని సూచించింది సింగిల్ సీటర్ మెయిల్‌ప్లేన్‌గా కాన్ఫిగర్ చేయబడింది, ఆపై మోడల్ సంఖ్య. అదే వ్యవస్థను తరువాతి సంఖ్యా డెసిగేషన్ సీక్వెన్స్ తో కూడా ఉపయోగించారు. మెయిల్‌ప్లేన్ యొక్క ఏకైక ఉదాహరణ BM-4000, రైట్ J-5 శక్తితో కూడిన మెయిల్‌ప్లేన్, వీటిలో 7 నిర్మించబడ్డాయి. సాధ్యమయ్యే అన్ని వైవిధ్యాలు నిర్మించబడలేదు. అనుబంధాలు కూడా జోడించబడ్డాయి, అవి చేసిన మార్పులకు ప్రత్యేకమైనవి మరియు తరచుగా మార్పిడులు లేదా పోస్ట్-ప్రొడక్షన్ వెర్షన్లకు సూచిస్తాయి. యు.ఎస్. సివిల్ ఎయిర్క్రాఫ్ట్ వాల్యూమ్ నుండి డేటా. 1 (ATC 1 - 100) [46] సాధారణ లక్షణాల పనితీరు (పాక్షిక జాబితా, చాలా రకాలను మాత్రమే కవర్ చేస్తుంది)</v>
      </c>
      <c r="E174" s="1" t="s">
        <v>2744</v>
      </c>
      <c r="F174" s="1" t="str">
        <f>IFERROR(__xludf.DUMMYFUNCTION("GOOGLETRANSLATE(E:E, ""en"", ""te"")"),"బిప్‌లేన్ విమానం")</f>
        <v>బిప్‌లేన్ విమానం</v>
      </c>
      <c r="I174" s="1" t="s">
        <v>2745</v>
      </c>
      <c r="J174" s="1" t="str">
        <f>IFERROR(__xludf.DUMMYFUNCTION("GOOGLETRANSLATE(I:I, ""en"", ""te"")"),"ట్రావెల్ ఎయిర్, కర్టిస్-రైట్")</f>
        <v>ట్రావెల్ ఎయిర్, కర్టిస్-రైట్</v>
      </c>
      <c r="K174" s="1" t="s">
        <v>2746</v>
      </c>
      <c r="L174" s="1" t="s">
        <v>2747</v>
      </c>
      <c r="M174" s="1" t="s">
        <v>2748</v>
      </c>
      <c r="N174" s="1" t="s">
        <v>2749</v>
      </c>
      <c r="O174" s="1" t="s">
        <v>1208</v>
      </c>
      <c r="P174" s="1" t="s">
        <v>2750</v>
      </c>
      <c r="R174" s="1" t="s">
        <v>2751</v>
      </c>
      <c r="S174" s="1" t="s">
        <v>2752</v>
      </c>
      <c r="T174" s="1" t="s">
        <v>2753</v>
      </c>
      <c r="U174" s="1" t="s">
        <v>2754</v>
      </c>
      <c r="V174" s="1" t="s">
        <v>2755</v>
      </c>
      <c r="W174" s="1" t="s">
        <v>524</v>
      </c>
      <c r="X174" s="1" t="s">
        <v>1570</v>
      </c>
      <c r="Y174" s="1" t="s">
        <v>2756</v>
      </c>
      <c r="Z174" s="1" t="s">
        <v>2157</v>
      </c>
      <c r="AA174" s="1" t="s">
        <v>2757</v>
      </c>
      <c r="AD174" s="1" t="s">
        <v>2103</v>
      </c>
      <c r="AE174" s="1" t="s">
        <v>2758</v>
      </c>
      <c r="AF174" s="1" t="s">
        <v>2759</v>
      </c>
      <c r="AG174" s="1" t="s">
        <v>518</v>
      </c>
      <c r="AJ174" s="1" t="s">
        <v>2760</v>
      </c>
      <c r="AK174" s="1" t="s">
        <v>2761</v>
      </c>
      <c r="AQ174" s="1" t="s">
        <v>2762</v>
      </c>
      <c r="AR174" s="1" t="s">
        <v>253</v>
      </c>
      <c r="AT174" s="1" t="s">
        <v>2763</v>
      </c>
      <c r="AX174" s="1" t="s">
        <v>2764</v>
      </c>
      <c r="BN174" s="1">
        <v>1925.0</v>
      </c>
      <c r="BZ174" s="1" t="s">
        <v>2765</v>
      </c>
      <c r="CB174" s="1" t="s">
        <v>2766</v>
      </c>
      <c r="CD174" s="1" t="s">
        <v>1964</v>
      </c>
      <c r="CI174" s="1" t="s">
        <v>2767</v>
      </c>
      <c r="CX174" s="1" t="s">
        <v>2768</v>
      </c>
      <c r="DG174" s="1" t="s">
        <v>2769</v>
      </c>
      <c r="DH174" s="1" t="s">
        <v>2770</v>
      </c>
    </row>
    <row r="175">
      <c r="A175" s="1" t="s">
        <v>2771</v>
      </c>
      <c r="B175" s="1" t="str">
        <f>IFERROR(__xludf.DUMMYFUNCTION("GOOGLETRANSLATE(A:A, ""en"", ""te"")"),"నార్డ్ ఏవియేషన్ ఎన్ 500 క్యాడెట్")</f>
        <v>నార్డ్ ఏవియేషన్ ఎన్ 500 క్యాడెట్</v>
      </c>
      <c r="C175" s="1" t="s">
        <v>2772</v>
      </c>
      <c r="D175" s="1" t="str">
        <f>IFERROR(__xludf.DUMMYFUNCTION("GOOGLETRANSLATE(C:C, ""en"", ""te"")"),"నార్డ్ ఏవియేషన్ ఎన్ 500 క్యాడెట్ 1967 లో నార్డ్ ఏవియేషన్ నిర్మించిన సింగిల్-సీట్ల VTOL పరిశోధన విమానం. ఈ భావనను ప్రదర్శించే మోడల్ కిట్ మొదట 1965 లో లే బౌర్జెట్‌లో జరిగిన పారిస్ ఎయిర్ షోలో చూపబడింది. ఈ విమానం ఇద్దరు వాహిక అభిమానులచే నడపబడింది, అభిమానికి మూ"&amp;"డు బ్లేడ్‌లతో, చిన్న రెక్కలపై అమర్చబడి, నిలువు మరియు క్షితిజ సమాంతర థ్రస్ట్ అందించడం మధ్య పైవట్ చేయగలిగారు. రెండు ప్రోటోటైప్‌లు నిర్మించబడ్డాయి, ఒకటి జూలై 1968 లో దాని మొదటి (కలప) విమానాలను రూపొందించింది. సాధారణ లక్షణాల పనితీరు సంబంధిత జాబితాలు")</f>
        <v>నార్డ్ ఏవియేషన్ ఎన్ 500 క్యాడెట్ 1967 లో నార్డ్ ఏవియేషన్ నిర్మించిన సింగిల్-సీట్ల VTOL పరిశోధన విమానం. ఈ భావనను ప్రదర్శించే మోడల్ కిట్ మొదట 1965 లో లే బౌర్జెట్‌లో జరిగిన పారిస్ ఎయిర్ షోలో చూపబడింది. ఈ విమానం ఇద్దరు వాహిక అభిమానులచే నడపబడింది, అభిమానికి మూడు బ్లేడ్‌లతో, చిన్న రెక్కలపై అమర్చబడి, నిలువు మరియు క్షితిజ సమాంతర థ్రస్ట్ అందించడం మధ్య పైవట్ చేయగలిగారు. రెండు ప్రోటోటైప్‌లు నిర్మించబడ్డాయి, ఒకటి జూలై 1968 లో దాని మొదటి (కలప) విమానాలను రూపొందించింది. సాధారణ లక్షణాల పనితీరు సంబంధిత జాబితాలు</v>
      </c>
      <c r="E175" s="1" t="s">
        <v>2773</v>
      </c>
      <c r="F175" s="1" t="str">
        <f>IFERROR(__xludf.DUMMYFUNCTION("GOOGLETRANSLATE(E:E, ""en"", ""te"")"),"VTOL పరిశోధన విమానం")</f>
        <v>VTOL పరిశోధన విమానం</v>
      </c>
      <c r="G175" s="1" t="s">
        <v>113</v>
      </c>
      <c r="H175" s="1" t="str">
        <f>IFERROR(__xludf.DUMMYFUNCTION("GOOGLETRANSLATE(G:G, ""en"", ""te"")"),"ఫ్రాన్స్")</f>
        <v>ఫ్రాన్స్</v>
      </c>
      <c r="I175" s="1" t="s">
        <v>2774</v>
      </c>
      <c r="J175" s="1" t="str">
        <f>IFERROR(__xludf.DUMMYFUNCTION("GOOGLETRANSLATE(I:I, ""en"", ""te"")"),"నార్డ్ ఏవియేషన్ ఏరోస్పాటియాల్")</f>
        <v>నార్డ్ ఏవియేషన్ ఏరోస్పాటియాల్</v>
      </c>
      <c r="K175" s="1" t="s">
        <v>2775</v>
      </c>
      <c r="N175" s="4">
        <v>25020.0</v>
      </c>
      <c r="O175" s="1">
        <v>1.0</v>
      </c>
      <c r="P175" s="1" t="s">
        <v>2776</v>
      </c>
      <c r="Q175" s="1" t="s">
        <v>2777</v>
      </c>
      <c r="V175" s="1" t="s">
        <v>2778</v>
      </c>
      <c r="W175" s="1" t="s">
        <v>2779</v>
      </c>
      <c r="AB175" s="1" t="s">
        <v>2780</v>
      </c>
      <c r="AC175" s="2" t="s">
        <v>713</v>
      </c>
      <c r="AJ175" s="1">
        <v>2.0</v>
      </c>
      <c r="BH175" s="1" t="s">
        <v>2781</v>
      </c>
    </row>
    <row r="176">
      <c r="A176" s="1" t="s">
        <v>2782</v>
      </c>
      <c r="B176" s="1" t="str">
        <f>IFERROR(__xludf.DUMMYFUNCTION("GOOGLETRANSLATE(A:A, ""en"", ""te"")"),"వుల్టీ XP-68 సుడిగాలి")</f>
        <v>వుల్టీ XP-68 సుడిగాలి</v>
      </c>
      <c r="C176" s="1" t="s">
        <v>2783</v>
      </c>
      <c r="D176" s="1" t="str">
        <f>IFERROR(__xludf.DUMMYFUNCTION("GOOGLETRANSLATE(C:C, ""en"", ""te"")"),"తరువాతి వ్యక్తి XP-68 సుడిగాలి అమెరికన్ హై-ఎలిట్యూడ్ ఇంటర్‌సెప్టర్ విమానాన్ని ప్రతిపాదించారు. ఇది ప్రయోగాత్మక XP-54 స్వూస్ గూస్ ఆధారంగా మరియు రైట్ R-2160 సుడిగాలి 42-సిలిండర్ రేడియల్ ఇంజిన్ చేత శక్తినిస్తుంది, ట్విన్-బూమ్ పషర్ కాన్ఫిగరేషన్‌లో కాంట్రా-రొటే"&amp;"టింగ్ ప్రొపెల్లర్ల సమితిని నడుపుతుంది. 22 నవంబర్ 1941 న ఇంజిన్ రద్దు చేయబడినప్పుడు, XP-68 కూడా రద్దు చేయబడింది. అమెరికా వైమానిక దళం యొక్క ఫైటర్స్ నుండి వచ్చిన డేటా: మొదటి ప్రపంచ యుద్ధం నుండి F-117 వరకు [1] సాధారణ లక్షణాలు పనితీరు ఆయుధాల సంబంధిత అభివృద్ధి "&amp;"విమానం పోల్చదగిన పాత్ర, కాన్ఫిగరేషన్ మరియు ERA మోడల్ నంబరింగ్ కొనసాగించడం ద్వారా కొనసాగింది ఈ విమానం-సంబంధిత వ్యాసం ఒక స్టబ్ . మీరు వికీపీడియాను విస్తరించడం ద్వారా సహాయం చేయవచ్చు. ఈ అమెరికా మిలిటరీ వ్యాసం ఒక స్టబ్. వికీపీడియా విస్తరించడం ద్వారా మీరు సహాయప"&amp;"డవచ్చు.")</f>
        <v>తరువాతి వ్యక్తి XP-68 సుడిగాలి అమెరికన్ హై-ఎలిట్యూడ్ ఇంటర్‌సెప్టర్ విమానాన్ని ప్రతిపాదించారు. ఇది ప్రయోగాత్మక XP-54 స్వూస్ గూస్ ఆధారంగా మరియు రైట్ R-2160 సుడిగాలి 42-సిలిండర్ రేడియల్ ఇంజిన్ చేత శక్తినిస్తుంది, ట్విన్-బూమ్ పషర్ కాన్ఫిగరేషన్‌లో కాంట్రా-రొటేటింగ్ ప్రొపెల్లర్ల సమితిని నడుపుతుంది. 22 నవంబర్ 1941 న ఇంజిన్ రద్దు చేయబడినప్పుడు, XP-68 కూడా రద్దు చేయబడింది. అమెరికా వైమానిక దళం యొక్క ఫైటర్స్ నుండి వచ్చిన డేటా: మొదటి ప్రపంచ యుద్ధం నుండి F-117 వరకు [1] సాధారణ లక్షణాలు పనితీరు ఆయుధాల సంబంధిత అభివృద్ధి విమానం పోల్చదగిన పాత్ర, కాన్ఫిగరేషన్ మరియు ERA మోడల్ నంబరింగ్ కొనసాగించడం ద్వారా కొనసాగింది ఈ విమానం-సంబంధిత వ్యాసం ఒక స్టబ్ . మీరు వికీపీడియాను విస్తరించడం ద్వారా సహాయం చేయవచ్చు. ఈ అమెరికా మిలిటరీ వ్యాసం ఒక స్టబ్. వికీపీడియా విస్తరించడం ద్వారా మీరు సహాయపడవచ్చు.</v>
      </c>
      <c r="E176" s="1" t="s">
        <v>346</v>
      </c>
      <c r="F176" s="1" t="str">
        <f>IFERROR(__xludf.DUMMYFUNCTION("GOOGLETRANSLATE(E:E, ""en"", ""te"")"),"యుద్ధ")</f>
        <v>యుద్ధ</v>
      </c>
      <c r="G176" s="1" t="s">
        <v>155</v>
      </c>
      <c r="H176" s="1" t="str">
        <f>IFERROR(__xludf.DUMMYFUNCTION("GOOGLETRANSLATE(G:G, ""en"", ""te"")"),"అమెరికా")</f>
        <v>అమెరికా</v>
      </c>
      <c r="I176" s="1" t="s">
        <v>2784</v>
      </c>
      <c r="J176" s="1" t="str">
        <f>IFERROR(__xludf.DUMMYFUNCTION("GOOGLETRANSLATE(I:I, ""en"", ""te"")"),"తరువాతి విమానం")</f>
        <v>తరువాతి విమానం</v>
      </c>
      <c r="K176" s="1" t="s">
        <v>2785</v>
      </c>
      <c r="N176" s="1" t="s">
        <v>2786</v>
      </c>
      <c r="O176" s="1" t="s">
        <v>1208</v>
      </c>
      <c r="P176" s="1" t="s">
        <v>2787</v>
      </c>
      <c r="Q176" s="1" t="s">
        <v>2788</v>
      </c>
      <c r="R176" s="1" t="s">
        <v>312</v>
      </c>
      <c r="S176" s="1" t="s">
        <v>2789</v>
      </c>
      <c r="T176" s="1" t="s">
        <v>2790</v>
      </c>
      <c r="U176" s="1" t="s">
        <v>2791</v>
      </c>
      <c r="V176" s="1" t="s">
        <v>2792</v>
      </c>
      <c r="W176" s="1" t="s">
        <v>2793</v>
      </c>
      <c r="X176" s="1" t="s">
        <v>2794</v>
      </c>
      <c r="Y176" s="1" t="s">
        <v>2795</v>
      </c>
      <c r="Z176" s="1" t="s">
        <v>2796</v>
      </c>
      <c r="AA176" s="1" t="s">
        <v>2797</v>
      </c>
      <c r="AD176" s="1" t="s">
        <v>2798</v>
      </c>
      <c r="AF176" s="1" t="s">
        <v>2799</v>
      </c>
      <c r="AJ176" s="1" t="s">
        <v>1175</v>
      </c>
      <c r="CA176" s="1" t="s">
        <v>2800</v>
      </c>
    </row>
    <row r="177">
      <c r="A177" s="1" t="s">
        <v>2801</v>
      </c>
      <c r="B177" s="1" t="str">
        <f>IFERROR(__xludf.DUMMYFUNCTION("GOOGLETRANSLATE(A:A, ""en"", ""te"")"),"హెవిట్-సెస్పెర్రీ ఆటోమేటిక్ విమానం")</f>
        <v>హెవిట్-సెస్పెర్రీ ఆటోమేటిక్ విమానం</v>
      </c>
      <c r="C177" s="1" t="s">
        <v>2802</v>
      </c>
      <c r="D177" s="1" t="str">
        <f>IFERROR(__xludf.DUMMYFUNCTION("GOOGLETRANSLATE(C:C, ""en"", ""te"")"),"హెవిట్-సెపెరీ ఆటోమేటిక్ విమానం మొదటి ప్రపంచ యుద్ధంలో ఎగిరే బాంబును అభివృద్ధి చేయడానికి లేదా పేలుడు పదార్థాలను దాని లక్ష్యానికి తీసుకెళ్లగల సామర్థ్యం గల పైలట్‌లెస్ విమానం. ఇది క్రూయిజ్ క్షిపణికి పూర్వగామిగా కొందరు భావిస్తారు. మొదటి ప్రపంచ యుద్ధానికి ముందు,"&amp;" విమానాలను నియంత్రించడానికి రేడియోను ఉపయోగించే అవకాశం చాలా మంది ఆవిష్కర్తలను ఆశ్చర్యపరిచింది. వీటిలో ఒకటి, ఎల్మెర్ స్పెర్రీ, యుఎస్ నేవీ యొక్క ఆసక్తిని రేకెత్తించడంలో విజయం సాధించాడు. స్పెర్రీ 1896 నుండి నావికాదళ ఉపయోగం కోసం గైరోస్కోప్‌లను పరిపూర్ణంగా చేస్"&amp;"తున్నాడు మరియు 1910 లో స్పెర్రీ గైరోస్కోప్ కంపెనీని స్థాపించాడు. 1911 లో, విమానాలు ఎనిమిది సంవత్సరాలుగా మాత్రమే ఎగురుతున్నాయి, ఇంకా వారికి రేడియో నియంత్రణను వర్తించే భావనతో స్పెర్రీ ఆసక్తిని కనబరిచారు. రేడియో నియంత్రణ ప్రభావవంతంగా ఉండటానికి, ఆటోమేటిక్ స్ట"&amp;"ెబిలైజేషన్ చాలా అవసరం అని అతను గ్రహించాడు, కాబట్టి అతను తన నావికాదళ గైరో-స్టెబిలైజర్లను (అతను డిస్ట్రాయర్ల కోసం అభివృద్ధి చేశాడు) స్వీకరించాలని నిర్ణయించుకున్నాడు. 1913 లో, నేవీ గైరో ఆధారిత ఆటోపైలట్‌ను పరీక్షించడానికి మరియు అంచనా వేయడానికి ఎగిరే పడవను అంద"&amp;"ించింది. స్పెర్రీ కుమారుడు లారెన్స్ పరీక్ష దశలో ఇంజనీర్‌గా పనిచేశారు. 1914 లో, లారెన్స్ స్పెర్రీ ఐరోపాలో ఉన్నాడు మరియు విమానాల వాడకంతో సహా వైమానిక యుద్ధం యొక్క అభివృద్ధి చెందుతున్న పద్ధతులను గమనించాడు. 1915 లో, న్యూయార్క్ ట్రిబ్యూన్ ఈ ప్రాజెక్ట్ వార్తలను "&amp;"విచ్ఛిన్నం చేసింది. [1] 1916 లో, ఇద్దరు స్పెర్రిస్ రేడియో-సంబంధిత పరికరాల ప్రారంభ ఆవిష్కర్త పీటర్ హెవిట్‌లో చేరారు, పేలుడుతో నిండిన పైలట్‌లెస్ విమానం అభివృద్ధి చెందారు. ఎల్మెర్ స్పెర్రీ మరియు హెవిట్ కలిసి నావల్ కన్సల్టింగ్ బోర్డులో పనిచేశారు, అక్కడ వారిద్"&amp;"దరూ ఏరోనాటిక్స్ మరియు ఏరోనాటికల్ మోటార్స్ కమిటీలో సభ్యులు. ఈ కనెక్షన్ల కారణంగా, వారు సమావేశమైన నియంత్రణ పరికరాలను పరిశీలించడానికి వారు నేవీ యొక్క బ్యూరో ఆఫ్ ఆర్డినెన్స్, లెఫ్టినెంట్ టి. ఎస్. విల్కిన్సన్ ప్రతినిధికి ఏర్పాట్లు చేయగలిగారు. ఈ వ్యవస్థలో గైరోస్"&amp;"కోపిక్ స్టెబిలైజర్, డైరెక్టివ్ గైరోస్కోప్, ఎత్తును నియంత్రించడానికి అనోయిడ్ బేరోమీటర్, రడ్డర్లు మరియు ఐలెరాన్‌ల నియంత్రణ కోసం సర్వో-మోటారులు మరియు దూర గేరింగ్ కోసం ఒక పరికరం ఉన్నాయి. ఇవన్నీ ఒక విమానంలో వ్యవస్థాపించబడతాయి, వీటిని నీటి నుండి కాటాపుల్ చేయవచ్"&amp;"చు లేదా ఎగురవేయవచ్చు మరియు ముందుగా నిర్ణయించిన ఎత్తుకు ఎక్కి, ముందే సెట్ చేసిన కోర్సును ఎగురవేస్తుంది మరియు ముందే సెట్ చేసిన దూరం ప్రయాణించిన తరువాత, దాని బాంబులను వదలండి లేదా భూమికి డైవ్ చేయండి . విల్కిన్సన్ ఈ ఆయుధానికి ఓడను కొట్టడానికి తగినంత ఖచ్చితత్వం"&amp;" లేదని నివేదించాడు, కాని, దాని పరిధి 50 నుండి 100 మైళ్ళు (80 నుండి 161 కిమీ) కారణంగా, ఇది సైన్యానికి ఆసక్తి కలిగి ఉండవచ్చు. ఏదేమైనా, జర్మనీపై అమెరికా యుద్ధం ప్రకటించిన తరువాత, ఈ ఆలోచనను తిరిగి సందర్శించాలని స్పెర్రీ నావికాదళాన్ని కోరడం ప్రారంభించాడు. నావల"&amp;"్ కన్సల్టింగ్ బోర్డు అతనికి మద్దతు ఇచ్చింది మరియు ఈ పని కోసం $ 50,000 ను విభజించమని నేవీ కార్యదర్శిని అధికారికంగా అభ్యర్థించింది. ఈ విధంగా ప్రభుత్వం తన యుద్ధ సన్నాహాలలో ఎగిరే బాంబు లేదా వైమానిక టార్పెడో అభివృద్ధిని కలిగి ఉంది. రకం ఆయుధం కోసం రెండు తరగతులన"&amp;"ు ఏర్పాటు చేసేంతవరకు సెనేట్ వెళ్ళింది, ఒకటి వైర్‌లెస్ నియంత్రణ కోసం, మరొకటి పూర్తిగా ఆటోమేటిక్ ఆపరేషన్ కోసం. తుది ఆమోదం మే 17, 1917 న వచ్చింది, మరియు నేవీ ఐదు (తరువాత ఏడు వరకు) కర్టిస్ ఎన్ -9 సీప్లేన్లను అందించడానికి మరియు స్పెర్రీ ఆటోమేటిక్ కంట్రోల్ గేర్"&amp;" యొక్క ఆరు సెట్లను కొనుగోలు చేయడానికి అంగీకరించింది. నేవీ కార్యదర్శి జోసెఫస్ డేనియల్స్ ఈ ప్రాజెక్ట్ కోసం, 000 200,000 ఖర్చు చేయడానికి అంగీకరించారు, బ్యూరో ఆఫ్ ఆర్డినెన్స్, బ్యూరో ఆఫ్ కన్స్ట్రక్షన్ అండ్ రిపేర్ మరియు బ్యూరో ఆఫ్ ఇంజనీరింగ్ చేత నిర్వహించబడే డ"&amp;"బ్బుతో. లాంగ్ ఐలాండ్‌లోని కోపియాగ్‌లో ఈ ఆపరేషన్ స్థాపించబడింది. ఆటోపైలట్ పరికరాలు ఇప్పటికే రూపొందించబడ్డాయి, కాని రేడియో నియంత్రణ వ్యవస్థ పూర్తిగా అభివృద్ధి చేయబడలేదు, కాబట్టి హాంగర్లను కోపియాగ్‌లో నిర్మిస్తున్నప్పుడు, స్పెర్రీ ఈ అంశంపై తన దృష్టిని మరల్చా"&amp;"డు, పేటెంట్ పొందిన రేడియో-సంబంధిత ఆవిష్కరణలకు హక్కులను కొనుగోలు చేశాడు. అంతిమంగా, అయితే, రేడియో నియంత్రణ వ్యవస్థలు హెవిట్-సెపెరి ఆటోమేటిక్ విమానంలో ఉపయోగించబడలేదు. తరువాత, 1922 లో, ఆర్మీ ఎయిర్ సర్వీసెస్ ఇంజనీరింగ్ డివిజన్ కోసం గేర్‌తో పాటు అనేక వెర్విల్లే"&amp;"-రూపొందించిన విమానాలలో ఈ వ్యవస్థను ఏర్పాటు చేశారు. ఈ విమానాలు 30, 60 మరియు 90 మైళ్ళు (140 కిమీ) పరిధి నుండి వారి లక్ష్యాలను విజయవంతంగా చేరుకున్నాయి. ఆటోపైలట్-అమర్చిన విమానం యొక్క మొదటి పరీక్ష విమానాలు 1917 సెప్టెంబరులో ఉన్నాయి మరియు టేకాఫ్ ఎగరడానికి బోర్డ"&amp;"ులో మానవ పైలట్‌తో జరిగింది. నవంబర్ నాటికి, సిస్టమ్ విజయవంతంగా విమానాన్ని దాని ఉద్దేశించిన లక్ష్యానికి 30-మైళ్ల (48 కిమీ) పరిధిలో ఎగిరింది, ఇక్కడ దూర-కొలత గేర్ ఇసుక సంచిని వదులుతుంది. ఖచ్చితత్వం లక్ష్యం యొక్క రెండు మైళ్ళ (3 కిమీ) లో ఉంది. టెస్ట్ విమానాలను "&amp;"గమనించిన తరువాత, రియర్ అడ్మిరల్ రాల్ఫ్ ఎర్లే జర్మన్ యు-బోట్ ముప్పును తొలగించడానికి ఒక కార్యక్రమాన్ని ప్రతిపాదించారు, వీటిలో ఒక అంశం ఫ్లయింగ్ బాంబులను ఉపయోగించడం, నేవీ షిప్స్ నుండి ప్రారంభించిన, విల్హెల్మ్‌షావెన్, కుక్స్‌హావెన్ మరియు హెలిగోలాండ్ వద్ద జలాంత"&amp;"ర్గామి స్థావరాలపై దాడి చేయడానికి. అంతిమంగా ఈ ప్రణాళిక తిరస్కరించబడింది, కాని ప్రవచనం యొక్క ఒక అంశాన్ని కలిగి ఉంది, ఎందుకంటే సెప్టెంబర్ 1944 లో, రెండవ ప్రపంచ యుద్ధంలో, హెలిగోలాండ్ వద్ద జలాంతర్గామి సంస్థాపనలపై డ్రోన్ దాడి చేయడంతో సవరించిన B-24 ఎగురుతూ ఉంది."&amp;" ఎర్లే యొక్క సిఫారసు తిరస్కరించడమే కాక, వ్యవస్థ యొక్క అభివృద్ధి కొనసాగించాలని నేవీ ప్రకటించింది, దీనికి ఉత్పత్తి వనరులను దానికి మళ్లించలేము, మరియు అది ఉత్పత్తిలోకి వెళ్ళడం కాదు. N-9 ఫ్లైట్ టెస్ట్ ప్రోగ్రామ్ ప్రారంభమైనప్పుడు, మరింత సమర్థవంతమైన ఎయిర్‌ఫ్రేమ్"&amp;" అవసరమని స్పష్టమైంది. యుద్ధ ఉత్పత్తి డెలివరీలను మళ్లించలేనందున, అక్టోబర్, 1917 లో ప్రత్యేకమైన, రష్ ఆర్డర్‌ను కర్టిస్‌తో ఉంచారు, ప్రత్యేకమైన డిజైన్ యొక్క ఆరు విమానాల కోసం, 500 పౌండ్లు (230 కిలోలు) ఖాళీ బరువుతో, 90 mph (140 కి.మీ. . వారు కర్టిస్-సెస్పెర్రీ "&amp;"ఫ్లయింగ్ బాంబుగా ప్రసిద్ది చెందారు. ఇది రిమోట్ కంట్రోల్ కాన్సెప్ట్‌కు అంకితమైన డిజైన్ కాబట్టి, విమానాలలో సీట్లు లేదా ప్రామాణిక పైలట్ నియంత్రణలు లేవు. ఉత్పత్తి ప్రారంభమయ్యే ముందు డిజైన్ యొక్క ఫ్లైట్ లేదా విండ్-టన్నెల్ పరీక్ష జరగలేదు. మొదటిది నవంబర్ 10 న పం"&amp;"పిణీ చేయబడింది. డిజైనర్లకు అత్యంత భయంకరమైన సవాళ్లలో ఒకటి ప్రయోగ విధానం. హెవిట్ మరియు స్పెర్రీ చేత vision హించిన అసలు భావన కాటాపుల్ట్ మెకానిజం లేదా నీటి నుండి (N-9 లు సీప్లేన్లు, ఎగిరే బాంబు కాదు). ఫ్లయింగ్ బాంబు కోసం, పొడవైన తీగను జారడం ద్వారా దాన్ని ప్రా"&amp;"రంభించడానికి ప్రయత్నించాలని నిర్ణయించారు. నవంబర్ మరియు డిసెంబర్ 1917 లో, ఫ్లయింగ్ బాంబును ప్రారంభించడానికి మూడు ప్రయత్నాలు జరిగాయి. మొదటి ప్రయోగంలో, విమానం వైర్ నుండి దిగడంతో ఒక వింగ్ దెబ్బతింది, మరియు రెండవది, విమానం వైర్ నుండి ఎత్తివేసింది, కాని వెంటనే "&amp;"నేలమీద పడిపోయింది. వైర్ పద్ధతిని 150 అడుగుల (46 మీ) ట్రాక్‌తో సాంప్రదాయ కాటాపుల్ట్‌కు అనుకూలంగా వదిలివేయబడింది, 3-టన్నుల బరువు నుండి శక్తిని 30 అడుగుల (9.1 మీ) ఎత్తు నుండి తొలగించారు. మూడవ ప్రయత్నంలో, విమానం బండి వెనుక వెనుకబడి, ప్రొపెల్లర్‌ను దెబ్బతీసింద"&amp;"ి, మరియు విమానం దాని ముక్కు మీద పల్టీలు కొట్టింది. జనవరి, 1918 లో మరో రెండు ప్రయత్నాలు, విమానం వాయుమార్గాలిని చూసింది, కానీ ఇది చాలా తోక-భారీగా ఉంది, కాబట్టి ఇది వెంటనే నిలిచిపోయింది మరియు వెంటనే క్రాష్ అయ్యింది. విమానం యొక్క సామర్థ్యాల యొక్క కొన్ని విమాన"&amp;" పరీక్ష మూల్యాంకనం అవసరమని గ్రహించబడింది. విమానాలలో ఒకటి ల్యాండింగ్ గేర్, సీటు మరియు ప్రామాణిక నియంత్రణ స్టిక్ కోసం స్లెడ్ ​​రన్నర్లతో అమర్చారు, మరియు లారెన్స్ స్పెర్రీ అతను టెస్ట్ పైలట్ అని నిర్ణయించుకున్నాడు. మంచు మీద టాక్సీ చేస్తున్నప్పుడు, అతను కొంత మ"&amp;"ురికిగా మంచు కొట్టాడు మరియు స్పెర్రీ గాయపడకపోయినా, విమానం ధ్వంసమయ్యాడు. రెండవ విమానం అమర్చబడింది, మరియు స్పెర్రీ దానిని గాలిలోకి తీసుకురాగలిగాడు, కాని ఆటోమేటిక్ పైలట్ నిశ్చితార్థం అయినప్పుడు నియంత్రణ కోల్పోయింది. రెండు పూర్తి రోల్స్ తరువాత, స్పెర్రీ నియంత"&amp;"్రణను తిరిగి పొందగలిగాడు మరియు సురక్షితంగా ల్యాండ్ చేయగలిగాడు. స్పష్టంగా, అయితే, ప్రాథమిక రూపకల్పనను విమాన పరీక్షపై ఎక్కువ శ్రద్ధ అవసరం, ముఖ్యంగా లక్షణాలను నిర్వహించే ప్రాంతంలో. స్పెర్రీ మరియు అతని సహాయకుడు, ఎన్. డబ్ల్యూ. డాల్టన్, మార్మన్ ఆటోమొబైల్‌ను పొం"&amp;"దారు మరియు కర్టిస్-స్పేరి ఫ్లయింగ్ బాంబును దాని పైభాగానికి అమర్చారు. ఈ కాన్ఫిగరేషన్‌లో, స్పెర్రీ మరియు అతని సిబ్బంది లాంగ్ ఐలాండ్ మోటార్ పార్క్‌వేను 80 mph (130 km/h) వద్ద నడిపారు, ఇది ఓపెన్-ఎయిర్ విండ్ టన్నెల్ యొక్క మొదటి ఉదాహరణలలో ఒకటి, మరియు విమాన నియం"&amp;"త్రణలను వారు వాంఛనీయ సెట్టింగులు అని వారు భావించిన దానితో సర్దుబాటు చేశారు. . ఫ్యూజ్‌లేజ్ యొక్క రూపకల్పన కొద్దిగా మార్చబడింది, దానిని రెండు అడుగులు పొడిగించారు. మార్మన్ విమాన నియంత్రణలను సర్దుబాటు చేయడానికి ఒక అద్భుతమైన మార్గం మాత్రమే కాదు, ఇది మంచి లాంచి"&amp;"ంగ్ ప్లాట్‌ఫామ్ అని కూడా గ్రహించబడింది మరియు ఇది మార్చి 6, 1918 న ప్రయత్నించబడింది. విమానం కారును శుభ్రంగా వదిలి, స్థిరమైన విమానంలో ప్రయాణించింది దూర-కొలిచే గేర్ కోసం 1,000 గజాలు (910 మీ). చరిత్రలో మొట్టమొదటిసారిగా, మానవరహిత, గాలి కంటే భారీ వాహనం నియంత్రి"&amp;"త విమానంలో ఎగిరింది. అయితే, ఈ ఫీట్ నకిలీ చేయబడలేదు మరియు రహదారి చాలా కఠినంగా ఉందని భావించారు. మార్మోన్ రైల్‌రోడ్ వీల్స్, మరియు న్యూయార్క్‌లోని ఫార్మింగ్‌డేల్‌కు తూర్పున నాలుగు మైళ్ళు (6 కి.మీ) లాంగ్ ఐలాండ్ రైల్ రోడ్ యొక్క ఉపయోగించని స్పర్ తిరిగి సేవలో ఉంచ"&amp;"బడింది. మొదటి ప్రయత్నంలో, పూర్తి ఎగిరే వేగం చేరుకోవడానికి ముందు, విమానం ముందు చక్రాలను ట్రాక్ నుండి పెంచడానికి తగినంత లిఫ్ట్‌ను అభివృద్ధి చేసింది మరియు మరొక క్రాష్ ఫలితంగా. ఇది కాటాపుల్ట్ వ్యవస్థను తిరిగి ఆలోచించే సమయం, మరియు దానిని రూపొందించడంలో సహాయపడటా"&amp;"నికి, స్పెర్రీ మరియు హెవిట్ కార్ల్ నార్డెన్ అనే యువ మరియు మంచి ఇంజనీర్‌ను నియమించారు. కొత్త వ్యవస్థతో మొదటి ప్రయత్నం ఆగస్టు, 1918 లో జరిగింది, మరియు అది కూడా క్రాష్‌కు దారితీసింది. మరో రెండు పరీక్షలు ప్రయత్నించబడ్డాయి, ఫ్లయింగ్ బాంబు కోసం రూపకల్పన చేయబడిన"&amp;" స్థిరీకరణ ప్యాకేజీతో N-9 పరీక్షలలో ఇంతకు ముందు ఉపయోగించిన నాలుగు-గైరో వ్యవస్థతో భర్తీ చేయబడింది, అయితే ఫలితం మళ్ళీ నిరాశపరిచింది, చాలా తక్కువ విమానాలు క్రాష్‌లలో ముగిశాయి. చివరిది, సెప్టెంబర్ 26 న, ఫ్లయింగ్ బాంబు నేరుగా వంద గజాల వరకు ఎక్కి, తరువాత స్పైరల"&amp;"్ డైవ్‌లోకి ప్రవేశించి క్రాష్ అయ్యింది. కర్టిస్-సెస్పెర్రీ ఫ్లయింగ్ బాంబు కోసం ఇది చివరి విమానమే, ఎందుకంటే అన్ని ఉపయోగపడే ఎయిర్‌ఫ్రేమ్‌లను క్రాష్‌లలో వినియోగించారు, మరియు డిజైన్‌పై నమ్మకం లేదు. స్పెర్రీ మరియు హెవిట్ N-9 కి తిరిగి వచ్చారు. స్పెర్రిస్ వాషిం"&amp;"గ్టన్ నేవీ యార్డ్ వద్ద విండ్ టన్నెల్‌ను నిర్మించింది మరియు N-9 లో వరుస పరీక్షలు చేసింది, డిజైన్‌ను చక్కగా ట్యూన్ చేసింది. అక్టోబర్ 17 న, కొత్త నార్డెన్ కాటాపుల్ట్ వ్యవస్థను ఉపయోగించి మానవరహిత N-9 ప్రారంభించబడింది. ఇది ట్రాక్ నుండి శుభ్రంగా వచ్చింది, స్థిర"&amp;"ంగా ఎక్కింది మరియు ఉద్దేశించిన విమాన రేఖకు 2 bet లో ఎగిరింది. దూర గేర్ ఎనిమిది మైళ్ళు (13 కి.మీ) విమానానికి సెట్ చేయబడింది, కాని ఏదో ఒకవిధంగా పనిచేయలేదు. చివరిసారిగా చూసినప్పుడు, ఎన్ -9 బేషోర్ ఎయిర్ స్టేషన్ మీదుగా 4,000 అడుగుల (1,200 మీ) వద్ద ప్రయాణిస్తోం"&amp;"ది, తూర్పు వైపు వెళుతుంది. ఇది మరలా చూడలేదు. [2] స్థిరీకరణ గేర్ విజయవంతం అయినప్పటికీ, ఈ కార్యక్రమం గురించి నేవీలో సందేహం ఉంది, మరియు వారు కార్ల్ నార్డెన్‌ను స్పెర్రీ భాగాలను సమీక్షించాలని మరియు మెరుగుదలని సిఫార్సు చేయాలని కోరారు. నేవీ, ఇప్పుడు, ఈ భావనతో స"&amp;"ంతృప్తి చెందింది మరియు స్పెర్రిస్ కాకుండా, అలాంటి పరికరాలను సొంతంగా కొనుగోలు చేయడాన్ని ఆలోచిస్తోంది. ఎల్మెర్ స్పెర్రీ మళ్ళీ ఉత్సాహాన్ని రేకెత్తించడానికి ప్రయత్నించాడు, ఫ్లయింగ్ బాంబు భావనను ""ఫ్యూచర్ గన్"" అని పిలిచాడు. అయితే ఇది ప్రయోజనం లేదు. నవంబర్ 11,"&amp;" 1918 న యుద్ధ విరమణ సంతకం చేసినప్పుడు మొదటి ప్రపంచ యుద్ధం ముగిసింది. దాదాపు వంద విమానాలు N-9 లో ఎగురవేయబడ్డాయి, కాని ఇవన్నీ N-9 లలో ఉన్నాయి మరియు బోర్డులో భద్రతా పైలట్ ఉన్నాయి. నేవీ ఈ కార్యక్రమంపై స్పెర్రీ నుండి పూర్తి నియంత్రణను తీసుకుంది, హెవిట్-సెపెర్ర"&amp;"ీ ఆటోమేటిక్ విమానం ముగింపును స్పెల్లింగ్ చేసింది. యుద్ధానంతర సంవత్సరాల్లో, నేవీ ఇలాంటి ప్రాజెక్టులను స్పాన్సర్ చేసింది. మొదటి ప్రోగ్రామ్ కోసం, విట్టేమాన్-లూయిస్ విమానం మరియు నార్డెన్-రూపొందించిన గైరోస్టాబిలైజర్లు ఉపయోగించబడ్డాయి, కాని ఫలితాలు స్పెర్రిస్ స"&amp;"ాధించిన వాటి కంటే మెరుగైనవి కావు. 1921 లో, ఈ కార్యక్రమం రేడియో నియంత్రణ అంశంపై దృష్టి పెట్టడానికి తిరిగి వచ్చింది. నియంత్రణ పరికరాలను NAS అనాకోస్టియా (తరువాత నావల్ రీసెర్చ్ లాబొరేటరీ) లోని రేడియో ప్రయోగశాలలో అభివృద్ధి చేశారు. 1923 లో, పరీక్షలు ప్రారంభమయ్య"&amp;"ాయి మరియు సాపేక్షంగా విజయవంతమయ్యాయి, కాని వడ్డీ క్షీణించింది మరియు ఈ ప్రాజెక్ట్ 1925 లో ముగిసింది. టార్గెట్ డ్రోన్లు మరియు పైలట్‌లెస్ విమానాల అభివృద్ధిని నావికాదళం తీవ్రంగా చేపట్టడానికి ముందే ఒక దశాబ్దం పాటు గడిచింది.")</f>
        <v>హెవిట్-సెపెరీ ఆటోమేటిక్ విమానం మొదటి ప్రపంచ యుద్ధంలో ఎగిరే బాంబును అభివృద్ధి చేయడానికి లేదా పేలుడు పదార్థాలను దాని లక్ష్యానికి తీసుకెళ్లగల సామర్థ్యం గల పైలట్‌లెస్ విమానం. ఇది క్రూయిజ్ క్షిపణికి పూర్వగామిగా కొందరు భావిస్తారు. మొదటి ప్రపంచ యుద్ధానికి ముందు, విమానాలను నియంత్రించడానికి రేడియోను ఉపయోగించే అవకాశం చాలా మంది ఆవిష్కర్తలను ఆశ్చర్యపరిచింది. వీటిలో ఒకటి, ఎల్మెర్ స్పెర్రీ, యుఎస్ నేవీ యొక్క ఆసక్తిని రేకెత్తించడంలో విజయం సాధించాడు. స్పెర్రీ 1896 నుండి నావికాదళ ఉపయోగం కోసం గైరోస్కోప్‌లను పరిపూర్ణంగా చేస్తున్నాడు మరియు 1910 లో స్పెర్రీ గైరోస్కోప్ కంపెనీని స్థాపించాడు. 1911 లో, విమానాలు ఎనిమిది సంవత్సరాలుగా మాత్రమే ఎగురుతున్నాయి, ఇంకా వారికి రేడియో నియంత్రణను వర్తించే భావనతో స్పెర్రీ ఆసక్తిని కనబరిచారు. రేడియో నియంత్రణ ప్రభావవంతంగా ఉండటానికి, ఆటోమేటిక్ స్టెబిలైజేషన్ చాలా అవసరం అని అతను గ్రహించాడు, కాబట్టి అతను తన నావికాదళ గైరో-స్టెబిలైజర్లను (అతను డిస్ట్రాయర్ల కోసం అభివృద్ధి చేశాడు) స్వీకరించాలని నిర్ణయించుకున్నాడు. 1913 లో, నేవీ గైరో ఆధారిత ఆటోపైలట్‌ను పరీక్షించడానికి మరియు అంచనా వేయడానికి ఎగిరే పడవను అందించింది. స్పెర్రీ కుమారుడు లారెన్స్ పరీక్ష దశలో ఇంజనీర్‌గా పనిచేశారు. 1914 లో, లారెన్స్ స్పెర్రీ ఐరోపాలో ఉన్నాడు మరియు విమానాల వాడకంతో సహా వైమానిక యుద్ధం యొక్క అభివృద్ధి చెందుతున్న పద్ధతులను గమనించాడు. 1915 లో, న్యూయార్క్ ట్రిబ్యూన్ ఈ ప్రాజెక్ట్ వార్తలను విచ్ఛిన్నం చేసింది. [1] 1916 లో, ఇద్దరు స్పెర్రిస్ రేడియో-సంబంధిత పరికరాల ప్రారంభ ఆవిష్కర్త పీటర్ హెవిట్‌లో చేరారు, పేలుడుతో నిండిన పైలట్‌లెస్ విమానం అభివృద్ధి చెందారు. ఎల్మెర్ స్పెర్రీ మరియు హెవిట్ కలిసి నావల్ కన్సల్టింగ్ బోర్డులో పనిచేశారు, అక్కడ వారిద్దరూ ఏరోనాటిక్స్ మరియు ఏరోనాటికల్ మోటార్స్ కమిటీలో సభ్యులు. ఈ కనెక్షన్ల కారణంగా, వారు సమావేశమైన నియంత్రణ పరికరాలను పరిశీలించడానికి వారు నేవీ యొక్క బ్యూరో ఆఫ్ ఆర్డినెన్స్, లెఫ్టినెంట్ టి. ఎస్. విల్కిన్సన్ ప్రతినిధికి ఏర్పాట్లు చేయగలిగారు. ఈ వ్యవస్థలో గైరోస్కోపిక్ స్టెబిలైజర్, డైరెక్టివ్ గైరోస్కోప్, ఎత్తును నియంత్రించడానికి అనోయిడ్ బేరోమీటర్, రడ్డర్లు మరియు ఐలెరాన్‌ల నియంత్రణ కోసం సర్వో-మోటారులు మరియు దూర గేరింగ్ కోసం ఒక పరికరం ఉన్నాయి. ఇవన్నీ ఒక విమానంలో వ్యవస్థాపించబడతాయి, వీటిని నీటి నుండి కాటాపుల్ చేయవచ్చు లేదా ఎగురవేయవచ్చు మరియు ముందుగా నిర్ణయించిన ఎత్తుకు ఎక్కి, ముందే సెట్ చేసిన కోర్సును ఎగురవేస్తుంది మరియు ముందే సెట్ చేసిన దూరం ప్రయాణించిన తరువాత, దాని బాంబులను వదలండి లేదా భూమికి డైవ్ చేయండి . విల్కిన్సన్ ఈ ఆయుధానికి ఓడను కొట్టడానికి తగినంత ఖచ్చితత్వం లేదని నివేదించాడు, కాని, దాని పరిధి 50 నుండి 100 మైళ్ళు (80 నుండి 161 కిమీ) కారణంగా, ఇది సైన్యానికి ఆసక్తి కలిగి ఉండవచ్చు. ఏదేమైనా, జర్మనీపై అమెరికా యుద్ధం ప్రకటించిన తరువాత, ఈ ఆలోచనను తిరిగి సందర్శించాలని స్పెర్రీ నావికాదళాన్ని కోరడం ప్రారంభించాడు. నావల్ కన్సల్టింగ్ బోర్డు అతనికి మద్దతు ఇచ్చింది మరియు ఈ పని కోసం $ 50,000 ను విభజించమని నేవీ కార్యదర్శిని అధికారికంగా అభ్యర్థించింది. ఈ విధంగా ప్రభుత్వం తన యుద్ధ సన్నాహాలలో ఎగిరే బాంబు లేదా వైమానిక టార్పెడో అభివృద్ధిని కలిగి ఉంది. రకం ఆయుధం కోసం రెండు తరగతులను ఏర్పాటు చేసేంతవరకు సెనేట్ వెళ్ళింది, ఒకటి వైర్‌లెస్ నియంత్రణ కోసం, మరొకటి పూర్తిగా ఆటోమేటిక్ ఆపరేషన్ కోసం. తుది ఆమోదం మే 17, 1917 న వచ్చింది, మరియు నేవీ ఐదు (తరువాత ఏడు వరకు) కర్టిస్ ఎన్ -9 సీప్లేన్లను అందించడానికి మరియు స్పెర్రీ ఆటోమేటిక్ కంట్రోల్ గేర్ యొక్క ఆరు సెట్లను కొనుగోలు చేయడానికి అంగీకరించింది. నేవీ కార్యదర్శి జోసెఫస్ డేనియల్స్ ఈ ప్రాజెక్ట్ కోసం, 000 200,000 ఖర్చు చేయడానికి అంగీకరించారు, బ్యూరో ఆఫ్ ఆర్డినెన్స్, బ్యూరో ఆఫ్ కన్స్ట్రక్షన్ అండ్ రిపేర్ మరియు బ్యూరో ఆఫ్ ఇంజనీరింగ్ చేత నిర్వహించబడే డబ్బుతో. లాంగ్ ఐలాండ్‌లోని కోపియాగ్‌లో ఈ ఆపరేషన్ స్థాపించబడింది. ఆటోపైలట్ పరికరాలు ఇప్పటికే రూపొందించబడ్డాయి, కాని రేడియో నియంత్రణ వ్యవస్థ పూర్తిగా అభివృద్ధి చేయబడలేదు, కాబట్టి హాంగర్లను కోపియాగ్‌లో నిర్మిస్తున్నప్పుడు, స్పెర్రీ ఈ అంశంపై తన దృష్టిని మరల్చాడు, పేటెంట్ పొందిన రేడియో-సంబంధిత ఆవిష్కరణలకు హక్కులను కొనుగోలు చేశాడు. అంతిమంగా, అయితే, రేడియో నియంత్రణ వ్యవస్థలు హెవిట్-సెపెరి ఆటోమేటిక్ విమానంలో ఉపయోగించబడలేదు. తరువాత, 1922 లో, ఆర్మీ ఎయిర్ సర్వీసెస్ ఇంజనీరింగ్ డివిజన్ కోసం గేర్‌తో పాటు అనేక వెర్విల్లే-రూపొందించిన విమానాలలో ఈ వ్యవస్థను ఏర్పాటు చేశారు. ఈ విమానాలు 30, 60 మరియు 90 మైళ్ళు (140 కిమీ) పరిధి నుండి వారి లక్ష్యాలను విజయవంతంగా చేరుకున్నాయి. ఆటోపైలట్-అమర్చిన విమానం యొక్క మొదటి పరీక్ష విమానాలు 1917 సెప్టెంబరులో ఉన్నాయి మరియు టేకాఫ్ ఎగరడానికి బోర్డులో మానవ పైలట్‌తో జరిగింది. నవంబర్ నాటికి, సిస్టమ్ విజయవంతంగా విమానాన్ని దాని ఉద్దేశించిన లక్ష్యానికి 30-మైళ్ల (48 కిమీ) పరిధిలో ఎగిరింది, ఇక్కడ దూర-కొలత గేర్ ఇసుక సంచిని వదులుతుంది. ఖచ్చితత్వం లక్ష్యం యొక్క రెండు మైళ్ళ (3 కిమీ) లో ఉంది. టెస్ట్ విమానాలను గమనించిన తరువాత, రియర్ అడ్మిరల్ రాల్ఫ్ ఎర్లే జర్మన్ యు-బోట్ ముప్పును తొలగించడానికి ఒక కార్యక్రమాన్ని ప్రతిపాదించారు, వీటిలో ఒక అంశం ఫ్లయింగ్ బాంబులను ఉపయోగించడం, నేవీ షిప్స్ నుండి ప్రారంభించిన, విల్హెల్మ్‌షావెన్, కుక్స్‌హావెన్ మరియు హెలిగోలాండ్ వద్ద జలాంతర్గామి స్థావరాలపై దాడి చేయడానికి. అంతిమంగా ఈ ప్రణాళిక తిరస్కరించబడింది, కాని ప్రవచనం యొక్క ఒక అంశాన్ని కలిగి ఉంది, ఎందుకంటే సెప్టెంబర్ 1944 లో, రెండవ ప్రపంచ యుద్ధంలో, హెలిగోలాండ్ వద్ద జలాంతర్గామి సంస్థాపనలపై డ్రోన్ దాడి చేయడంతో సవరించిన B-24 ఎగురుతూ ఉంది. ఎర్లే యొక్క సిఫారసు తిరస్కరించడమే కాక, వ్యవస్థ యొక్క అభివృద్ధి కొనసాగించాలని నేవీ ప్రకటించింది, దీనికి ఉత్పత్తి వనరులను దానికి మళ్లించలేము, మరియు అది ఉత్పత్తిలోకి వెళ్ళడం కాదు. N-9 ఫ్లైట్ టెస్ట్ ప్రోగ్రామ్ ప్రారంభమైనప్పుడు, మరింత సమర్థవంతమైన ఎయిర్‌ఫ్రేమ్ అవసరమని స్పష్టమైంది. యుద్ధ ఉత్పత్తి డెలివరీలను మళ్లించలేనందున, అక్టోబర్, 1917 లో ప్రత్యేకమైన, రష్ ఆర్డర్‌ను కర్టిస్‌తో ఉంచారు, ప్రత్యేకమైన డిజైన్ యొక్క ఆరు విమానాల కోసం, 500 పౌండ్లు (230 కిలోలు) ఖాళీ బరువుతో, 90 mph (140 కి.మీ. . వారు కర్టిస్-సెస్పెర్రీ ఫ్లయింగ్ బాంబుగా ప్రసిద్ది చెందారు. ఇది రిమోట్ కంట్రోల్ కాన్సెప్ట్‌కు అంకితమైన డిజైన్ కాబట్టి, విమానాలలో సీట్లు లేదా ప్రామాణిక పైలట్ నియంత్రణలు లేవు. ఉత్పత్తి ప్రారంభమయ్యే ముందు డిజైన్ యొక్క ఫ్లైట్ లేదా విండ్-టన్నెల్ పరీక్ష జరగలేదు. మొదటిది నవంబర్ 10 న పంపిణీ చేయబడింది. డిజైనర్లకు అత్యంత భయంకరమైన సవాళ్లలో ఒకటి ప్రయోగ విధానం. హెవిట్ మరియు స్పెర్రీ చేత vision హించిన అసలు భావన కాటాపుల్ట్ మెకానిజం లేదా నీటి నుండి (N-9 లు సీప్లేన్లు, ఎగిరే బాంబు కాదు). ఫ్లయింగ్ బాంబు కోసం, పొడవైన తీగను జారడం ద్వారా దాన్ని ప్రారంభించడానికి ప్రయత్నించాలని నిర్ణయించారు. నవంబర్ మరియు డిసెంబర్ 1917 లో, ఫ్లయింగ్ బాంబును ప్రారంభించడానికి మూడు ప్రయత్నాలు జరిగాయి. మొదటి ప్రయోగంలో, విమానం వైర్ నుండి దిగడంతో ఒక వింగ్ దెబ్బతింది, మరియు రెండవది, విమానం వైర్ నుండి ఎత్తివేసింది, కాని వెంటనే నేలమీద పడిపోయింది. వైర్ పద్ధతిని 150 అడుగుల (46 మీ) ట్రాక్‌తో సాంప్రదాయ కాటాపుల్ట్‌కు అనుకూలంగా వదిలివేయబడింది, 3-టన్నుల బరువు నుండి శక్తిని 30 అడుగుల (9.1 మీ) ఎత్తు నుండి తొలగించారు. మూడవ ప్రయత్నంలో, విమానం బండి వెనుక వెనుకబడి, ప్రొపెల్లర్‌ను దెబ్బతీసింది, మరియు విమానం దాని ముక్కు మీద పల్టీలు కొట్టింది. జనవరి, 1918 లో మరో రెండు ప్రయత్నాలు, విమానం వాయుమార్గాలిని చూసింది, కానీ ఇది చాలా తోక-భారీగా ఉంది, కాబట్టి ఇది వెంటనే నిలిచిపోయింది మరియు వెంటనే క్రాష్ అయ్యింది. విమానం యొక్క సామర్థ్యాల యొక్క కొన్ని విమాన పరీక్ష మూల్యాంకనం అవసరమని గ్రహించబడింది. విమానాలలో ఒకటి ల్యాండింగ్ గేర్, సీటు మరియు ప్రామాణిక నియంత్రణ స్టిక్ కోసం స్లెడ్ ​​రన్నర్లతో అమర్చారు, మరియు లారెన్స్ స్పెర్రీ అతను టెస్ట్ పైలట్ అని నిర్ణయించుకున్నాడు. మంచు మీద టాక్సీ చేస్తున్నప్పుడు, అతను కొంత మురికిగా మంచు కొట్టాడు మరియు స్పెర్రీ గాయపడకపోయినా, విమానం ధ్వంసమయ్యాడు. రెండవ విమానం అమర్చబడింది, మరియు స్పెర్రీ దానిని గాలిలోకి తీసుకురాగలిగాడు, కాని ఆటోమేటిక్ పైలట్ నిశ్చితార్థం అయినప్పుడు నియంత్రణ కోల్పోయింది. రెండు పూర్తి రోల్స్ తరువాత, స్పెర్రీ నియంత్రణను తిరిగి పొందగలిగాడు మరియు సురక్షితంగా ల్యాండ్ చేయగలిగాడు. స్పష్టంగా, అయితే, ప్రాథమిక రూపకల్పనను విమాన పరీక్షపై ఎక్కువ శ్రద్ధ అవసరం, ముఖ్యంగా లక్షణాలను నిర్వహించే ప్రాంతంలో. స్పెర్రీ మరియు అతని సహాయకుడు, ఎన్. డబ్ల్యూ. డాల్టన్, మార్మన్ ఆటోమొబైల్‌ను పొందారు మరియు కర్టిస్-స్పేరి ఫ్లయింగ్ బాంబును దాని పైభాగానికి అమర్చారు. ఈ కాన్ఫిగరేషన్‌లో, స్పెర్రీ మరియు అతని సిబ్బంది లాంగ్ ఐలాండ్ మోటార్ పార్క్‌వేను 80 mph (130 km/h) వద్ద నడిపారు, ఇది ఓపెన్-ఎయిర్ విండ్ టన్నెల్ యొక్క మొదటి ఉదాహరణలలో ఒకటి, మరియు విమాన నియంత్రణలను వారు వాంఛనీయ సెట్టింగులు అని వారు భావించిన దానితో సర్దుబాటు చేశారు. . ఫ్యూజ్‌లేజ్ యొక్క రూపకల్పన కొద్దిగా మార్చబడింది, దానిని రెండు అడుగులు పొడిగించారు. మార్మన్ విమాన నియంత్రణలను సర్దుబాటు చేయడానికి ఒక అద్భుతమైన మార్గం మాత్రమే కాదు, ఇది మంచి లాంచింగ్ ప్లాట్‌ఫామ్ అని కూడా గ్రహించబడింది మరియు ఇది మార్చి 6, 1918 న ప్రయత్నించబడింది. విమానం కారును శుభ్రంగా వదిలి, స్థిరమైన విమానంలో ప్రయాణించింది దూర-కొలిచే గేర్ కోసం 1,000 గజాలు (910 మీ). చరిత్రలో మొట్టమొదటిసారిగా, మానవరహిత, గాలి కంటే భారీ వాహనం నియంత్రిత విమానంలో ఎగిరింది. అయితే, ఈ ఫీట్ నకిలీ చేయబడలేదు మరియు రహదారి చాలా కఠినంగా ఉందని భావించారు. మార్మోన్ రైల్‌రోడ్ వీల్స్, మరియు న్యూయార్క్‌లోని ఫార్మింగ్‌డేల్‌కు తూర్పున నాలుగు మైళ్ళు (6 కి.మీ) లాంగ్ ఐలాండ్ రైల్ రోడ్ యొక్క ఉపయోగించని స్పర్ తిరిగి సేవలో ఉంచబడింది. మొదటి ప్రయత్నంలో, పూర్తి ఎగిరే వేగం చేరుకోవడానికి ముందు, విమానం ముందు చక్రాలను ట్రాక్ నుండి పెంచడానికి తగినంత లిఫ్ట్‌ను అభివృద్ధి చేసింది మరియు మరొక క్రాష్ ఫలితంగా. ఇది కాటాపుల్ట్ వ్యవస్థను తిరిగి ఆలోచించే సమయం, మరియు దానిని రూపొందించడంలో సహాయపడటానికి, స్పెర్రీ మరియు హెవిట్ కార్ల్ నార్డెన్ అనే యువ మరియు మంచి ఇంజనీర్‌ను నియమించారు. కొత్త వ్యవస్థతో మొదటి ప్రయత్నం ఆగస్టు, 1918 లో జరిగింది, మరియు అది కూడా క్రాష్‌కు దారితీసింది. మరో రెండు పరీక్షలు ప్రయత్నించబడ్డాయి, ఫ్లయింగ్ బాంబు కోసం రూపకల్పన చేయబడిన స్థిరీకరణ ప్యాకేజీతో N-9 పరీక్షలలో ఇంతకు ముందు ఉపయోగించిన నాలుగు-గైరో వ్యవస్థతో భర్తీ చేయబడింది, అయితే ఫలితం మళ్ళీ నిరాశపరిచింది, చాలా తక్కువ విమానాలు క్రాష్‌లలో ముగిశాయి. చివరిది, సెప్టెంబర్ 26 న, ఫ్లయింగ్ బాంబు నేరుగా వంద గజాల వరకు ఎక్కి, తరువాత స్పైరల్ డైవ్‌లోకి ప్రవేశించి క్రాష్ అయ్యింది. కర్టిస్-సెస్పెర్రీ ఫ్లయింగ్ బాంబు కోసం ఇది చివరి విమానమే, ఎందుకంటే అన్ని ఉపయోగపడే ఎయిర్‌ఫ్రేమ్‌లను క్రాష్‌లలో వినియోగించారు, మరియు డిజైన్‌పై నమ్మకం లేదు. స్పెర్రీ మరియు హెవిట్ N-9 కి తిరిగి వచ్చారు. స్పెర్రిస్ వాషింగ్టన్ నేవీ యార్డ్ వద్ద విండ్ టన్నెల్‌ను నిర్మించింది మరియు N-9 లో వరుస పరీక్షలు చేసింది, డిజైన్‌ను చక్కగా ట్యూన్ చేసింది. అక్టోబర్ 17 న, కొత్త నార్డెన్ కాటాపుల్ట్ వ్యవస్థను ఉపయోగించి మానవరహిత N-9 ప్రారంభించబడింది. ఇది ట్రాక్ నుండి శుభ్రంగా వచ్చింది, స్థిరంగా ఎక్కింది మరియు ఉద్దేశించిన విమాన రేఖకు 2 bet లో ఎగిరింది. దూర గేర్ ఎనిమిది మైళ్ళు (13 కి.మీ) విమానానికి సెట్ చేయబడింది, కాని ఏదో ఒకవిధంగా పనిచేయలేదు. చివరిసారిగా చూసినప్పుడు, ఎన్ -9 బేషోర్ ఎయిర్ స్టేషన్ మీదుగా 4,000 అడుగుల (1,200 మీ) వద్ద ప్రయాణిస్తోంది, తూర్పు వైపు వెళుతుంది. ఇది మరలా చూడలేదు. [2] స్థిరీకరణ గేర్ విజయవంతం అయినప్పటికీ, ఈ కార్యక్రమం గురించి నేవీలో సందేహం ఉంది, మరియు వారు కార్ల్ నార్డెన్‌ను స్పెర్రీ భాగాలను సమీక్షించాలని మరియు మెరుగుదలని సిఫార్సు చేయాలని కోరారు. నేవీ, ఇప్పుడు, ఈ భావనతో సంతృప్తి చెందింది మరియు స్పెర్రిస్ కాకుండా, అలాంటి పరికరాలను సొంతంగా కొనుగోలు చేయడాన్ని ఆలోచిస్తోంది. ఎల్మెర్ స్పెర్రీ మళ్ళీ ఉత్సాహాన్ని రేకెత్తించడానికి ప్రయత్నించాడు, ఫ్లయింగ్ బాంబు భావనను "ఫ్యూచర్ గన్" అని పిలిచాడు. అయితే ఇది ప్రయోజనం లేదు. నవంబర్ 11, 1918 న యుద్ధ విరమణ సంతకం చేసినప్పుడు మొదటి ప్రపంచ యుద్ధం ముగిసింది. దాదాపు వంద విమానాలు N-9 లో ఎగురవేయబడ్డాయి, కాని ఇవన్నీ N-9 లలో ఉన్నాయి మరియు బోర్డులో భద్రతా పైలట్ ఉన్నాయి. నేవీ ఈ కార్యక్రమంపై స్పెర్రీ నుండి పూర్తి నియంత్రణను తీసుకుంది, హెవిట్-సెపెర్రీ ఆటోమేటిక్ విమానం ముగింపును స్పెల్లింగ్ చేసింది. యుద్ధానంతర సంవత్సరాల్లో, నేవీ ఇలాంటి ప్రాజెక్టులను స్పాన్సర్ చేసింది. మొదటి ప్రోగ్రామ్ కోసం, విట్టేమాన్-లూయిస్ విమానం మరియు నార్డెన్-రూపొందించిన గైరోస్టాబిలైజర్లు ఉపయోగించబడ్డాయి, కాని ఫలితాలు స్పెర్రిస్ సాధించిన వాటి కంటే మెరుగైనవి కావు. 1921 లో, ఈ కార్యక్రమం రేడియో నియంత్రణ అంశంపై దృష్టి పెట్టడానికి తిరిగి వచ్చింది. నియంత్రణ పరికరాలను NAS అనాకోస్టియా (తరువాత నావల్ రీసెర్చ్ లాబొరేటరీ) లోని రేడియో ప్రయోగశాలలో అభివృద్ధి చేశారు. 1923 లో, పరీక్షలు ప్రారంభమయ్యాయి మరియు సాపేక్షంగా విజయవంతమయ్యాయి, కాని వడ్డీ క్షీణించింది మరియు ఈ ప్రాజెక్ట్ 1925 లో ముగిసింది. టార్గెట్ డ్రోన్లు మరియు పైలట్‌లెస్ విమానాల అభివృద్ధిని నావికాదళం తీవ్రంగా చేపట్టడానికి ముందే ఒక దశాబ్దం పాటు గడిచింది.</v>
      </c>
      <c r="E177" s="1" t="s">
        <v>2803</v>
      </c>
      <c r="F177" s="1" t="str">
        <f>IFERROR(__xludf.DUMMYFUNCTION("GOOGLETRANSLATE(E:E, ""en"", ""te"")"),"క్షిపణి")</f>
        <v>క్షిపణి</v>
      </c>
      <c r="G177" s="1" t="s">
        <v>155</v>
      </c>
      <c r="H177" s="1" t="str">
        <f>IFERROR(__xludf.DUMMYFUNCTION("GOOGLETRANSLATE(G:G, ""en"", ""te"")"),"అమెరికా")</f>
        <v>అమెరికా</v>
      </c>
      <c r="L177" s="1" t="s">
        <v>2804</v>
      </c>
      <c r="M177" s="1" t="s">
        <v>2805</v>
      </c>
      <c r="N177" s="4">
        <v>6454.0</v>
      </c>
      <c r="AA177" s="1" t="s">
        <v>2806</v>
      </c>
      <c r="AB177" s="2" t="s">
        <v>2807</v>
      </c>
      <c r="AD177" s="1" t="s">
        <v>2808</v>
      </c>
      <c r="AJ177" s="1" t="s">
        <v>2809</v>
      </c>
      <c r="AQ177" s="1" t="s">
        <v>2810</v>
      </c>
      <c r="BF177" s="1" t="s">
        <v>2811</v>
      </c>
      <c r="BG177" s="1" t="s">
        <v>2812</v>
      </c>
      <c r="BP177" s="1" t="s">
        <v>2813</v>
      </c>
    </row>
    <row r="178">
      <c r="A178" s="1" t="s">
        <v>2814</v>
      </c>
      <c r="B178" s="1" t="str">
        <f>IFERROR(__xludf.DUMMYFUNCTION("GOOGLETRANSLATE(A:A, ""en"", ""te"")"),"కవాసాకి పి -2 జె")</f>
        <v>కవాసాకి పి -2 జె</v>
      </c>
      <c r="C178" s="1" t="s">
        <v>2815</v>
      </c>
      <c r="D178" s="1" t="str">
        <f>IFERROR(__xludf.DUMMYFUNCTION("GOOGLETRANSLATE(C:C, ""en"", ""te"")"),"కవాసాకి పి -2 జె (వాస్తవానికి పి 2 వి-కై) జపాన్ సముద్ర ఆత్మరక్షణ శక్తి కోసం అభివృద్ధి చేసిన సముద్రపు పెట్రోలింగ్ మరియు ASW విమానం. రేడియల్-ఇంజిన్ పి -2 నెప్ట్యూన్ యొక్క టర్బోప్రాప్-శక్తితో పనిచేసే సంస్కరణ, పెద్ద మరియు ఖరీదైన పి -3 ఓరియన్ కొనుగోలు చేయడానిక"&amp;"ి ప్రత్యామ్నాయంగా పి -2 జె అభివృద్ధి చేయబడింది, ఇది చివరికి 1980 లలో పి -2J ని భర్తీ చేస్తుంది. కవాసకి-నిర్మించిన పి -2J (వాస్తవానికి P2V-KAI, ఇక్కడ ""కై"" (改) అంటే సవరణ) నెప్ట్యూన్ యొక్క చివరి వెర్షన్. P-2J లో పని 1961 లో ప్రారంభమైంది. [1] మొదటి పి -2J, "&amp;"పి 2 వి -7 (పి -2 హెచ్) నుండి మార్చబడింది 21 జూలై 1966 న దాని ప్రారంభ విమానాన్ని ప్రదర్శించింది మరియు మరో 82 ఉత్పత్తి పి -2 జెఎస్ మార్చి 1979 లో పంపిణీ చేయబడింది. [2] [2] లాక్‌హీడ్ పి -2 ల యొక్క రైట్ రేడియల్ ఇంజన్లు 2,125 కిలోవాట్ల (2,850 హెచ్‌పి) ఇషికావా"&amp;"జిమా-హరిమా టి 64-ఇహీ -10 టర్బోప్రాప్ ఇంజన్లతో భర్తీ చేయబడ్డాయి, చివరి-మోడల్ పి -2 ల యొక్క నాలుగు-బ్లేడెడ్ యూనిట్లకు బదులుగా మూడు-బ్లేడెడ్ ప్రొపెల్లర్లను ఉపయోగించి. [[(3] ఇషికావాజిమా-హరిమా J3-IHI-7C బూస్టర్ టర్బోజెట్స్, 13.7 kN (3,085 lbf) థ్రస్ట్‌ను ఉత్పత"&amp;"్తి చేసింది, P-2J కి 650 కిమీ/గం (400 mph) వేగంతో ఇస్తుంది. పి -2J లో 12 మంది సిబ్బందికి వసతులు ఉన్నాయి. [3] ఫార్వర్డ్ ఫ్యూజ్‌లేజ్ 4 అడుగుల 3 అంగుళాలు (1.30 మీ) విస్తరించింది, తోక ఉపరితలాలు విస్తరించి వాటి ఆకారం సవరించబడింది. AN/APS-80 శోధన రాడార్ చిన్న ర"&amp;"ాడోమ్‌లో అమర్చబడింది. నవీకరించబడిన ఏవియానిక్స్ వ్యవస్థలు వ్యవస్థాపించబడ్డాయి మరియు ఈ వ్యవస్థలు నెప్ట్యూన్ యొక్క ఇతర వెర్షన్లలో ఉపయోగించిన వాటి కంటే చాలా కాంపాక్ట్. తేలికైన ఏవియానిక్స్ లోడ్ ఎక్కువ ఇంధన సామర్థ్యాన్ని అనుమతించింది. P-2J యొక్క ప్రధాన గేర్‌ను "&amp;"మునుపటి మోడళ్ల యొక్క పెద్ద చక్రం కాకుండా రెండు చక్రాలతో అమర్చారు. [3] పి -2 జె 1980 లలో పి -3 సి ఓరియన్‌కు అనుకూలంగా దశలవారీగా తొలగించబడింది, [3] ఇది చివరికి పశ్చిమ దేశాల ఓషన్-పాట్రోల్ ఎయిర్ ఫ్లీట్స్‌లో నెప్ట్యూన్‌ను భర్తీ చేసింది. చివరి సముద్ర నిఘా స్క్వ"&amp;"ాడ్రన్ 1993 లో ఓరియన్‌తో తిరిగి అమర్చబడి ఉంది, కాని పి -2 జె ఎలక్ట్రానిక్ నిఘా మరియు లక్ష్య మద్దతు ప్రయోజనాల కోసం సేవలో ఉంది. [4] 1945 నుండి పోరాట విమానాల నుండి డేటా [3] సాధారణ లక్షణాలు పనితీరు ఆయుధాల సంబంధిత అభివృద్ధి విమానం పోల్చదగిన పాత్ర, కాన్ఫిగరేషన్"&amp;" మరియు ERA సంబంధిత జాబితాలు")</f>
        <v>కవాసాకి పి -2 జె (వాస్తవానికి పి 2 వి-కై) జపాన్ సముద్ర ఆత్మరక్షణ శక్తి కోసం అభివృద్ధి చేసిన సముద్రపు పెట్రోలింగ్ మరియు ASW విమానం. రేడియల్-ఇంజిన్ పి -2 నెప్ట్యూన్ యొక్క టర్బోప్రాప్-శక్తితో పనిచేసే సంస్కరణ, పెద్ద మరియు ఖరీదైన పి -3 ఓరియన్ కొనుగోలు చేయడానికి ప్రత్యామ్నాయంగా పి -2 జె అభివృద్ధి చేయబడింది, ఇది చివరికి 1980 లలో పి -2J ని భర్తీ చేస్తుంది. కవాసకి-నిర్మించిన పి -2J (వాస్తవానికి P2V-KAI, ఇక్కడ "కై" (改) అంటే సవరణ) నెప్ట్యూన్ యొక్క చివరి వెర్షన్. P-2J లో పని 1961 లో ప్రారంభమైంది. [1] మొదటి పి -2J, పి 2 వి -7 (పి -2 హెచ్) నుండి మార్చబడింది 21 జూలై 1966 న దాని ప్రారంభ విమానాన్ని ప్రదర్శించింది మరియు మరో 82 ఉత్పత్తి పి -2 జెఎస్ మార్చి 1979 లో పంపిణీ చేయబడింది. [2] [2] లాక్‌హీడ్ పి -2 ల యొక్క రైట్ రేడియల్ ఇంజన్లు 2,125 కిలోవాట్ల (2,850 హెచ్‌పి) ఇషికావాజిమా-హరిమా టి 64-ఇహీ -10 టర్బోప్రాప్ ఇంజన్లతో భర్తీ చేయబడ్డాయి, చివరి-మోడల్ పి -2 ల యొక్క నాలుగు-బ్లేడెడ్ యూనిట్లకు బదులుగా మూడు-బ్లేడెడ్ ప్రొపెల్లర్లను ఉపయోగించి. [[(3] ఇషికావాజిమా-హరిమా J3-IHI-7C బూస్టర్ టర్బోజెట్స్, 13.7 kN (3,085 lbf) థ్రస్ట్‌ను ఉత్పత్తి చేసింది, P-2J కి 650 కిమీ/గం (400 mph) వేగంతో ఇస్తుంది. పి -2J లో 12 మంది సిబ్బందికి వసతులు ఉన్నాయి. [3] ఫార్వర్డ్ ఫ్యూజ్‌లేజ్ 4 అడుగుల 3 అంగుళాలు (1.30 మీ) విస్తరించింది, తోక ఉపరితలాలు విస్తరించి వాటి ఆకారం సవరించబడింది. AN/APS-80 శోధన రాడార్ చిన్న రాడోమ్‌లో అమర్చబడింది. నవీకరించబడిన ఏవియానిక్స్ వ్యవస్థలు వ్యవస్థాపించబడ్డాయి మరియు ఈ వ్యవస్థలు నెప్ట్యూన్ యొక్క ఇతర వెర్షన్లలో ఉపయోగించిన వాటి కంటే చాలా కాంపాక్ట్. తేలికైన ఏవియానిక్స్ లోడ్ ఎక్కువ ఇంధన సామర్థ్యాన్ని అనుమతించింది. P-2J యొక్క ప్రధాన గేర్‌ను మునుపటి మోడళ్ల యొక్క పెద్ద చక్రం కాకుండా రెండు చక్రాలతో అమర్చారు. [3] పి -2 జె 1980 లలో పి -3 సి ఓరియన్‌కు అనుకూలంగా దశలవారీగా తొలగించబడింది, [3] ఇది చివరికి పశ్చిమ దేశాల ఓషన్-పాట్రోల్ ఎయిర్ ఫ్లీట్స్‌లో నెప్ట్యూన్‌ను భర్తీ చేసింది. చివరి సముద్ర నిఘా స్క్వాడ్రన్ 1993 లో ఓరియన్‌తో తిరిగి అమర్చబడి ఉంది, కాని పి -2 జె ఎలక్ట్రానిక్ నిఘా మరియు లక్ష్య మద్దతు ప్రయోజనాల కోసం సేవలో ఉంది. [4] 1945 నుండి పోరాట విమానాల నుండి డేటా [3] సాధారణ లక్షణాలు పనితీరు ఆయుధాల సంబంధిత అభివృద్ధి విమానం పోల్చదగిన పాత్ర, కాన్ఫిగరేషన్ మరియు ERA సంబంధిత జాబితాలు</v>
      </c>
      <c r="E178" s="1" t="s">
        <v>2816</v>
      </c>
      <c r="F178" s="1" t="str">
        <f>IFERROR(__xludf.DUMMYFUNCTION("GOOGLETRANSLATE(E:E, ""en"", ""te"")"),"ASW మరియు మారిటైమ్ పెట్రోల్ విమానం")</f>
        <v>ASW మరియు మారిటైమ్ పెట్రోల్ విమానం</v>
      </c>
      <c r="G178" s="1" t="s">
        <v>2817</v>
      </c>
      <c r="H178" s="1" t="str">
        <f>IFERROR(__xludf.DUMMYFUNCTION("GOOGLETRANSLATE(G:G, ""en"", ""te"")"),"జపాన్/అమెరికా")</f>
        <v>జపాన్/అమెరికా</v>
      </c>
      <c r="I178" s="1" t="s">
        <v>2818</v>
      </c>
      <c r="J178" s="1" t="str">
        <f>IFERROR(__xludf.DUMMYFUNCTION("GOOGLETRANSLATE(I:I, ""en"", ""te"")"),"లాక్‌హీడ్ కవాసాకి ఏరోస్పేస్ కంపెనీ")</f>
        <v>లాక్‌హీడ్ కవాసాకి ఏరోస్పేస్ కంపెనీ</v>
      </c>
      <c r="K178" s="1" t="s">
        <v>2819</v>
      </c>
      <c r="N178" s="3">
        <v>24309.0</v>
      </c>
      <c r="O178" s="7">
        <v>44846.0</v>
      </c>
      <c r="P178" s="1" t="s">
        <v>2820</v>
      </c>
      <c r="Q178" s="1" t="s">
        <v>2821</v>
      </c>
      <c r="R178" s="1" t="s">
        <v>2822</v>
      </c>
      <c r="S178" s="1" t="s">
        <v>2823</v>
      </c>
      <c r="T178" s="1" t="s">
        <v>2824</v>
      </c>
      <c r="V178" s="1" t="s">
        <v>2825</v>
      </c>
      <c r="W178" s="1" t="s">
        <v>2826</v>
      </c>
      <c r="Y178" s="1" t="s">
        <v>2827</v>
      </c>
      <c r="Z178" s="1" t="s">
        <v>2828</v>
      </c>
      <c r="AA178" s="1" t="s">
        <v>2829</v>
      </c>
      <c r="AB178" s="1" t="s">
        <v>2830</v>
      </c>
      <c r="AF178" s="1" t="s">
        <v>2831</v>
      </c>
      <c r="AJ178" s="1">
        <v>83.0</v>
      </c>
      <c r="AQ178" s="1" t="s">
        <v>2832</v>
      </c>
      <c r="AR178" s="1" t="s">
        <v>2833</v>
      </c>
      <c r="AT178" s="1" t="s">
        <v>2834</v>
      </c>
      <c r="AX178" s="1" t="s">
        <v>2835</v>
      </c>
      <c r="BF178" s="1" t="s">
        <v>2836</v>
      </c>
      <c r="BG178" s="1" t="s">
        <v>2837</v>
      </c>
      <c r="BH178" s="1" t="s">
        <v>2838</v>
      </c>
      <c r="BN178" s="1">
        <v>1969.0</v>
      </c>
      <c r="BP178" s="1" t="s">
        <v>2839</v>
      </c>
      <c r="CH178" s="1" t="s">
        <v>2840</v>
      </c>
      <c r="CU178" s="1" t="s">
        <v>2841</v>
      </c>
      <c r="CV178" s="1">
        <v>1996.0</v>
      </c>
      <c r="DI178" s="1" t="s">
        <v>2842</v>
      </c>
    </row>
    <row r="179">
      <c r="A179" s="1" t="s">
        <v>2843</v>
      </c>
      <c r="B179" s="1" t="str">
        <f>IFERROR(__xludf.DUMMYFUNCTION("GOOGLETRANSLATE(A:A, ""en"", ""te"")"),"MIL MI-36")</f>
        <v>MIL MI-36</v>
      </c>
      <c r="C179" s="1" t="s">
        <v>2844</v>
      </c>
      <c r="D179" s="1" t="str">
        <f>IFERROR(__xludf.DUMMYFUNCTION("GOOGLETRANSLATE(C:C, ""en"", ""te"")"),"MIL MI-36 1980 ల ప్రారంభంలో మొదట అంచనా వేసిన సోవియట్ లైట్ మల్టీపర్పస్ హెలికాప్టర్. ఫైర్ సపోర్ట్ అండ్ కమ్యూనికేషన్స్, కార్గో ట్రాన్స్‌పోర్టేషన్, SAR మరియు MEDEVAC మరియు వైమానిక నిఘా వంటి వాటికి సహాయపడటం దీని అంచనా పాత్రలు. ట్విన్ టీవీ-ఓ -100 టర్బోషాఫ్ట్ ఇం"&amp;"జన్లు, రెండు బ్లేడెడ్ మెయిన్ రోటర్ మరియు నాలుగు-బ్లేడెడ్ టెయిల్ రోటర్ ఉపయోగించాలని కూడా ఇది ప్రణాళిక చేయబడింది. 1980 ల ప్రారంభంలో టీవీ-ఓ -100 టర్బైన్ అభివృద్ధి సోవియట్ డిజైనర్లకు వారి మొదటి తేలికపాటి పవర్‌ప్లాంట్‌ను ఇచ్చింది, ఇది చిన్న అధిక-పనితీరు గల హెల"&amp;"ికాప్టర్లకు అనుకూలంగా ఉంది. ఇది కొత్త తరగతి తేలికపాటి పోరాట హెలికాప్టర్ల అభివృద్ధికి పెద్ద మరియు శక్తివంతమైన రవాణా, దాడి మరియు యాంటీ-ట్యాంక్ ప్లాట్‌ఫారమ్‌లను పెంచడానికి అనుమతించింది. అటువంటి హెలికాప్టర్ కోసం vise హించిన పాత్రలు దాడి, దగ్గరి పదాతిదళ మద్దతు"&amp;", నలుగురు సైనికులతో ట్రూప్ ట్రాన్స్‌పోర్ట్, నాలుగు స్ట్రెచర్లతో మెడివాక్, SAR/CSAR, అనుసంధాన, తేలికపాటి కార్గో, నిఘా, ఫిరంగి అగ్ని దిద్దుబాటు, అలాగే చివరికి చర్య తీసుకునే సామర్థ్యం ఉన్నాయి స్కౌట్, స్పాటర్ మరియు కొత్త అంకితమైన దాడి హెలికాప్టర్లకు (అంచనా వే"&amp;"సిన MIL MI-28 మరియు కామోవ్ KA-50) లక్ష్య గుర్తింపు/ఆమోదాన్ని అందించండి. స్పెసిఫికేషన్లలో పగలు, రాత్రి మరియు అన్ని వాతావరణ సామర్థ్యాలు కూడా ఉన్నాయి. ఆఫ్ఘనిస్తాన్లో MIL MI-24 తో అనుభవం పదాతిదళం, RPG మరియు MANPAD అగ్నిప్రమాదం నుండి ఆకస్మిక దాడులకు హెలికాప్టర"&amp;"్ల యొక్క దుర్బలత్వాన్ని చూపించింది, అలాగే ఈ ముప్పును అప్రమత్తత ద్వారా ఎదుర్కోవాల్సిన అవసరం ఉంది మరియు వెంటనే అణచివేత అగ్నిని తిరిగి ఇవ్వడం ద్వారా (దాడి వెనుక నుండి వచ్చినప్పటికీ) . తత్ఫలితంగా, రెండు తుపాకీ టర్రెట్ల రూపంలో 360 డిగ్రీల ప్రతీకార సామర్థ్యాన్న"&amp;"ి కలిగి ఉండటానికి కొత్త స్కౌట్ హెలికాప్టర్ ప్రారంభం నుండి రూపొందించబడింది. ఇవి 7.62 మిమీ క్యాలిబర్ కలిగి ఉండాలి మరియు ఉపయోగించిన తుపాకీ కొత్త GSHG-7.62 మెషిన్ గన్, ఇది ప్రధానంగా హెలికాప్టర్లకు రక్షణాత్మక తుపాకీగా అభివృద్ధి చేయబడింది (కామోవ్ కా- యొక్క సేంద"&amp;"్రీయ ఆయుధంలో భాగంగా అమర్చబడింది 29 టిబి దాడి రవాణా). అంతే 8 లేదా బహుశా స్పెషల్ స్టబ్ రెక్కలలో ఒక్కొక్కటి ఒక జత ట్విన్ లాంచర్లతో). సివిల్ వెర్షన్ కూడా ప్రణాళిక చేయబడింది, ఇది పది మంది లేదా ఒక టన్ను సరుకును తీసుకువెళ్ళేది మరియు ద్వితీయ పెట్రోలింగ్ మరియు రెస"&amp;"్క్యూ సామర్థ్యాలను కలిగి ఉంటుంది. అసలు స్పెసిఫికేషన్ 2500 కిలోల టేకాఫ్ బరువు కోసం పిలుపునిచ్చింది, కాని ఆయుధాలు, రవాణా మరియు మనుగడ యొక్క అవసరమైన మిశ్రమాన్ని తీర్చడానికి ప్రయత్నిస్తుంది అంటే బరువు త్వరగా 3400 కిలోలకు చేరుకుంది. ఇంతలో, కామోవ్ 2200 కిలోల పరి"&amp;"ధిలో కామోవ్ వి -60 రూపంలో మరింత ప్రత్యేకమైన వేదికను రూపొందించాడు, ఇది అనుకూలంగా ఉంది, కానీ ఉత్పత్తి చేయబడలేదు. డిజైన్ తత్వశాస్త్రం చాలావరకు అలాగే ఉంచబడింది మరియు తరువాత MIL MI-40 గా పెరిగింది, ఇది MI-36 న ఆగిపోయిన ఒక సంవత్సరంలోనే ప్రతిపాదించబడింది. పోల్చద"&amp;"గిన పాత్ర, కాన్ఫిగరేషన్ మరియు యుగం యొక్క సంబంధిత అభివృద్ధి విమానం")</f>
        <v>MIL MI-36 1980 ల ప్రారంభంలో మొదట అంచనా వేసిన సోవియట్ లైట్ మల్టీపర్పస్ హెలికాప్టర్. ఫైర్ సపోర్ట్ అండ్ కమ్యూనికేషన్స్, కార్గో ట్రాన్స్‌పోర్టేషన్, SAR మరియు MEDEVAC మరియు వైమానిక నిఘా వంటి వాటికి సహాయపడటం దీని అంచనా పాత్రలు. ట్విన్ టీవీ-ఓ -100 టర్బోషాఫ్ట్ ఇంజన్లు, రెండు బ్లేడెడ్ మెయిన్ రోటర్ మరియు నాలుగు-బ్లేడెడ్ టెయిల్ రోటర్ ఉపయోగించాలని కూడా ఇది ప్రణాళిక చేయబడింది. 1980 ల ప్రారంభంలో టీవీ-ఓ -100 టర్బైన్ అభివృద్ధి సోవియట్ డిజైనర్లకు వారి మొదటి తేలికపాటి పవర్‌ప్లాంట్‌ను ఇచ్చింది, ఇది చిన్న అధిక-పనితీరు గల హెలికాప్టర్లకు అనుకూలంగా ఉంది. ఇది కొత్త తరగతి తేలికపాటి పోరాట హెలికాప్టర్ల అభివృద్ధికి పెద్ద మరియు శక్తివంతమైన రవాణా, దాడి మరియు యాంటీ-ట్యాంక్ ప్లాట్‌ఫారమ్‌లను పెంచడానికి అనుమతించింది. అటువంటి హెలికాప్టర్ కోసం vise హించిన పాత్రలు దాడి, దగ్గరి పదాతిదళ మద్దతు, నలుగురు సైనికులతో ట్రూప్ ట్రాన్స్‌పోర్ట్, నాలుగు స్ట్రెచర్లతో మెడివాక్, SAR/CSAR, అనుసంధాన, తేలికపాటి కార్గో, నిఘా, ఫిరంగి అగ్ని దిద్దుబాటు, అలాగే చివరికి చర్య తీసుకునే సామర్థ్యం ఉన్నాయి స్కౌట్, స్పాటర్ మరియు కొత్త అంకితమైన దాడి హెలికాప్టర్లకు (అంచనా వేసిన MIL MI-28 మరియు కామోవ్ KA-50) లక్ష్య గుర్తింపు/ఆమోదాన్ని అందించండి. స్పెసిఫికేషన్లలో పగలు, రాత్రి మరియు అన్ని వాతావరణ సామర్థ్యాలు కూడా ఉన్నాయి. ఆఫ్ఘనిస్తాన్లో MIL MI-24 తో అనుభవం పదాతిదళం, RPG మరియు MANPAD అగ్నిప్రమాదం నుండి ఆకస్మిక దాడులకు హెలికాప్టర్ల యొక్క దుర్బలత్వాన్ని చూపించింది, అలాగే ఈ ముప్పును అప్రమత్తత ద్వారా ఎదుర్కోవాల్సిన అవసరం ఉంది మరియు వెంటనే అణచివేత అగ్నిని తిరిగి ఇవ్వడం ద్వారా (దాడి వెనుక నుండి వచ్చినప్పటికీ) . తత్ఫలితంగా, రెండు తుపాకీ టర్రెట్ల రూపంలో 360 డిగ్రీల ప్రతీకార సామర్థ్యాన్ని కలిగి ఉండటానికి కొత్త స్కౌట్ హెలికాప్టర్ ప్రారంభం నుండి రూపొందించబడింది. ఇవి 7.62 మిమీ క్యాలిబర్ కలిగి ఉండాలి మరియు ఉపయోగించిన తుపాకీ కొత్త GSHG-7.62 మెషిన్ గన్, ఇది ప్రధానంగా హెలికాప్టర్లకు రక్షణాత్మక తుపాకీగా అభివృద్ధి చేయబడింది (కామోవ్ కా- యొక్క సేంద్రీయ ఆయుధంలో భాగంగా అమర్చబడింది 29 టిబి దాడి రవాణా). అంతే 8 లేదా బహుశా స్పెషల్ స్టబ్ రెక్కలలో ఒక్కొక్కటి ఒక జత ట్విన్ లాంచర్లతో). సివిల్ వెర్షన్ కూడా ప్రణాళిక చేయబడింది, ఇది పది మంది లేదా ఒక టన్ను సరుకును తీసుకువెళ్ళేది మరియు ద్వితీయ పెట్రోలింగ్ మరియు రెస్క్యూ సామర్థ్యాలను కలిగి ఉంటుంది. అసలు స్పెసిఫికేషన్ 2500 కిలోల టేకాఫ్ బరువు కోసం పిలుపునిచ్చింది, కాని ఆయుధాలు, రవాణా మరియు మనుగడ యొక్క అవసరమైన మిశ్రమాన్ని తీర్చడానికి ప్రయత్నిస్తుంది అంటే బరువు త్వరగా 3400 కిలోలకు చేరుకుంది. ఇంతలో, కామోవ్ 2200 కిలోల పరిధిలో కామోవ్ వి -60 రూపంలో మరింత ప్రత్యేకమైన వేదికను రూపొందించాడు, ఇది అనుకూలంగా ఉంది, కానీ ఉత్పత్తి చేయబడలేదు. డిజైన్ తత్వశాస్త్రం చాలావరకు అలాగే ఉంచబడింది మరియు తరువాత MIL MI-40 గా పెరిగింది, ఇది MI-36 న ఆగిపోయిన ఒక సంవత్సరంలోనే ప్రతిపాదించబడింది. పోల్చదగిన పాత్ర, కాన్ఫిగరేషన్ మరియు యుగం యొక్క సంబంధిత అభివృద్ధి విమానం</v>
      </c>
      <c r="E179" s="1" t="s">
        <v>2845</v>
      </c>
      <c r="F179" s="1" t="str">
        <f>IFERROR(__xludf.DUMMYFUNCTION("GOOGLETRANSLATE(E:E, ""en"", ""te"")"),"సైనిక మద్దతు హెలికాప్టర్")</f>
        <v>సైనిక మద్దతు హెలికాప్టర్</v>
      </c>
      <c r="G179" s="1" t="s">
        <v>2846</v>
      </c>
      <c r="H179" s="1" t="str">
        <f>IFERROR(__xludf.DUMMYFUNCTION("GOOGLETRANSLATE(G:G, ""en"", ""te"")"),"సోవియట్ యూనియన్")</f>
        <v>సోవియట్ యూనియన్</v>
      </c>
      <c r="I179" s="1" t="s">
        <v>2847</v>
      </c>
      <c r="J179" s="1" t="str">
        <f>IFERROR(__xludf.DUMMYFUNCTION("GOOGLETRANSLATE(I:I, ""en"", ""te"")"),"మిల్ మాస్కో హెలికాప్టర్ ప్లాంట్")</f>
        <v>మిల్ మాస్కో హెలికాప్టర్ ప్లాంట్</v>
      </c>
      <c r="K179" s="1" t="s">
        <v>2848</v>
      </c>
      <c r="AC179" s="1" t="s">
        <v>2849</v>
      </c>
    </row>
    <row r="180">
      <c r="A180" s="1" t="s">
        <v>2850</v>
      </c>
      <c r="B180" s="1" t="str">
        <f>IFERROR(__xludf.DUMMYFUNCTION("GOOGLETRANSLATE(A:A, ""en"", ""te"")"),"వాస్స్మెర్ WA-51 పసిఫిక్")</f>
        <v>వాస్స్మెర్ WA-51 పసిఫిక్</v>
      </c>
      <c r="C180" s="1" t="s">
        <v>2851</v>
      </c>
      <c r="D180" s="1" t="str">
        <f>IFERROR(__xludf.DUMMYFUNCTION("GOOGLETRANSLATE(C:C, ""en"", ""te"")"),"వాస్మెర్ WA-51 పసిఫిక్ అనేది ఫ్రెంచ్ నాలుగు-సీట్ల క్యాబిన్ మోనోప్లేన్, ఇది సోషియాట్ వాస్మెర్ చేత రూపొందించబడింది మరియు నిర్మించబడింది. విభిన్న-శక్తితో కూడిన వైవిధ్యాలలో వాస్మర్ WA-52 యూరోపా మరియు వాస్మర్ WA-54 అట్లాంటిక్ ఉన్నాయి. ఇది ప్రపంచంలో మొట్టమొదటి "&amp;"మిశ్రమ పదార్థంతో నిర్మించిన విమానం. [1] Bébé, D112 మరియు D120 జోడెల్స్ కోసం గ్లాస్-ఫైబ్రే కౌలింగ్స్ తయారు చేయడం, వారి జావెలోట్, బిజావే మరియు సూపర్-జావెలోట్ గ్లైడర్స్ కోసం గ్లాస్-ఫైబర్ భాగాల సంఖ్య పెరుగుతోంది, ఆపై సూపర్-IV విమానం, 1966 లో 1966 లో గ్లాస్-ఫై"&amp;"బ్రే వా- 50 ప్రోటోటైప్, ముడుచుకునే ట్రైసైకిల్ ల్యాండింగ్ గేర్‌తో ఒకే ఇంజిన్ నాలుగు-సీట్ల క్యాబిన్ మోనోప్లేన్. వాస్తవానికి 115 సివి పోటెజ్ ఇంజిన్‌తో నడిచే మూడు-సీట్లగా రూపొందించబడింది, ఆ సమయంలో ఇంజిన్ లభ్యత ఫలితంగా 150 సివి లైమింగ్ ఓ -320 బదులుగా ఉపయోగించబ"&amp;"డుతోంది మరియు విమానం 4-సీటుగా మారింది. [1] సూపర్-ఐవి మాదిరిగానే అదే ప్రొఫైల్‌ను ఉపయోగించి 8.6 మీటర్ల వ్యవధిని ఉపయోగించి, మరియు పెద్ద స్లాట్డ్ ఫ్లాప్‌లతో భర్తీ చేయబడి, రెక్కలు రెండు అచ్చుపోసిన భాగాల నుండి ఏర్పడ్డాయి మరియు రెండు 70 లీటర్ ఇంధన ట్యాంకులను కలి"&amp;"గి ఉన్నాయి. [1] ఫ్యూజ్‌లేజ్ కూడా రెండు భాగాలుగా తయారు చేయబడింది మరియు సీతాకోకచిలుక తలుపులు కలిగి ఉంది. డిజైన్ స్థిర ట్రైసైకిల్ ల్యాండింగ్ గేర్‌తో WA-51 పసిఫిక్‌గా ఉత్పత్తిలోకి ప్రవేశించింది. తక్కువ-వింగ్ కాంటిలివర్ మోనోప్లేన్ ముక్కు-మౌంటెడ్ 150 హెచ్‌పి (1"&amp;"12 కిలోవాట్) లైమింగ్ ఓ -320-ఇ 2 ఎ పిస్టన్ ఇంజిన్‌తో శక్తినిచ్చింది. 160 హెచ్‌పి (119 కిలోవాట్ల) లైమింగ్ IO-320-B1A చేత శక్తినిచ్చే ఒక వేరియంట్‌ను WA-52 యూరోపా అని పిలుస్తారు. మరింత శుద్ధీకరణలు 180 హెచ్‌పి (134 కిలోవాట్ల) లైమింగ్ ఓ -360-ఎ 1 ఎల్ఎల్డి శక్తిత"&amp;"ో కూడిన WA-54 అట్లాంటిక్‌ను ఉత్పత్తి చేశాయి. మోండే నుండి డేటా. జనరల్ లక్షణాలు పనితీరు")</f>
        <v>వాస్మెర్ WA-51 పసిఫిక్ అనేది ఫ్రెంచ్ నాలుగు-సీట్ల క్యాబిన్ మోనోప్లేన్, ఇది సోషియాట్ వాస్మెర్ చేత రూపొందించబడింది మరియు నిర్మించబడింది. విభిన్న-శక్తితో కూడిన వైవిధ్యాలలో వాస్మర్ WA-52 యూరోపా మరియు వాస్మర్ WA-54 అట్లాంటిక్ ఉన్నాయి. ఇది ప్రపంచంలో మొట్టమొదటి మిశ్రమ పదార్థంతో నిర్మించిన విమానం. [1] Bébé, D112 మరియు D120 జోడెల్స్ కోసం గ్లాస్-ఫైబ్రే కౌలింగ్స్ తయారు చేయడం, వారి జావెలోట్, బిజావే మరియు సూపర్-జావెలోట్ గ్లైడర్స్ కోసం గ్లాస్-ఫైబర్ భాగాల సంఖ్య పెరుగుతోంది, ఆపై సూపర్-IV విమానం, 1966 లో 1966 లో గ్లాస్-ఫైబ్రే వా- 50 ప్రోటోటైప్, ముడుచుకునే ట్రైసైకిల్ ల్యాండింగ్ గేర్‌తో ఒకే ఇంజిన్ నాలుగు-సీట్ల క్యాబిన్ మోనోప్లేన్. వాస్తవానికి 115 సివి పోటెజ్ ఇంజిన్‌తో నడిచే మూడు-సీట్లగా రూపొందించబడింది, ఆ సమయంలో ఇంజిన్ లభ్యత ఫలితంగా 150 సివి లైమింగ్ ఓ -320 బదులుగా ఉపయోగించబడుతోంది మరియు విమానం 4-సీటుగా మారింది. [1] సూపర్-ఐవి మాదిరిగానే అదే ప్రొఫైల్‌ను ఉపయోగించి 8.6 మీటర్ల వ్యవధిని ఉపయోగించి, మరియు పెద్ద స్లాట్డ్ ఫ్లాప్‌లతో భర్తీ చేయబడి, రెక్కలు రెండు అచ్చుపోసిన భాగాల నుండి ఏర్పడ్డాయి మరియు రెండు 70 లీటర్ ఇంధన ట్యాంకులను కలిగి ఉన్నాయి. [1] ఫ్యూజ్‌లేజ్ కూడా రెండు భాగాలుగా తయారు చేయబడింది మరియు సీతాకోకచిలుక తలుపులు కలిగి ఉంది. డిజైన్ స్థిర ట్రైసైకిల్ ల్యాండింగ్ గేర్‌తో WA-51 పసిఫిక్‌గా ఉత్పత్తిలోకి ప్రవేశించింది. తక్కువ-వింగ్ కాంటిలివర్ మోనోప్లేన్ ముక్కు-మౌంటెడ్ 150 హెచ్‌పి (112 కిలోవాట్) లైమింగ్ ఓ -320-ఇ 2 ఎ పిస్టన్ ఇంజిన్‌తో శక్తినిచ్చింది. 160 హెచ్‌పి (119 కిలోవాట్ల) లైమింగ్ IO-320-B1A చేత శక్తినిచ్చే ఒక వేరియంట్‌ను WA-52 యూరోపా అని పిలుస్తారు. మరింత శుద్ధీకరణలు 180 హెచ్‌పి (134 కిలోవాట్ల) లైమింగ్ ఓ -360-ఎ 1 ఎల్ఎల్డి శక్తితో కూడిన WA-54 అట్లాంటిక్‌ను ఉత్పత్తి చేశాయి. మోండే నుండి డేటా. జనరల్ లక్షణాలు పనితీరు</v>
      </c>
      <c r="E180" s="1" t="s">
        <v>2852</v>
      </c>
      <c r="F180" s="1" t="str">
        <f>IFERROR(__xludf.DUMMYFUNCTION("GOOGLETRANSLATE(E:E, ""en"", ""te"")"),"నాలుగు-సీట్ల క్యాబిన్ మోనోప్లేన్")</f>
        <v>నాలుగు-సీట్ల క్యాబిన్ మోనోప్లేన్</v>
      </c>
      <c r="G180" s="1" t="s">
        <v>113</v>
      </c>
      <c r="H180" s="1" t="str">
        <f>IFERROR(__xludf.DUMMYFUNCTION("GOOGLETRANSLATE(G:G, ""en"", ""te"")"),"ఫ్రాన్స్")</f>
        <v>ఫ్రాన్స్</v>
      </c>
      <c r="I180" s="1" t="s">
        <v>2853</v>
      </c>
      <c r="J180" s="1" t="str">
        <f>IFERROR(__xludf.DUMMYFUNCTION("GOOGLETRANSLATE(I:I, ""en"", ""te"")"),"Société wassmer")</f>
        <v>Société wassmer</v>
      </c>
      <c r="K180" s="1" t="s">
        <v>2854</v>
      </c>
      <c r="N180" s="3">
        <v>24184.0</v>
      </c>
      <c r="O180" s="1" t="s">
        <v>2855</v>
      </c>
      <c r="P180" s="1" t="s">
        <v>2856</v>
      </c>
      <c r="Q180" s="1" t="s">
        <v>2857</v>
      </c>
      <c r="R180" s="1" t="s">
        <v>2858</v>
      </c>
      <c r="S180" s="1" t="s">
        <v>2859</v>
      </c>
      <c r="T180" s="1" t="s">
        <v>2860</v>
      </c>
      <c r="U180" s="1" t="s">
        <v>2861</v>
      </c>
      <c r="V180" s="1" t="s">
        <v>2862</v>
      </c>
      <c r="W180" s="1" t="s">
        <v>2863</v>
      </c>
      <c r="X180" s="1" t="s">
        <v>2864</v>
      </c>
      <c r="Y180" s="1" t="s">
        <v>2865</v>
      </c>
      <c r="AA180" s="1" t="s">
        <v>2866</v>
      </c>
      <c r="AG180" s="1" t="s">
        <v>2867</v>
      </c>
      <c r="AJ180" s="1">
        <v>154.0</v>
      </c>
      <c r="AK180" s="1" t="s">
        <v>2868</v>
      </c>
      <c r="AR180" s="1" t="s">
        <v>253</v>
      </c>
      <c r="AS180" s="1">
        <v>7.125</v>
      </c>
      <c r="AX180" s="1" t="s">
        <v>2869</v>
      </c>
      <c r="BI180" s="1" t="s">
        <v>2870</v>
      </c>
    </row>
    <row r="181">
      <c r="A181" s="1" t="s">
        <v>2871</v>
      </c>
      <c r="B181" s="1" t="str">
        <f>IFERROR(__xludf.DUMMYFUNCTION("GOOGLETRANSLATE(A:A, ""en"", ""te"")"),"కర్టిస్ XP-71")</f>
        <v>కర్టిస్ XP-71</v>
      </c>
      <c r="C181" s="1" t="s">
        <v>2872</v>
      </c>
      <c r="D181" s="1" t="str">
        <f>IFERROR(__xludf.DUMMYFUNCTION("GOOGLETRANSLATE(C:C, ""en"", ""te"")"),"కర్టిస్ XP-71 అనూహ్యంగా పెద్ద [1] భారీ ఫైటర్ డిజైన్ కోసం 1941 అమెరికన్ ప్రతిపాదన. ఇది విపరీతమైన శ్రేణి ఇంటర్‌సెప్టర్ మరియు ఎస్కార్ట్ ఫైటర్‌గా పనిచేయడానికి ఉద్దేశించబడింది. డిజైన్ దశలో గణనీయమైన పురోగతి సాధించినప్పటికీ, ప్రోటోటైప్‌లు ఎప్పుడూ నిర్మించబడలేదు "&amp;"మరియు 1943 లో డిజైన్ వదిలివేయబడింది. ప్రతిపాదిత విమానం ఒత్తిడితో కూడిన కాక్‌పిట్ కలిగి ఉంది. రెండు ప్రాట్ &amp; విట్నీ R-4360 కందిరీగ ప్రధాన రేడియల్ ఇంజన్లు ప్రతి ఒక్కటి పషర్ కాంట్రా-రొటేటింగ్ ప్రొపెల్లర్ల సమితిని నడుపుతాయి. [2] రెండవ ప్రపంచ యుద్ధంలో అమెరికన్"&amp;" ప్రమేయానికి ముందు చేపట్టిన భారీ, సుదూర యోధుల అధ్యయనాల ఆధారంగా, అమెరికా ఆర్మీ ఎయిర్ ఫోర్సెస్ మొదట్లో నవంబర్ 1941 లో రెండు ప్రోటోటైప్‌లను ఆదేశించింది. [3] ప్రతిపాదిత విమానానికి ప్రధాన పాత్ర ఏమిటంటే, భారీ బాంబర్లను రక్షించడానికి ""ఎస్కార్ట్"" ఫైటర్‌గా వ్యవహ"&amp;"రించడం, బ్రిటన్ జయించినప్పటికీ ఆక్రమిత ఐరోపాపై పనిచేయవలసి ఉంటుంది. [3] రెండు టర్బోచార్జ్డ్ 3,450 హెచ్‌పి (2,570 కిలోవాట్) ఆర్ -4360 ల డ్రైవింగ్ పషర్ ప్రొపెల్లర్ల చుట్టూ అభివృద్ధి చేయబడిన XP-71 యుద్ధంలో నిర్మించిన అతిపెద్ద ఫైటర్ విమానాలు. చివరి XP-71 డిజైన"&amp;"్ సమకాలీన B-25 కంటే పెద్దదిగా ఉండేది మరియు ఇది సంక్లిష్ట పారిశ్రామిక ప్రాజెక్టుగా పరిగణించబడుతుంది, ఇది కర్టిస్ కంపెనీ యొక్క వనరులను పన్ను విధించేది, ఎందుకంటే అభివృద్ధి సమయం అంచనా వేసిన అవసరానికి మించి విస్తరిస్తుందని స్పష్టమైంది రకం. . ప్రోటోటైప్ నిర్మాణ"&amp;"ం ప్రారంభమయ్యే ముందు ప్రాజెక్ట్. 3] [సైటేషన్ అవసరం] నుండి డేటా సాధారణ లక్షణాల పనితీరు పనితీరు ఆయుధాల విమానం పోల్చదగిన పాత్ర, కాన్ఫిగరేషన్ మరియు ERA సంబంధిత జాబితాలు")</f>
        <v>కర్టిస్ XP-71 అనూహ్యంగా పెద్ద [1] భారీ ఫైటర్ డిజైన్ కోసం 1941 అమెరికన్ ప్రతిపాదన. ఇది విపరీతమైన శ్రేణి ఇంటర్‌సెప్టర్ మరియు ఎస్కార్ట్ ఫైటర్‌గా పనిచేయడానికి ఉద్దేశించబడింది. డిజైన్ దశలో గణనీయమైన పురోగతి సాధించినప్పటికీ, ప్రోటోటైప్‌లు ఎప్పుడూ నిర్మించబడలేదు మరియు 1943 లో డిజైన్ వదిలివేయబడింది. ప్రతిపాదిత విమానం ఒత్తిడితో కూడిన కాక్‌పిట్ కలిగి ఉంది. రెండు ప్రాట్ &amp; విట్నీ R-4360 కందిరీగ ప్రధాన రేడియల్ ఇంజన్లు ప్రతి ఒక్కటి పషర్ కాంట్రా-రొటేటింగ్ ప్రొపెల్లర్ల సమితిని నడుపుతాయి. [2] రెండవ ప్రపంచ యుద్ధంలో అమెరికన్ ప్రమేయానికి ముందు చేపట్టిన భారీ, సుదూర యోధుల అధ్యయనాల ఆధారంగా, అమెరికా ఆర్మీ ఎయిర్ ఫోర్సెస్ మొదట్లో నవంబర్ 1941 లో రెండు ప్రోటోటైప్‌లను ఆదేశించింది. [3] ప్రతిపాదిత విమానానికి ప్రధాన పాత్ర ఏమిటంటే, భారీ బాంబర్లను రక్షించడానికి "ఎస్కార్ట్" ఫైటర్‌గా వ్యవహరించడం, బ్రిటన్ జయించినప్పటికీ ఆక్రమిత ఐరోపాపై పనిచేయవలసి ఉంటుంది. [3] రెండు టర్బోచార్జ్డ్ 3,450 హెచ్‌పి (2,570 కిలోవాట్) ఆర్ -4360 ల డ్రైవింగ్ పషర్ ప్రొపెల్లర్ల చుట్టూ అభివృద్ధి చేయబడిన XP-71 యుద్ధంలో నిర్మించిన అతిపెద్ద ఫైటర్ విమానాలు. చివరి XP-71 డిజైన్ సమకాలీన B-25 కంటే పెద్దదిగా ఉండేది మరియు ఇది సంక్లిష్ట పారిశ్రామిక ప్రాజెక్టుగా పరిగణించబడుతుంది, ఇది కర్టిస్ కంపెనీ యొక్క వనరులను పన్ను విధించేది, ఎందుకంటే అభివృద్ధి సమయం అంచనా వేసిన అవసరానికి మించి విస్తరిస్తుందని స్పష్టమైంది రకం. . ప్రోటోటైప్ నిర్మాణం ప్రారంభమయ్యే ముందు ప్రాజెక్ట్. 3] [సైటేషన్ అవసరం] నుండి డేటా సాధారణ లక్షణాల పనితీరు పనితీరు ఆయుధాల విమానం పోల్చదగిన పాత్ర, కాన్ఫిగరేషన్ మరియు ERA సంబంధిత జాబితాలు</v>
      </c>
      <c r="E181" s="1" t="s">
        <v>2873</v>
      </c>
      <c r="F181" s="1" t="str">
        <f>IFERROR(__xludf.DUMMYFUNCTION("GOOGLETRANSLATE(E:E, ""en"", ""te"")"),"హెవీ ఫైటర్ ఎస్కార్ట్ ఎస్కార్ట్ ఎస్కార్ట్ ఎస్కార్ట్ ఫైటర్ బాంబర్-డెస్ట్రాయర్/ఇంటర్‌సెప్టర్")</f>
        <v>హెవీ ఫైటర్ ఎస్కార్ట్ ఎస్కార్ట్ ఎస్కార్ట్ ఎస్కార్ట్ ఫైటర్ బాంబర్-డెస్ట్రాయర్/ఇంటర్‌సెప్టర్</v>
      </c>
      <c r="I181" s="1" t="s">
        <v>2874</v>
      </c>
      <c r="J181" s="1" t="str">
        <f>IFERROR(__xludf.DUMMYFUNCTION("GOOGLETRANSLATE(I:I, ""en"", ""te"")"),"కర్టిస్-రైట్")</f>
        <v>కర్టిస్-రైట్</v>
      </c>
      <c r="K181" s="2" t="s">
        <v>2875</v>
      </c>
      <c r="N181" s="1" t="s">
        <v>2786</v>
      </c>
      <c r="O181" s="1">
        <v>2.0</v>
      </c>
      <c r="P181" s="1" t="s">
        <v>2876</v>
      </c>
      <c r="Q181" s="1" t="s">
        <v>2877</v>
      </c>
      <c r="R181" s="1" t="s">
        <v>1193</v>
      </c>
      <c r="S181" s="1" t="s">
        <v>2878</v>
      </c>
      <c r="T181" s="1" t="s">
        <v>2879</v>
      </c>
      <c r="V181" s="1" t="s">
        <v>2880</v>
      </c>
      <c r="W181" s="1" t="s">
        <v>2881</v>
      </c>
      <c r="X181" s="1" t="s">
        <v>2882</v>
      </c>
      <c r="Y181" s="1" t="s">
        <v>2883</v>
      </c>
      <c r="AA181" s="1" t="s">
        <v>2884</v>
      </c>
      <c r="AB181" s="1" t="s">
        <v>2885</v>
      </c>
      <c r="AD181" s="1" t="s">
        <v>2886</v>
      </c>
      <c r="AI181" s="1" t="s">
        <v>2887</v>
      </c>
      <c r="AJ181" s="1">
        <v>0.0</v>
      </c>
      <c r="AQ181" s="1" t="s">
        <v>2888</v>
      </c>
      <c r="BE181" s="1" t="s">
        <v>2889</v>
      </c>
      <c r="BH181" s="1" t="s">
        <v>2890</v>
      </c>
      <c r="BP181" s="1" t="s">
        <v>2891</v>
      </c>
      <c r="CA181" s="1" t="s">
        <v>2892</v>
      </c>
      <c r="CC181" s="1" t="s">
        <v>2893</v>
      </c>
    </row>
    <row r="182">
      <c r="A182" s="1" t="s">
        <v>2894</v>
      </c>
      <c r="B182" s="1" t="str">
        <f>IFERROR(__xludf.DUMMYFUNCTION("GOOGLETRANSLATE(A:A, ""en"", ""te"")"),"గ్లోస్టర్ E.1/44")</f>
        <v>గ్లోస్టర్ E.1/44</v>
      </c>
      <c r="C182" s="1" t="s">
        <v>2895</v>
      </c>
      <c r="D182" s="1" t="str">
        <f>IFERROR(__xludf.DUMMYFUNCTION("GOOGLETRANSLATE(C:C, ""en"", ""te"")"),"గ్లోస్టర్ E.1/44 అనేది రెండవ ప్రపంచ యుద్ధం యొక్క బ్రిటిష్ సింగిల్-ఇంజిన్ జెట్ ఫైటర్ డిజైన్, దీనిని బ్రిటిష్ ఏవియేషన్ సంస్థ గ్లోస్టర్ ఎయిర్క్రాఫ్ట్ కంపెనీ అభివృద్ధి చేసింది మరియు నిర్మించింది. ఇది అభివృద్ధి చేయబడిన మొట్టమొదటి జెట్-చోదక విమానంలో ఒకటి మరియు "&amp;"ప్రయోగాత్మక ప్రాతిపదికన ఉత్పత్తి చేయబడింది. బ్రిటన్ యొక్క మొట్టమొదటి జెట్ ప్రొపెల్డ్ విమానానికి అనుకూలమైన పరీక్ష తరువాత, టర్బోజెట్-శక్తితో పనిచేసే గ్లోస్టర్ E.28/39 1941 లో, ఫైటర్ విమానాలకు కొత్త ప్రొపల్షన్ టెక్నాలజీని ఉపయోగించడంపై గణనీయమైన ఆసక్తి ఉంది. 1"&amp;"942 లో, పెద్ద జంట-ఇంజిన్ ఫైటర్ విమానాల అభివృద్ధిపై పని ప్రారంభమైంది, ఇది గ్లోస్టర్ ఉల్కాపాతం, మొదటి అనుబంధ జెట్ ఫైటర్. పవర్ జెట్స్ W.2 జెట్ ఇంజిన్‌ను ఉత్పత్తి చేయడానికి ఇప్పటికే ఒప్పందం కుదుర్చుకున్న బ్రిటిష్ పారిశ్రామిక తయారీదారు రోవర్, యుద్ధ సమయంలో తగిన"&amp;"ంత ఇంజిన్ ఉత్పత్తిని సాధించడంలో చాలా ఇబ్బంది పడ్డాడు. ఈ కొరత యొక్క విస్తృత ఉత్పత్తి పరిణామాల వల్ల, ఎయిర్ మంత్రిత్వ శాఖ ఉల్కాపాతం యొక్క జంట-ఇంజిన్ కాన్ఫిగరేషన్ మీద ఒకే ఇంజిన్ విమానాన్ని అవలంబించే సంభావ్య విలువను గుర్తించింది, ఇది స్పెసిఫికేషన్ E.5/42 జారీ "&amp;"చేయడానికి దారితీసింది, ఇది డిజైన్ కోసం పిలుపునిచ్చింది. మరియు అటువంటి ఫైటర్ తయారీ. గ్లోస్టర్ ఆ సంస్థలలో స్పెసిఫికేషన్‌ను స్వీకరించారు మరియు తక్కువ-వింగ్ మోనోప్లేన్ కాన్ఫిగరేషన్‌తో సింగిల్-ఇంజిన్ ఫైటర్ డిజైన్‌ను రూపొందించారు, ఇది అధికంగా దెబ్బతిన్న రెక్క మ"&amp;"రియు టి-తోకతో ఉంటుంది, అలాగే ప్రత్యామ్నాయంగా a ద్వారా పనిచేస్తుంది సింగిల్ హాల్ఫోర్డ్ హెచ్ .1 లేదా రోల్స్ రాయిస్ నేన్ ఇంజిన్, వింగ్ మూలాలలో గాలి తీసుకోవడం ద్వారా తినిపించింది. 1943 చివరలో, Ga.1 వలె, ఒక జత ప్రోటోటైప్‌లపై పని ప్రారంభమైంది. రోల్స్ రాయిస్ లిమ"&amp;"ిటెడ్‌కు ఉత్పత్తి కార్యకలాపాలను తిరిగి కేటాయించిన తరువాత ఇంజిన్ తయారీ సమస్యలు ఎక్కువగా సరిదిద్దబడ్డాయి. 1944 లో వైమానిక మంత్రిత్వ శాఖ స్పెసిఫికేషన్ E.1/44 ను జారీ చేసే వరకు గ్లోస్టర్ స్వతంత్రంగా GA.1 ను మెరుగుపరచాలని నిర్ణయించుకున్నాడు, ఇది రోల్స్ రాయిస్ "&amp;"నేనే చేత నడిచే ప్రయోగాత్మక జెట్-శక్తితో కూడిన విమానాలను కోరింది, ఇది సవరించిన Ga.2 కు దారితీసింది. కొత్త పోరాట యోధుడిపై పురోగతి నెమ్మదిగా ఉంది, గ్లోస్టర్ ఉల్కాపాతం యొక్క అభివృద్ధి మరియు ఉత్పత్తిపై దృష్టి పెట్టారు. 9 మార్చి 1948 న, రెండవ E.1/44 RAF బోస్కోం"&amp;"బే డౌన్ వద్ద తన తొలి విమానాన్ని ప్రదర్శించింది. పరీక్ష రాజీలేని పనితీరు మరియు లక్షణాలను వెల్లడించింది మరియు గ్లోస్టర్ ఉల్కాపాతం మరింత అభివృద్ధి సామర్థ్యాన్ని కలిగి ఉన్నట్లు గుర్తించింది మరియు విమానం ఎప్పుడూ ఉత్పత్తిలోకి ప్రవేశించలేదు. టర్బోజెట్-శక్తితో పన"&amp;"ిచేసే E.1/44 యొక్క అభివృద్ధి గ్లోస్టర్ ఎయిర్క్రాఫ్ట్ కంపెనీ మరియు సర్ ఫ్రాంక్ విటిల్ యొక్క సంస్థ, పవర్ జెట్స్ లిమిటెడ్ మధ్య సహకారం యొక్క ఉత్పత్తి. విటిల్ మార్చి 1936 లో జెట్ ప్రొపల్షన్ యొక్క తన ఆలోచనలను అభివృద్ధి చేయడానికి పవర్ జెట్లను ఏర్పాటు చేసింది కంప"&amp;"ెనీ చీఫ్ ఇంజనీర్‌గా విటిల్. [1] చాలా సంవత్సరాలుగా, విటిల్ యొక్క తీవ్రమైన ఆలోచనలను తీసుకోవడానికి సిద్ధంగా ఉన్న ఆర్థిక మద్దతుదారులు మరియు విమానయాన సంస్థలను ఆకర్షించడం కష్టం; 1931 లో, ఆర్మ్‌స్ట్రాంగ్-సిడ్లీ విటిల్ యొక్క ప్రతిపాదనను విశ్లేషించారు మరియు తిరస్క"&amp;"రించాడు, ఇది సాంకేతికంగా ధ్వనిగా ఉంది, కానీ ఇంజనీరింగ్ సామర్ధ్యం యొక్క పరిమితుల వద్ద ఉంది. [2] నిధులను భద్రపరచడం ఇంజిన్ యొక్క ప్రారంభ అభివృద్ధిలో నిరంతరం ఆందోళన కలిగించే సమస్య. [3] మొదటి విటిల్ ప్రోటోటైప్ జెట్ ఇంజిన్, పవర్ జెట్స్ వు, 1937 ప్రారంభంలో ట్రయల"&amp;"్స్ నడపడం ప్రారంభించింది; కొంతకాలం తర్వాత, ఏరోనాటికల్ రీసెర్చ్ కమిటీ మరియు వైమానిక మంత్రిత్వ శాఖ ఛైర్మన్ సర్ హెన్రీ టిజార్డ్ ఈ ప్రాజెక్టుకు వారి మద్దతు ఇచ్చారు. [4] 28 ఏప్రిల్ 1939 న, విటిల్ గ్లోస్టర్ ఎయిర్క్రాఫ్ట్ కంపెనీ ప్రాంగణాన్ని సందర్శించాడు, అక్కడ "&amp;"అతను గ్లోస్టర్ యొక్క చీఫ్ డిజైనర్ జార్జ్ కార్టర్ వంటి అనేక ముఖ్య వ్యక్తులను కలుసుకున్నాడు. [5] కార్టర్ విటిల్ యొక్క ప్రాజెక్టుపై ఎంతో ఆసక్తిని కనబరిచాడు, ముఖ్యంగా అతను కార్యాచరణ పవర్ జెట్స్ W.1 ఇంజిన్‌ను చూసినప్పుడు; కార్టర్ త్వరగా ఇంజిన్ ద్వారా నడిచే వివ"&amp;"ిధ విమాన డిజైన్ల యొక్క అనేక కఠినమైన ప్రతిపాదనలను చేశాడు. స్వతంత్రంగా, విటిల్ అధిక-ఎత్తులో ఉన్న జెట్-శక్తితో కూడిన బాంబర్ కోసం ప్రతిపాదనలను కూడా ఉత్పత్తి చేస్తున్నాడు; రెండవ ప్రపంచ యుద్ధం ప్రారంభమైన తరువాత మరియు ఫ్రాన్స్ కోసం యుద్ధం తరువాత, ఫైటర్ విమానాలపై"&amp;" ఎక్కువ జాతీయ ప్రాధాన్యత తలెత్తింది. [6] పవర్ జెట్స్ మరియు గ్లోస్టర్ 1939 మధ్యలో పరస్పర అవగాహనను త్వరగా ఏర్పరచుకున్నారు. [7] సెప్టెంబరు 1939 లో, విటీల్ యొక్క టర్బోజెట్ డిజైన్లలో ఒకదాన్ని విమానంలో పరీక్షించడానికి వైమానిక మంత్రిత్వ శాఖ ఒక విమానం కోసం ఒక స్ప"&amp;"ెసిఫికేషన్ జారీ చేసింది, దీని ఫలితంగా మొదటి బ్రిటిష్ జెట్ విమానం గ్లోస్టర్ E.28/39 అభివృద్ధి జరిగింది. కాన్సెప్ట్ ఎయిర్క్రాఫ్ట్ యొక్క ఈ ప్రారంభ రుజువు కోసం అనుసరించిన పేరు, E.28/39, 1939 లో వైమానిక మంత్రిత్వ శాఖ జారీ చేసిన 28 వ ""ప్రయోగాత్మక"" స్పెసిఫికేష"&amp;"న్‌కు అనుగుణంగా అభివృద్ధి చేయబడిన విమానం నుండి ఉద్భవించింది. [8] స్పెసిఫికేషన్ ఆర్మమెంట్స్ కోసం నిబంధనలను కలిగి ఉన్నప్పటికీ, ఇవి మొదట్లో చేర్చబడలేదు మరియు విమానం ప్రధానంగా జెట్ ప్రొపల్షన్ యొక్క సాధ్యత, లక్షణాలు మరియు సంభావ్య విలువను విస్తృత పరంగా ప్రదర్శి"&amp;"ంచడానికి ఉద్దేశించబడింది, వెంటనే పోరాట విమానాన్ని ఉత్పత్తి చేయకూడదు. [9] 15 మే 1941 న, గ్లోస్టర్ యొక్క చీఫ్ టెస్ట్ పైలట్, ఫ్లైట్ లెఫ్టినెంట్ జెర్రీ సేయర్ మొదటిసారిగా జెట్ పవర్ కింద విమానాన్ని లింకన్షైర్లోని స్లీఫోర్డ్ సమీపంలో ఉన్న RAF క్రాన్వెల్ నుండి 17 "&amp;"నిమిషాల పాటు విమానంలో ప్రయాణించారు. [10] [11] E.28/39 యొక్క విజయవంతమైన పరీక్ష నేరుగా 1940 నుండి ట్విన్-ఇంజిన్ గ్లోస్టర్ మెటియర్ జెట్ ఫైటర్ రూపకల్పనకు దారితీసింది. 1942 లో, ఇంజిన్ తయారీదారు రోవర్, ఇప్పటికే పవర్ జెట్స్ W.2 జెట్ ఇంజిన్ ఉత్పత్తి చేయడానికి ఒప్"&amp;"పందం కుదుర్చుకున్నాడు . గ్లోస్టర్ ఒక డిజైన్‌ను ఉత్పత్తి చేశాడు, ఇది తక్కువ-వింగ్ మోనోప్లేన్‌గా అధికంగా దెబ్బతిన్న వింగ్ మరియు టి-టెయిల్ అమరికతో పాటు టెయిల్‌వీల్ అండర్ క్యారేజ్‌తో అభివృద్ధి చెందింది. ఇది హాల్ఫార్డ్ హెచ్ 1 లేదా రోల్స్ రాయిస్ నేన్ ఇంజిన్ చేత"&amp;" రెక్కల మూలాలలో తీసుకోవడం ద్వారా అందించబడుతుంది. 1943 చివరలో, ఒక జత ప్రోటోటైప్ Ga.1 లపై నిర్మాణ కార్యకలాపాలు ప్రారంభమయ్యాయి. [12] [13] రోల్స్ రాయిస్ లిమిటెడ్ ఎక్స్ఛేంజింగ్ జెట్ ఇంజిన్ ఉత్పత్తి (అందువల్ల, W2 ఇంజిన్ వెల్లాండ్ అని పిలువబడుతుంది) మెటియర్ ట్యా"&amp;"ంక్ ఇంజిన్ ఉత్పత్తి కోసం రోవర్, రోల్స్ రాయిస్ ఉత్పత్తి సమస్యలను అధిగమించడం ద్వారా తయారీ ఇబ్బందులు పరిష్కరించబడ్డాయి. ఒకే ఇంజిన్ డిజైన్ కోసం డిమాండ్ వెదజల్లుతుంది మరియు అభివృద్ధి చెందుతున్న Ga.1 ఇకపై అవసరం లేదు. గ్లోస్టర్ డిజైన్‌పై ప్రైవేటుగా పని చేస్తూనే "&amp;"ఉన్నాడు, W2/వెల్లాండ్‌కు బదులుగా రకాన్ని శక్తివంతం చేయడానికి హాల్ఫోర్డ్ H.1 ఇంజిన్‌ను స్వీకరించాలని అనుకున్నాడు. 1944 లో, వైమానిక మంత్రిత్వ శాఖ ఒక ప్రయోగాత్మక జెట్-శక్తితో కూడిన విమానం కోసం స్పెసిఫికేషన్ E.1/44 ను జారీ చేసింది, ఇది కొత్త రోల్స్ రాయిస్ నేన"&amp;"ే ఇంజిన్‌కు శక్తినిస్తుంది. గ్లోస్టర్ యొక్క డిజైన్ బృందం కొత్త డిజైన్‌ను అభివృద్ధి చేయడం ద్వారా ఈ కొత్త స్పెసిఫికేషన్ యొక్క పేర్కొన్న అవసరాలను సంప్రదించాలని నిర్ణయించుకుంది, Ga.2. ఇది మునుపటి E.5/42 పై ఆధారపడలేదు, ఇది చాలా పెద్ద విమానం. [14] 1944 లో, సమర్"&amp;"పణలను సమీక్షించిన తరువాత, వైమానిక మంత్రిత్వ శాఖ ఒక నమూనా కోసం గ్లోస్టర్‌కు ఒక ఒప్పందం కుదుర్చుకుంది; ఈ ఆర్డర్ 1945 చివరలో మరో మూడు విమానాలను పూర్తి చేయడానికి అదనపు ఆర్డర్‌ల ద్వారా చేరింది. [15] గ్లోస్టర్ E.1/44 అనేది ఒత్తిడితో కూడిన-చర్మం మధ్య-రెక్కల మోనో"&amp;"ప్లేన్ డిజైన్, ఇందులో సాపేక్షంగా విస్తృత ఫ్యూజ్‌లేజ్ మరియు వైడ్-ట్రాక్ అండర్ క్యారేజ్ ఉన్నాయి. ఈ డిజైన్ జంట-జెట్ ఉల్కాపాతం మరియు మునుపటి మార్గదర్శక E.28/29 కు ఉపరితల సారూప్యతలను మాత్రమే కలిగి ఉంది, ఇది పెద్ద మరియు గణనీయంగా భారీ విమానం. E.28/29 మాదిరిగా కా"&amp;"కుండా, ముక్కులో కేంద్ర గాలి తీసుకోవడం దాని టర్బోజెట్ ఇంజిన్‌కు చేరుకోవడానికి స్ట్రెయిట్-త్రూ డక్ట్‌లోకి ప్రవేశించింది, E.1/44 యొక్క నేనే ఒక జత సెమీ వృత్తాకార గాలి తీసుకోవడం ద్వారా గాలిని అందుకుంది వింగ్ మూలాలు. [16] టెయిల్‌ప్లేన్ వెనుక ఫ్యూజ్‌లేజ్ పైకి మి"&amp;"డ్ వే అమర్చబడి, సింగిల్ ఫిన్ మరియు చుక్కాని క్రింద అమర్చబడింది. మునుపటి E5/42 మాదిరిగా కాకుండా, E.1/44 కొరకు విస్తృతంగా ఖాళీగా ఉన్న ట్రైసైకిల్ ల్యాండింగ్ గేర్ అమరికను స్వీకరించారు. [17] [18] E.1/44 యొక్క అసాధారణంగా విస్తృత ఫ్యూజ్‌లేజ్ విభాగాలలో తయారు చేయబ"&amp;"డింది, వీటి ముందు భాగం నాలుగు లాంగన్స్ ద్వారా కేంద్ర విభాగానికి జతచేయబడింది. [19] రీన్ఫోర్స్డ్ జెడ్-సెక్షన్ ఫ్రేమ్‌లు మరియు హెవీ డబుల్-ఛానల్ సెక్షన్ ఫ్రేమ్‌లతో కూడిన సెంటర్ ఫ్యూజ్‌లేజ్, రెక్క యొక్క సెంటర్-సెక్షన్ కోసం నేనే మరియు అటాచ్మెంట్ పాయింట్లను కలిగ"&amp;"ి ఉంది. కేంద్ర విభాగం యొక్క వైపులా సెట్ చేయబడినవి గాలి తీసుకోవడం, ఇందులో సరిహద్దు-పొర రక్తస్రావం ఉంది మరియు తక్షణమే వేరు చేయబడుతుంది. [19] వెనుక ఫ్యూజ్‌లేజ్ విభాగం సెమీ-మోనోకోక్ నిర్మాణాన్ని ఉపయోగించింది, ఇది అనేక Z- సెక్షన్ ఫ్రేమ్‌లు మరియు టాప్-టోపీ స్ట్"&amp;"రింగర్‌ల ద్వారా బలోపేతం చేయబడింది; వేరు చేయగలిగిన తోక విభాగంలో ఇలాంటి నిర్మాణాన్ని కలిగి ఉంది. ఫిన్ యొక్క ఎగువ భాగం కాకుండా, దాని ఇన్సులేటింగ్ లక్షణాల కోసం కలపతో కూడి ఉంటుంది, తోక యూనిట్ ఆల్-మెటల్, ఒత్తిడి-చర్మం యూనిట్. విభాగాలను అటాచ్ చేయడానికి రివెట్స్ "&amp;"ఉపయోగించబడ్డాయి. [19] ఫ్లాప్స్, ఇన్బోర్డ్ ఎయిర్ బ్రేక్‌లు మరియు ప్రధాన అండర్ క్యారేజీకి వసతి కల్పించే రెక్క యొక్క సెంటర్-సెక్షన్, సింగిల్-స్పేర్ ఒత్తిడితో కూడిన-చర్మ నిర్మాణం, సహాయక వెనుక భాగంతో. [19] రెండు స్పార్స్ ప్లేట్ వెబ్ డిజైన్‌ను ఉపయోగిస్తాయి; ప్ర"&amp;"ధాన స్పార్ యొక్క విజృంభణలు అధిక-తన్యత ఉక్కు నుండి కూడి ఉన్నాయి, కాంతి-అల్లాయ్ బూమ్స్ యొక్క వెనుక స్పార్. ఇలాంటి నిర్మాణాన్ని కలిగి ఉన్న రెక్క యొక్క బయటి భాగాలు స్పార్స్ వద్ద మరియు ప్రముఖ అంచు వద్ద పరిష్కరించబడ్డాయి. విమానం యొక్క అసాధారణ లక్షణం రెక్కల చర్మ"&amp;"ం, ఇది సాపేక్షంగా పని చేయాల్సిన స్టెయిన్లెస్-స్టీల్‌తో కూడి ఉంది. [17] [20] E.1/44 యొక్క ఎగిరే నియంత్రణలు సాపేక్షంగా సాంప్రదాయికమైనవి, ఫ్లైట్ కంట్రోల్ ఉపరితలాలకు నియంత్రణ ఇన్‌పుట్‌లను పోషించడానికి పుష్-రాడ్‌లు మరియు స్ప్రింగ్-టార్క్ షాఫ్ట్‌ల శ్రేణిని (రెం"&amp;"డోది ప్రధానంగా స్ప్రింగ్ ట్యాబ్‌ల యొక్క యాక్చుయేషన్ కోసం ఉపయోగించబడుతోంది) ను ఉపయోగిస్తుంది. [[ 19] అండర్ క్యారేజ్ మరియు ఫ్లాప్స్ కోసం శక్తి డౌటీ హైడ్రాలిక్ పంప్ ద్వారా అందించబడింది, ఇది నేనే ఇంజిన్ నుండి గేర్ బాక్స్ ద్వారా నడపబడుతుంది. అత్యవసర పరిస్థితుల"&amp;" కోసం, విమాన ఉపరితలాల కోసం హ్యాండ్-పంప్ మరియు అండర్ క్యారేజ్ కోసం సంపీడన-గాలి వ్యవస్థ ఉంది. [21] విద్యుత్ శక్తిని 1,500-వాట్ల HX2 జనరేటర్ ద్వారా అందించారు, ఇది గేర్ బాక్స్ ద్వారా కూడా నడపబడుతుంది, ఇది ఒక జత సిరీస్-కనెక్ట్ చేయబడిన 12-వోల్ట్ సంచితాలను వసూలు"&amp;" చేసింది. పరికరాలలో రెండు-మార్గం రేడియో సెట్, ఐఎఫ్ఎఫ్, ఆక్సిజన్ ట్యాంకులు, విండ్‌స్క్రీన్ డి-ఐసింగ్ సిస్టమ్, ఫైర్ డిటెక్టర్లు మరియు మంటలను ఆర్పేవి మరియు తోకలో డ్రోగ్ పారాచూట్ ఉన్నాయి. [21] కొత్త పోరాట యోధుడిపై పురోగతి నెమ్మదిగా ఉంది, గ్లోస్టర్ జంట-ఇంజిన్ "&amp;"ఉల్కపై దృష్టి పెట్టడానికి ఎంచుకున్నాడు మరియు మొదటి నమూనా జూలై 1947 వరకు పూర్తి కాలేదు. RAF కి రవాణా చేయబడినప్పుడు రోడ్డు ప్రమాదంలో ప్రోటోటైప్ ధ్వంసమైనప్పుడు ఈ ప్రాజెక్టుకు గణనీయమైన ఎదురుదెబ్బ తగిలింది. విమాన పరీక్ష కోసం బోస్కోంబే డౌన్. [22] [23] ఎగరడానికి"&amp;" మొదటి E.1/44 రెండవ నమూనా. 9 మార్చి 1948 న, ఇది గ్లోస్టర్ చీఫ్ టెస్ట్ పైలట్ బిల్ వాటర్టన్ చేత ఎగిరిన RAF బోస్కోంబే డౌన్ వద్ద తన తొలి విమానంలో ప్రదర్శించింది. నివేదిక ప్రకారం, వాటర్టన్ ఈ విమానంతో ఆకట్టుకోలేదు, దాని శక్తి లేకపోవడం మరియు దాని అననుకూల ఎగిరే ల"&amp;"క్షణాలపై వ్యాఖ్యానిస్తూ, దీనిని ""గోర్మ్‌లెస్"" అని చెప్పకుండానే దీనిని సూచిస్తుంది. ఈ అనధికారిక పేరు ఎప్పుడూ చిక్కుకోలేదు, ప్రోటోటైప్‌కు అధికారిక పేరు రాలేదు, అయినప్పటికీ ""ఏస్"" ఒక సమయంలో ప్రతిపాదించబడింది. [24] మొదటి ఫ్లైట్ తరువాత, రెండవ నమూనాను మరింత "&amp;"పరీక్ష విమానాల కోసం గ్లౌసెస్టర్షైర్లోని RAF మోరెటన్ వాలెన్స్ కు పంపించారు. [22] ప్రారంభ విమాన పరీక్ష విమానం యొక్క పేలవమైన నిర్వహణను ధృవీకరించింది మరియు అధిక మౌంటెడ్ టెయిల్ ప్లేన్ ఉన్న సవరించిన తోక యూనిట్ వ్యవస్థాపించబడింది. ఈ మార్పు నిర్వహణ సమస్యలను పరిష్"&amp;"కరించిన ఘనత ఉన్నప్పటికీ, పనితీరు ప్రస్తుత ఉల్కాపాతం కంటే కొంచెం మెరుగ్గా ఉంది. 1949 లో పరీక్షా కార్యక్రమం ముగియడానికి ఈ పోలిక ఒక ప్రధాన అంశం, ఎందుకంటే డిజైన్ ఉల్కాపాతం యొక్క అభివృద్ధి సామర్థ్యాన్ని కలిగి లేదు. నాల్గవ ప్రోటోటైప్ (TX150) ఎప్పుడూ పూర్తి కాలే"&amp;"దు. [25] డిజైన్ యొక్క కొన్ని అంశాలు ఇతర విమానాలలో ఉపయోగించబడ్డాయి. E.1/44 కోసం అభివృద్ధి చేయబడిన సవరించిన తోక రూపకల్పనను ఉల్కాపాతం చేయడానికి ఉల్కాపాతం F 8 మరియు తరువాత మోడళ్లలో ఉపయోగించారు. [26] ప్రోగ్రామ్ ముగిసిన తరువాత, విమాన ప్రయాణాన్ని సాధించడానికి రె"&amp;"ండు విమానాలు స్క్రాప్ చేయడానికి ముందు కొంతకాలం వైమానిక పరీక్ష పడకలుగా వాడుకలో కొనసాగాయి; నివేదిక ప్రకారం, ఈ ప్రోటోటైప్‌లలో కనీసం ఒకటి 1951 నాటికి ఉనికిలో ఉంది. [27] జేన్ యొక్క ఆల్ ది వరల్డ్ విమానాల నుండి డేటా 1949-50, [28] 1912 నుండి బ్రిటిష్ పోరాట యోధుడు"&amp;" [29] సాధారణ లక్షణాలు పనితీరు ఆయుధాలు, కాన్ఫిగరేషన్ మరియు యుగం యొక్క ఆయుధ విమానం")</f>
        <v>గ్లోస్టర్ E.1/44 అనేది రెండవ ప్రపంచ యుద్ధం యొక్క బ్రిటిష్ సింగిల్-ఇంజిన్ జెట్ ఫైటర్ డిజైన్, దీనిని బ్రిటిష్ ఏవియేషన్ సంస్థ గ్లోస్టర్ ఎయిర్క్రాఫ్ట్ కంపెనీ అభివృద్ధి చేసింది మరియు నిర్మించింది. ఇది అభివృద్ధి చేయబడిన మొట్టమొదటి జెట్-చోదక విమానంలో ఒకటి మరియు ప్రయోగాత్మక ప్రాతిపదికన ఉత్పత్తి చేయబడింది. బ్రిటన్ యొక్క మొట్టమొదటి జెట్ ప్రొపెల్డ్ విమానానికి అనుకూలమైన పరీక్ష తరువాత, టర్బోజెట్-శక్తితో పనిచేసే గ్లోస్టర్ E.28/39 1941 లో, ఫైటర్ విమానాలకు కొత్త ప్రొపల్షన్ టెక్నాలజీని ఉపయోగించడంపై గణనీయమైన ఆసక్తి ఉంది. 1942 లో, పెద్ద జంట-ఇంజిన్ ఫైటర్ విమానాల అభివృద్ధిపై పని ప్రారంభమైంది, ఇది గ్లోస్టర్ ఉల్కాపాతం, మొదటి అనుబంధ జెట్ ఫైటర్. పవర్ జెట్స్ W.2 జెట్ ఇంజిన్‌ను ఉత్పత్తి చేయడానికి ఇప్పటికే ఒప్పందం కుదుర్చుకున్న బ్రిటిష్ పారిశ్రామిక తయారీదారు రోవర్, యుద్ధ సమయంలో తగినంత ఇంజిన్ ఉత్పత్తిని సాధించడంలో చాలా ఇబ్బంది పడ్డాడు. ఈ కొరత యొక్క విస్తృత ఉత్పత్తి పరిణామాల వల్ల, ఎయిర్ మంత్రిత్వ శాఖ ఉల్కాపాతం యొక్క జంట-ఇంజిన్ కాన్ఫిగరేషన్ మీద ఒకే ఇంజిన్ విమానాన్ని అవలంబించే సంభావ్య విలువను గుర్తించింది, ఇది స్పెసిఫికేషన్ E.5/42 జారీ చేయడానికి దారితీసింది, ఇది డిజైన్ కోసం పిలుపునిచ్చింది. మరియు అటువంటి ఫైటర్ తయారీ. గ్లోస్టర్ ఆ సంస్థలలో స్పెసిఫికేషన్‌ను స్వీకరించారు మరియు తక్కువ-వింగ్ మోనోప్లేన్ కాన్ఫిగరేషన్‌తో సింగిల్-ఇంజిన్ ఫైటర్ డిజైన్‌ను రూపొందించారు, ఇది అధికంగా దెబ్బతిన్న రెక్క మరియు టి-తోకతో ఉంటుంది, అలాగే ప్రత్యామ్నాయంగా a ద్వారా పనిచేస్తుంది సింగిల్ హాల్ఫోర్డ్ హెచ్ .1 లేదా రోల్స్ రాయిస్ నేన్ ఇంజిన్, వింగ్ మూలాలలో గాలి తీసుకోవడం ద్వారా తినిపించింది. 1943 చివరలో, Ga.1 వలె, ఒక జత ప్రోటోటైప్‌లపై పని ప్రారంభమైంది. రోల్స్ రాయిస్ లిమిటెడ్‌కు ఉత్పత్తి కార్యకలాపాలను తిరిగి కేటాయించిన తరువాత ఇంజిన్ తయారీ సమస్యలు ఎక్కువగా సరిదిద్దబడ్డాయి. 1944 లో వైమానిక మంత్రిత్వ శాఖ స్పెసిఫికేషన్ E.1/44 ను జారీ చేసే వరకు గ్లోస్టర్ స్వతంత్రంగా GA.1 ను మెరుగుపరచాలని నిర్ణయించుకున్నాడు, ఇది రోల్స్ రాయిస్ నేనే చేత నడిచే ప్రయోగాత్మక జెట్-శక్తితో కూడిన విమానాలను కోరింది, ఇది సవరించిన Ga.2 కు దారితీసింది. కొత్త పోరాట యోధుడిపై పురోగతి నెమ్మదిగా ఉంది, గ్లోస్టర్ ఉల్కాపాతం యొక్క అభివృద్ధి మరియు ఉత్పత్తిపై దృష్టి పెట్టారు. 9 మార్చి 1948 న, రెండవ E.1/44 RAF బోస్కోంబే డౌన్ వద్ద తన తొలి విమానాన్ని ప్రదర్శించింది. పరీక్ష రాజీలేని పనితీరు మరియు లక్షణాలను వెల్లడించింది మరియు గ్లోస్టర్ ఉల్కాపాతం మరింత అభివృద్ధి సామర్థ్యాన్ని కలిగి ఉన్నట్లు గుర్తించింది మరియు విమానం ఎప్పుడూ ఉత్పత్తిలోకి ప్రవేశించలేదు. టర్బోజెట్-శక్తితో పనిచేసే E.1/44 యొక్క అభివృద్ధి గ్లోస్టర్ ఎయిర్క్రాఫ్ట్ కంపెనీ మరియు సర్ ఫ్రాంక్ విటిల్ యొక్క సంస్థ, పవర్ జెట్స్ లిమిటెడ్ మధ్య సహకారం యొక్క ఉత్పత్తి. విటిల్ మార్చి 1936 లో జెట్ ప్రొపల్షన్ యొక్క తన ఆలోచనలను అభివృద్ధి చేయడానికి పవర్ జెట్లను ఏర్పాటు చేసింది కంపెనీ చీఫ్ ఇంజనీర్‌గా విటిల్. [1] చాలా సంవత్సరాలుగా, విటిల్ యొక్క తీవ్రమైన ఆలోచనలను తీసుకోవడానికి సిద్ధంగా ఉన్న ఆర్థిక మద్దతుదారులు మరియు విమానయాన సంస్థలను ఆకర్షించడం కష్టం; 1931 లో, ఆర్మ్‌స్ట్రాంగ్-సిడ్లీ విటిల్ యొక్క ప్రతిపాదనను విశ్లేషించారు మరియు తిరస్కరించాడు, ఇది సాంకేతికంగా ధ్వనిగా ఉంది, కానీ ఇంజనీరింగ్ సామర్ధ్యం యొక్క పరిమితుల వద్ద ఉంది. [2] నిధులను భద్రపరచడం ఇంజిన్ యొక్క ప్రారంభ అభివృద్ధిలో నిరంతరం ఆందోళన కలిగించే సమస్య. [3] మొదటి విటిల్ ప్రోటోటైప్ జెట్ ఇంజిన్, పవర్ జెట్స్ వు, 1937 ప్రారంభంలో ట్రయల్స్ నడపడం ప్రారంభించింది; కొంతకాలం తర్వాత, ఏరోనాటికల్ రీసెర్చ్ కమిటీ మరియు వైమానిక మంత్రిత్వ శాఖ ఛైర్మన్ సర్ హెన్రీ టిజార్డ్ ఈ ప్రాజెక్టుకు వారి మద్దతు ఇచ్చారు. [4] 28 ఏప్రిల్ 1939 న, విటిల్ గ్లోస్టర్ ఎయిర్క్రాఫ్ట్ కంపెనీ ప్రాంగణాన్ని సందర్శించాడు, అక్కడ అతను గ్లోస్టర్ యొక్క చీఫ్ డిజైనర్ జార్జ్ కార్టర్ వంటి అనేక ముఖ్య వ్యక్తులను కలుసుకున్నాడు. [5] కార్టర్ విటిల్ యొక్క ప్రాజెక్టుపై ఎంతో ఆసక్తిని కనబరిచాడు, ముఖ్యంగా అతను కార్యాచరణ పవర్ జెట్స్ W.1 ఇంజిన్‌ను చూసినప్పుడు; కార్టర్ త్వరగా ఇంజిన్ ద్వారా నడిచే వివిధ విమాన డిజైన్ల యొక్క అనేక కఠినమైన ప్రతిపాదనలను చేశాడు. స్వతంత్రంగా, విటిల్ అధిక-ఎత్తులో ఉన్న జెట్-శక్తితో కూడిన బాంబర్ కోసం ప్రతిపాదనలను కూడా ఉత్పత్తి చేస్తున్నాడు; రెండవ ప్రపంచ యుద్ధం ప్రారంభమైన తరువాత మరియు ఫ్రాన్స్ కోసం యుద్ధం తరువాత, ఫైటర్ విమానాలపై ఎక్కువ జాతీయ ప్రాధాన్యత తలెత్తింది. [6] పవర్ జెట్స్ మరియు గ్లోస్టర్ 1939 మధ్యలో పరస్పర అవగాహనను త్వరగా ఏర్పరచుకున్నారు. [7] సెప్టెంబరు 1939 లో, విటీల్ యొక్క టర్బోజెట్ డిజైన్లలో ఒకదాన్ని విమానంలో పరీక్షించడానికి వైమానిక మంత్రిత్వ శాఖ ఒక విమానం కోసం ఒక స్పెసిఫికేషన్ జారీ చేసింది, దీని ఫలితంగా మొదటి బ్రిటిష్ జెట్ విమానం గ్లోస్టర్ E.28/39 అభివృద్ధి జరిగింది. కాన్సెప్ట్ ఎయిర్క్రాఫ్ట్ యొక్క ఈ ప్రారంభ రుజువు కోసం అనుసరించిన పేరు, E.28/39, 1939 లో వైమానిక మంత్రిత్వ శాఖ జారీ చేసిన 28 వ "ప్రయోగాత్మక" స్పెసిఫికేషన్‌కు అనుగుణంగా అభివృద్ధి చేయబడిన విమానం నుండి ఉద్భవించింది. [8] స్పెసిఫికేషన్ ఆర్మమెంట్స్ కోసం నిబంధనలను కలిగి ఉన్నప్పటికీ, ఇవి మొదట్లో చేర్చబడలేదు మరియు విమానం ప్రధానంగా జెట్ ప్రొపల్షన్ యొక్క సాధ్యత, లక్షణాలు మరియు సంభావ్య విలువను విస్తృత పరంగా ప్రదర్శించడానికి ఉద్దేశించబడింది, వెంటనే పోరాట విమానాన్ని ఉత్పత్తి చేయకూడదు. [9] 15 మే 1941 న, గ్లోస్టర్ యొక్క చీఫ్ టెస్ట్ పైలట్, ఫ్లైట్ లెఫ్టినెంట్ జెర్రీ సేయర్ మొదటిసారిగా జెట్ పవర్ కింద విమానాన్ని లింకన్షైర్లోని స్లీఫోర్డ్ సమీపంలో ఉన్న RAF క్రాన్వెల్ నుండి 17 నిమిషాల పాటు విమానంలో ప్రయాణించారు. [10] [11] E.28/39 యొక్క విజయవంతమైన పరీక్ష నేరుగా 1940 నుండి ట్విన్-ఇంజిన్ గ్లోస్టర్ మెటియర్ జెట్ ఫైటర్ రూపకల్పనకు దారితీసింది. 1942 లో, ఇంజిన్ తయారీదారు రోవర్, ఇప్పటికే పవర్ జెట్స్ W.2 జెట్ ఇంజిన్ ఉత్పత్తి చేయడానికి ఒప్పందం కుదుర్చుకున్నాడు . గ్లోస్టర్ ఒక డిజైన్‌ను ఉత్పత్తి చేశాడు, ఇది తక్కువ-వింగ్ మోనోప్లేన్‌గా అధికంగా దెబ్బతిన్న వింగ్ మరియు టి-టెయిల్ అమరికతో పాటు టెయిల్‌వీల్ అండర్ క్యారేజ్‌తో అభివృద్ధి చెందింది. ఇది హాల్ఫార్డ్ హెచ్ 1 లేదా రోల్స్ రాయిస్ నేన్ ఇంజిన్ చేత రెక్కల మూలాలలో తీసుకోవడం ద్వారా అందించబడుతుంది. 1943 చివరలో, ఒక జత ప్రోటోటైప్ Ga.1 లపై నిర్మాణ కార్యకలాపాలు ప్రారంభమయ్యాయి. [12] [13] రోల్స్ రాయిస్ లిమిటెడ్ ఎక్స్ఛేంజింగ్ జెట్ ఇంజిన్ ఉత్పత్తి (అందువల్ల, W2 ఇంజిన్ వెల్లాండ్ అని పిలువబడుతుంది) మెటియర్ ట్యాంక్ ఇంజిన్ ఉత్పత్తి కోసం రోవర్, రోల్స్ రాయిస్ ఉత్పత్తి సమస్యలను అధిగమించడం ద్వారా తయారీ ఇబ్బందులు పరిష్కరించబడ్డాయి. ఒకే ఇంజిన్ డిజైన్ కోసం డిమాండ్ వెదజల్లుతుంది మరియు అభివృద్ధి చెందుతున్న Ga.1 ఇకపై అవసరం లేదు. గ్లోస్టర్ డిజైన్‌పై ప్రైవేటుగా పని చేస్తూనే ఉన్నాడు, W2/వెల్లాండ్‌కు బదులుగా రకాన్ని శక్తివంతం చేయడానికి హాల్ఫోర్డ్ H.1 ఇంజిన్‌ను స్వీకరించాలని అనుకున్నాడు. 1944 లో, వైమానిక మంత్రిత్వ శాఖ ఒక ప్రయోగాత్మక జెట్-శక్తితో కూడిన విమానం కోసం స్పెసిఫికేషన్ E.1/44 ను జారీ చేసింది, ఇది కొత్త రోల్స్ రాయిస్ నేనే ఇంజిన్‌కు శక్తినిస్తుంది. గ్లోస్టర్ యొక్క డిజైన్ బృందం కొత్త డిజైన్‌ను అభివృద్ధి చేయడం ద్వారా ఈ కొత్త స్పెసిఫికేషన్ యొక్క పేర్కొన్న అవసరాలను సంప్రదించాలని నిర్ణయించుకుంది, Ga.2. ఇది మునుపటి E.5/42 పై ఆధారపడలేదు, ఇది చాలా పెద్ద విమానం. [14] 1944 లో, సమర్పణలను సమీక్షించిన తరువాత, వైమానిక మంత్రిత్వ శాఖ ఒక నమూనా కోసం గ్లోస్టర్‌కు ఒక ఒప్పందం కుదుర్చుకుంది; ఈ ఆర్డర్ 1945 చివరలో మరో మూడు విమానాలను పూర్తి చేయడానికి అదనపు ఆర్డర్‌ల ద్వారా చేరింది. [15] గ్లోస్టర్ E.1/44 అనేది ఒత్తిడితో కూడిన-చర్మం మధ్య-రెక్కల మోనోప్లేన్ డిజైన్, ఇందులో సాపేక్షంగా విస్తృత ఫ్యూజ్‌లేజ్ మరియు వైడ్-ట్రాక్ అండర్ క్యారేజ్ ఉన్నాయి. ఈ డిజైన్ జంట-జెట్ ఉల్కాపాతం మరియు మునుపటి మార్గదర్శక E.28/29 కు ఉపరితల సారూప్యతలను మాత్రమే కలిగి ఉంది, ఇది పెద్ద మరియు గణనీయంగా భారీ విమానం. E.28/29 మాదిరిగా కాకుండా, ముక్కులో కేంద్ర గాలి తీసుకోవడం దాని టర్బోజెట్ ఇంజిన్‌కు చేరుకోవడానికి స్ట్రెయిట్-త్రూ డక్ట్‌లోకి ప్రవేశించింది, E.1/44 యొక్క నేనే ఒక జత సెమీ వృత్తాకార గాలి తీసుకోవడం ద్వారా గాలిని అందుకుంది వింగ్ మూలాలు. [16] టెయిల్‌ప్లేన్ వెనుక ఫ్యూజ్‌లేజ్ పైకి మిడ్ వే అమర్చబడి, సింగిల్ ఫిన్ మరియు చుక్కాని క్రింద అమర్చబడింది. మునుపటి E5/42 మాదిరిగా కాకుండా, E.1/44 కొరకు విస్తృతంగా ఖాళీగా ఉన్న ట్రైసైకిల్ ల్యాండింగ్ గేర్ అమరికను స్వీకరించారు. [17] [18] E.1/44 యొక్క అసాధారణంగా విస్తృత ఫ్యూజ్‌లేజ్ విభాగాలలో తయారు చేయబడింది, వీటి ముందు భాగం నాలుగు లాంగన్స్ ద్వారా కేంద్ర విభాగానికి జతచేయబడింది. [19] రీన్ఫోర్స్డ్ జెడ్-సెక్షన్ ఫ్రేమ్‌లు మరియు హెవీ డబుల్-ఛానల్ సెక్షన్ ఫ్రేమ్‌లతో కూడిన సెంటర్ ఫ్యూజ్‌లేజ్, రెక్క యొక్క సెంటర్-సెక్షన్ కోసం నేనే మరియు అటాచ్మెంట్ పాయింట్లను కలిగి ఉంది. కేంద్ర విభాగం యొక్క వైపులా సెట్ చేయబడినవి గాలి తీసుకోవడం, ఇందులో సరిహద్దు-పొర రక్తస్రావం ఉంది మరియు తక్షణమే వేరు చేయబడుతుంది. [19] వెనుక ఫ్యూజ్‌లేజ్ విభాగం సెమీ-మోనోకోక్ నిర్మాణాన్ని ఉపయోగించింది, ఇది అనేక Z- సెక్షన్ ఫ్రేమ్‌లు మరియు టాప్-టోపీ స్ట్రింగర్‌ల ద్వారా బలోపేతం చేయబడింది; వేరు చేయగలిగిన తోక విభాగంలో ఇలాంటి నిర్మాణాన్ని కలిగి ఉంది. ఫిన్ యొక్క ఎగువ భాగం కాకుండా, దాని ఇన్సులేటింగ్ లక్షణాల కోసం కలపతో కూడి ఉంటుంది, తోక యూనిట్ ఆల్-మెటల్, ఒత్తిడి-చర్మం యూనిట్. విభాగాలను అటాచ్ చేయడానికి రివెట్స్ ఉపయోగించబడ్డాయి. [19] ఫ్లాప్స్, ఇన్బోర్డ్ ఎయిర్ బ్రేక్‌లు మరియు ప్రధాన అండర్ క్యారేజీకి వసతి కల్పించే రెక్క యొక్క సెంటర్-సెక్షన్, సింగిల్-స్పేర్ ఒత్తిడితో కూడిన-చర్మ నిర్మాణం, సహాయక వెనుక భాగంతో. [19] రెండు స్పార్స్ ప్లేట్ వెబ్ డిజైన్‌ను ఉపయోగిస్తాయి; ప్రధాన స్పార్ యొక్క విజృంభణలు అధిక-తన్యత ఉక్కు నుండి కూడి ఉన్నాయి, కాంతి-అల్లాయ్ బూమ్స్ యొక్క వెనుక స్పార్. ఇలాంటి నిర్మాణాన్ని కలిగి ఉన్న రెక్క యొక్క బయటి భాగాలు స్పార్స్ వద్ద మరియు ప్రముఖ అంచు వద్ద పరిష్కరించబడ్డాయి. విమానం యొక్క అసాధారణ లక్షణం రెక్కల చర్మం, ఇది సాపేక్షంగా పని చేయాల్సిన స్టెయిన్లెస్-స్టీల్‌తో కూడి ఉంది. [17] [20] E.1/44 యొక్క ఎగిరే నియంత్రణలు సాపేక్షంగా సాంప్రదాయికమైనవి, ఫ్లైట్ కంట్రోల్ ఉపరితలాలకు నియంత్రణ ఇన్‌పుట్‌లను పోషించడానికి పుష్-రాడ్‌లు మరియు స్ప్రింగ్-టార్క్ షాఫ్ట్‌ల శ్రేణిని (రెండోది ప్రధానంగా స్ప్రింగ్ ట్యాబ్‌ల యొక్క యాక్చుయేషన్ కోసం ఉపయోగించబడుతోంది) ను ఉపయోగిస్తుంది. [[ 19] అండర్ క్యారేజ్ మరియు ఫ్లాప్స్ కోసం శక్తి డౌటీ హైడ్రాలిక్ పంప్ ద్వారా అందించబడింది, ఇది నేనే ఇంజిన్ నుండి గేర్ బాక్స్ ద్వారా నడపబడుతుంది. అత్యవసర పరిస్థితుల కోసం, విమాన ఉపరితలాల కోసం హ్యాండ్-పంప్ మరియు అండర్ క్యారేజ్ కోసం సంపీడన-గాలి వ్యవస్థ ఉంది. [21] విద్యుత్ శక్తిని 1,500-వాట్ల HX2 జనరేటర్ ద్వారా అందించారు, ఇది గేర్ బాక్స్ ద్వారా కూడా నడపబడుతుంది, ఇది ఒక జత సిరీస్-కనెక్ట్ చేయబడిన 12-వోల్ట్ సంచితాలను వసూలు చేసింది. పరికరాలలో రెండు-మార్గం రేడియో సెట్, ఐఎఫ్ఎఫ్, ఆక్సిజన్ ట్యాంకులు, విండ్‌స్క్రీన్ డి-ఐసింగ్ సిస్టమ్, ఫైర్ డిటెక్టర్లు మరియు మంటలను ఆర్పేవి మరియు తోకలో డ్రోగ్ పారాచూట్ ఉన్నాయి. [21] కొత్త పోరాట యోధుడిపై పురోగతి నెమ్మదిగా ఉంది, గ్లోస్టర్ జంట-ఇంజిన్ ఉల్కపై దృష్టి పెట్టడానికి ఎంచుకున్నాడు మరియు మొదటి నమూనా జూలై 1947 వరకు పూర్తి కాలేదు. RAF కి రవాణా చేయబడినప్పుడు రోడ్డు ప్రమాదంలో ప్రోటోటైప్ ధ్వంసమైనప్పుడు ఈ ప్రాజెక్టుకు గణనీయమైన ఎదురుదెబ్బ తగిలింది. విమాన పరీక్ష కోసం బోస్కోంబే డౌన్. [22] [23] ఎగరడానికి మొదటి E.1/44 రెండవ నమూనా. 9 మార్చి 1948 న, ఇది గ్లోస్టర్ చీఫ్ టెస్ట్ పైలట్ బిల్ వాటర్టన్ చేత ఎగిరిన RAF బోస్కోంబే డౌన్ వద్ద తన తొలి విమానంలో ప్రదర్శించింది. నివేదిక ప్రకారం, వాటర్టన్ ఈ విమానంతో ఆకట్టుకోలేదు, దాని శక్తి లేకపోవడం మరియు దాని అననుకూల ఎగిరే లక్షణాలపై వ్యాఖ్యానిస్తూ, దీనిని "గోర్మ్‌లెస్" అని చెప్పకుండానే దీనిని సూచిస్తుంది. ఈ అనధికారిక పేరు ఎప్పుడూ చిక్కుకోలేదు, ప్రోటోటైప్‌కు అధికారిక పేరు రాలేదు, అయినప్పటికీ "ఏస్" ఒక సమయంలో ప్రతిపాదించబడింది. [24] మొదటి ఫ్లైట్ తరువాత, రెండవ నమూనాను మరింత పరీక్ష విమానాల కోసం గ్లౌసెస్టర్షైర్లోని RAF మోరెటన్ వాలెన్స్ కు పంపించారు. [22] ప్రారంభ విమాన పరీక్ష విమానం యొక్క పేలవమైన నిర్వహణను ధృవీకరించింది మరియు అధిక మౌంటెడ్ టెయిల్ ప్లేన్ ఉన్న సవరించిన తోక యూనిట్ వ్యవస్థాపించబడింది. ఈ మార్పు నిర్వహణ సమస్యలను పరిష్కరించిన ఘనత ఉన్నప్పటికీ, పనితీరు ప్రస్తుత ఉల్కాపాతం కంటే కొంచెం మెరుగ్గా ఉంది. 1949 లో పరీక్షా కార్యక్రమం ముగియడానికి ఈ పోలిక ఒక ప్రధాన అంశం, ఎందుకంటే డిజైన్ ఉల్కాపాతం యొక్క అభివృద్ధి సామర్థ్యాన్ని కలిగి లేదు. నాల్గవ ప్రోటోటైప్ (TX150) ఎప్పుడూ పూర్తి కాలేదు. [25] డిజైన్ యొక్క కొన్ని అంశాలు ఇతర విమానాలలో ఉపయోగించబడ్డాయి. E.1/44 కోసం అభివృద్ధి చేయబడిన సవరించిన తోక రూపకల్పనను ఉల్కాపాతం చేయడానికి ఉల్కాపాతం F 8 మరియు తరువాత మోడళ్లలో ఉపయోగించారు. [26] ప్రోగ్రామ్ ముగిసిన తరువాత, విమాన ప్రయాణాన్ని సాధించడానికి రెండు విమానాలు స్క్రాప్ చేయడానికి ముందు కొంతకాలం వైమానిక పరీక్ష పడకలుగా వాడుకలో కొనసాగాయి; నివేదిక ప్రకారం, ఈ ప్రోటోటైప్‌లలో కనీసం ఒకటి 1951 నాటికి ఉనికిలో ఉంది. [27] జేన్ యొక్క ఆల్ ది వరల్డ్ విమానాల నుండి డేటా 1949-50, [28] 1912 నుండి బ్రిటిష్ పోరాట యోధుడు [29] సాధారణ లక్షణాలు పనితీరు ఆయుధాలు, కాన్ఫిగరేషన్ మరియు యుగం యొక్క ఆయుధ విమానం</v>
      </c>
      <c r="E182" s="1" t="s">
        <v>346</v>
      </c>
      <c r="F182" s="1" t="str">
        <f>IFERROR(__xludf.DUMMYFUNCTION("GOOGLETRANSLATE(E:E, ""en"", ""te"")"),"యుద్ధ")</f>
        <v>యుద్ధ</v>
      </c>
      <c r="I182" s="1" t="s">
        <v>2896</v>
      </c>
      <c r="J182" s="1" t="str">
        <f>IFERROR(__xludf.DUMMYFUNCTION("GOOGLETRANSLATE(I:I, ""en"", ""te"")"),"గ్లోస్టర్ ఎయిర్క్రాఫ్ట్ కంపెనీ")</f>
        <v>గ్లోస్టర్ ఎయిర్క్రాఫ్ట్ కంపెనీ</v>
      </c>
      <c r="K182" s="1" t="s">
        <v>2897</v>
      </c>
      <c r="L182" s="1" t="s">
        <v>2898</v>
      </c>
      <c r="M182" s="1" t="s">
        <v>2899</v>
      </c>
      <c r="N182" s="3">
        <v>17601.0</v>
      </c>
      <c r="AA182" s="1" t="s">
        <v>2900</v>
      </c>
      <c r="AJ182" s="1" t="s">
        <v>2901</v>
      </c>
      <c r="AQ182" s="1" t="s">
        <v>2902</v>
      </c>
      <c r="BP182" s="1" t="s">
        <v>2903</v>
      </c>
      <c r="CV182" s="1" t="s">
        <v>963</v>
      </c>
    </row>
    <row r="183">
      <c r="A183" s="1" t="s">
        <v>2904</v>
      </c>
      <c r="B183" s="1" t="str">
        <f>IFERROR(__xludf.DUMMYFUNCTION("GOOGLETRANSLATE(A:A, ""en"", ""te"")"),"లాక్‌హీడ్ WP-3D ఓరియన్")</f>
        <v>లాక్‌హీడ్ WP-3D ఓరియన్</v>
      </c>
      <c r="C183" s="1" t="s">
        <v>2905</v>
      </c>
      <c r="D183" s="1" t="str">
        <f>IFERROR(__xludf.DUMMYFUNCTION("GOOGLETRANSLATE(C:C, ""en"", ""te"")"),"లాక్‌హీడ్ WP-3D ఓరియన్ అనేది నేషనల్ ఓషియానిక్ అండ్ అట్మాస్ఫియరిక్ అడ్మినిస్ట్రేషన్ (NOAA) యొక్క ఎయిర్క్రాఫ్ట్ ఆపరేషన్స్ సెంటర్ డివిజన్ ఉపయోగించే అత్యంత సవరించిన P-3 ఓరియన్. వీటిలో రెండు మాత్రమే ఉన్నాయి, ప్రతి ఒక్కటి వాతావరణ సమాచారాన్ని సేకరించే పాత్ర కోసం"&amp;" అనేక లక్షణాలను కలిగి ఉంటాయి. హరికేన్ సీజన్లో, WP-3D లు హరికేన్ వేటగాడిగా విధి కోసం నియమించబడతాయి. ఈ విమానం ఆర్కిటిక్ ఐస్ కవరేజ్, ఎయిర్ కెమిస్ట్రీ స్టడీస్ మరియు ఓషన్ వాటర్ టెంపరేచర్ మరియు ప్రస్తుత విశ్లేషణ వంటి ఇతర అంశాలపై పరిశోధనలకు మద్దతు ఇస్తుంది. [1] "&amp;"WP-3DS లో మూడు వాతావరణ రాడార్లు, ముక్కులో మరియు దిగువ ఫ్యూజ్‌లేజ్‌పై సి బ్యాండ్ రాడార్‌లు మరియు విమానం తోకలో ఎక్స్-బ్యాండ్ రాడార్ ఉన్నాయి. చుక్కలను తుఫాను వ్యవస్థలుగా అమలు చేసే సామర్థ్యాన్ని కూడా కలిగి ఉంటారు మరియు ఆన్‌బోర్డ్ ఉష్ణోగ్రత సెన్సార్లు మరియు ఇత"&amp;"ర వాతావరణ పరికరాలను కలిగి ఉంటాయి. తుఫానులలోకి ఎగురుతున్నందుకు విమానం ప్రత్యేకంగా బలోపేతం కానప్పటికీ, అదనపు పరికరాల భారాన్ని తట్టుకునేలా వాటి డెక్స్ బలోపేతం చేయబడ్డాయి. ఇది ఒక మంగలి-పోల్ నమూనాను కలిగి ఉంది (దాని ఎరుపు-మరియు-తెలుపు చారలకు పేరు పెట్టబడింది),"&amp;" ఇది విమానం ముందు నుండి, తోక డాప్లర్ వాతావరణ రాడార్ మరియు రెక్క నుండి వేలాడుతున్న ఇతర ప్రత్యేకమైన పరికరాలను కలిగి ఉంది. [2] NOAA ప్రస్తుతం మిస్ పిగ్గీ మరియు కెర్మిట్ అనే మారుపేరుతో రెండు WP-3DS ను నిర్వహిస్తోంది, మరియు వాటి లోగోలు జిమ్ హెన్సన్ ప్రొడక్షన్స"&amp;"్ సృష్టించిన అక్షరాలను కలిగి ఉంటాయి. NOAA యొక్క ఇతర హరికేన్ వేట విమానం, గల్ఫ్‌స్ట్రీమ్ IV-SP, గొంజో అని పేరు పెట్టారు; అవి అమెరికా ఎయిర్ ఫోర్స్ 53 వ వాతావరణ నిఘా స్క్వాడ్రన్ చేత నిర్వహించబడుతున్న WC-130 విమానాల సముదాయాన్ని పూర్తి చేస్తాయి. 2014 నాటికి, రె"&amp;"ండు ఓరియన్స్ ప్రతి ఒక్కటి 10,000 గంటలకు పైగా ఎగిరి 80 కంటే ఎక్కువ తుఫానులలోకి ఎగిరింది. [1] 2015 మరియు 2017 మధ్య, ఈ విమానం పెద్ద సమగ్రతను పొందింది, దీని ధర మొత్తం million 35 మిలియన్లు. ఈ పనిని జాక్సన్విల్లే ఫ్లోరిడాలోని అమెరికా నేవీ యొక్క ఫ్లీట్ రెడీనెస్ "&amp;"సెంటర్ ఆగ్నేయం ప్రదర్శించింది. ఈ పనిలో కొత్త రెక్కలు మరియు ఇంజన్లు మరియు అప్‌గ్రేడ్ రాడార్లు మరియు ఏవియానిక్స్ ఉన్నాయి. ఈ మార్పులు 2032 మరియు 2037 మధ్య వరకు విమానం ఎగరడానికి అనుమతిస్తాయని NOAA ates హించింది. [1] తుఫానుల రైడర్స్ నుండి డేటా [3] సాధారణ లక్షణ"&amp;"ాలు పనితీరు సంబంధిత అభివృద్ధి అభివృద్ధి విమానం పోల్చదగిన పాత్ర, కాన్ఫిగరేషన్ మరియు ERA సంబంధిత జాబితాలు")</f>
        <v>లాక్‌హీడ్ WP-3D ఓరియన్ అనేది నేషనల్ ఓషియానిక్ అండ్ అట్మాస్ఫియరిక్ అడ్మినిస్ట్రేషన్ (NOAA) యొక్క ఎయిర్క్రాఫ్ట్ ఆపరేషన్స్ సెంటర్ డివిజన్ ఉపయోగించే అత్యంత సవరించిన P-3 ఓరియన్. వీటిలో రెండు మాత్రమే ఉన్నాయి, ప్రతి ఒక్కటి వాతావరణ సమాచారాన్ని సేకరించే పాత్ర కోసం అనేక లక్షణాలను కలిగి ఉంటాయి. హరికేన్ సీజన్లో, WP-3D లు హరికేన్ వేటగాడిగా విధి కోసం నియమించబడతాయి. ఈ విమానం ఆర్కిటిక్ ఐస్ కవరేజ్, ఎయిర్ కెమిస్ట్రీ స్టడీస్ మరియు ఓషన్ వాటర్ టెంపరేచర్ మరియు ప్రస్తుత విశ్లేషణ వంటి ఇతర అంశాలపై పరిశోధనలకు మద్దతు ఇస్తుంది. [1] WP-3DS లో మూడు వాతావరణ రాడార్లు, ముక్కులో మరియు దిగువ ఫ్యూజ్‌లేజ్‌పై సి బ్యాండ్ రాడార్‌లు మరియు విమానం తోకలో ఎక్స్-బ్యాండ్ రాడార్ ఉన్నాయి. చుక్కలను తుఫాను వ్యవస్థలుగా అమలు చేసే సామర్థ్యాన్ని కూడా కలిగి ఉంటారు మరియు ఆన్‌బోర్డ్ ఉష్ణోగ్రత సెన్సార్లు మరియు ఇతర వాతావరణ పరికరాలను కలిగి ఉంటాయి. తుఫానులలోకి ఎగురుతున్నందుకు విమానం ప్రత్యేకంగా బలోపేతం కానప్పటికీ, అదనపు పరికరాల భారాన్ని తట్టుకునేలా వాటి డెక్స్ బలోపేతం చేయబడ్డాయి. ఇది ఒక మంగలి-పోల్ నమూనాను కలిగి ఉంది (దాని ఎరుపు-మరియు-తెలుపు చారలకు పేరు పెట్టబడింది), ఇది విమానం ముందు నుండి, తోక డాప్లర్ వాతావరణ రాడార్ మరియు రెక్క నుండి వేలాడుతున్న ఇతర ప్రత్యేకమైన పరికరాలను కలిగి ఉంది. [2] NOAA ప్రస్తుతం మిస్ పిగ్గీ మరియు కెర్మిట్ అనే మారుపేరుతో రెండు WP-3DS ను నిర్వహిస్తోంది, మరియు వాటి లోగోలు జిమ్ హెన్సన్ ప్రొడక్షన్స్ సృష్టించిన అక్షరాలను కలిగి ఉంటాయి. NOAA యొక్క ఇతర హరికేన్ వేట విమానం, గల్ఫ్‌స్ట్రీమ్ IV-SP, గొంజో అని పేరు పెట్టారు; అవి అమెరికా ఎయిర్ ఫోర్స్ 53 వ వాతావరణ నిఘా స్క్వాడ్రన్ చేత నిర్వహించబడుతున్న WC-130 విమానాల సముదాయాన్ని పూర్తి చేస్తాయి. 2014 నాటికి, రెండు ఓరియన్స్ ప్రతి ఒక్కటి 10,000 గంటలకు పైగా ఎగిరి 80 కంటే ఎక్కువ తుఫానులలోకి ఎగిరింది. [1] 2015 మరియు 2017 మధ్య, ఈ విమానం పెద్ద సమగ్రతను పొందింది, దీని ధర మొత్తం million 35 మిలియన్లు. ఈ పనిని జాక్సన్విల్లే ఫ్లోరిడాలోని అమెరికా నేవీ యొక్క ఫ్లీట్ రెడీనెస్ సెంటర్ ఆగ్నేయం ప్రదర్శించింది. ఈ పనిలో కొత్త రెక్కలు మరియు ఇంజన్లు మరియు అప్‌గ్రేడ్ రాడార్లు మరియు ఏవియానిక్స్ ఉన్నాయి. ఈ మార్పులు 2032 మరియు 2037 మధ్య వరకు విమానం ఎగరడానికి అనుమతిస్తాయని NOAA ates హించింది. [1] తుఫానుల రైడర్స్ నుండి డేటా [3] సాధారణ లక్షణాలు పనితీరు సంబంధిత అభివృద్ధి అభివృద్ధి విమానం పోల్చదగిన పాత్ర, కాన్ఫిగరేషన్ మరియు ERA సంబంధిత జాబితాలు</v>
      </c>
      <c r="E183" s="1" t="s">
        <v>2906</v>
      </c>
      <c r="F183" s="1" t="str">
        <f>IFERROR(__xludf.DUMMYFUNCTION("GOOGLETRANSLATE(E:E, ""en"", ""te"")"),"వాతావరణ నిఘా విమానం")</f>
        <v>వాతావరణ నిఘా విమానం</v>
      </c>
      <c r="G183" s="1" t="s">
        <v>155</v>
      </c>
      <c r="H183" s="1" t="str">
        <f>IFERROR(__xludf.DUMMYFUNCTION("GOOGLETRANSLATE(G:G, ""en"", ""te"")"),"అమెరికా")</f>
        <v>అమెరికా</v>
      </c>
      <c r="I183" s="1" t="s">
        <v>2907</v>
      </c>
      <c r="J183" s="1" t="str">
        <f>IFERROR(__xludf.DUMMYFUNCTION("GOOGLETRANSLATE(I:I, ""en"", ""te"")"),"లాక్‌హీడ్ కార్పొరేషన్")</f>
        <v>లాక్‌హీడ్ కార్పొరేషన్</v>
      </c>
      <c r="K183" s="1" t="s">
        <v>2908</v>
      </c>
      <c r="N183" s="1">
        <v>1975.0</v>
      </c>
      <c r="O183" s="1" t="s">
        <v>2909</v>
      </c>
      <c r="P183" s="1" t="s">
        <v>2910</v>
      </c>
      <c r="Q183" s="1" t="s">
        <v>2911</v>
      </c>
      <c r="R183" s="1" t="s">
        <v>2912</v>
      </c>
      <c r="S183" s="1" t="s">
        <v>2913</v>
      </c>
      <c r="T183" s="1" t="s">
        <v>2914</v>
      </c>
      <c r="V183" s="1" t="s">
        <v>2915</v>
      </c>
      <c r="X183" s="1" t="s">
        <v>2916</v>
      </c>
      <c r="Y183" s="1" t="s">
        <v>2917</v>
      </c>
      <c r="Z183" s="1" t="s">
        <v>2918</v>
      </c>
      <c r="AA183" s="1" t="s">
        <v>2919</v>
      </c>
      <c r="AG183" s="1" t="s">
        <v>2920</v>
      </c>
      <c r="AJ183" s="1">
        <v>2.0</v>
      </c>
      <c r="AP183" s="1" t="s">
        <v>2921</v>
      </c>
      <c r="AQ183" s="1" t="s">
        <v>2922</v>
      </c>
      <c r="AS183" s="1">
        <v>7.5</v>
      </c>
      <c r="BF183" s="1" t="s">
        <v>2923</v>
      </c>
      <c r="BG183" s="1" t="s">
        <v>2924</v>
      </c>
      <c r="BH183" s="1" t="s">
        <v>2925</v>
      </c>
      <c r="BN183" s="1">
        <v>1976.0</v>
      </c>
      <c r="BP183" s="1" t="s">
        <v>2926</v>
      </c>
    </row>
    <row r="184">
      <c r="A184" s="1" t="s">
        <v>2927</v>
      </c>
      <c r="B184" s="1" t="str">
        <f>IFERROR(__xludf.DUMMYFUNCTION("GOOGLETRANSLATE(A:A, ""en"", ""te"")"),"స్పార్టన్ ఎగ్జిక్యూటివ్")</f>
        <v>స్పార్టన్ ఎగ్జిక్యూటివ్</v>
      </c>
      <c r="C184" s="1" t="s">
        <v>2928</v>
      </c>
      <c r="D184" s="1" t="str">
        <f>IFERROR(__xludf.DUMMYFUNCTION("GOOGLETRANSLATE(C:C, ""en"", ""te"")"),"స్పార్టన్ 7W ఎగ్జిక్యూటివ్ అనేది క్యాబిన్ మోనోప్లేన్ విమానం, దీనిని 1930 ల చివరలో మరియు 1940 ల ప్రారంభంలో స్పార్టన్ ఎయిర్క్రాఫ్ట్ కంపెనీ నిర్మించింది. 7W లో ఆల్-మెటల్ ఫ్యూజ్‌లేజ్, అలాగే ముడుచుకునే అండర్ క్యారేజ్ ఉన్నాయి. 7W ఎగ్జిక్యూటివ్ ప్రపంచవ్యాప్తంగా "&amp;"సంపన్న కొనుగోలుదారులతో ప్రాచుర్యం పొందింది. అవుట్పుట్ .toclimit-4 .toclevel-3 ul, .mw- పార్సర్-అవుట్పుట్ .toclimit-5 .toclevel-4 ul, .mw-parser-అవుట్పుట్ .toclimit-6 .toclevel-5 ul, .mw-parser-అవుట్పుట్. ToClimit-7 .toclevel-6 UL {Display: ఏదీ ఎగ్జిక్యూటి"&amp;"వ్ మార్కెట్ కోసం స్పష్టంగా రూపొందించబడింది, స్పార్టన్ ఎగ్జిక్యూటివ్ పనితీరు మరియు సౌకర్యం రెండింటికీ కాన్ఫిగర్ చేయబడింది. మహా మాంద్యం సమయంలో నిర్మించిన, 7W స్కెల్లీ ఆయిల్ యొక్క కంపెనీ వ్యవస్థాపకుడు విలియం జి. స్కెల్లీ యొక్క ఆలోచన, అతను అతని అభిరుచులకు మరి"&amp;"యు అతని గొప్ప చమురు-ఎగ్జిక్యూటివ్ సహచరులకు మద్దతుగా వేగవంతమైన, సౌకర్యవంతమైన విమానాన్ని కోరుకున్నాడు. [2] వరుస సముపార్జనల ద్వారా, జె. పాల్ జెట్టి 1935 లో స్పార్టన్ ఎయిర్క్రాఫ్ట్ కంపెనీ యాజమాన్యాన్ని చేపట్టాడు మరియు ఆ సమయం నుండి 1968 వరకు దాని అదృష్టాన్ని న"&amp;"డిపించాడు. [3] 7W లోపలి భాగం విశాలమైనది మరియు ముందు సీటు ప్రయాణీకులు, ఆర్మ్ రెస్ట్, బూడిద ట్రేలు, గోపురం లైటింగ్, లోతైన కుషన్లు, క్యాబిన్ హీటర్లు, వెంటిలేటర్లు, సౌండ్‌ఫ్రూఫింగ్, పెద్ద కిటికీలు మరియు 100 lb (45 kg) సామర్థ్యం గల సామాను కంపార్ట్‌మెంట్‌కు ఇంట"&amp;"ీరియర్ యాక్సెస్. లోపలి భాగాన్ని నలుగురు లేదా ఐదుగురు ప్రయాణీకులకు కాన్ఫిగర్ చేయవచ్చు. [4] ప్రొడక్షన్ రన్‌లో 10 వ ఎయిర్‌ఫ్రేమ్ సైనిక ప్రదర్శన, స్పార్టన్ 7W-F గా సవరించబడింది, రెండు ఫార్వర్డ్-ఫైరింగ్ .30 క్యాలిబర్ మెషిన్ గన్లను ఫైర్‌వాల్ దగ్గర పోర్ట్ వైపు అ"&amp;"మర్చారు మరియు సింక్రొనైజ్డ్ మెకానిజం ద్వారా ప్రొపెల్లర్ ఆర్క్ ద్వారా కాల్పులు జరిపారు. విండ్‌స్క్రీన్ మరియు మెషిన్ గన్ అమర్చిన పైకప్పుపై డోర్సల్ హాచ్ వద్ద గన్నర్ స్టేషన్‌ను అందించడం మరింత మార్పు. రెక్కల క్రింద బాంబు రాక్ల కోసం కూడా సదుపాయం ఏర్పడింది. [5] "&amp;"సైనిక ప్రయోగం స్వల్పకాలికంగా ఉంది మరియు ఈ విమానం స్టాక్ మోడల్‌కు మార్చబడింది మరియు 1939 బెండిక్స్ వాయు రేసుల్లో ఎగ్జిక్యూటివ్ (ఎన్‌సి 17605) లోకి ప్రవేశించిన ఏవియాట్రిక్స్ అర్లీన్ డేవిస్‌కు విక్రయించబడింది. [5] రేసు ఎగురుతున్న సోలోను పూర్తి చేసిన మొదటి మహ"&amp;"ిళ డేవిస్, మరియు అధిక-పనితీరు గల విమానాలను ఐదవ స్థానానికి తీసుకువెళ్ళాడు. [6] 7x ప్రోటోటైప్‌లతో సహా, 1940 లో ఉత్పత్తి నిలిపివేయబడటానికి ముందు 36 7W ఎగ్జిక్యూటివ్‌లు నిర్మించబడ్డారు. స్పార్టన్ 8W జ్యూస్ అని పిలువబడే 7W ఎగ్జిక్యూటివ్ యొక్క రెండు సీట్ల సైనిక"&amp;" వేరియంట్ అయిన సవరించిన స్పార్టన్ ఎగ్జిక్యూటివ్ మిలిటరీ ప్రదర్శనకారుడిని అనుసరించి అభివృద్ధి చేయబడింది. ఈ విమానం ఒక గ్రీన్హౌస్ పందిరిని కలిగి ఉంది, ఇది టెన్డం కాక్‌పిట్‌ను కప్పి ఉంచారు మరియు మరింత శక్తివంతమైన 600 హెచ్‌పి (447 కిలోవాట్) ప్రాట్ &amp; విట్నీ కంద"&amp;"ిరీగ ఇంజిన్‌తో శక్తినిచ్చారు. [1] నాలుగు లేదా ఐదు ఉదాహరణల యొక్క చిన్న ఉత్పత్తి పరుగు జరిగింది, కాని అధికారిక ఆసక్తి లేకుండా, ప్రాజెక్ట్ క్షీణించింది. [7] 1942 లో, మొత్తం 16 7W అధికారులు అమెరికా ఆర్మీ ఎయిర్ కార్ప్స్ తో సైనిక సేవలో ఆకట్టుకున్నారు. 7W లు UC-"&amp;"71 గా సైనిక సిబ్బందికి కార్యనిర్వాహక రవాణాగా పనిచేశాయి. [4] ఎగ్జిక్యూటివ్ సిరీస్‌లో ఆసక్తిని తిరిగి పుంజుకోవడానికి రెండవ ప్రపంచ యుద్ధానంతర ప్రయత్నం, రీ-బ్రాండెడ్ స్పార్టన్ 12-డబ్ల్యూ హోదా కింద, ఆసక్తిని పొందడంలో విఫలమైంది. [4] ఒక మోడల్ 12 మాత్రమే పూర్తయిం"&amp;"ది, మరియు ఈ రోజు తుల్సా ఎయిర్ అండ్ స్పేస్ మ్యూజియం &amp; ప్లానిటోరియం సేకరణలో భాగం. [8] ఆగష్టు 2018 లో మొత్తం 17 మోడల్ 7W లు ఇప్పటికీ అమెరికాలోని ఫెడరల్ ఏవియేషన్ అడ్మినిస్ట్రేషన్‌లో నమోదు చేయబడ్డాయి. [9] 7W ల యొక్క ప్రముఖ యజమానులలో విమాన డిజైనర్ మరియు ఏవియేటర"&amp;"్ హోవార్డ్ హ్యూస్, సంపన్న పారిశ్రామికవేత్త జె. పాల్ జెట్టి, [గమనిక 1] మరియు ఇరాక్ రాజు ఘాజీ ఉన్నారు. కింగ్ ఘాజీ యొక్క స్పార్టన్ ఎగ్జిక్యూటివ్ ""ఈగిల్ ఆఫ్ ఇరాక్"" గా నియమించబడింది మరియు అతని కోటు ఆయుధాలతో తయారు చేయబడింది, ఇది అదనపు విలాసవంతమైన అంతర్గత మరియ"&amp;"ు అనుకూలీకరించిన లక్షణాలు. [10] EAA స్పార్టన్ నుండి డేటా [12] సాధారణ లక్షణాల పనితీరు మాంట్రియల్ కేంద్రంగా ఉన్న మూడు ఉదాహరణలు, గతంలో కాలిఫోర్నియాలో ఉపయోగించిన రాయల్ ఎయిర్ ఫోర్స్ ఉదాహరణలు. [11] రెండవ నమూనా చైనాకు ఎగుమతి చేయబడింది మరియు 1309 సీరియల్. స్పానిష"&amp;"్ రిపబ్లికన్ వైమానిక దళం కోరే వరకు మరియు 30+74 గా గుర్తించబడిన వరకు EC-AGM గా గుర్తించబడిన ఒక విమానాన్ని EC-AGM గా గుర్తించే ఒక విమానయానంగా ఉపయోగించడానికి లేప్ (లానియాస్ అయెరియాస్ పోస్టేల్స్ ఎస్పానోలాస్) కనీసం ఒక ఉదాహరణను అందుకుంది. తరువాత దీనిని జాతీయవాద"&amp;"ులు స్వాధీనం చేసుకున్నారు. మరెన్నో రిపబ్లికన్లు కొనుగోలు చేశారు. [11] ఇరాక్ రాజు ఘాజీ కోసం ఒక ఉదాహరణ (AX666) నిర్మించబడింది. నం 1 ఫోటోగ్రాఫిక్ రికనైసెన్స్ యూనిట్ RAF చేత ఉపయోగించబడుతుంది. ఫ్లైట్ శిక్షణ కోసం కాలిఫోర్నియాలో KD100, KD101 మరియు KD102 సీరియల్స"&amp;"్ తో మూడు ఉదాహరణలు ఉపయోగించబడ్డాయి. [11] [13] [పేజీ అవసరం] 16 పౌర యజమానుల నుండి ఆకట్టుకున్న 16 ఉదాహరణలు. పౌర సేవకు తిరిగి రావడానికి ఇద్దరు మినహా అందరూ బయటపడ్డారు. [11] [13] పోల్చదగిన పాత్ర, కాన్ఫిగరేషన్ మరియు ERA సంబంధిత జాబితాల సంబంధిత అభివృద్ధి విమానం")</f>
        <v>స్పార్టన్ 7W ఎగ్జిక్యూటివ్ అనేది క్యాబిన్ మోనోప్లేన్ విమానం, దీనిని 1930 ల చివరలో మరియు 1940 ల ప్రారంభంలో స్పార్టన్ ఎయిర్క్రాఫ్ట్ కంపెనీ నిర్మించింది. 7W లో ఆల్-మెటల్ ఫ్యూజ్‌లేజ్, అలాగే ముడుచుకునే అండర్ క్యారేజ్ ఉన్నాయి. 7W ఎగ్జిక్యూటివ్ ప్రపంచవ్యాప్తంగా సంపన్న కొనుగోలుదారులతో ప్రాచుర్యం పొందింది. అవుట్పుట్ .toclimit-4 .toclevel-3 ul, .mw- పార్సర్-అవుట్పుట్ .toclimit-5 .toclevel-4 ul, .mw-parser-అవుట్పుట్ .toclimit-6 .toclevel-5 ul, .mw-parser-అవుట్పుట్. ToClimit-7 .toclevel-6 UL {Display: ఏదీ ఎగ్జిక్యూటివ్ మార్కెట్ కోసం స్పష్టంగా రూపొందించబడింది, స్పార్టన్ ఎగ్జిక్యూటివ్ పనితీరు మరియు సౌకర్యం రెండింటికీ కాన్ఫిగర్ చేయబడింది. మహా మాంద్యం సమయంలో నిర్మించిన, 7W స్కెల్లీ ఆయిల్ యొక్క కంపెనీ వ్యవస్థాపకుడు విలియం జి. స్కెల్లీ యొక్క ఆలోచన, అతను అతని అభిరుచులకు మరియు అతని గొప్ప చమురు-ఎగ్జిక్యూటివ్ సహచరులకు మద్దతుగా వేగవంతమైన, సౌకర్యవంతమైన విమానాన్ని కోరుకున్నాడు. [2] వరుస సముపార్జనల ద్వారా, జె. పాల్ జెట్టి 1935 లో స్పార్టన్ ఎయిర్క్రాఫ్ట్ కంపెనీ యాజమాన్యాన్ని చేపట్టాడు మరియు ఆ సమయం నుండి 1968 వరకు దాని అదృష్టాన్ని నడిపించాడు. [3] 7W లోపలి భాగం విశాలమైనది మరియు ముందు సీటు ప్రయాణీకులు, ఆర్మ్ రెస్ట్, బూడిద ట్రేలు, గోపురం లైటింగ్, లోతైన కుషన్లు, క్యాబిన్ హీటర్లు, వెంటిలేటర్లు, సౌండ్‌ఫ్రూఫింగ్, పెద్ద కిటికీలు మరియు 100 lb (45 kg) సామర్థ్యం గల సామాను కంపార్ట్‌మెంట్‌కు ఇంటీరియర్ యాక్సెస్. లోపలి భాగాన్ని నలుగురు లేదా ఐదుగురు ప్రయాణీకులకు కాన్ఫిగర్ చేయవచ్చు. [4] ప్రొడక్షన్ రన్‌లో 10 వ ఎయిర్‌ఫ్రేమ్ సైనిక ప్రదర్శన, స్పార్టన్ 7W-F గా సవరించబడింది, రెండు ఫార్వర్డ్-ఫైరింగ్ .30 క్యాలిబర్ మెషిన్ గన్లను ఫైర్‌వాల్ దగ్గర పోర్ట్ వైపు అమర్చారు మరియు సింక్రొనైజ్డ్ మెకానిజం ద్వారా ప్రొపెల్లర్ ఆర్క్ ద్వారా కాల్పులు జరిపారు. విండ్‌స్క్రీన్ మరియు మెషిన్ గన్ అమర్చిన పైకప్పుపై డోర్సల్ హాచ్ వద్ద గన్నర్ స్టేషన్‌ను అందించడం మరింత మార్పు. రెక్కల క్రింద బాంబు రాక్ల కోసం కూడా సదుపాయం ఏర్పడింది. [5] సైనిక ప్రయోగం స్వల్పకాలికంగా ఉంది మరియు ఈ విమానం స్టాక్ మోడల్‌కు మార్చబడింది మరియు 1939 బెండిక్స్ వాయు రేసుల్లో ఎగ్జిక్యూటివ్ (ఎన్‌సి 17605) లోకి ప్రవేశించిన ఏవియాట్రిక్స్ అర్లీన్ డేవిస్‌కు విక్రయించబడింది. [5] రేసు ఎగురుతున్న సోలోను పూర్తి చేసిన మొదటి మహిళ డేవిస్, మరియు అధిక-పనితీరు గల విమానాలను ఐదవ స్థానానికి తీసుకువెళ్ళాడు. [6] 7x ప్రోటోటైప్‌లతో సహా, 1940 లో ఉత్పత్తి నిలిపివేయబడటానికి ముందు 36 7W ఎగ్జిక్యూటివ్‌లు నిర్మించబడ్డారు. స్పార్టన్ 8W జ్యూస్ అని పిలువబడే 7W ఎగ్జిక్యూటివ్ యొక్క రెండు సీట్ల సైనిక వేరియంట్ అయిన సవరించిన స్పార్టన్ ఎగ్జిక్యూటివ్ మిలిటరీ ప్రదర్శనకారుడిని అనుసరించి అభివృద్ధి చేయబడింది. ఈ విమానం ఒక గ్రీన్హౌస్ పందిరిని కలిగి ఉంది, ఇది టెన్డం కాక్‌పిట్‌ను కప్పి ఉంచారు మరియు మరింత శక్తివంతమైన 600 హెచ్‌పి (447 కిలోవాట్) ప్రాట్ &amp; విట్నీ కందిరీగ ఇంజిన్‌తో శక్తినిచ్చారు. [1] నాలుగు లేదా ఐదు ఉదాహరణల యొక్క చిన్న ఉత్పత్తి పరుగు జరిగింది, కాని అధికారిక ఆసక్తి లేకుండా, ప్రాజెక్ట్ క్షీణించింది. [7] 1942 లో, మొత్తం 16 7W అధికారులు అమెరికా ఆర్మీ ఎయిర్ కార్ప్స్ తో సైనిక సేవలో ఆకట్టుకున్నారు. 7W లు UC-71 గా సైనిక సిబ్బందికి కార్యనిర్వాహక రవాణాగా పనిచేశాయి. [4] ఎగ్జిక్యూటివ్ సిరీస్‌లో ఆసక్తిని తిరిగి పుంజుకోవడానికి రెండవ ప్రపంచ యుద్ధానంతర ప్రయత్నం, రీ-బ్రాండెడ్ స్పార్టన్ 12-డబ్ల్యూ హోదా కింద, ఆసక్తిని పొందడంలో విఫలమైంది. [4] ఒక మోడల్ 12 మాత్రమే పూర్తయింది, మరియు ఈ రోజు తుల్సా ఎయిర్ అండ్ స్పేస్ మ్యూజియం &amp; ప్లానిటోరియం సేకరణలో భాగం. [8] ఆగష్టు 2018 లో మొత్తం 17 మోడల్ 7W లు ఇప్పటికీ అమెరికాలోని ఫెడరల్ ఏవియేషన్ అడ్మినిస్ట్రేషన్‌లో నమోదు చేయబడ్డాయి. [9] 7W ల యొక్క ప్రముఖ యజమానులలో విమాన డిజైనర్ మరియు ఏవియేటర్ హోవార్డ్ హ్యూస్, సంపన్న పారిశ్రామికవేత్త జె. పాల్ జెట్టి, [గమనిక 1] మరియు ఇరాక్ రాజు ఘాజీ ఉన్నారు. కింగ్ ఘాజీ యొక్క స్పార్టన్ ఎగ్జిక్యూటివ్ "ఈగిల్ ఆఫ్ ఇరాక్" గా నియమించబడింది మరియు అతని కోటు ఆయుధాలతో తయారు చేయబడింది, ఇది అదనపు విలాసవంతమైన అంతర్గత మరియు అనుకూలీకరించిన లక్షణాలు. [10] EAA స్పార్టన్ నుండి డేటా [12] సాధారణ లక్షణాల పనితీరు మాంట్రియల్ కేంద్రంగా ఉన్న మూడు ఉదాహరణలు, గతంలో కాలిఫోర్నియాలో ఉపయోగించిన రాయల్ ఎయిర్ ఫోర్స్ ఉదాహరణలు. [11] రెండవ నమూనా చైనాకు ఎగుమతి చేయబడింది మరియు 1309 సీరియల్. స్పానిష్ రిపబ్లికన్ వైమానిక దళం కోరే వరకు మరియు 30+74 గా గుర్తించబడిన వరకు EC-AGM గా గుర్తించబడిన ఒక విమానాన్ని EC-AGM గా గుర్తించే ఒక విమానయానంగా ఉపయోగించడానికి లేప్ (లానియాస్ అయెరియాస్ పోస్టేల్స్ ఎస్పానోలాస్) కనీసం ఒక ఉదాహరణను అందుకుంది. తరువాత దీనిని జాతీయవాదులు స్వాధీనం చేసుకున్నారు. మరెన్నో రిపబ్లికన్లు కొనుగోలు చేశారు. [11] ఇరాక్ రాజు ఘాజీ కోసం ఒక ఉదాహరణ (AX666) నిర్మించబడింది. నం 1 ఫోటోగ్రాఫిక్ రికనైసెన్స్ యూనిట్ RAF చేత ఉపయోగించబడుతుంది. ఫ్లైట్ శిక్షణ కోసం కాలిఫోర్నియాలో KD100, KD101 మరియు KD102 సీరియల్స్ తో మూడు ఉదాహరణలు ఉపయోగించబడ్డాయి. [11] [13] [పేజీ అవసరం] 16 పౌర యజమానుల నుండి ఆకట్టుకున్న 16 ఉదాహరణలు. పౌర సేవకు తిరిగి రావడానికి ఇద్దరు మినహా అందరూ బయటపడ్డారు. [11] [13] పోల్చదగిన పాత్ర, కాన్ఫిగరేషన్ మరియు ERA సంబంధిత జాబితాల సంబంధిత అభివృద్ధి విమానం</v>
      </c>
      <c r="E184" s="1" t="s">
        <v>2929</v>
      </c>
      <c r="F184" s="1" t="str">
        <f>IFERROR(__xludf.DUMMYFUNCTION("GOOGLETRANSLATE(E:E, ""en"", ""te"")"),"వ్యక్తిగత లగ్జరీ రవాణా")</f>
        <v>వ్యక్తిగత లగ్జరీ రవాణా</v>
      </c>
      <c r="G184" s="1" t="s">
        <v>155</v>
      </c>
      <c r="H184" s="1" t="str">
        <f>IFERROR(__xludf.DUMMYFUNCTION("GOOGLETRANSLATE(G:G, ""en"", ""te"")"),"అమెరికా")</f>
        <v>అమెరికా</v>
      </c>
      <c r="I184" s="1" t="s">
        <v>2930</v>
      </c>
      <c r="J184" s="1" t="str">
        <f>IFERROR(__xludf.DUMMYFUNCTION("GOOGLETRANSLATE(I:I, ""en"", ""te"")"),"స్పార్టన్ ఎయిర్క్రాఫ్ట్ కంపెనీ")</f>
        <v>స్పార్టన్ ఎయిర్క్రాఫ్ట్ కంపెనీ</v>
      </c>
      <c r="K184" s="1" t="s">
        <v>2931</v>
      </c>
      <c r="N184" s="1" t="s">
        <v>2932</v>
      </c>
      <c r="O184" s="1">
        <v>1.0</v>
      </c>
      <c r="P184" s="1" t="s">
        <v>2933</v>
      </c>
      <c r="Q184" s="1" t="s">
        <v>2934</v>
      </c>
      <c r="R184" s="1" t="s">
        <v>2935</v>
      </c>
      <c r="S184" s="1" t="s">
        <v>2936</v>
      </c>
      <c r="T184" s="1" t="s">
        <v>2937</v>
      </c>
      <c r="V184" s="1" t="s">
        <v>2938</v>
      </c>
      <c r="W184" s="1" t="s">
        <v>2939</v>
      </c>
      <c r="X184" s="1" t="s">
        <v>2940</v>
      </c>
      <c r="Y184" s="1" t="s">
        <v>1793</v>
      </c>
      <c r="Z184" s="1" t="s">
        <v>2941</v>
      </c>
      <c r="AA184" s="1" t="s">
        <v>2942</v>
      </c>
      <c r="AC184" s="2" t="s">
        <v>167</v>
      </c>
      <c r="AF184" s="1" t="s">
        <v>2943</v>
      </c>
      <c r="AG184" s="1" t="s">
        <v>2944</v>
      </c>
      <c r="AJ184" s="1">
        <v>36.0</v>
      </c>
      <c r="AK184" s="1" t="s">
        <v>2945</v>
      </c>
      <c r="AR184" s="1" t="s">
        <v>253</v>
      </c>
      <c r="AX184" s="1" t="s">
        <v>2946</v>
      </c>
      <c r="BH184" s="1" t="s">
        <v>2947</v>
      </c>
      <c r="BJ184" s="1" t="s">
        <v>2948</v>
      </c>
      <c r="BN184" s="1">
        <v>1936.0</v>
      </c>
    </row>
    <row r="185">
      <c r="A185" s="1" t="s">
        <v>2949</v>
      </c>
      <c r="B185" s="1" t="str">
        <f>IFERROR(__xludf.DUMMYFUNCTION("GOOGLETRANSLATE(A:A, ""en"", ""te"")"),"ఫ్లూగన్")</f>
        <v>ఫ్లూగన్</v>
      </c>
      <c r="C185" s="1" t="s">
        <v>2950</v>
      </c>
      <c r="D185" s="1" t="str">
        <f>IFERROR(__xludf.DUMMYFUNCTION("GOOGLETRANSLATE(C:C, ""en"", ""te"")"),"ఫ్లూగన్ (ది ఫ్లై) అనేది స్వీడన్‌లోని లిడింగ్‌లోని తన ఇంటి వెలుపల కార్ల్ రిచర్డ్ నైబెర్గ్ రూపొందించిన మరియు నిర్మించిన ప్రారంభ విమానం. నిర్మాణం 1897 లో ప్రారంభమైంది మరియు అతను 1922 వరకు దానిపై పని చేస్తూనే ఉన్నాడు. క్రాఫ్ట్ కొన్ని చిన్న జంప్‌లను మాత్రమే ని"&amp;"ర్వహించింది మరియు నైబెర్గ్ తరచుగా ఎగతాళి చేయబడ్డాడు, అయితే అతని ఆవిష్కరణలు చాలా ఇప్పటికీ వాడుకలో ఉన్నాయి. [1] అతను తన డిజైన్‌ను విండ్ టన్నెల్‌లో పరీక్షించిన మొదటి వ్యక్తి మరియు హ్యాంగర్‌ను నిర్మించిన మొదటివాడు. [2] వైఫల్యానికి కారణాలు పేలవమైన వింగ్ మరియు "&amp;"ప్రొపెల్లర్ డిజైన్ మరియు నైబెర్గ్ యొక్క ఎత్తుల భయం. ఫ్లూగన్‌కు 5 మీటర్ల రెక్కలు ఉన్నాయి, మరియు రెక్కల ఉపరితల వైశాల్యం 13 మీ 2. ఇది నాలుగు బ్లోటోర్చెస్ (యుకె: బ్లౌల్యాంప్స్) చేత వేడి చేయబడిన ఆవిరి ఇంజిన్ ద్వారా శక్తిని పొందింది మరియు ఇది 2000 ఆర్‌పిఎమ్ వద్"&amp;"ద 10 హెచ్‌పి (7 కిలోవాట్) ను ఉత్పత్తి చేసింది. పవర్-టు-వెయిట్ నిష్పత్తి వాస్తవానికి రైట్ ఇంజిన్ కంటే మెరుగ్గా ఉంది. విమానం మొత్తం బరువు 80 కిలోలు. ఇంజిన్ యొక్క బరువు 18 కిలోలు. [1]")</f>
        <v>ఫ్లూగన్ (ది ఫ్లై) అనేది స్వీడన్‌లోని లిడింగ్‌లోని తన ఇంటి వెలుపల కార్ల్ రిచర్డ్ నైబెర్గ్ రూపొందించిన మరియు నిర్మించిన ప్రారంభ విమానం. నిర్మాణం 1897 లో ప్రారంభమైంది మరియు అతను 1922 వరకు దానిపై పని చేస్తూనే ఉన్నాడు. క్రాఫ్ట్ కొన్ని చిన్న జంప్‌లను మాత్రమే నిర్వహించింది మరియు నైబెర్గ్ తరచుగా ఎగతాళి చేయబడ్డాడు, అయితే అతని ఆవిష్కరణలు చాలా ఇప్పటికీ వాడుకలో ఉన్నాయి. [1] అతను తన డిజైన్‌ను విండ్ టన్నెల్‌లో పరీక్షించిన మొదటి వ్యక్తి మరియు హ్యాంగర్‌ను నిర్మించిన మొదటివాడు. [2] వైఫల్యానికి కారణాలు పేలవమైన వింగ్ మరియు ప్రొపెల్లర్ డిజైన్ మరియు నైబెర్గ్ యొక్క ఎత్తుల భయం. ఫ్లూగన్‌కు 5 మీటర్ల రెక్కలు ఉన్నాయి, మరియు రెక్కల ఉపరితల వైశాల్యం 13 మీ 2. ఇది నాలుగు బ్లోటోర్చెస్ (యుకె: బ్లౌల్యాంప్స్) చేత వేడి చేయబడిన ఆవిరి ఇంజిన్ ద్వారా శక్తిని పొందింది మరియు ఇది 2000 ఆర్‌పిఎమ్ వద్ద 10 హెచ్‌పి (7 కిలోవాట్) ను ఉత్పత్తి చేసింది. పవర్-టు-వెయిట్ నిష్పత్తి వాస్తవానికి రైట్ ఇంజిన్ కంటే మెరుగ్గా ఉంది. విమానం మొత్తం బరువు 80 కిలోలు. ఇంజిన్ యొక్క బరువు 18 కిలోలు. [1]</v>
      </c>
    </row>
    <row r="186">
      <c r="A186" s="1" t="s">
        <v>2951</v>
      </c>
      <c r="B186" s="1" t="str">
        <f>IFERROR(__xludf.DUMMYFUNCTION("GOOGLETRANSLATE(A:A, ""en"", ""te"")"),"గ్రుమ్మన్ XTB2F")</f>
        <v>గ్రుమ్మన్ XTB2F</v>
      </c>
      <c r="C186" s="1" t="s">
        <v>2952</v>
      </c>
      <c r="D186" s="1" t="str">
        <f>IFERROR(__xludf.DUMMYFUNCTION("GOOGLETRANSLATE(C:C, ""en"", ""te"")"),"గ్రుమ్మన్ టిబి 2 ఎఫ్ రద్దు చేయబడిన ట్విన్-ఇంజిన్ టార్పెడో బాంబర్ ప్రాజెక్ట్, ఇది విజయవంతమైన టిబిఎఫ్ అవెంజర్ యొక్క గ్రుమ్మన్ వారసుడిగా ఉద్దేశించబడింది. అయితే, ఒక మోకాప్ మాత్రమే నిర్మించబడింది. 1944 లో, రెండవ ప్రపంచ యుద్ధంలో, మిడ్‌వే క్లాస్ ఎయిర్‌క్రాఫ్ట్ క"&amp;"్యారియర్‌లను నిర్మిస్తున్నారు, మరియు గ్రుమ్మన్ ఆ క్యారియర్‌లతో పాటు కొత్త టార్పెడో బాంబర్‌ను రూపొందించడానికి ప్రయత్నించాడు. ఏదేమైనా, ఇతర ఇబ్బందులతో పాటు, ఈ పరిమాణంలోని జంట-ఇంజిన్ విమానాలను విమాన వాహక నౌక నుండి సమర్థవంతంగా అమలు చేయడం అసాధ్యమని త్వరలో నిర్ణ"&amp;"యించారు మరియు ప్రణాళికలు రద్దు చేయబడ్డాయి. దాని సమయానికి ముందు ట్రాకర్ నుండి వచ్చిన డేటా? [1] సాధారణ లక్షణాలు పనితీరు ఆయుధాలు, కాన్ఫిగరేషన్ మరియు ERA సంబంధిత జాబితాల ఆయుధాల విమానం")</f>
        <v>గ్రుమ్మన్ టిబి 2 ఎఫ్ రద్దు చేయబడిన ట్విన్-ఇంజిన్ టార్పెడో బాంబర్ ప్రాజెక్ట్, ఇది విజయవంతమైన టిబిఎఫ్ అవెంజర్ యొక్క గ్రుమ్మన్ వారసుడిగా ఉద్దేశించబడింది. అయితే, ఒక మోకాప్ మాత్రమే నిర్మించబడింది. 1944 లో, రెండవ ప్రపంచ యుద్ధంలో, మిడ్‌వే క్లాస్ ఎయిర్‌క్రాఫ్ట్ క్యారియర్‌లను నిర్మిస్తున్నారు, మరియు గ్రుమ్మన్ ఆ క్యారియర్‌లతో పాటు కొత్త టార్పెడో బాంబర్‌ను రూపొందించడానికి ప్రయత్నించాడు. ఏదేమైనా, ఇతర ఇబ్బందులతో పాటు, ఈ పరిమాణంలోని జంట-ఇంజిన్ విమానాలను విమాన వాహక నౌక నుండి సమర్థవంతంగా అమలు చేయడం అసాధ్యమని త్వరలో నిర్ణయించారు మరియు ప్రణాళికలు రద్దు చేయబడ్డాయి. దాని సమయానికి ముందు ట్రాకర్ నుండి వచ్చిన డేటా? [1] సాధారణ లక్షణాలు పనితీరు ఆయుధాలు, కాన్ఫిగరేషన్ మరియు ERA సంబంధిత జాబితాల ఆయుధాల విమానం</v>
      </c>
      <c r="E186" s="1" t="s">
        <v>2953</v>
      </c>
      <c r="F186" s="1" t="str">
        <f>IFERROR(__xludf.DUMMYFUNCTION("GOOGLETRANSLATE(E:E, ""en"", ""te"")"),"టార్పెడో బాంబర్")</f>
        <v>టార్పెడో బాంబర్</v>
      </c>
      <c r="I186" s="1" t="s">
        <v>2954</v>
      </c>
      <c r="J186" s="1" t="str">
        <f>IFERROR(__xludf.DUMMYFUNCTION("GOOGLETRANSLATE(I:I, ""en"", ""te"")"),"గ్రుమ్మన్")</f>
        <v>గ్రుమ్మన్</v>
      </c>
      <c r="K186" s="2" t="s">
        <v>2955</v>
      </c>
      <c r="O186" s="1">
        <v>3.0</v>
      </c>
      <c r="P186" s="1" t="s">
        <v>2956</v>
      </c>
      <c r="Q186" s="1" t="s">
        <v>2957</v>
      </c>
      <c r="R186" s="1" t="s">
        <v>1807</v>
      </c>
      <c r="V186" s="1" t="s">
        <v>2958</v>
      </c>
      <c r="W186" s="1" t="s">
        <v>2959</v>
      </c>
      <c r="Y186" s="1" t="s">
        <v>2960</v>
      </c>
      <c r="AA186" s="1" t="s">
        <v>2961</v>
      </c>
      <c r="AD186" s="1" t="s">
        <v>2962</v>
      </c>
      <c r="AE186" s="1" t="s">
        <v>2963</v>
      </c>
      <c r="AH186" s="1" t="s">
        <v>2964</v>
      </c>
      <c r="BH186" s="1" t="s">
        <v>2965</v>
      </c>
      <c r="CC186" s="1" t="s">
        <v>2966</v>
      </c>
      <c r="CH186" s="1" t="s">
        <v>2967</v>
      </c>
      <c r="CU186" s="1" t="s">
        <v>2968</v>
      </c>
    </row>
    <row r="187">
      <c r="A187" s="1" t="s">
        <v>2969</v>
      </c>
      <c r="B187" s="1" t="str">
        <f>IFERROR(__xludf.DUMMYFUNCTION("GOOGLETRANSLATE(A:A, ""en"", ""te"")"),"వాకో సి -62")</f>
        <v>వాకో సి -62</v>
      </c>
      <c r="C187" s="1" t="s">
        <v>2970</v>
      </c>
      <c r="D187" s="1" t="str">
        <f>IFERROR(__xludf.DUMMYFUNCTION("GOOGLETRANSLATE(C:C, ""en"", ""te"")"),"WACO C-62 అనేది డగ్లస్ DC-3 కు పరిమాణం మరియు సామర్థ్యంతో సమానమైన ప్రతిపాదిత అధిక వింగ్ రవాణా విమానం. [13] ప్రీ-ప్రొడక్షన్ విమానాలను అక్టోబర్ 1941 లో ఆదేశించారు, 1942 ప్రారంభంలో 240 ప్రొడక్షన్ మోడళ్ల ఒప్పందం; [1] అయినప్పటికీ, ఏ విమానం ముందు కర్టిస్-రైట్ సి"&amp;" -76 కారవాన్‌కు అనుకూలంగా ఈ ప్రాజెక్ట్ సెప్టెంబర్ 1943 లో రద్దు చేయబడింది. నిర్మించబడింది. [2] [3] సాధారణ లక్షణాల పనితీరు నుండి డేటా")</f>
        <v>WACO C-62 అనేది డగ్లస్ DC-3 కు పరిమాణం మరియు సామర్థ్యంతో సమానమైన ప్రతిపాదిత అధిక వింగ్ రవాణా విమానం. [13] ప్రీ-ప్రొడక్షన్ విమానాలను అక్టోబర్ 1941 లో ఆదేశించారు, 1942 ప్రారంభంలో 240 ప్రొడక్షన్ మోడళ్ల ఒప్పందం; [1] అయినప్పటికీ, ఏ విమానం ముందు కర్టిస్-రైట్ సి -76 కారవాన్‌కు అనుకూలంగా ఈ ప్రాజెక్ట్ సెప్టెంబర్ 1943 లో రద్దు చేయబడింది. నిర్మించబడింది. [2] [3] సాధారణ లక్షణాల పనితీరు నుండి డేటా</v>
      </c>
      <c r="E187" s="1" t="s">
        <v>2971</v>
      </c>
      <c r="F187" s="1" t="str">
        <f>IFERROR(__xludf.DUMMYFUNCTION("GOOGLETRANSLATE(E:E, ""en"", ""te"")"),"రవాణా విమానం")</f>
        <v>రవాణా విమానం</v>
      </c>
      <c r="G187" s="1" t="s">
        <v>155</v>
      </c>
      <c r="H187" s="1" t="str">
        <f>IFERROR(__xludf.DUMMYFUNCTION("GOOGLETRANSLATE(G:G, ""en"", ""te"")"),"అమెరికా")</f>
        <v>అమెరికా</v>
      </c>
      <c r="I187" s="1" t="s">
        <v>2972</v>
      </c>
      <c r="J187" s="1" t="str">
        <f>IFERROR(__xludf.DUMMYFUNCTION("GOOGLETRANSLATE(I:I, ""en"", ""te"")"),"వాకో ఎయిర్క్రాఫ్ట్ కంపెనీ")</f>
        <v>వాకో ఎయిర్క్రాఫ్ట్ కంపెనీ</v>
      </c>
      <c r="K187" s="1" t="s">
        <v>2973</v>
      </c>
      <c r="O187" s="1" t="s">
        <v>897</v>
      </c>
      <c r="P187" s="1" t="s">
        <v>2974</v>
      </c>
      <c r="Q187" s="1" t="s">
        <v>2975</v>
      </c>
      <c r="R187" s="1" t="s">
        <v>2976</v>
      </c>
      <c r="T187" s="1" t="s">
        <v>2977</v>
      </c>
      <c r="V187" s="1" t="s">
        <v>2978</v>
      </c>
      <c r="W187" s="1" t="s">
        <v>2979</v>
      </c>
      <c r="X187" s="1" t="s">
        <v>2980</v>
      </c>
      <c r="Y187" s="1" t="s">
        <v>2981</v>
      </c>
      <c r="AA187" s="1" t="s">
        <v>2982</v>
      </c>
      <c r="AC187" s="2" t="s">
        <v>167</v>
      </c>
      <c r="AJ187" s="1">
        <v>0.0</v>
      </c>
      <c r="AK187" s="1" t="s">
        <v>2983</v>
      </c>
      <c r="AQ187" s="1" t="s">
        <v>2888</v>
      </c>
      <c r="BH187" s="1" t="s">
        <v>2984</v>
      </c>
      <c r="BP187" s="1" t="s">
        <v>2891</v>
      </c>
    </row>
    <row r="188">
      <c r="A188" s="1" t="s">
        <v>2985</v>
      </c>
      <c r="B188" s="1" t="str">
        <f>IFERROR(__xludf.DUMMYFUNCTION("GOOGLETRANSLATE(A:A, ""en"", ""te"")"),"సోప్విత్ సాలమండర్")</f>
        <v>సోప్విత్ సాలమండర్</v>
      </c>
      <c r="C188" s="1" t="s">
        <v>2986</v>
      </c>
      <c r="D188" s="1" t="str">
        <f>IFERROR(__xludf.DUMMYFUNCTION("GOOGLETRANSLATE(C:C, ""en"", ""te"")"),"సోప్విత్ టిఎఫ్ 2 సాలమండర్, సోప్విత్ ఏవియేషన్ కంపెనీ రూపొందించిన మొదటి ప్రపంచ యుద్ధం యొక్క బ్రిటిష్ గ్రౌండ్-అటాక్ విమానం, ఇది ఏప్రిల్ 1918 లో మొదట ప్రయాణించింది. తక్కువ స్థాయి కార్యకలాపాల సమయంలో పైలట్ మరియు ఇంధన వ్యవస్థను గ్రౌండ్ ఫైర్ నుండి రక్షించడానికి స"&amp;"ాయుధ ఫార్వర్డ్ ఫ్యూజ్‌లేజ్‌తో. ఇది రాయల్ వైమానిక దళం కోసం పెద్ద సంఖ్యలో ఆదేశించబడింది, కాని ఈ రకం స్క్వాడ్రన్ సేవలోకి ప్రవేశించడానికి ముందు యుద్ధం ముగిసింది, అయినప్పటికీ ఇద్దరు అక్టోబర్ 1918 లో ఫ్రాన్స్‌లో ఉన్నారు. ఆగష్టు 1917 లో, బ్రిటిష్ రాయల్ ఫ్లయింగ్ "&amp;"కార్ప్స్ (ఆర్‌ఎఫ్‌సి) సమన్వయ సామూహిక వినియోగాన్ని ప్రవేశపెట్టింది మూడవ YPRES యుద్ధానికి మద్దతుగా తక్కువ-స్థాయి గ్రౌండ్-అటాక్ కార్యకలాపాల కోసం సింగిల్-సీట్ల ఫైటర్ విమానాలు, ఎయిర్కో DH.5 లతో, అధిక-ఎత్తులో ఉన్న పోరాటానికి అనుచితమైనవి, ఈ పాత్రలో ప్రత్యేకత కలి"&amp;"గి ఉన్నాయి. ఈ వ్యూహం ప్రభావవంతంగా నిరూపించబడింది మరియు నవంబర్ 1917 లో కేంబ్రాయ్ యుద్ధంలో డిహెచ్ 5 లు మరియు స్ట్రాఫింగ్ దాడులలో సోప్విత్ ఒంటెలు ఉపయోగించబడుతున్నాయి. వ్యూహం విజయవంతమైందని నిరూపించగా, నిరాయుధ యోధుల నష్టాలు చాలా ఎక్కువగా ఉన్నాయని నిరూపించబడ్డా"&amp;"యి, ఇది రోజుకు 30 శాతం వరకు చేరుకుంది. చాలా నష్టాలు భూమి అగ్ని కారణంగా ఉన్నాయి, అయినప్పటికీ తక్కువ ఎగిరే విమానం కూడా శత్రు యోధులు పై నుండి దాడులకు గురవుతుంది. [1] [2] హాల్బర్‌స్టాడ్ట్ సిఎల్.ఐఐ వంటి రెండు-సీట్ల జర్మన్ యోధులు మొదట ఎస్కార్ట్ ఫైటర్స్ గా రూపొం"&amp;"దించబడ్డాయి, కేంబ్రాయ్ వద్ద జర్మన్ ప్రతిఫలం లో ముఖ్యమైన పాత్ర పోషిస్తున్నారు. [2] [3] CL- రకం యోధులు సాయుధంగా లేనప్పటికీ, జర్మన్లు ​​కాంటాక్ట్ పెట్రోల్ మరియు గ్రౌండ్-అటాక్ పని కోసం జంకర్స్ J.I వంటి భారీగా సాయుధ రెండు-సీట్ల విమానాలను కూడా ప్రవేశపెట్టారు. ["&amp;"1] [4] స్ట్రాఫింగ్ సమయంలో మరియు కొత్త జర్మన్ రకాల విజయాన్ని చూసిన తరువాత అధిక నష్టాల ఫలితంగా, RFC సోప్విత్ ఏవియేషన్ కంపెనీని దగ్గరి గాలి మద్దతు కోసం ఒంటెను సవరించమని ఆదేశించింది, క్రిందికి-ఫైరింగ్ తుపాకులు మరియు కవచాలను అమర్చడం ద్వారా. ""TF.1"" (ట్రెంచ్ ఫ"&amp;"ైటర్ 1) అని పిలువబడే సవరించిన ఒంటె 15 ఫిబ్రవరి 1918 న ప్రయాణించింది. రెండు లూయిస్ తుపాకులు 45 డిగ్రీల కోణంలో క్రిందికి మరియు ముందుకు కాల్చడానికి పరిష్కరించబడ్డాయి మరియు మూడవ తుపాకీ ఎగువ వింగ్ మీద అమర్చబడింది . క్రిందికి కాల్చే తుపాకులు పెద్దగా ఉపయోగపడవు, "&amp;"లక్ష్యంగా పెట్టుకోవడం దాదాపు అసాధ్యం. TF.1 ఉత్పత్తిలోకి వెళ్ళలేదు కాని పరీక్షలో పొందిన సమాచారం సాలమండర్ డిజైన్ కోసం ఉపయోగించబడింది. [5] [6] సోప్విత్ స్నిప్ యొక్క సాయుధ సంస్కరణగా భావించబడిన మరింత అధునాతన సాయుధ పోరాట యోధుడిపై పని 1918 ప్రారంభంలో ప్రారంభమైంద"&amp;"ి. ఫ్యూజ్‌లేజ్ యొక్క ఫార్వర్డ్ భాగం 605 ఎల్బి (275 కిలోల) ఆర్మర్ ప్లేట్ యొక్క పెట్టె, విమాన నిర్మాణంలో అంతర్భాగం . ప్లేట్ గాలి గ్యాప్ ద్వారా వేరు చేయబడింది. [7] ఫ్యూజ్‌లేజ్ యొక్క వెనుక (వెనుకబడిన) విభాగం స్నిప్ కాని ఫ్లాట్ సైడెడ్‌కు సాధారణంగా సమానమైన నిర్"&amp;"మాణం. రెండు-బే రెక్కలు మరియు టెయిల్‌ప్లేన్ స్నిప్‌కు సమానమైనవి కాని అదనపు బరువును ఎదుర్కోవటానికి బలోపేతం చేయబడ్డాయి, అయితే ఫిన్ మరియు చుక్కాని స్నిప్‌కు సమానంగా ఉంటాయి. కొత్త విమానం అదే బెంట్లీ BR2 రోటరీ ఇంజిన్‌ను స్నిప్ వలె ఉపయోగించింది, ఇది నిరాయుధమైన క"&amp;"ౌలింగ్‌తో కప్పబడి ఉంటుంది - ఫైర్‌వాల్‌ను ఏర్పరుస్తున్న మొట్టమొదటి కవచం ప్లేట్. [8] [9] వాస్తవానికి మూడు మెషిన్ గన్స్ యొక్క ఆయుధాలు ప్రణాళిక చేయబడ్డాయి, రెండు లూయిస్ తుపాకులు టిఎఫ్ 1 లో ఉన్నట్లుగా కాక్‌పిట్ అంతస్తులో ముందుకు మరియు క్రిందికి కాల్పులు జరిపాయ"&amp;"ి మరియు ఫార్వర్డ్ ఫైరింగ్ విక్కర్స్ మెషిన్ గన్. మొదటి ప్రోటోటైప్ పూర్తయ్యేలోపు, స్నిప్‌లో ఉన్నట్లుగా, కాక్‌పిట్ ముందు రెండు సమకాలీకరించిన విక్కర్స్ తుపాకుల సాంప్రదాయ బ్యాటరీగా ఇది మార్చబడింది. తుపాకులు అస్థిరంగా ఉన్నాయి, స్టార్‌బోర్డ్ తుపాకీ పోర్ట్ వన్ కో"&amp;"సం కొన్ని అంగుళాల ముందుకు సాగడంతో మందుగుండు సామగ్రికి ఎక్కువ స్థలం ఇవ్వడానికి. నాలుగు తేలికపాటి బాంబులను కూడా తీసుకెళ్లవచ్చు. [10] మొదటి నమూనా 27 ఏప్రిల్ 1918 న బ్రూక్లాండ్స్ ఏరోడ్రోమ్ వద్ద విమాన పరీక్షలను ప్రారంభించింది మరియు మే 9 న మూల్యాంకనం కోసం ఫ్రాన"&amp;"్స్‌కు పంపబడింది. [11] మే 19 న జరిగిన ప్రమాదంలో ఇది ధ్వంసమైంది, 65 వ స్క్వాడ్రన్ చేత ఎగురవేయబడింది, పైలట్ మరొక క్రాష్‌కు స్పందించే ఏరోడ్రోమ్‌ను దాటకుండా ఉండాల్సి వచ్చింది. [12] సాలమండర్ సాధారణంగా గ్రౌండ్-అటాక్ పాత్రలో ఆశాజనకంగా పరిగణించబడుతుండగా, పార్శ్వ "&amp;"నియంత్రణ పేలవంగా గుర్తించబడింది. [12] ఈ సమస్యలను సరిదిద్దడానికి, సాలమండర్ స్నిప్ వలె తోక మరియు ఐలెరాన్‌లకు అదే మార్పులకు గురైంది. [13] ఉత్పత్తి చాలా పెద్ద ఎత్తున ఉండటానికి ఉద్దేశించబడింది - జూన్ 18 న 500 విమానాల కోసం ప్రారంభ ఉత్తర్వును సోప్విత్‌తో ఉంచారు,"&amp;" తరువాత వోల్సేలీ మోటార్స్, ఎయిర్ నావిగేషన్ కో, గ్లెన్‌డవర్ ఎయిర్‌క్రాఫ్ట్, పల్లాడియం మోటార్స్ మరియు నేషనల్ ఎయిర్‌క్రాఫ్ట్ ఫ్యాక్టరీ సంఖ్యతో అదనపు ఆర్డర్లు జరిగాయి . 1. మొత్తం 1,400 సాలమండర్లను ఆదేశించారు. [14] అయినప్పటికీ, కవచ పలకను ఉత్పత్తి చేసే సమస్యల ద"&amp;"్వారా ఉత్పత్తి మందగించింది, ఇది గట్టిపడే ప్రక్రియలో వక్రీకరణకు గురవుతుంది, [12] మరియు BR.2 ఇంజిన్ కొరత. [15] [15] [NB 1] అక్టోబర్ 1918 చివరి నాటికి 37 మాత్రమే సాలమండర్లు RAF ఛార్జ్‌లో ఉన్నారు, మరియు వీటిలో రెండు ఫ్రాన్స్‌లో ఉన్నాయి. [17] మొట్టమొదటి సాలమండ"&amp;"ర్-అమర్చిన స్క్వాడ్రన్, 157 స్క్వాడ్రన్, నవంబర్ 21 న 24 విమానాలతో ఫ్రాన్స్‌కు బయలుదేరాల్సి ఉంది, యునైటెడ్ కింగ్‌డమ్‌లో ఏర్పడే ప్రక్రియలో ఎక్కువ స్క్వాడ్రన్‌లు ఉన్నాయి. [18] యుద్ధ విరమణతో, స్పెషలిస్ట్ క్లోజ్ సపోర్ట్ విమానాల యొక్క తక్షణ అవసరం ఆవిరైపోయింది, "&amp;"మరియు 157 స్క్వాడ్రన్ త్వరగా రద్దు చేయబడింది. [19] యుద్ధ విరమణ తరువాత చాలా నెలలు ఉత్పత్తి కొనసాగింది, కనీసం 497 పూర్తయింది. [20] 70 సాలమండర్లు సాలమండర్ యొక్క బలమైన రెక్కలకు బదులుగా సోప్విత్ స్నిప్ రెక్కలతో అమర్చబడిందని, విమానాన్ని అసురక్షితంగా మార్చారని, "&amp;"[20] సాయుధ విభాగం ఆకస్మిక వక్రీకరణకు లోబడి, ఎయిర్ఫ్రేమ్‌ను తప్పుగా మార్చినట్లు మరియు మళ్ళీ విమానం ప్రమాదకరంగా మారుస్తుందని యుద్ధాన్వార్ కనుగొనబడింది. . [[ 1919 లో సాలమండర్ వివిధ రకాల విఘాతకరమైన మభ్యపెట్టే ప్రయత్నాలలో ఉపయోగించబడింది, అయితే కొంతమంది సాలమండర"&amp;"్లు 1922 లో ఈజిప్టులోని హెలియోపోలిస్ వద్ద ఇప్పటికీ వాడుకలో ఉన్నారు. ఒక ఉదాహరణ అమెరికాకు వెళ్ళింది, మరియు 1926 లో మెక్‌కూక్ ఫీల్డ్‌లో ఉనికిలో ఉంది. [22] బ్రిటిష్ విమానాల నుండి డేటా 1914–18 [24] సాధారణ లక్షణాలు పనితీరు ఆయుధ సంబంధిత అభివృద్ధి అభివృద్ధి విమాన"&amp;"ం పోల్చదగిన పాత్ర, కాన్ఫిగరేషన్ మరియు ERA సంబంధిత జాబితాలు")</f>
        <v>సోప్విత్ టిఎఫ్ 2 సాలమండర్, సోప్విత్ ఏవియేషన్ కంపెనీ రూపొందించిన మొదటి ప్రపంచ యుద్ధం యొక్క బ్రిటిష్ గ్రౌండ్-అటాక్ విమానం, ఇది ఏప్రిల్ 1918 లో మొదట ప్రయాణించింది. తక్కువ స్థాయి కార్యకలాపాల సమయంలో పైలట్ మరియు ఇంధన వ్యవస్థను గ్రౌండ్ ఫైర్ నుండి రక్షించడానికి సాయుధ ఫార్వర్డ్ ఫ్యూజ్‌లేజ్‌తో. ఇది రాయల్ వైమానిక దళం కోసం పెద్ద సంఖ్యలో ఆదేశించబడింది, కాని ఈ రకం స్క్వాడ్రన్ సేవలోకి ప్రవేశించడానికి ముందు యుద్ధం ముగిసింది, అయినప్పటికీ ఇద్దరు అక్టోబర్ 1918 లో ఫ్రాన్స్‌లో ఉన్నారు. ఆగష్టు 1917 లో, బ్రిటిష్ రాయల్ ఫ్లయింగ్ కార్ప్స్ (ఆర్‌ఎఫ్‌సి) సమన్వయ సామూహిక వినియోగాన్ని ప్రవేశపెట్టింది మూడవ YPRES యుద్ధానికి మద్దతుగా తక్కువ-స్థాయి గ్రౌండ్-అటాక్ కార్యకలాపాల కోసం సింగిల్-సీట్ల ఫైటర్ విమానాలు, ఎయిర్కో DH.5 లతో, అధిక-ఎత్తులో ఉన్న పోరాటానికి అనుచితమైనవి, ఈ పాత్రలో ప్రత్యేకత కలిగి ఉన్నాయి. ఈ వ్యూహం ప్రభావవంతంగా నిరూపించబడింది మరియు నవంబర్ 1917 లో కేంబ్రాయ్ యుద్ధంలో డిహెచ్ 5 లు మరియు స్ట్రాఫింగ్ దాడులలో సోప్విత్ ఒంటెలు ఉపయోగించబడుతున్నాయి. వ్యూహం విజయవంతమైందని నిరూపించగా, నిరాయుధ యోధుల నష్టాలు చాలా ఎక్కువగా ఉన్నాయని నిరూపించబడ్డాయి, ఇది రోజుకు 30 శాతం వరకు చేరుకుంది. చాలా నష్టాలు భూమి అగ్ని కారణంగా ఉన్నాయి, అయినప్పటికీ తక్కువ ఎగిరే విమానం కూడా శత్రు యోధులు పై నుండి దాడులకు గురవుతుంది. [1] [2] హాల్బర్‌స్టాడ్ట్ సిఎల్.ఐఐ వంటి రెండు-సీట్ల జర్మన్ యోధులు మొదట ఎస్కార్ట్ ఫైటర్స్ గా రూపొందించబడ్డాయి, కేంబ్రాయ్ వద్ద జర్మన్ ప్రతిఫలం లో ముఖ్యమైన పాత్ర పోషిస్తున్నారు. [2] [3] CL- రకం యోధులు సాయుధంగా లేనప్పటికీ, జర్మన్లు ​​కాంటాక్ట్ పెట్రోల్ మరియు గ్రౌండ్-అటాక్ పని కోసం జంకర్స్ J.I వంటి భారీగా సాయుధ రెండు-సీట్ల విమానాలను కూడా ప్రవేశపెట్టారు. [1] [4] స్ట్రాఫింగ్ సమయంలో మరియు కొత్త జర్మన్ రకాల విజయాన్ని చూసిన తరువాత అధిక నష్టాల ఫలితంగా, RFC సోప్విత్ ఏవియేషన్ కంపెనీని దగ్గరి గాలి మద్దతు కోసం ఒంటెను సవరించమని ఆదేశించింది, క్రిందికి-ఫైరింగ్ తుపాకులు మరియు కవచాలను అమర్చడం ద్వారా. "TF.1" (ట్రెంచ్ ఫైటర్ 1) అని పిలువబడే సవరించిన ఒంటె 15 ఫిబ్రవరి 1918 న ప్రయాణించింది. రెండు లూయిస్ తుపాకులు 45 డిగ్రీల కోణంలో క్రిందికి మరియు ముందుకు కాల్చడానికి పరిష్కరించబడ్డాయి మరియు మూడవ తుపాకీ ఎగువ వింగ్ మీద అమర్చబడింది . క్రిందికి కాల్చే తుపాకులు పెద్దగా ఉపయోగపడవు, లక్ష్యంగా పెట్టుకోవడం దాదాపు అసాధ్యం. TF.1 ఉత్పత్తిలోకి వెళ్ళలేదు కాని పరీక్షలో పొందిన సమాచారం సాలమండర్ డిజైన్ కోసం ఉపయోగించబడింది. [5] [6] సోప్విత్ స్నిప్ యొక్క సాయుధ సంస్కరణగా భావించబడిన మరింత అధునాతన సాయుధ పోరాట యోధుడిపై పని 1918 ప్రారంభంలో ప్రారంభమైంది. ఫ్యూజ్‌లేజ్ యొక్క ఫార్వర్డ్ భాగం 605 ఎల్బి (275 కిలోల) ఆర్మర్ ప్లేట్ యొక్క పెట్టె, విమాన నిర్మాణంలో అంతర్భాగం . ప్లేట్ గాలి గ్యాప్ ద్వారా వేరు చేయబడింది. [7] ఫ్యూజ్‌లేజ్ యొక్క వెనుక (వెనుకబడిన) విభాగం స్నిప్ కాని ఫ్లాట్ సైడెడ్‌కు సాధారణంగా సమానమైన నిర్మాణం. రెండు-బే రెక్కలు మరియు టెయిల్‌ప్లేన్ స్నిప్‌కు సమానమైనవి కాని అదనపు బరువును ఎదుర్కోవటానికి బలోపేతం చేయబడ్డాయి, అయితే ఫిన్ మరియు చుక్కాని స్నిప్‌కు సమానంగా ఉంటాయి. కొత్త విమానం అదే బెంట్లీ BR2 రోటరీ ఇంజిన్‌ను స్నిప్ వలె ఉపయోగించింది, ఇది నిరాయుధమైన కౌలింగ్‌తో కప్పబడి ఉంటుంది - ఫైర్‌వాల్‌ను ఏర్పరుస్తున్న మొట్టమొదటి కవచం ప్లేట్. [8] [9] వాస్తవానికి మూడు మెషిన్ గన్స్ యొక్క ఆయుధాలు ప్రణాళిక చేయబడ్డాయి, రెండు లూయిస్ తుపాకులు టిఎఫ్ 1 లో ఉన్నట్లుగా కాక్‌పిట్ అంతస్తులో ముందుకు మరియు క్రిందికి కాల్పులు జరిపాయి మరియు ఫార్వర్డ్ ఫైరింగ్ విక్కర్స్ మెషిన్ గన్. మొదటి ప్రోటోటైప్ పూర్తయ్యేలోపు, స్నిప్‌లో ఉన్నట్లుగా, కాక్‌పిట్ ముందు రెండు సమకాలీకరించిన విక్కర్స్ తుపాకుల సాంప్రదాయ బ్యాటరీగా ఇది మార్చబడింది. తుపాకులు అస్థిరంగా ఉన్నాయి, స్టార్‌బోర్డ్ తుపాకీ పోర్ట్ వన్ కోసం కొన్ని అంగుళాల ముందుకు సాగడంతో మందుగుండు సామగ్రికి ఎక్కువ స్థలం ఇవ్వడానికి. నాలుగు తేలికపాటి బాంబులను కూడా తీసుకెళ్లవచ్చు. [10] మొదటి నమూనా 27 ఏప్రిల్ 1918 న బ్రూక్లాండ్స్ ఏరోడ్రోమ్ వద్ద విమాన పరీక్షలను ప్రారంభించింది మరియు మే 9 న మూల్యాంకనం కోసం ఫ్రాన్స్‌కు పంపబడింది. [11] మే 19 న జరిగిన ప్రమాదంలో ఇది ధ్వంసమైంది, 65 వ స్క్వాడ్రన్ చేత ఎగురవేయబడింది, పైలట్ మరొక క్రాష్‌కు స్పందించే ఏరోడ్రోమ్‌ను దాటకుండా ఉండాల్సి వచ్చింది. [12] సాలమండర్ సాధారణంగా గ్రౌండ్-అటాక్ పాత్రలో ఆశాజనకంగా పరిగణించబడుతుండగా, పార్శ్వ నియంత్రణ పేలవంగా గుర్తించబడింది. [12] ఈ సమస్యలను సరిదిద్దడానికి, సాలమండర్ స్నిప్ వలె తోక మరియు ఐలెరాన్‌లకు అదే మార్పులకు గురైంది. [13] ఉత్పత్తి చాలా పెద్ద ఎత్తున ఉండటానికి ఉద్దేశించబడింది - జూన్ 18 న 500 విమానాల కోసం ప్రారంభ ఉత్తర్వును సోప్విత్‌తో ఉంచారు, తరువాత వోల్సేలీ మోటార్స్, ఎయిర్ నావిగేషన్ కో, గ్లెన్‌డవర్ ఎయిర్‌క్రాఫ్ట్, పల్లాడియం మోటార్స్ మరియు నేషనల్ ఎయిర్‌క్రాఫ్ట్ ఫ్యాక్టరీ సంఖ్యతో అదనపు ఆర్డర్లు జరిగాయి . 1. మొత్తం 1,400 సాలమండర్లను ఆదేశించారు. [14] అయినప్పటికీ, కవచ పలకను ఉత్పత్తి చేసే సమస్యల ద్వారా ఉత్పత్తి మందగించింది, ఇది గట్టిపడే ప్రక్రియలో వక్రీకరణకు గురవుతుంది, [12] మరియు BR.2 ఇంజిన్ కొరత. [15] [15] [NB 1] అక్టోబర్ 1918 చివరి నాటికి 37 మాత్రమే సాలమండర్లు RAF ఛార్జ్‌లో ఉన్నారు, మరియు వీటిలో రెండు ఫ్రాన్స్‌లో ఉన్నాయి. [17] మొట్టమొదటి సాలమండర్-అమర్చిన స్క్వాడ్రన్, 157 స్క్వాడ్రన్, నవంబర్ 21 న 24 విమానాలతో ఫ్రాన్స్‌కు బయలుదేరాల్సి ఉంది, యునైటెడ్ కింగ్‌డమ్‌లో ఏర్పడే ప్రక్రియలో ఎక్కువ స్క్వాడ్రన్‌లు ఉన్నాయి. [18] యుద్ధ విరమణతో, స్పెషలిస్ట్ క్లోజ్ సపోర్ట్ విమానాల యొక్క తక్షణ అవసరం ఆవిరైపోయింది, మరియు 157 స్క్వాడ్రన్ త్వరగా రద్దు చేయబడింది. [19] యుద్ధ విరమణ తరువాత చాలా నెలలు ఉత్పత్తి కొనసాగింది, కనీసం 497 పూర్తయింది. [20] 70 సాలమండర్లు సాలమండర్ యొక్క బలమైన రెక్కలకు బదులుగా సోప్విత్ స్నిప్ రెక్కలతో అమర్చబడిందని, విమానాన్ని అసురక్షితంగా మార్చారని, [20] సాయుధ విభాగం ఆకస్మిక వక్రీకరణకు లోబడి, ఎయిర్ఫ్రేమ్‌ను తప్పుగా మార్చినట్లు మరియు మళ్ళీ విమానం ప్రమాదకరంగా మారుస్తుందని యుద్ధాన్వార్ కనుగొనబడింది. . [[ 1919 లో సాలమండర్ వివిధ రకాల విఘాతకరమైన మభ్యపెట్టే ప్రయత్నాలలో ఉపయోగించబడింది, అయితే కొంతమంది సాలమండర్లు 1922 లో ఈజిప్టులోని హెలియోపోలిస్ వద్ద ఇప్పటికీ వాడుకలో ఉన్నారు. ఒక ఉదాహరణ అమెరికాకు వెళ్ళింది, మరియు 1926 లో మెక్‌కూక్ ఫీల్డ్‌లో ఉనికిలో ఉంది. [22] బ్రిటిష్ విమానాల నుండి డేటా 1914–18 [24] సాధారణ లక్షణాలు పనితీరు ఆయుధ సంబంధిత అభివృద్ధి అభివృద్ధి విమానం పోల్చదగిన పాత్ర, కాన్ఫిగరేషన్ మరియు ERA సంబంధిత జాబితాలు</v>
      </c>
      <c r="E188" s="1" t="s">
        <v>2987</v>
      </c>
      <c r="F188" s="1" t="str">
        <f>IFERROR(__xludf.DUMMYFUNCTION("GOOGLETRANSLATE(E:E, ""en"", ""te"")"),"గ్రౌండ్ అటాక్")</f>
        <v>గ్రౌండ్ అటాక్</v>
      </c>
      <c r="I188" s="1" t="s">
        <v>2988</v>
      </c>
      <c r="J188" s="1" t="str">
        <f>IFERROR(__xludf.DUMMYFUNCTION("GOOGLETRANSLATE(I:I, ""en"", ""te"")"),"సోప్విత్")</f>
        <v>సోప్విత్</v>
      </c>
      <c r="K188" s="2" t="s">
        <v>2989</v>
      </c>
      <c r="N188" s="3">
        <v>6692.0</v>
      </c>
      <c r="O188" s="1">
        <v>1.0</v>
      </c>
      <c r="P188" s="1" t="s">
        <v>2990</v>
      </c>
      <c r="Q188" s="1" t="s">
        <v>2991</v>
      </c>
      <c r="R188" s="1" t="s">
        <v>2992</v>
      </c>
      <c r="S188" s="1" t="s">
        <v>2993</v>
      </c>
      <c r="T188" s="1" t="s">
        <v>2994</v>
      </c>
      <c r="U188" s="1" t="s">
        <v>2995</v>
      </c>
      <c r="V188" s="1" t="s">
        <v>2996</v>
      </c>
      <c r="W188" s="1" t="s">
        <v>2997</v>
      </c>
      <c r="Y188" s="1" t="s">
        <v>2197</v>
      </c>
      <c r="AA188" s="1" t="s">
        <v>2998</v>
      </c>
      <c r="AE188" s="1" t="s">
        <v>2999</v>
      </c>
      <c r="AF188" s="1" t="s">
        <v>294</v>
      </c>
      <c r="AJ188" s="1">
        <v>210.0</v>
      </c>
      <c r="AP188" s="1" t="s">
        <v>3000</v>
      </c>
      <c r="AQ188" s="1" t="s">
        <v>3001</v>
      </c>
      <c r="AX188" s="1" t="s">
        <v>3002</v>
      </c>
      <c r="BF188" s="1" t="s">
        <v>3003</v>
      </c>
      <c r="BG188" s="1" t="s">
        <v>3004</v>
      </c>
      <c r="BN188" s="1">
        <v>1918.0</v>
      </c>
      <c r="BP188" s="1" t="s">
        <v>3005</v>
      </c>
      <c r="CC188" s="1" t="s">
        <v>3006</v>
      </c>
      <c r="CH188" s="1" t="s">
        <v>3007</v>
      </c>
      <c r="DJ188" s="1" t="s">
        <v>3008</v>
      </c>
    </row>
    <row r="189">
      <c r="A189" s="1" t="s">
        <v>3009</v>
      </c>
      <c r="B189" s="1" t="str">
        <f>IFERROR(__xludf.DUMMYFUNCTION("GOOGLETRANSLATE(A:A, ""en"", ""te"")"),"వాకర్‌జెట్ స్కూల్బాయ్")</f>
        <v>వాకర్‌జెట్ స్కూల్బాయ్</v>
      </c>
      <c r="C189" s="1" t="s">
        <v>3010</v>
      </c>
      <c r="D189" s="1" t="str">
        <f>IFERROR(__xludf.DUMMYFUNCTION("GOOGLETRANSLATE(C:C, ""en"", ""te"")"),"వాకర్జెట్ స్కూల్బాయ్ ఒక చెక్ పారామోటర్, దీనిని విక్టర్ ప్రోచాజ్కా రూపొందించారు మరియు శక్తితో కూడిన పారాగ్లైడింగ్ కోసం టెమోనాకు చెందిన వాకర్జెట్ నిర్మించారు. ఇప్పుడు ఉత్పత్తిలో లేదు, ఇది అందుబాటులో ఉన్నప్పుడు విమానం పూర్తి మరియు సిద్ధంగా ఉండటానికి సిద్ధంగా"&amp;" ఉంది. [1] యుఎస్ ఫార్ 103 అల్ట్రాలైట్ వెహికల్స్ నిబంధనలతో పాటు యూరోపియన్ నిబంధనలకు అనుగుణంగా పాఠశాల విద్యార్థిని శిక్షకుడిగా రూపొందించారు. ఇది పారాగ్లైడర్-స్టైల్ వింగ్, రెండు-ప్రదేశాల వసతి మరియు రిడక్షన్ డ్రైవ్ మరియు స్థిర పిచ్ రెండు-బ్లేడెడ్ చెక్క ప్రొపె"&amp;"ల్లర్‌తో పషర్ కాన్ఫిగరేషన్‌లో ఒకే ఇంజిన్ కలిగి ఉంది. ఈ విమానం బోల్టెడ్ అల్యూమినియం మరియు 4130 స్టీల్ గొట్టాల కలయిక నుండి నిర్మించబడింది మరియు దాని రీన్ఫోర్స్డ్ చట్రం కోసం ప్రసిద్ది చెందింది. భూమి రవాణా లేదా నిల్వ కోసం ప్రొపెల్లర్ కేజ్‌ను కూల్చివేయవచ్చు. ["&amp;"1]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f>
        <v>వాకర్జెట్ స్కూల్బాయ్ ఒక చెక్ పారామోటర్, దీనిని విక్టర్ ప్రోచాజ్కా రూపొందించారు మరియు శక్తితో కూడిన పారాగ్లైడింగ్ కోసం టెమోనాకు చెందిన వాకర్జెట్ నిర్మించారు. ఇప్పుడు ఉత్పత్తిలో లేదు, ఇది అందుబాటులో ఉన్నప్పుడు విమానం పూర్తి మరియు సిద్ధంగా ఉండటానికి సిద్ధంగా ఉంది. [1] యుఎస్ ఫార్ 103 అల్ట్రాలైట్ వెహికల్స్ నిబంధనలతో పాటు యూరోపియన్ నిబంధనలకు అనుగుణంగా పాఠశాల విద్యార్థిని శిక్షకుడిగా రూపొందించారు. ఇది పారాగ్లైడర్-స్టైల్ వింగ్, రెండు-ప్రదేశాల వసతి మరియు రిడక్షన్ డ్రైవ్ మరియు స్థిర పిచ్ రెండు-బ్లేడెడ్ చెక్క ప్రొపెల్లర్‌తో పషర్ కాన్ఫిగరేషన్‌లో ఒకే ఇంజిన్ కలిగి ఉంది. ఈ విమానం బోల్టెడ్ అల్యూమినియం మరియు 4130 స్టీల్ గొట్టాల కలయిక నుండి నిర్మించబడింది మరియు దాని రీన్ఫోర్స్డ్ చట్రం కోసం ప్రసిద్ది చెందింది. భూమి రవాణా లేదా నిల్వ కోసం ప్రొపెల్లర్ కేజ్‌ను కూల్చివేయవచ్చు.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189" s="1" t="s">
        <v>756</v>
      </c>
      <c r="F189" s="1" t="str">
        <f>IFERROR(__xludf.DUMMYFUNCTION("GOOGLETRANSLATE(E:E, ""en"", ""te"")"),"పారామోటర్")</f>
        <v>పారామోటర్</v>
      </c>
      <c r="G189" s="1" t="s">
        <v>568</v>
      </c>
      <c r="H189" s="1" t="str">
        <f>IFERROR(__xludf.DUMMYFUNCTION("GOOGLETRANSLATE(G:G, ""en"", ""te"")"),"చెక్ రిపబ్లిక్")</f>
        <v>చెక్ రిపబ్లిక్</v>
      </c>
      <c r="I189" s="1" t="s">
        <v>3011</v>
      </c>
      <c r="J189" s="1" t="str">
        <f>IFERROR(__xludf.DUMMYFUNCTION("GOOGLETRANSLATE(I:I, ""en"", ""te"")"),"వాకర్‌జెట్")</f>
        <v>వాకర్‌జెట్</v>
      </c>
      <c r="K189" s="2" t="s">
        <v>3012</v>
      </c>
      <c r="L189" s="1" t="s">
        <v>3013</v>
      </c>
      <c r="O189" s="1" t="s">
        <v>135</v>
      </c>
      <c r="V189" s="1" t="s">
        <v>3014</v>
      </c>
      <c r="AB189" s="2" t="s">
        <v>762</v>
      </c>
      <c r="AC189" s="1" t="s">
        <v>580</v>
      </c>
      <c r="AD189" s="1" t="s">
        <v>581</v>
      </c>
      <c r="AF189" s="1" t="s">
        <v>1204</v>
      </c>
      <c r="AK189" s="1" t="s">
        <v>195</v>
      </c>
      <c r="BN189" s="1" t="s">
        <v>3015</v>
      </c>
    </row>
    <row r="190">
      <c r="A190" s="1" t="s">
        <v>3016</v>
      </c>
      <c r="B190" s="1" t="str">
        <f>IFERROR(__xludf.DUMMYFUNCTION("GOOGLETRANSLATE(A:A, ""en"", ""te"")"),"గాలులు ఇటాలియా రావెన్")</f>
        <v>గాలులు ఇటాలియా రావెన్</v>
      </c>
      <c r="C190" s="1" t="s">
        <v>3017</v>
      </c>
      <c r="D190" s="1" t="str">
        <f>IFERROR(__xludf.DUMMYFUNCTION("GOOGLETRANSLATE(C:C, ""en"", ""te"")"),"విండ్స్ ఇటాలియా రావెన్ ఒక ఇటాలియన్ పవర్డ్ హాంగ్ గ్లైడర్, దీనిని ఛాంపియన్ హాంగ్ గ్లైడర్ పైలట్ రాండి హనీ రూపొందించారు మరియు అతని కంపెనీ విండ్స్ ఇటాలియా బోలోగ్నా చేత నిర్మించబడింది. ఇప్పుడు ఉత్పత్తిలో లేదు, ఇది అందుబాటులో ఉన్నప్పుడు విమానం పూర్తి మరియు సిద్ధ"&amp;"ంగా ఉండటానికి సిద్ధంగా ఉంది. [1] రావెన్‌లో కేబుల్-బ్రెస్డ్ హాంగ్ గ్లైడర్-స్టైల్ హై-వింగ్, వెయిట్-షిఫ్ట్ కంట్రోల్స్, సింగిల్-ప్లేస్ వసతి, ఫుట్-లాంచింగ్ మరియు ల్యాండింగ్ మరియు పషర్ కాన్ఫిగరేషన్‌లో ఒకే ఇంజిన్ ఉన్నాయి. [1] ఈ విమానం ప్రామాణిక హాంగ్ గ్లైడర్ విం"&amp;"గ్‌ను ఉపయోగిస్తుంది, ఇది బోల్ట్-టుగేథర్ అల్యూమినియం గొట్టాలతో తయారు చేయబడింది, దాని సింగిల్ ఉపరితల వింగ్ డాక్రాన్ సెయిల్‌క్లాత్‌లో కప్పబడి ఉంటుంది. రెక్కకు ఒకే ట్యూబ్-రకం కింగ్‌పోస్ట్ మద్దతు ఇస్తుంది మరియు ""ఎ"" ఫ్రేమ్ కంట్రోల్ బార్‌ను ఉపయోగిస్తుంది. ఇంజి"&amp;"న్ అనేది రెండు-స్ట్రోక్, సింగిల్ సిలిండర్ రాడ్నే రాకెట్, 15 హెచ్‌పి (11 కిలోవాట్ల) లో 120 132 సెం.మీ (52 అంగుళాలు) వ్యాసం కలిగిన ప్రొపెల్లర్‌ను 3.54: 1 తగ్గింపు డ్రైవ్ ద్వారా శక్తివంతం చేస్తుంది. జీను ఇంజిన్ మరియు 5 లీటర్లు (1.1 ఇంప్ గల్; 1.3 యుఎస్ గాల్) "&amp;"ఇంధన ట్యాంక్‌ను మౌంట్ చేస్తుంది. టేకాఫ్ మరియు ల్యాండింగ్ సమయంలో ప్రొపెల్లర్‌ను రక్షించడానికి ద్వంద్వ ముడుచుకునే చిన్న చక్రాలు అందించబడతాయి. ఎలక్ట్రిక్ ప్రారంభం మరియు మడత ప్రొపెల్లర్ ప్రామాణిక లక్షణాలు. [1] బెర్ట్రాండ్ నుండి డేటా [1] సాధారణ లక్షణాలు")</f>
        <v>విండ్స్ ఇటాలియా రావెన్ ఒక ఇటాలియన్ పవర్డ్ హాంగ్ గ్లైడర్, దీనిని ఛాంపియన్ హాంగ్ గ్లైడర్ పైలట్ రాండి హనీ రూపొందించారు మరియు అతని కంపెనీ విండ్స్ ఇటాలియా బోలోగ్నా చేత నిర్మించబడింది. ఇప్పుడు ఉత్పత్తిలో లేదు, ఇది అందుబాటులో ఉన్నప్పుడు విమానం పూర్తి మరియు సిద్ధంగా ఉండటానికి సిద్ధంగా ఉంది. [1] రావెన్‌లో కేబుల్-బ్రెస్డ్ హాంగ్ గ్లైడర్-స్టైల్ హై-వింగ్, వెయిట్-షిఫ్ట్ కంట్రోల్స్, సింగిల్-ప్లేస్ వసతి, ఫుట్-లాంచింగ్ మరియు ల్యాండింగ్ మరియు పషర్ కాన్ఫిగరేషన్‌లో ఒకే ఇంజిన్ ఉన్నాయి. [1] ఈ విమానం ప్రామాణిక హాంగ్ గ్లైడర్ వింగ్‌ను ఉపయోగిస్తుంది, ఇది బోల్ట్-టుగేథర్ అల్యూమినియం గొట్టాలతో తయారు చేయబడింది, దాని సింగిల్ ఉపరితల వింగ్ డాక్రాన్ సెయిల్‌క్లాత్‌లో కప్పబడి ఉంటుంది. రెక్కకు ఒకే ట్యూబ్-రకం కింగ్‌పోస్ట్ మద్దతు ఇస్తుంది మరియు "ఎ" ఫ్రేమ్ కంట్రోల్ బార్‌ను ఉపయోగిస్తుంది. ఇంజిన్ అనేది రెండు-స్ట్రోక్, సింగిల్ సిలిండర్ రాడ్నే రాకెట్, 15 హెచ్‌పి (11 కిలోవాట్ల) లో 120 132 సెం.మీ (52 అంగుళాలు) వ్యాసం కలిగిన ప్రొపెల్లర్‌ను 3.54: 1 తగ్గింపు డ్రైవ్ ద్వారా శక్తివంతం చేస్తుంది. జీను ఇంజిన్ మరియు 5 లీటర్లు (1.1 ఇంప్ గల్; 1.3 యుఎస్ గాల్) ఇంధన ట్యాంక్‌ను మౌంట్ చేస్తుంది. టేకాఫ్ మరియు ల్యాండింగ్ సమయంలో ప్రొపెల్లర్‌ను రక్షించడానికి ద్వంద్వ ముడుచుకునే చిన్న చక్రాలు అందించబడతాయి. ఎలక్ట్రిక్ ప్రారంభం మరియు మడత ప్రొపెల్లర్ ప్రామాణిక లక్షణాలు. [1] బెర్ట్రాండ్ నుండి డేటా [1] సాధారణ లక్షణాలు</v>
      </c>
      <c r="E190" s="1" t="s">
        <v>3018</v>
      </c>
      <c r="F190" s="1" t="str">
        <f>IFERROR(__xludf.DUMMYFUNCTION("GOOGLETRANSLATE(E:E, ""en"", ""te"")"),"శక్తితో కూడిన హాంగ్ గ్లైడర్")</f>
        <v>శక్తితో కూడిన హాంగ్ గ్లైడర్</v>
      </c>
      <c r="G190" s="1" t="s">
        <v>200</v>
      </c>
      <c r="H190" s="1" t="str">
        <f>IFERROR(__xludf.DUMMYFUNCTION("GOOGLETRANSLATE(G:G, ""en"", ""te"")"),"ఇటలీ")</f>
        <v>ఇటలీ</v>
      </c>
      <c r="I190" s="1" t="s">
        <v>3019</v>
      </c>
      <c r="J190" s="1" t="str">
        <f>IFERROR(__xludf.DUMMYFUNCTION("GOOGLETRANSLATE(I:I, ""en"", ""te"")"),"గాలులు ఇటాలియా")</f>
        <v>గాలులు ఇటాలియా</v>
      </c>
      <c r="K190" s="1" t="s">
        <v>3020</v>
      </c>
      <c r="L190" s="1" t="s">
        <v>3021</v>
      </c>
      <c r="O190" s="1" t="s">
        <v>135</v>
      </c>
      <c r="T190" s="1" t="s">
        <v>3022</v>
      </c>
      <c r="V190" s="1" t="s">
        <v>3023</v>
      </c>
      <c r="AB190" s="1" t="s">
        <v>3024</v>
      </c>
      <c r="AC190" s="2" t="s">
        <v>393</v>
      </c>
      <c r="AD190" s="1" t="s">
        <v>581</v>
      </c>
      <c r="AE190" s="1" t="s">
        <v>3025</v>
      </c>
      <c r="AF190" s="1" t="s">
        <v>3026</v>
      </c>
    </row>
    <row r="191">
      <c r="A191" s="1" t="s">
        <v>3027</v>
      </c>
      <c r="B191" s="1" t="str">
        <f>IFERROR(__xludf.DUMMYFUNCTION("GOOGLETRANSLATE(A:A, ""en"", ""te"")"),"ఏరో నార్డ్ ఎయిర్")</f>
        <v>ఏరో నార్డ్ ఎయిర్</v>
      </c>
      <c r="C191" s="1" t="s">
        <v>3028</v>
      </c>
      <c r="D191" s="1" t="str">
        <f>IFERROR(__xludf.DUMMYFUNCTION("GOOGLETRANSLATE(C:C, ""en"", ""te"")"),"ఏరో నార్డ్ ఎయిర్ సిరీస్ అనేది ఫ్రెంచ్ పారామోటర్ల కుటుంబం, దీనిని లార్గిస్ యొక్క ఏరో నార్డ్ మరియు తరువాత బెనిఫోంటైన్, శక్తితో కూడిన పారాగ్లైడింగ్ కోసం రూపొందించారు మరియు ఉత్పత్తి చేశారు. ఇప్పుడు ఉత్పత్తికి దూరంగా, ఇది అందుబాటులో ఉన్నప్పుడు విమానం పూర్తి మర"&amp;"ియు సిద్ధంగా ఉన్నవారికి సరఫరా చేయబడింది. [1] ఈ విమానం యుఎస్ ఫార్ 103 అల్ట్రాలైట్ వెహికల్స్ నిబంధనలతో పాటు యూరోపియన్ నిబంధనలను పాటించేలా రూపొందించబడింది. ఇది పారాగ్లైడర్-స్టైల్ వింగ్, సింగిల్-ప్లేస్ వసతి మరియు ఒకే 22 హెచ్‌పి (16 కిలోవాట్) ఆర్‌డిఎమ్ ఇంజిన్‌"&amp;"ను పషర్ కాన్ఫిగరేషన్‌లో 4: 1 నిష్పత్తి తగ్గింపు డ్రైవ్‌తో మరియు 100 నుండి 125 సెం.మీ (39 నుండి 49 అంగుళాలు) వ్యాసం కలిగిన రెండు-బ్లేడెడ్ కలిగి ఉంది. చెక్క ప్రొపెల్లర్. ఇంధన ట్యాంక్ సామర్థ్యం 9 లీటర్లు (2.0 ఇంప్ గల్; 2.4 యుఎస్ గాల్). అన్ని పారామోటర్ల మాదిర"&amp;"ిగానే, టేకాఫ్ మరియు ల్యాండింగ్ కాలినడకన సాధించబడుతుంది. [1] ఈ విమానం వెల్డెడ్ అల్యూమినియం ట్యూబింగ్ ప్రొపెల్లర్ కేజ్‌తో నిర్మించబడింది, దీనిని గ్రౌండ్ స్టోవేజ్ కోసం రెండు లేదా నాలుగు విభాగాలుగా విభజించవచ్చు. పందిరి బ్రేక్‌లను అమలు చేసే, రోల్ మరియు యావ్ సృ"&amp;"ష్టించే హ్యాండిల్స్ ద్వారా ఇన్ఫ్లైట్ స్టీరింగ్ సాధించబడుతుంది. [1] సమీక్షకుడు రెనే కూలన్ 2003 లో ""యంత్రం ఉత్పత్తిలో మార్కెట్ మరియు నైపుణ్యం గురించి మంచి అవగాహన చూపిస్తుంది"" మరియు ఈ సిరీస్ ""గణనీయమైన దృష్టిని"" ఆకర్షించిందని గుర్తించారు. [1] బెర్ట్రాండ్ "&amp;"నుండి డేటా [1] సాధారణ లక్షణాలు")</f>
        <v>ఏరో నార్డ్ ఎయిర్ సిరీస్ అనేది ఫ్రెంచ్ పారామోటర్ల కుటుంబం, దీనిని లార్గిస్ యొక్క ఏరో నార్డ్ మరియు తరువాత బెనిఫోంటైన్, శక్తితో కూడిన పారాగ్లైడింగ్ కోసం రూపొందించారు మరియు ఉత్పత్తి చేశారు. ఇప్పుడు ఉత్పత్తికి దూరంగా, ఇది అందుబాటులో ఉన్నప్పుడు విమానం పూర్తి మరియు సిద్ధంగా ఉన్నవారికి సరఫరా చేయబడింది. [1] ఈ విమానం యుఎస్ ఫార్ 103 అల్ట్రాలైట్ వెహికల్స్ నిబంధనలతో పాటు యూరోపియన్ నిబంధనలను పాటించేలా రూపొందించబడింది. ఇది పారాగ్లైడర్-స్టైల్ వింగ్, సింగిల్-ప్లేస్ వసతి మరియు ఒకే 22 హెచ్‌పి (16 కిలోవాట్) ఆర్‌డిఎమ్ ఇంజిన్‌ను పషర్ కాన్ఫిగరేషన్‌లో 4: 1 నిష్పత్తి తగ్గింపు డ్రైవ్‌తో మరియు 100 నుండి 125 సెం.మీ (39 నుండి 49 అంగుళాలు) వ్యాసం కలిగిన రెండు-బ్లేడెడ్ కలిగి ఉంది. చెక్క ప్రొపెల్లర్. ఇంధన ట్యాంక్ సామర్థ్యం 9 లీటర్లు (2.0 ఇంప్ గల్; 2.4 యుఎస్ గాల్). అన్ని పారామోటర్ల మాదిరిగానే, టేకాఫ్ మరియు ల్యాండింగ్ కాలినడకన సాధించబడుతుంది. [1] ఈ విమానం వెల్డెడ్ అల్యూమినియం ట్యూబింగ్ ప్రొపెల్లర్ కేజ్‌తో నిర్మించబడింది, దీనిని గ్రౌండ్ స్టోవేజ్ కోసం రెండు లేదా నాలుగు విభాగాలుగా విభజించవచ్చు. పందిరి బ్రేక్‌లను అమలు చేసే, రోల్ మరియు యావ్ సృష్టించే హ్యాండిల్స్ ద్వారా ఇన్ఫ్లైట్ స్టీరింగ్ సాధించబడుతుంది. [1] సమీక్షకుడు రెనే కూలన్ 2003 లో "యంత్రం ఉత్పత్తిలో మార్కెట్ మరియు నైపుణ్యం గురించి మంచి అవగాహన చూపిస్తుంది" మరియు ఈ సిరీస్ "గణనీయమైన దృష్టిని" ఆకర్షించిందని గుర్తించారు. [1] బెర్ట్రాండ్ నుండి డేటా [1] సాధారణ లక్షణాలు</v>
      </c>
      <c r="E191" s="1" t="s">
        <v>756</v>
      </c>
      <c r="F191" s="1" t="str">
        <f>IFERROR(__xludf.DUMMYFUNCTION("GOOGLETRANSLATE(E:E, ""en"", ""te"")"),"పారామోటర్")</f>
        <v>పారామోటర్</v>
      </c>
      <c r="G191" s="1" t="s">
        <v>113</v>
      </c>
      <c r="H191" s="1" t="str">
        <f>IFERROR(__xludf.DUMMYFUNCTION("GOOGLETRANSLATE(G:G, ""en"", ""te"")"),"ఫ్రాన్స్")</f>
        <v>ఫ్రాన్స్</v>
      </c>
      <c r="I191" s="1" t="s">
        <v>3029</v>
      </c>
      <c r="J191" s="1" t="str">
        <f>IFERROR(__xludf.DUMMYFUNCTION("GOOGLETRANSLATE(I:I, ""en"", ""te"")"),"ఏరో నార్డ్ ఉల్మ్")</f>
        <v>ఏరో నార్డ్ ఉల్మ్</v>
      </c>
      <c r="K191" s="1" t="s">
        <v>3030</v>
      </c>
      <c r="O191" s="1" t="s">
        <v>135</v>
      </c>
      <c r="T191" s="1" t="s">
        <v>3031</v>
      </c>
      <c r="V191" s="1" t="s">
        <v>3032</v>
      </c>
      <c r="AB191" s="2" t="s">
        <v>762</v>
      </c>
      <c r="AC191" s="2" t="s">
        <v>713</v>
      </c>
      <c r="AD191" s="1" t="s">
        <v>581</v>
      </c>
      <c r="AE191" s="1" t="s">
        <v>764</v>
      </c>
      <c r="AR191" s="1" t="s">
        <v>253</v>
      </c>
    </row>
    <row r="192">
      <c r="A192" s="1" t="s">
        <v>3033</v>
      </c>
      <c r="B192" s="1" t="str">
        <f>IFERROR(__xludf.DUMMYFUNCTION("GOOGLETRANSLATE(A:A, ""en"", ""te"")"),"బోట్నర్ ఈజీ ప్లేన్")</f>
        <v>బోట్నర్ ఈజీ ప్లేన్</v>
      </c>
      <c r="C192" s="1" t="s">
        <v>3034</v>
      </c>
      <c r="D192" s="1" t="str">
        <f>IFERROR(__xludf.DUMMYFUNCTION("GOOGLETRANSLATE(C:C, ""en"", ""te"")"),"బాట్నర్ ఈజీ ప్లేన్ ఒక జర్మన్ పారామోటర్, దీనిని జెరాల్డ్ బాట్నర్ రూపొందించారు మరియు శక్తితో కూడిన పారాగ్లైడింగ్ కోసం ఒబెర్న్‌కిర్చెన్‌కు చెందిన బోట్నర్ ప్రొపెల్లర్ నిర్మించారు. ఇప్పుడు ఉత్పత్తిలో లేదు, ఇది అందుబాటులో ఉన్నప్పుడు విమానం పూర్తి మరియు సిద్ధంగా"&amp;" ఉండటానికి సిద్ధంగా ఉంది. [1] ఈ సులభమైన విమానం యుఎస్ ఫార్ 103 అల్ట్రాలైట్ వెహికల్స్ నిబంధనలతో పాటు యూరోపియన్ నిబంధనలను పాటించేలా రూపొందించబడింది. ఇది పారాగ్లైడర్-స్టైల్ వింగ్, సింగిల్-ప్లేస్ వసతి మరియు ఒకే 20 హెచ్‌పి (15 కిలోవాట్ల) సోలో ఇంజిన్‌ను పషర్ కాన"&amp;"్ఫిగరేషన్‌లో 2.85: 1 నిష్పత్తి తగ్గింపు డ్రైవ్ మరియు 115 సెం.మీ (45 అంగుళాలు) వ్యాసం కలిగిన బోట్నర్ ప్రొపెల్లర్-డిజైన్ ప్రొపెల్లర్‌తో కలిగి ఉంది. ఇంధన సామర్థ్యం 5 లీటర్లు (1.1 ఇంప్ గల్; 1.3 యుఎస్ గాల్), 10 లీటర్లు (2.2 ఇంప్ గల్; 2.6 యుఎస్ గాల్) ట్యాంక్ ఎం"&amp;"పికతో.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f>
        <v>బాట్నర్ ఈజీ ప్లేన్ ఒక జర్మన్ పారామోటర్, దీనిని జెరాల్డ్ బాట్నర్ రూపొందించారు మరియు శక్తితో కూడిన పారాగ్లైడింగ్ కోసం ఒబెర్న్‌కిర్చెన్‌కు చెందిన బోట్నర్ ప్రొపెల్లర్ నిర్మించారు. ఇప్పుడు ఉత్పత్తిలో లేదు, ఇది అందుబాటులో ఉన్నప్పుడు విమానం పూర్తి మరియు సిద్ధంగా ఉండటానికి సిద్ధంగా ఉంది. [1] ఈ సులభమైన విమానం యుఎస్ ఫార్ 103 అల్ట్రాలైట్ వెహికల్స్ నిబంధనలతో పాటు యూరోపియన్ నిబంధనలను పాటించేలా రూపొందించబడింది. ఇది పారాగ్లైడర్-స్టైల్ వింగ్, సింగిల్-ప్లేస్ వసతి మరియు ఒకే 20 హెచ్‌పి (15 కిలోవాట్ల) సోలో ఇంజిన్‌ను పషర్ కాన్ఫిగరేషన్‌లో 2.85: 1 నిష్పత్తి తగ్గింపు డ్రైవ్ మరియు 115 సెం.మీ (45 అంగుళాలు) వ్యాసం కలిగిన బోట్నర్ ప్రొపెల్లర్-డిజైన్ ప్రొపెల్లర్‌తో కలిగి ఉంది. ఇంధన సామర్థ్యం 5 లీటర్లు (1.1 ఇంప్ గల్; 1.3 యుఎస్ గాల్), 10 లీటర్లు (2.2 ఇంప్ గల్; 2.6 యుఎస్ గాల్) ట్యాంక్ ఎంపికతో.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192" s="1" t="s">
        <v>756</v>
      </c>
      <c r="F192" s="1" t="str">
        <f>IFERROR(__xludf.DUMMYFUNCTION("GOOGLETRANSLATE(E:E, ""en"", ""te"")"),"పారామోటర్")</f>
        <v>పారామోటర్</v>
      </c>
      <c r="G192" s="1" t="s">
        <v>133</v>
      </c>
      <c r="H192" s="1" t="str">
        <f>IFERROR(__xludf.DUMMYFUNCTION("GOOGLETRANSLATE(G:G, ""en"", ""te"")"),"జర్మనీ")</f>
        <v>జర్మనీ</v>
      </c>
      <c r="I192" s="1" t="s">
        <v>3035</v>
      </c>
      <c r="J192" s="1" t="str">
        <f>IFERROR(__xludf.DUMMYFUNCTION("GOOGLETRANSLATE(I:I, ""en"", ""te"")"),"బాట్నర్ ప్రొపెల్లర్")</f>
        <v>బాట్నర్ ప్రొపెల్లర్</v>
      </c>
      <c r="K192" s="1" t="s">
        <v>3036</v>
      </c>
      <c r="L192" s="1" t="s">
        <v>3037</v>
      </c>
      <c r="O192" s="1" t="s">
        <v>135</v>
      </c>
      <c r="T192" s="1" t="s">
        <v>3038</v>
      </c>
      <c r="V192" s="1" t="s">
        <v>3039</v>
      </c>
      <c r="AB192" s="2" t="s">
        <v>762</v>
      </c>
      <c r="AC192" s="2" t="s">
        <v>145</v>
      </c>
      <c r="AD192" s="1" t="s">
        <v>581</v>
      </c>
      <c r="AE192" s="1" t="s">
        <v>3040</v>
      </c>
      <c r="AF192" s="1" t="s">
        <v>3041</v>
      </c>
    </row>
    <row r="193">
      <c r="A193" s="1" t="s">
        <v>3042</v>
      </c>
      <c r="B193" s="1" t="str">
        <f>IFERROR(__xludf.DUMMYFUNCTION("GOOGLETRANSLATE(A:A, ""en"", ""te"")"),"బై ఏరోస్పేస్ ఎఫ్లైయర్ 2")</f>
        <v>బై ఏరోస్పేస్ ఎఫ్లైయర్ 2</v>
      </c>
      <c r="C193" s="1" t="s">
        <v>3043</v>
      </c>
      <c r="D193" s="1" t="str">
        <f>IFERROR(__xludf.DUMMYFUNCTION("GOOGLETRANSLATE(C:C, ""en"", ""te"")"),"బై ఏరోస్పేస్ ఎఫ్లైయర్ 2 (గతంలో సన్ ఫ్లైయర్ 2) [1] అనేది కొలరాడోలోని డెన్వర్ యొక్క బై ఏరోస్పేస్ చేత రూపొందించిన మరియు అభివృద్ధి చెందుతున్న తేలికపాటి ఎలక్ట్రిక్ విమానం. ఈ విమానం మొట్టమొదట 11 మే 2016 న బహిరంగంగా ప్రవేశపెట్టబడింది మరియు మొదట 10 ఏప్రిల్ 2018 న"&amp;" ప్రయాణించింది. ఈ రెండు సీట్లు విమాన శిక్షణా మార్కెట్ కోసం లిథియం-అయాన్ బ్యాటరీలతో నడిచే సింగిల్ ట్రాక్టర్ ఎలక్ట్రిక్ మోటారుతో రూపొందించబడ్డాయి. ఈ డిజైన్‌ను మొదట బై ఏరోస్పేస్ అనుబంధ సంస్థ ఏరో ఎలక్ట్రిక్ ఎయిర్‌క్రాఫ్ట్ కార్పొరేషన్ (AEAC) అభివృద్ధి చేసింది."&amp;" [2] [3] టేనస్సీలోని షెల్బీవిల్లే యొక్క అరియన్ విమానం ప్రూఫ్-ఆఫ్-కాన్సెప్ట్ ప్రోటోటైప్ [4] ను నిర్మించింది మరియు దానిని మార్చి 2016 లో పంపిణీ చేసింది. [5] 11 మే 2016 న కొలరాడోలోని సెంటెనియల్ విమానాశ్రయంలో ఎఫ్లైయర్ 2 మొదట బహిరంగంగా ప్రవేశపెట్టబడింది. [3] ప"&amp;"్రోటోటైప్‌లో గ్రౌండ్ మరియు టాక్సీ పరీక్షలు నవంబర్ 2016 లో ప్రారంభించబడ్డాయి. [6] బై ఏరోస్పేస్ సన్ ఫ్లైయర్ 4 అని పిలువబడే నాలుగు-సీట్ల డెరివేటివ్ మోడల్ జూలై 2017 లో ప్రకటించబడింది. ఇది 800 ఎల్బి (360 కిలోల) పేలోడ్‌తో ఒక రోజు/రాత్రి IFR విమానం అవుతుంది, ఇది"&amp;" 150 kN (280 km/h) సామర్థ్యం కలిగి ఉంటుంది గరిష్ట క్రూయిజ్ వేగం మరియు 4.2 గంటల ఓర్పు. [7] [8] ఎఫ్లైయర్ 2 మొదట 10 ఏప్రిల్ 2018 న ఎగిరింది. [9] [10] AEAC మరియు BYE ఏరోస్పేస్ 2018 లో విలీనం అయ్యాయి మరియు బై ఏరోస్పేస్ ఈ ప్రాజెక్టును స్వాధీనం చేసుకుంది. [11] న"&amp;"ాలుగు-సీట్ల అభివృద్ధి చిన్న ఎఫ్లైయర్ 2 పూర్తి చేయడాన్ని అనుసరించాలి, దీని ధృవీకరణకు US $ 25 మిలియన్లు ఖర్చవుతాయి. అక్టోబర్ 2018 నాటికి బై రెండు మోడళ్ల కోసం 220 ఆర్డర్‌లను అందుకుంది. [12] జనవరి 2019 నాటికి, సుబారు మరియు ఎస్బిఐ పెట్టుబడి ఎఫ్లైయర్ 2 ధృవీకరణన"&amp;"ు ముందుకు తీసుకురావడానికి బై ఏరోస్పేస్‌లో పెట్టుబడి పెట్టారు. [13] 8 ఫిబ్రవరి 2019 న, ఎఫ్లైయర్ 2 దాని ఉద్దేశించిన ఉత్పత్తి కాన్ఫిగరేషన్‌లో మొదటిసారిగా ఎగిరింది, సిమెన్స్ SP70D ఎలక్ట్రిక్ మోటారుతో సహా. [14] FAA పార్ట్ 23 ధృవీకరణ 2020 లో ప్రణాళిక చేయబడింది,"&amp;" [15] సిమెన్స్ క్రియాశీల భాగాన్ని తీసుకుంటుంది. [16] నవంబర్ 2020 లో మోటారు సరఫరాదారు బదులుగా సఫ్రాన్ అని ప్రకటించారు. [17] AOPA కి ఒక ఇమెయిల్‌లో, జార్జ్ బై మార్పుకు కారణాన్ని సూచించాడు, బై ఏరోస్పేస్ “… పరస్పర వాణిజ్య ప్రతిపాదనను చేరుకోలేకపోయింది…” సిమెన్స"&amp;"్/రోల్స్ రాయిస్‌తో. [18] జూలై 2021 లో ఎయిర్‌వెంచర్‌లో జార్జ్ బై ఆఫ్ బై ఏరోస్పేస్ 2022 చివరిలో లేదా 2023 ప్రారంభంలో EFLYER 2 ధృవీకరించబడుతుందని పేర్కొంది. ఈ విమానం ఫార్ 23 కింద ధృవీకరించబడటానికి ఉద్దేశించబడింది మరియు పూర్తి రెడీ-టు-ఫ్లై-ఎయిర్‌క్రాఫ్ట్‌గా స"&amp;"రఫరా చేయబడింది. [20] [2] ఇది ప్రత్యేకంగా విమాన శిక్షణా మార్కెట్ కోసం రూపొందించబడింది మరియు ఇది 3.5 గంటల వ్యవధిని కలిగి ఉంటుందని అంచనా. [2] [3] ఎఫ్లైయర్ 2 లో కాంటిలివర్ లో-వింగ్, బబుల్ పందిరి కింద రెండు-సీట్ల సైడ్-బై-సైడ్ కాన్ఫిగరేషన్ పరివేష్టిత కాక్‌పిట్,"&amp;" స్థిర ట్రైసైకిల్ ల్యాండింగ్ గేర్ మరియు ట్రాక్టర్ కాన్ఫిగరేషన్‌లో ఒకే ఎలక్ట్రిక్ మోటారు ఆరు లిథియం-అయాన్ బ్యాటరీ ప్యాక్‌ల వరకు ఆధారితమైనవి. [[2] [5] [3] [21] ఈ డిజైన్ స్థూల బరువు 1,900 పౌండ్లు (860 కిలోలు) [2] మరియు ఇది మిశ్రమ పదార్థం, ప్రధానంగా కార్బన్ ఫ"&amp;"ైబర్ నుండి తయారవుతుంది. కాక్‌పిట్ మోటారు, బ్యాటరీ మరియు విమాన వ్యవస్థలతో సహా కాక్‌పిట్ ఇన్స్ట్రుమెంటేషన్ డిస్ప్లే కోసం ఉపయోగించే ఐప్యాడ్‌ను ఉపయోగిస్తుంది. విమానం రెడ్‌బర్డ్ ఫ్లైట్ సిమ్యులేషన్స్ యొక్క సైడ్‌కిక్ సిస్టమ్‌తో కలుపుతుంది, ఇది విమానంలో ఉన్నప్పుడ"&amp;"ు నిజ సమయంలో ఎఫ్లైయర్ యొక్క మోటారు, విమాన సమయం, భౌతిక స్థానం మరియు వైఖరిని వైర్‌లెస్‌గా ట్రాక్ చేస్తుంది. [2] [5] గతంలో ఉపయోగించిన 57 ఎల్బి (26 కిలోల) సిమెన్స్ ఎస్పి 70 డి 90 కిలోవాట్ల (120 హెచ్‌పి) మరియు 70 కిలోవాట్ల (94 హెచ్‌పి) టేకాఫ్ రేటింగ్ కలిగి ఉంద"&amp;"ి. ఉటా-ఆధారిత ఎలక్ట్రిక్ పవర్ సిస్టమ్స్ బ్యాటరీ మాడ్యూల్స్, నిర్వహణ మరియు పంపిణీతో సహా 92-kWh శక్తి నిల్వను అందిస్తుంది. 138 kN (256 km/h) క్రూయిజ్ విమానం గంటకు నిర్వహణ ఖర్చులు పిస్టన్-శక్తితో కూడిన సెస్నా 172 లో ఆరవ వంతును కలిగి ఉంటుందని అంచనా. [15] నవంబ"&amp;"ర్ 2020 లో ప్రకటించిన సఫ్రాన్ మోటారు ఇంజిన్ 100 లైన్ నుండి ఉంటుంది. [22] ఫిబ్రవరి 2019 నాటికి, ఒక ఉదాహరణ, ప్రోటోటైప్, ఫెడరల్ ఏవియేషన్ అడ్మినిస్ట్రేషన్తో అమెరికాలో నమోదు చేయబడింది. [23] డిసెంబర్ 2018 నాటికి కంపెనీకి 220 డిపాజిట్లు ఉన్నాయి, ఎఫ్లైయర్ 2 మరియు"&amp;" ఎఫ్లైయర్ 4 మధ్య సమానంగా విభజించబడ్డాయి, [20] ఏప్రిల్ 2019 నాటికి 298 కు పెరుగుతున్నాయి. [16] డిసెంబర్ 2020 లో, కంపెనీకి 711 కొనుగోలు ఒప్పందాలు ఉన్నాయని కంపెనీ సూచించింది. [24] కింది సంస్థలు విమానాన్ని ఆదేశించాయి: AVWEB నుండి డేటా [2] సాధారణ లక్షణాలు పనిత"&amp;"ీరు సంబంధిత అభివృద్ధి విమానం పోల్చదగిన పాత్ర, కాన్ఫిగరేషన్ మరియు ERA సంబంధిత జాబితాలు")</f>
        <v>బై ఏరోస్పేస్ ఎఫ్లైయర్ 2 (గతంలో సన్ ఫ్లైయర్ 2) [1] అనేది కొలరాడోలోని డెన్వర్ యొక్క బై ఏరోస్పేస్ చేత రూపొందించిన మరియు అభివృద్ధి చెందుతున్న తేలికపాటి ఎలక్ట్రిక్ విమానం. ఈ విమానం మొట్టమొదట 11 మే 2016 న బహిరంగంగా ప్రవేశపెట్టబడింది మరియు మొదట 10 ఏప్రిల్ 2018 న ప్రయాణించింది. ఈ రెండు సీట్లు విమాన శిక్షణా మార్కెట్ కోసం లిథియం-అయాన్ బ్యాటరీలతో నడిచే సింగిల్ ట్రాక్టర్ ఎలక్ట్రిక్ మోటారుతో రూపొందించబడ్డాయి. ఈ డిజైన్‌ను మొదట బై ఏరోస్పేస్ అనుబంధ సంస్థ ఏరో ఎలక్ట్రిక్ ఎయిర్‌క్రాఫ్ట్ కార్పొరేషన్ (AEAC) అభివృద్ధి చేసింది. [2] [3] టేనస్సీలోని షెల్బీవిల్లే యొక్క అరియన్ విమానం ప్రూఫ్-ఆఫ్-కాన్సెప్ట్ ప్రోటోటైప్ [4] ను నిర్మించింది మరియు దానిని మార్చి 2016 లో పంపిణీ చేసింది. [5] 11 మే 2016 న కొలరాడోలోని సెంటెనియల్ విమానాశ్రయంలో ఎఫ్లైయర్ 2 మొదట బహిరంగంగా ప్రవేశపెట్టబడింది. [3] ప్రోటోటైప్‌లో గ్రౌండ్ మరియు టాక్సీ పరీక్షలు నవంబర్ 2016 లో ప్రారంభించబడ్డాయి. [6] బై ఏరోస్పేస్ సన్ ఫ్లైయర్ 4 అని పిలువబడే నాలుగు-సీట్ల డెరివేటివ్ మోడల్ జూలై 2017 లో ప్రకటించబడింది. ఇది 800 ఎల్బి (360 కిలోల) పేలోడ్‌తో ఒక రోజు/రాత్రి IFR విమానం అవుతుంది, ఇది 150 kN (280 km/h) సామర్థ్యం కలిగి ఉంటుంది గరిష్ట క్రూయిజ్ వేగం మరియు 4.2 గంటల ఓర్పు. [7] [8] ఎఫ్లైయర్ 2 మొదట 10 ఏప్రిల్ 2018 న ఎగిరింది. [9] [10] AEAC మరియు BYE ఏరోస్పేస్ 2018 లో విలీనం అయ్యాయి మరియు బై ఏరోస్పేస్ ఈ ప్రాజెక్టును స్వాధీనం చేసుకుంది. [11] నాలుగు-సీట్ల అభివృద్ధి చిన్న ఎఫ్లైయర్ 2 పూర్తి చేయడాన్ని అనుసరించాలి, దీని ధృవీకరణకు US $ 25 మిలియన్లు ఖర్చవుతాయి. అక్టోబర్ 2018 నాటికి బై రెండు మోడళ్ల కోసం 220 ఆర్డర్‌లను అందుకుంది. [12] జనవరి 2019 నాటికి, సుబారు మరియు ఎస్బిఐ పెట్టుబడి ఎఫ్లైయర్ 2 ధృవీకరణను ముందుకు తీసుకురావడానికి బై ఏరోస్పేస్‌లో పెట్టుబడి పెట్టారు. [13] 8 ఫిబ్రవరి 2019 న, ఎఫ్లైయర్ 2 దాని ఉద్దేశించిన ఉత్పత్తి కాన్ఫిగరేషన్‌లో మొదటిసారిగా ఎగిరింది, సిమెన్స్ SP70D ఎలక్ట్రిక్ మోటారుతో సహా. [14] FAA పార్ట్ 23 ధృవీకరణ 2020 లో ప్రణాళిక చేయబడింది, [15] సిమెన్స్ క్రియాశీల భాగాన్ని తీసుకుంటుంది. [16] నవంబర్ 2020 లో మోటారు సరఫరాదారు బదులుగా సఫ్రాన్ అని ప్రకటించారు. [17] AOPA కి ఒక ఇమెయిల్‌లో, జార్జ్ బై మార్పుకు కారణాన్ని సూచించాడు, బై ఏరోస్పేస్ “… పరస్పర వాణిజ్య ప్రతిపాదనను చేరుకోలేకపోయింది…” సిమెన్స్/రోల్స్ రాయిస్‌తో. [18] జూలై 2021 లో ఎయిర్‌వెంచర్‌లో జార్జ్ బై ఆఫ్ బై ఏరోస్పేస్ 2022 చివరిలో లేదా 2023 ప్రారంభంలో EFLYER 2 ధృవీకరించబడుతుందని పేర్కొంది. ఈ విమానం ఫార్ 23 కింద ధృవీకరించబడటానికి ఉద్దేశించబడింది మరియు పూర్తి రెడీ-టు-ఫ్లై-ఎయిర్‌క్రాఫ్ట్‌గా సరఫరా చేయబడింది. [20] [2] ఇది ప్రత్యేకంగా విమాన శిక్షణా మార్కెట్ కోసం రూపొందించబడింది మరియు ఇది 3.5 గంటల వ్యవధిని కలిగి ఉంటుందని అంచనా. [2] [3] ఎఫ్లైయర్ 2 లో కాంటిలివర్ లో-వింగ్, బబుల్ పందిరి కింద రెండు-సీట్ల సైడ్-బై-సైడ్ కాన్ఫిగరేషన్ పరివేష్టిత కాక్‌పిట్, స్థిర ట్రైసైకిల్ ల్యాండింగ్ గేర్ మరియు ట్రాక్టర్ కాన్ఫిగరేషన్‌లో ఒకే ఎలక్ట్రిక్ మోటారు ఆరు లిథియం-అయాన్ బ్యాటరీ ప్యాక్‌ల వరకు ఆధారితమైనవి. [[2] [5] [3] [21] ఈ డిజైన్ స్థూల బరువు 1,900 పౌండ్లు (860 కిలోలు) [2] మరియు ఇది మిశ్రమ పదార్థం, ప్రధానంగా కార్బన్ ఫైబర్ నుండి తయారవుతుంది. కాక్‌పిట్ మోటారు, బ్యాటరీ మరియు విమాన వ్యవస్థలతో సహా కాక్‌పిట్ ఇన్స్ట్రుమెంటేషన్ డిస్ప్లే కోసం ఉపయోగించే ఐప్యాడ్‌ను ఉపయోగిస్తుంది. విమానం రెడ్‌బర్డ్ ఫ్లైట్ సిమ్యులేషన్స్ యొక్క సైడ్‌కిక్ సిస్టమ్‌తో కలుపుతుంది, ఇది విమానంలో ఉన్నప్పుడు నిజ సమయంలో ఎఫ్లైయర్ యొక్క మోటారు, విమాన సమయం, భౌతిక స్థానం మరియు వైఖరిని వైర్‌లెస్‌గా ట్రాక్ చేస్తుంది. [2] [5] గతంలో ఉపయోగించిన 57 ఎల్బి (26 కిలోల) సిమెన్స్ ఎస్పి 70 డి 90 కిలోవాట్ల (120 హెచ్‌పి) మరియు 70 కిలోవాట్ల (94 హెచ్‌పి) టేకాఫ్ రేటింగ్ కలిగి ఉంది. ఉటా-ఆధారిత ఎలక్ట్రిక్ పవర్ సిస్టమ్స్ బ్యాటరీ మాడ్యూల్స్, నిర్వహణ మరియు పంపిణీతో సహా 92-kWh శక్తి నిల్వను అందిస్తుంది. 138 kN (256 km/h) క్రూయిజ్ విమానం గంటకు నిర్వహణ ఖర్చులు పిస్టన్-శక్తితో కూడిన సెస్నా 172 లో ఆరవ వంతును కలిగి ఉంటుందని అంచనా. [15] నవంబర్ 2020 లో ప్రకటించిన సఫ్రాన్ మోటారు ఇంజిన్ 100 లైన్ నుండి ఉంటుంది. [22] ఫిబ్రవరి 2019 నాటికి, ఒక ఉదాహరణ, ప్రోటోటైప్, ఫెడరల్ ఏవియేషన్ అడ్మినిస్ట్రేషన్తో అమెరికాలో నమోదు చేయబడింది. [23] డిసెంబర్ 2018 నాటికి కంపెనీకి 220 డిపాజిట్లు ఉన్నాయి, ఎఫ్లైయర్ 2 మరియు ఎఫ్లైయర్ 4 మధ్య సమానంగా విభజించబడ్డాయి, [20] ఏప్రిల్ 2019 నాటికి 298 కు పెరుగుతున్నాయి. [16] డిసెంబర్ 2020 లో, కంపెనీకి 711 కొనుగోలు ఒప్పందాలు ఉన్నాయని కంపెనీ సూచించింది. [24] కింది సంస్థలు విమానాన్ని ఆదేశించాయి: AVWEB నుండి డేటా [2] సాధారణ లక్షణాలు పనితీరు సంబంధిత అభివృద్ధి విమానం పోల్చదగిన పాత్ర, కాన్ఫిగరేషన్ మరియు ERA సంబంధిత జాబితాలు</v>
      </c>
      <c r="E193" s="1" t="s">
        <v>3044</v>
      </c>
      <c r="F193" s="1" t="str">
        <f>IFERROR(__xludf.DUMMYFUNCTION("GOOGLETRANSLATE(E:E, ""en"", ""te"")"),"విద్యుత్ శిక్షణ విమానం")</f>
        <v>విద్యుత్ శిక్షణ విమానం</v>
      </c>
      <c r="G193" s="1" t="s">
        <v>155</v>
      </c>
      <c r="H193" s="1" t="str">
        <f>IFERROR(__xludf.DUMMYFUNCTION("GOOGLETRANSLATE(G:G, ""en"", ""te"")"),"అమెరికా")</f>
        <v>అమెరికా</v>
      </c>
      <c r="I193" s="1" t="s">
        <v>3045</v>
      </c>
      <c r="J193" s="1" t="str">
        <f>IFERROR(__xludf.DUMMYFUNCTION("GOOGLETRANSLATE(I:I, ""en"", ""te"")"),"బై ఏరోస్పేస్")</f>
        <v>బై ఏరోస్పేస్</v>
      </c>
      <c r="K193" s="1" t="s">
        <v>3046</v>
      </c>
      <c r="N193" s="3">
        <v>43200.0</v>
      </c>
      <c r="O193" s="1" t="s">
        <v>135</v>
      </c>
      <c r="Q193" s="1" t="s">
        <v>3047</v>
      </c>
      <c r="S193" s="1" t="s">
        <v>3048</v>
      </c>
      <c r="T193" s="1" t="s">
        <v>3049</v>
      </c>
      <c r="U193" s="1" t="s">
        <v>3050</v>
      </c>
      <c r="V193" s="1" t="s">
        <v>3051</v>
      </c>
      <c r="W193" s="1" t="s">
        <v>3052</v>
      </c>
      <c r="Z193" s="1" t="s">
        <v>3053</v>
      </c>
      <c r="AA193" s="1" t="s">
        <v>3054</v>
      </c>
      <c r="AB193" s="1" t="s">
        <v>3055</v>
      </c>
      <c r="AC193" s="2" t="s">
        <v>167</v>
      </c>
      <c r="AD193" s="1" t="s">
        <v>3056</v>
      </c>
      <c r="AF193" s="1" t="s">
        <v>542</v>
      </c>
      <c r="AJ193" s="1">
        <v>1.0</v>
      </c>
      <c r="AK193" s="1" t="s">
        <v>195</v>
      </c>
      <c r="AP193" s="1" t="s">
        <v>3057</v>
      </c>
      <c r="AR193" s="1" t="s">
        <v>3058</v>
      </c>
      <c r="BB193" s="1">
        <v>20.6</v>
      </c>
      <c r="BJ193" s="1" t="s">
        <v>3059</v>
      </c>
    </row>
    <row r="194">
      <c r="A194" s="1" t="s">
        <v>3060</v>
      </c>
      <c r="B194" s="1" t="str">
        <f>IFERROR(__xludf.DUMMYFUNCTION("GOOGLETRANSLATE(A:A, ""en"", ""te"")"),"D'yves yvasion 2000")</f>
        <v>D'yves yvasion 2000</v>
      </c>
      <c r="C194" s="1" t="s">
        <v>3061</v>
      </c>
      <c r="D194" s="1" t="str">
        <f>IFERROR(__xludf.DUMMYFUNCTION("GOOGLETRANSLATE(C:C, ""en"", ""te"")"),"డి-వైవ్స్ వైషన్ 2000 (ఇంగ్లీష్: ఎగవేత) అనేది ఫ్రెంచ్ పారామోటర్ల కుటుంబం, దీనిని వైవ్స్ హెలరీ రూపొందించారు మరియు శక్తితో కూడిన పారాగ్లైడింగ్ కోసం లా చాపెల్లె-ఎన్-వెక్సిన్ యొక్క డి'వైవ్స్ ఎయిర్ పబ్ చేత నిర్మించబడింది. ఇప్పుడు ఉత్పత్తిలో లేదు, ఇది అందుబాటులో"&amp;" ఉన్నప్పుడు విమానం పూర్తి మరియు సిద్ధంగా ఉండటానికి సిద్ధంగా ఉంది. [1] వైషన్ 2000 సిరీస్ యుఎస్ ఫార్ 103 అల్ట్రాలైట్ వెహికల్స్ నిబంధనలతో పాటు యూరోపియన్ నిబంధనలను పాటించేలా రూపొందించబడింది. ఇది పారాగ్లైడర్-స్టైల్ వింగ్, సింగిల్-ప్లేస్ వసతి మరియు రిడక్షన్ డ్ర"&amp;"ైవ్ మరియు రెండు బ్లేడెడ్ చెక్క ప్రొపెల్లర్‌తో పషర్ కాన్ఫిగరేషన్‌లో ఒకే ఇంజిన్ కలిగి ఉంది. ఇన్‌స్టాల్ చేసిన పవర్‌ప్లాంట్ ద్వారా వ్యక్తిగత నమూనాలు విభిన్నంగా ఉంటాయి. [1] అన్ని పారామోటర్ల మాదిరిగానే, టేకాఫ్ మరియు ల్యాండింగ్ కాలినడకన సాధించబడుతుంది. పందిరి బ్"&amp;"రేక్‌లను అమలు చేసే, రోల్ మరియు యావ్ సృష్టించే హ్యాండిల్స్ ద్వారా ఇన్ఫ్లైట్ స్టీరింగ్ సాధించబడుతుంది. [1] బెర్ట్రాండ్ నుండి డేటా [1] సాధారణ లక్షణాలు")</f>
        <v>డి-వైవ్స్ వైషన్ 2000 (ఇంగ్లీష్: ఎగవేత) అనేది ఫ్రెంచ్ పారామోటర్ల కుటుంబం, దీనిని వైవ్స్ హెలరీ రూపొందించారు మరియు శక్తితో కూడిన పారాగ్లైడింగ్ కోసం లా చాపెల్లె-ఎన్-వెక్సిన్ యొక్క డి'వైవ్స్ ఎయిర్ పబ్ చేత నిర్మించబడింది. ఇప్పుడు ఉత్పత్తిలో లేదు, ఇది అందుబాటులో ఉన్నప్పుడు విమానం పూర్తి మరియు సిద్ధంగా ఉండటానికి సిద్ధంగా ఉంది. [1] వైషన్ 2000 సిరీస్ యుఎస్ ఫార్ 103 అల్ట్రాలైట్ వెహికల్స్ నిబంధనలతో పాటు యూరోపియన్ నిబంధనలను పాటించేలా రూపొందించబడింది. ఇది పారాగ్లైడర్-స్టైల్ వింగ్, సింగిల్-ప్లేస్ వసతి మరియు రిడక్షన్ డ్రైవ్ మరియు రెండు బ్లేడెడ్ చెక్క ప్రొపెల్లర్‌తో పషర్ కాన్ఫిగరేషన్‌లో ఒకే ఇంజిన్ కలిగి ఉంది. ఇన్‌స్టాల్ చేసిన పవర్‌ప్లాంట్ ద్వారా వ్యక్తిగత నమూనాలు విభిన్నంగా ఉంటాయి.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194" s="1" t="s">
        <v>756</v>
      </c>
      <c r="F194" s="1" t="str">
        <f>IFERROR(__xludf.DUMMYFUNCTION("GOOGLETRANSLATE(E:E, ""en"", ""te"")"),"పారామోటర్")</f>
        <v>పారామోటర్</v>
      </c>
      <c r="G194" s="1" t="s">
        <v>113</v>
      </c>
      <c r="H194" s="1" t="str">
        <f>IFERROR(__xludf.DUMMYFUNCTION("GOOGLETRANSLATE(G:G, ""en"", ""te"")"),"ఫ్రాన్స్")</f>
        <v>ఫ్రాన్స్</v>
      </c>
      <c r="I194" s="1" t="s">
        <v>3062</v>
      </c>
      <c r="J194" s="1" t="str">
        <f>IFERROR(__xludf.DUMMYFUNCTION("GOOGLETRANSLATE(I:I, ""en"", ""te"")"),"డి వైవ్స్ ఎయిర్ పబ్")</f>
        <v>డి వైవ్స్ ఎయిర్ పబ్</v>
      </c>
      <c r="K194" s="1" t="s">
        <v>3063</v>
      </c>
      <c r="L194" s="1" t="s">
        <v>3064</v>
      </c>
      <c r="O194" s="1" t="s">
        <v>135</v>
      </c>
      <c r="T194" s="1" t="s">
        <v>1081</v>
      </c>
      <c r="V194" s="1" t="s">
        <v>3065</v>
      </c>
      <c r="AB194" s="2" t="s">
        <v>762</v>
      </c>
      <c r="AC194" s="2" t="s">
        <v>713</v>
      </c>
      <c r="AD194" s="1" t="s">
        <v>581</v>
      </c>
      <c r="AE194" s="1" t="s">
        <v>764</v>
      </c>
      <c r="AF194" s="1" t="s">
        <v>3066</v>
      </c>
      <c r="AR194" s="1" t="s">
        <v>253</v>
      </c>
    </row>
    <row r="195">
      <c r="A195" s="1" t="s">
        <v>3067</v>
      </c>
      <c r="B195" s="1" t="str">
        <f>IFERROR(__xludf.DUMMYFUNCTION("GOOGLETRANSLATE(A:A, ""en"", ""te"")"),"ఫ్లై కాస్టెల్లూసియో SMN")</f>
        <v>ఫ్లై కాస్టెల్లూసియో SMN</v>
      </c>
      <c r="C195" s="1" t="s">
        <v>3068</v>
      </c>
      <c r="D195" s="1" t="str">
        <f>IFERROR(__xludf.DUMMYFUNCTION("GOOGLETRANSLATE(C:C, ""en"", ""te"")"),"ఫ్లై కాస్టెల్లూసియో SMN అనేది ఇటాలియన్ పారామోటర్, దీనిని శక్తితో కూడిన పారాగ్లైడింగ్ కోసం అస్కోలి పికెనో యొక్క ఫ్లై కాస్టెలుసియో రూపొందించారు మరియు నిర్మించారు. ఇప్పుడు ఉత్పత్తిలో లేదు, ఇది అందుబాటులో ఉన్నప్పుడు విమానం పూర్తి మరియు సిద్ధంగా ఉండటానికి సిద్"&amp;"ధంగా ఉంది. [1] యుఎస్ ఫార్ 103 అల్ట్రాలైట్ వెహికల్స్ నిబంధనలతో పాటు యూరోపియన్ నిబంధనలతో పాటించడానికి SMN రూపొందించబడింది. ఇది పారాగ్లైడర్ తరహా వింగ్, సింగిల్-ప్లేస్ వసతి మరియు పషర్ కాన్ఫిగరేషన్‌లో ఒకే సిమోనిని రేసింగ్ ఇంజిన్‌ను కలిగి ఉంది, ఇది రెండు-బ్లేడె"&amp;"డ్ 100 సెం.మీ (39 అంగుళాలు) చెక్క ప్రొపెల్లర్‌ను తగ్గింపు డ్రైవ్ ద్వారా శక్తివంతం చేస్తుంది. ఇంధన ట్యాంక్ సామర్థ్యం 10 లీటర్లు (2.2 ఇంప్ గల్; 2.6 యుఎస్ గాల్). [1] అన్ని పారామోటర్ల మాదిరిగానే, టేకాఫ్ మరియు ల్యాండింగ్ కాలినడకన సాధించబడుతుంది. పందిరి బ్రేక్‌"&amp;"లను అమలు చేసే, రోల్ మరియు యావ్ సృష్టించే హ్యాండిల్స్ ద్వారా ఇన్ఫ్లైట్ స్టీరింగ్ సాధించబడుతుంది. [1] బెర్ట్రాండ్ నుండి డేటా [1] సాధారణ లక్షణాలు")</f>
        <v>ఫ్లై కాస్టెల్లూసియో SMN అనేది ఇటాలియన్ పారామోటర్, దీనిని శక్తితో కూడిన పారాగ్లైడింగ్ కోసం అస్కోలి పికెనో యొక్క ఫ్లై కాస్టెలుసియో రూపొందించారు మరియు నిర్మించారు. ఇప్పుడు ఉత్పత్తిలో లేదు, ఇది అందుబాటులో ఉన్నప్పుడు విమానం పూర్తి మరియు సిద్ధంగా ఉండటానికి సిద్ధంగా ఉంది. [1] యుఎస్ ఫార్ 103 అల్ట్రాలైట్ వెహికల్స్ నిబంధనలతో పాటు యూరోపియన్ నిబంధనలతో పాటించడానికి SMN రూపొందించబడింది. ఇది పారాగ్లైడర్ తరహా వింగ్, సింగిల్-ప్లేస్ వసతి మరియు పషర్ కాన్ఫిగరేషన్‌లో ఒకే సిమోనిని రేసింగ్ ఇంజిన్‌ను కలిగి ఉంది, ఇది రెండు-బ్లేడెడ్ 100 సెం.మీ (39 అంగుళాలు) చెక్క ప్రొపెల్లర్‌ను తగ్గింపు డ్రైవ్ ద్వారా శక్తివంతం చేస్తుంది. ఇంధన ట్యాంక్ సామర్థ్యం 10 లీటర్లు (2.2 ఇంప్ గల్; 2.6 యుఎస్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195" s="1" t="s">
        <v>756</v>
      </c>
      <c r="F195" s="1" t="str">
        <f>IFERROR(__xludf.DUMMYFUNCTION("GOOGLETRANSLATE(E:E, ""en"", ""te"")"),"పారామోటర్")</f>
        <v>పారామోటర్</v>
      </c>
      <c r="G195" s="1" t="s">
        <v>200</v>
      </c>
      <c r="H195" s="1" t="str">
        <f>IFERROR(__xludf.DUMMYFUNCTION("GOOGLETRANSLATE(G:G, ""en"", ""te"")"),"ఇటలీ")</f>
        <v>ఇటలీ</v>
      </c>
      <c r="I195" s="1" t="s">
        <v>3069</v>
      </c>
      <c r="J195" s="1" t="str">
        <f>IFERROR(__xludf.DUMMYFUNCTION("GOOGLETRANSLATE(I:I, ""en"", ""te"")"),"ఫ్లై కాస్టెల్లూసియో")</f>
        <v>ఫ్లై కాస్టెల్లూసియో</v>
      </c>
      <c r="K195" s="1" t="s">
        <v>3070</v>
      </c>
      <c r="N195" s="1" t="s">
        <v>3015</v>
      </c>
      <c r="O195" s="1" t="s">
        <v>135</v>
      </c>
      <c r="T195" s="1" t="s">
        <v>3071</v>
      </c>
      <c r="V195" s="1" t="s">
        <v>3072</v>
      </c>
      <c r="AB195" s="2" t="s">
        <v>762</v>
      </c>
      <c r="AC195" s="2" t="s">
        <v>393</v>
      </c>
      <c r="AD195" s="1" t="s">
        <v>581</v>
      </c>
      <c r="AE195" s="1" t="s">
        <v>1094</v>
      </c>
      <c r="AF195" s="1" t="s">
        <v>3073</v>
      </c>
    </row>
    <row r="196">
      <c r="A196" s="1" t="s">
        <v>3074</v>
      </c>
      <c r="B196" s="1" t="str">
        <f>IFERROR(__xludf.DUMMYFUNCTION("GOOGLETRANSLATE(A:A, ""en"", ""te"")"),"తాజా బ్రీజ్ ఎయిర్‌బాస్")</f>
        <v>తాజా బ్రీజ్ ఎయిర్‌బాస్</v>
      </c>
      <c r="C196" s="1" t="s">
        <v>3075</v>
      </c>
      <c r="D196" s="1" t="str">
        <f>IFERROR(__xludf.DUMMYFUNCTION("GOOGLETRANSLATE(C:C, ""en"", ""te"")"),"ఫ్రెష్ బ్రీజ్ ఎయిర్‌బాస్ అనేది జర్మన్ పారామోటర్ల కుటుంబం, ఇది శక్తితో కూడిన పారాగ్లైడింగ్ కోసం వెడెమార్క్ యొక్క తాజా గాలి ద్వారా రూపొందించబడింది మరియు ఉత్పత్తి చేయబడింది. ఇప్పుడు ఉత్పత్తిలో లేదు, ఇది అందుబాటులో ఉన్నప్పుడు విమానం పూర్తి మరియు సిద్ధంగా ఉండట"&amp;"ానికి సిద్ధంగా ఉంది. [1] ఎయిర్ బాస్ యుఎస్ ఫార్ 103 అల్ట్రాలైట్ వెహికల్స్ నిబంధనలతో పాటు యూరోపియన్ నిబంధనలను పాటించేలా రూపొందించబడింది. ఇది పారాగ్లైడర్-స్టైల్ వింగ్, సింగిల్-ప్లేస్ వసతి మరియు ఒకే 17 హెచ్‌పి (13 కిలోవాట్) సోలో 210 లేదా 28 హెచ్‌పి (21 కిలోవా"&amp;"ట్ లో) వ్యాసం రెండు-బ్లేడెడ్ కాంపోజిట్ ప్రొపెల్లర్, మోడల్‌ను బట్టి. ఇంధన ట్యాంక్ సామర్థ్యం 10 లీటర్లు (2.2 ఇంప్ గల్; 2.6 యుఎస్ గాల్). విమానం ప్రొపెల్లర్ కేజ్‌ను నాలుగు భాగాలుగా మడవవచ్చు మరియు తక్కువ లేదా అధిక హాంగ్ పాయింట్లతో విమానం రిగ్ చేయబడింది. [1] అన"&amp;"్ని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f>
        <v>ఫ్రెష్ బ్రీజ్ ఎయిర్‌బాస్ అనేది జర్మన్ పారామోటర్ల కుటుంబం, ఇది శక్తితో కూడిన పారాగ్లైడింగ్ కోసం వెడెమార్క్ యొక్క తాజా గాలి ద్వారా రూపొందించబడింది మరియు ఉత్పత్తి చేయబడింది. ఇప్పుడు ఉత్పత్తిలో లేదు, ఇది అందుబాటులో ఉన్నప్పుడు విమానం పూర్తి మరియు సిద్ధంగా ఉండటానికి సిద్ధంగా ఉంది. [1] ఎయిర్ బాస్ యుఎస్ ఫార్ 103 అల్ట్రాలైట్ వెహికల్స్ నిబంధనలతో పాటు యూరోపియన్ నిబంధనలను పాటించేలా రూపొందించబడింది. ఇది పారాగ్లైడర్-స్టైల్ వింగ్, సింగిల్-ప్లేస్ వసతి మరియు ఒకే 17 హెచ్‌పి (13 కిలోవాట్) సోలో 210 లేదా 28 హెచ్‌పి (21 కిలోవాట్ లో) వ్యాసం రెండు-బ్లేడెడ్ కాంపోజిట్ ప్రొపెల్లర్, మోడల్‌ను బట్టి. ఇంధన ట్యాంక్ సామర్థ్యం 10 లీటర్లు (2.2 ఇంప్ గల్; 2.6 యుఎస్ గాల్). విమానం ప్రొపెల్లర్ కేజ్‌ను నాలుగు భాగాలుగా మడవవచ్చు మరియు తక్కువ లేదా అధిక హాంగ్ పాయింట్లతో విమానం రిగ్ చేయబడింది.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196" s="1" t="s">
        <v>756</v>
      </c>
      <c r="F196" s="1" t="str">
        <f>IFERROR(__xludf.DUMMYFUNCTION("GOOGLETRANSLATE(E:E, ""en"", ""te"")"),"పారామోటర్")</f>
        <v>పారామోటర్</v>
      </c>
      <c r="G196" s="1" t="s">
        <v>133</v>
      </c>
      <c r="H196" s="1" t="str">
        <f>IFERROR(__xludf.DUMMYFUNCTION("GOOGLETRANSLATE(G:G, ""en"", ""te"")"),"జర్మనీ")</f>
        <v>జర్మనీ</v>
      </c>
      <c r="I196" s="1" t="s">
        <v>3076</v>
      </c>
      <c r="J196" s="1" t="str">
        <f>IFERROR(__xludf.DUMMYFUNCTION("GOOGLETRANSLATE(I:I, ""en"", ""te"")"),"తాజా గాలి")</f>
        <v>తాజా గాలి</v>
      </c>
      <c r="K196" s="1" t="s">
        <v>3077</v>
      </c>
      <c r="O196" s="1" t="s">
        <v>135</v>
      </c>
      <c r="T196" s="1" t="s">
        <v>3078</v>
      </c>
      <c r="V196" s="1" t="s">
        <v>3079</v>
      </c>
      <c r="AB196" s="2" t="s">
        <v>762</v>
      </c>
      <c r="AC196" s="2" t="s">
        <v>145</v>
      </c>
      <c r="AD196" s="1" t="s">
        <v>581</v>
      </c>
      <c r="AE196" s="1" t="s">
        <v>1094</v>
      </c>
      <c r="AF196" s="1" t="s">
        <v>3080</v>
      </c>
      <c r="AR196" s="1" t="s">
        <v>253</v>
      </c>
      <c r="BN196" s="1" t="s">
        <v>984</v>
      </c>
    </row>
    <row r="197">
      <c r="A197" s="1" t="s">
        <v>3081</v>
      </c>
      <c r="B197" s="1" t="str">
        <f>IFERROR(__xludf.DUMMYFUNCTION("GOOGLETRANSLATE(A:A, ""en"", ""te"")"),"జెట్ పాకెట్ టాప్ తప్పక")</f>
        <v>జెట్ పాకెట్ టాప్ తప్పక</v>
      </c>
      <c r="C197" s="1" t="s">
        <v>3082</v>
      </c>
      <c r="D197" s="1" t="str">
        <f>IFERROR(__xludf.DUMMYFUNCTION("GOOGLETRANSLATE(C:C, ""en"", ""te"")"),"జెట్ పాకెట్ టాప్ తప్పనిసరిగా ఒక ఫ్రెంచ్ పారామోటర్, దీనిని ఫిలిప్పే జీర్గ్‌గెట్ రూపొందించారు మరియు శక్తితో కూడిన పారాగ్లైడింగ్ కోసం అల్లియర్ అయిన చాంటెల్లెకు చెందిన జెట్ పాకెట్ చేత నిర్మించబడింది. ఇప్పుడు ఉత్పత్తిలో లేదు, ఇది అందుబాటులో ఉన్నప్పుడు విమానం ప"&amp;"ూర్తి మరియు సిద్ధంగా ఉండటానికి సిద్ధంగా ఉంది. [1] యుఎస్ ఫార్ 103 అల్ట్రాలైట్ వెహికల్స్ నిబంధనలతో పాటు యూరోపియన్ నిబంధనలతో పాటించడానికి పైభాగం రూపొందించబడింది. ఇది పారాగ్లైడర్-స్టైల్ వింగ్, సింగిల్-ప్లేస్ వసతి మరియు ఒకే 20 హెచ్‌పి (15 కిలోవాట్) జెనోవా జి -"&amp;"25 ఇంజిన్‌ను పషర్ కాన్ఫిగరేషన్‌లో 2.9: 1 నిష్పత్తి బెల్ట్ తగ్గింపు డ్రైవ్ మరియు 123 సెం.మీ (48 అంగుళాలు) వ్యాసం కలిగిన రెండు-బ్లేడెడ్ కలిగి ఉంది. చెక్క ప్రొపెల్లర్. ఇంధన ట్యాంక్ సామర్థ్యం 7 లీటర్లు (1.5 ఇంప్ గల్; 1.8 యుఎస్ గాల్). [1] అన్ని పారామోటర్ల మాది"&amp;"రిగానే, టేకాఫ్ మరియు ల్యాండింగ్ కాలినడకన సాధించబడుతుంది. పందిరి బ్రేక్‌లను అమలు చేసే, రోల్ మరియు యావ్ సృష్టించే హ్యాండిల్స్ ద్వారా ఇన్ఫ్లైట్ స్టీరింగ్ సాధించబడుతుంది. [1] సమీక్షకుడు రెనే కూలాన్ 2003 లో రాశారు, సంస్థ ఉత్పత్తి చేసిన పారామోటర్ల రేఖ, ""నమ్మదగ"&amp;"ిన, కాంతి, ఇంకా శక్తివంతమైనది, సమతుల్య స్థిరంగా మరియు డైనమిక్‌గా సమతుల్యమైనది."" [1] బెర్ట్రాండ్ నుండి డేటా [1] సాధారణ లక్షణాలు")</f>
        <v>జెట్ పాకెట్ టాప్ తప్పనిసరిగా ఒక ఫ్రెంచ్ పారామోటర్, దీనిని ఫిలిప్పే జీర్గ్‌గెట్ రూపొందించారు మరియు శక్తితో కూడిన పారాగ్లైడింగ్ కోసం అల్లియర్ అయిన చాంటెల్లెకు చెందిన జెట్ పాకెట్ చేత నిర్మించబడింది. ఇప్పుడు ఉత్పత్తిలో లేదు, ఇది అందుబాటులో ఉన్నప్పుడు విమానం పూర్తి మరియు సిద్ధంగా ఉండటానికి సిద్ధంగా ఉంది. [1] యుఎస్ ఫార్ 103 అల్ట్రాలైట్ వెహికల్స్ నిబంధనలతో పాటు యూరోపియన్ నిబంధనలతో పాటించడానికి పైభాగం రూపొందించబడింది. ఇది పారాగ్లైడర్-స్టైల్ వింగ్, సింగిల్-ప్లేస్ వసతి మరియు ఒకే 20 హెచ్‌పి (15 కిలోవాట్) జెనోవా జి -25 ఇంజిన్‌ను పషర్ కాన్ఫిగరేషన్‌లో 2.9: 1 నిష్పత్తి బెల్ట్ తగ్గింపు డ్రైవ్ మరియు 123 సెం.మీ (48 అంగుళాలు) వ్యాసం కలిగిన రెండు-బ్లేడెడ్ కలిగి ఉంది. చెక్క ప్రొపెల్లర్. ఇంధన ట్యాంక్ సామర్థ్యం 7 లీటర్లు (1.5 ఇంప్ గల్; 1.8 యుఎస్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సమీక్షకుడు రెనే కూలాన్ 2003 లో రాశారు, సంస్థ ఉత్పత్తి చేసిన పారామోటర్ల రేఖ, "నమ్మదగిన, కాంతి, ఇంకా శక్తివంతమైనది, సమతుల్య స్థిరంగా మరియు డైనమిక్‌గా సమతుల్యమైనది." [1] బెర్ట్రాండ్ నుండి డేటా [1] సాధారణ లక్షణాలు</v>
      </c>
      <c r="E197" s="1" t="s">
        <v>756</v>
      </c>
      <c r="F197" s="1" t="str">
        <f>IFERROR(__xludf.DUMMYFUNCTION("GOOGLETRANSLATE(E:E, ""en"", ""te"")"),"పారామోటర్")</f>
        <v>పారామోటర్</v>
      </c>
      <c r="G197" s="1" t="s">
        <v>113</v>
      </c>
      <c r="H197" s="1" t="str">
        <f>IFERROR(__xludf.DUMMYFUNCTION("GOOGLETRANSLATE(G:G, ""en"", ""te"")"),"ఫ్రాన్స్")</f>
        <v>ఫ్రాన్స్</v>
      </c>
      <c r="I197" s="1" t="s">
        <v>3083</v>
      </c>
      <c r="J197" s="1" t="str">
        <f>IFERROR(__xludf.DUMMYFUNCTION("GOOGLETRANSLATE(I:I, ""en"", ""te"")"),"జెట్ పాకెట్")</f>
        <v>జెట్ పాకెట్</v>
      </c>
      <c r="K197" s="1" t="s">
        <v>3084</v>
      </c>
      <c r="L197" s="1" t="s">
        <v>3085</v>
      </c>
      <c r="O197" s="1" t="s">
        <v>135</v>
      </c>
      <c r="T197" s="1" t="s">
        <v>3086</v>
      </c>
      <c r="V197" s="1" t="s">
        <v>3087</v>
      </c>
      <c r="AB197" s="2" t="s">
        <v>762</v>
      </c>
      <c r="AC197" s="2" t="s">
        <v>713</v>
      </c>
      <c r="AD197" s="1" t="s">
        <v>581</v>
      </c>
      <c r="AE197" s="1" t="s">
        <v>3088</v>
      </c>
      <c r="AF197" s="1" t="s">
        <v>3089</v>
      </c>
    </row>
    <row r="198">
      <c r="A198" s="1" t="s">
        <v>3090</v>
      </c>
      <c r="B198" s="1" t="str">
        <f>IFERROR(__xludf.DUMMYFUNCTION("GOOGLETRANSLATE(A:A, ""en"", ""te"")"),"రాడ్ mxl")</f>
        <v>రాడ్ mxl</v>
      </c>
      <c r="C198" s="1" t="s">
        <v>3091</v>
      </c>
      <c r="D198" s="1" t="str">
        <f>IFERROR(__xludf.DUMMYFUNCTION("GOOGLETRANSLATE(C:C, ""en"", ""te"")"),"రాడ్ MXL అనేది బ్రిటిష్ పారామోటర్, దీనిని జాన్ రాడ్ఫోర్డ్ రూపొందించారు మరియు శక్తితో కూడిన పారాగ్లైడింగ్ కోసం కిడ్లింగ్టన్ యొక్క రాడ్ ఏవియేషన్ చేత నిర్మించబడింది. ఇప్పుడు ఉత్పత్తిలో లేదు, ఇది అందుబాటులో ఉన్నప్పుడు విమానం పూర్తి మరియు సిద్ధంగా ఉండటానికి సి"&amp;"ద్ధంగా ఉంది. [1] MXL తేలికపై దృష్టి సారించి రూపొందించబడింది. ఇది యుఎస్ ఫార్ 103 అల్ట్రాలైట్ వెహికల్స్ నిబంధనలతో పాటు యూరోపియన్ నిబంధనలను పాటించటానికి ఉద్దేశించబడింది. ఇది పారాగ్లైడర్-స్టైల్ వింగ్, సింగిల్-ప్లేస్ వసతి మరియు ఒకే 14 హెచ్‌పి (10 కిలోవాట్ బ్లే"&amp;"డెడ్, గ్రౌండ్ సర్దుబాటు, మిశ్రమ ప్రొపెల్లర్. ఇంధన ట్యాంక్ సామర్థ్యం 8 లీటర్లు (1.8 ఇంప్ గల్; 2.1 యుఎస్ గాల్). విమానం చట్రం అధిక-జనాభా ఉక్కు కలయిక నుండి నిర్మించబడింది. ఐచ్ఛికం పూర్తిగా కూల్చివేత-చేయగల పంజరం గ్రౌండ్ పోర్టబిలిటీని మెరుగుపరచడానికి ఫ్యాక్టరీ "&amp;"ఎంపిక. [1] ఆమోదయోగ్యమైన పైలట్ బరువు 100 కిలోలు (220 పౌండ్లు) వరకు ఉంటుంది. [1] అన్ని పారామోటర్ల మాదిరిగానే, టేకాఫ్ మరియు ల్యాండింగ్ కాలినడకన సాధించబడుతుంది. పందిరి బ్రేక్‌లను అమలు చేసే, రోల్ మరియు యావ్ సృష్టించే హ్యాండిల్స్ ద్వారా ఇన్ఫ్లైట్ స్టీరింగ్ సాధి"&amp;"ంచబడుతుంది. [1] బెర్ట్రాండ్ నుండి డేటా [1] సాధారణ లక్షణాలు")</f>
        <v>రాడ్ MXL అనేది బ్రిటిష్ పారామోటర్, దీనిని జాన్ రాడ్ఫోర్డ్ రూపొందించారు మరియు శక్తితో కూడిన పారాగ్లైడింగ్ కోసం కిడ్లింగ్టన్ యొక్క రాడ్ ఏవియేషన్ చేత నిర్మించబడింది. ఇప్పుడు ఉత్పత్తిలో లేదు, ఇది అందుబాటులో ఉన్నప్పుడు విమానం పూర్తి మరియు సిద్ధంగా ఉండటానికి సిద్ధంగా ఉంది. [1] MXL తేలికపై దృష్టి సారించి రూపొందించబడింది. ఇది యుఎస్ ఫార్ 103 అల్ట్రాలైట్ వెహికల్స్ నిబంధనలతో పాటు యూరోపియన్ నిబంధనలను పాటించటానికి ఉద్దేశించబడింది. ఇది పారాగ్లైడర్-స్టైల్ వింగ్, సింగిల్-ప్లేస్ వసతి మరియు ఒకే 14 హెచ్‌పి (10 కిలోవాట్ బ్లేడెడ్, గ్రౌండ్ సర్దుబాటు, మిశ్రమ ప్రొపెల్లర్. ఇంధన ట్యాంక్ సామర్థ్యం 8 లీటర్లు (1.8 ఇంప్ గల్; 2.1 యుఎస్ గాల్). విమానం చట్రం అధిక-జనాభా ఉక్కు కలయిక నుండి నిర్మించబడింది. ఐచ్ఛికం పూర్తిగా కూల్చివేత-చేయగల పంజరం గ్రౌండ్ పోర్టబిలిటీని మెరుగుపరచడానికి ఫ్యాక్టరీ ఎంపిక. [1] ఆమోదయోగ్యమైన పైలట్ బరువు 100 కిలోలు (220 పౌండ్లు) వరకు ఉంటుంది.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198" s="1" t="s">
        <v>756</v>
      </c>
      <c r="F198" s="1" t="str">
        <f>IFERROR(__xludf.DUMMYFUNCTION("GOOGLETRANSLATE(E:E, ""en"", ""te"")"),"పారామోటర్")</f>
        <v>పారామోటర్</v>
      </c>
      <c r="G198" s="1" t="s">
        <v>819</v>
      </c>
      <c r="H198" s="1" t="str">
        <f>IFERROR(__xludf.DUMMYFUNCTION("GOOGLETRANSLATE(G:G, ""en"", ""te"")"),"యునైటెడ్ కింగ్‌డమ్")</f>
        <v>యునైటెడ్ కింగ్‌డమ్</v>
      </c>
      <c r="I198" s="1" t="s">
        <v>3092</v>
      </c>
      <c r="J198" s="1" t="str">
        <f>IFERROR(__xludf.DUMMYFUNCTION("GOOGLETRANSLATE(I:I, ""en"", ""te"")"),"రాడ్ ఏవియేషన్")</f>
        <v>రాడ్ ఏవియేషన్</v>
      </c>
      <c r="K198" s="1" t="s">
        <v>3093</v>
      </c>
      <c r="L198" s="1" t="s">
        <v>3094</v>
      </c>
      <c r="O198" s="1" t="s">
        <v>135</v>
      </c>
      <c r="T198" s="1" t="s">
        <v>3095</v>
      </c>
      <c r="V198" s="1" t="s">
        <v>3096</v>
      </c>
      <c r="AB198" s="2" t="s">
        <v>762</v>
      </c>
      <c r="AC198" s="1" t="s">
        <v>828</v>
      </c>
      <c r="AD198" s="1" t="s">
        <v>581</v>
      </c>
      <c r="AE198" s="1" t="s">
        <v>3097</v>
      </c>
      <c r="AF198" s="1" t="s">
        <v>3098</v>
      </c>
      <c r="AR198" s="1" t="s">
        <v>253</v>
      </c>
    </row>
    <row r="199">
      <c r="A199" s="1" t="s">
        <v>3099</v>
      </c>
      <c r="B199" s="1" t="str">
        <f>IFERROR(__xludf.DUMMYFUNCTION("GOOGLETRANSLATE(A:A, ""en"", ""te"")"),"స్కైమాస్టర్ సింగిల్ సీటర్")</f>
        <v>స్కైమాస్టర్ సింగిల్ సీటర్</v>
      </c>
      <c r="C199" s="1" t="s">
        <v>3100</v>
      </c>
      <c r="D199" s="1" t="str">
        <f>IFERROR(__xludf.DUMMYFUNCTION("GOOGLETRANSLATE(C:C, ""en"", ""te"")"),"స్కైమాస్టర్ సింగిల్ సీటర్ ఒక అమెరికన్ శక్తితో కూడిన పారాచూట్, ఇది విస్కాన్సిన్‌లోని హార్ట్‌ల్యాండ్‌కు చెందిన స్కైమాస్టర్ శక్తితో పనిచేసే పారాచూట్‌లు అభివృద్ధిలో ఉంది. ఈ విమానం te త్సాహిక నిర్మాణానికి కిట్‌గా సరఫరా చేయడానికి ఉద్దేశించబడింది. [1] ఈ విమానం ప"&amp;"ెద్ద రెండు సీట్ల స్కైమాస్టర్ ఎక్సెల్ నుండి అభివృద్ధి చేయబడింది మరియు సుమారు 2004 లో ప్రవేశపెట్టబడింది. 2008 చివరలో కంపెనీ వ్యాపారం నుండి బయటపడినప్పుడు అభివృద్ధి ముగిసింది. ఒక నమూనా మాత్రమే ఎప్పుడైనా నిర్మించబడిందని తెలుస్తుంది మరియు అది ఎప్పుడైనా ఎగిరిపోత"&amp;"ుందో లేదో స్పష్టంగా తెలియదు. [2] [3] [4] వర్గం యొక్క గరిష్ట ఖాళీ బరువు 254 పౌండ్లు (115 కిలోలు) తో సహా యుఎస్ ఫార్ 103 అల్ట్రాలైట్ వెహికల్స్ నిబంధనలకు అనుగుణంగా ఈ విమానం రూపొందించబడింది. ఇది 290 చదరపు అడుగుల (27 మీ 2) స్కైబోల్ట్ సెమీ ఎలిప్టికల్ లేదా 450 చద"&amp;"రపు అడుగులు (42 మీ 2) క్వాంటం అడ్వాంటేజ్ దీర్ఘచతురస్రాకార పారాచూట్-స్టైల్ వింగ్, సింగిల్-సీట్ వసతి, ట్రైసైకిల్ ల్యాండింగ్ గేర్ మరియు సింగిల్ 46 హెచ్‌పి (34 కిలోవాట్ పషర్ కాన్ఫిగరేషన్‌లో 503 ఇంజిన్. 64 HP (48 kW) రోటాక్స్ 582 మరియు 50 HP (37 kW) డ్యూయల్ కా"&amp;"ర్బ్యురేటర్ రోటాక్స్ 503 ఇంజన్లు కూడా ఉత్పత్తి నమూనా కోసం అందించబడతాయి. [1] [4] విమానం క్యారేజ్ బోల్ట్ అల్యూమినియం గొట్టాల నుండి నిర్మించబడింది. ఫ్లైట్ స్టీరింగ్‌లో పందిరి బ్రేక్‌లను అమలు చేసే హ్యాండిల్స్ ద్వారా సాధించబడుతుంది, రోల్ మరియు యావ్ సృష్టిస్తుం"&amp;"ది. మైదానంలో విమానంలో లివర్-నియంత్రిత నోస్‌వీల్ స్టీరింగ్ ఉంది. ప్రధాన ల్యాండింగ్ గేర్ స్ప్రింగ్ మరియు రాడ్ సస్పెన్షన్‌ను కలిగి ఉంటుంది. [1] [4] పారాప్లెజిక్ వీల్ చైర్ ఏవియేటర్స్ చేత ఎగరడానికి అనుమతించడానికి ప్రోటోటైప్ చేతితో మాత్రమే నియంత్రణలతో కాన్ఫిగర్"&amp;" చేయబడింది. కంపెనీ డేటా ఈ ఎంపిక ఎటువంటి ఛార్జీ లేకుండా అందించడానికి ఉద్దేశించినట్లు సూచిస్తుంది. [4] బెర్ట్రాండ్ మరియు తయారీదారు నుండి డేటా [1] [4] సాధారణ లక్షణాలు")</f>
        <v>స్కైమాస్టర్ సింగిల్ సీటర్ ఒక అమెరికన్ శక్తితో కూడిన పారాచూట్, ఇది విస్కాన్సిన్‌లోని హార్ట్‌ల్యాండ్‌కు చెందిన స్కైమాస్టర్ శక్తితో పనిచేసే పారాచూట్‌లు అభివృద్ధిలో ఉంది. ఈ విమానం te త్సాహిక నిర్మాణానికి కిట్‌గా సరఫరా చేయడానికి ఉద్దేశించబడింది. [1] ఈ విమానం పెద్ద రెండు సీట్ల స్కైమాస్టర్ ఎక్సెల్ నుండి అభివృద్ధి చేయబడింది మరియు సుమారు 2004 లో ప్రవేశపెట్టబడింది. 2008 చివరలో కంపెనీ వ్యాపారం నుండి బయటపడినప్పుడు అభివృద్ధి ముగిసింది. ఒక నమూనా మాత్రమే ఎప్పుడైనా నిర్మించబడిందని తెలుస్తుంది మరియు అది ఎప్పుడైనా ఎగిరిపోతుందో లేదో స్పష్టంగా తెలియదు. [2] [3] [4] వర్గం యొక్క గరిష్ట ఖాళీ బరువు 254 పౌండ్లు (115 కిలోలు) తో సహా యుఎస్ ఫార్ 103 అల్ట్రాలైట్ వెహికల్స్ నిబంధనలకు అనుగుణంగా ఈ విమానం రూపొందించబడింది. ఇది 290 చదరపు అడుగుల (27 మీ 2) స్కైబోల్ట్ సెమీ ఎలిప్టికల్ లేదా 450 చదరపు అడుగులు (42 మీ 2) క్వాంటం అడ్వాంటేజ్ దీర్ఘచతురస్రాకార పారాచూట్-స్టైల్ వింగ్, సింగిల్-సీట్ వసతి, ట్రైసైకిల్ ల్యాండింగ్ గేర్ మరియు సింగిల్ 46 హెచ్‌పి (34 కిలోవాట్ పషర్ కాన్ఫిగరేషన్‌లో 503 ఇంజిన్. 64 HP (48 kW) రోటాక్స్ 582 మరియు 50 HP (37 kW) డ్యూయల్ కార్బ్యురేటర్ రోటాక్స్ 503 ఇంజన్లు కూడా ఉత్పత్తి నమూనా కోసం అందించబడతాయి. [1] [4] విమానం క్యారేజ్ బోల్ట్ అల్యూమినియం గొట్టాల నుండి నిర్మించబడింది. ఫ్లైట్ స్టీరింగ్‌లో పందిరి బ్రేక్‌లను అమలు చేసే హ్యాండిల్స్ ద్వారా సాధించబడుతుంది, రోల్ మరియు యావ్ సృష్టిస్తుంది. మైదానంలో విమానంలో లివర్-నియంత్రిత నోస్‌వీల్ స్టీరింగ్ ఉంది. ప్రధాన ల్యాండింగ్ గేర్ స్ప్రింగ్ మరియు రాడ్ సస్పెన్షన్‌ను కలిగి ఉంటుంది. [1] [4] పారాప్లెజిక్ వీల్ చైర్ ఏవియేటర్స్ చేత ఎగరడానికి అనుమతించడానికి ప్రోటోటైప్ చేతితో మాత్రమే నియంత్రణలతో కాన్ఫిగర్ చేయబడింది. కంపెనీ డేటా ఈ ఎంపిక ఎటువంటి ఛార్జీ లేకుండా అందించడానికి ఉద్దేశించినట్లు సూచిస్తుంది. [4] బెర్ట్రాండ్ మరియు తయారీదారు నుండి డేటా [1] [4] సాధారణ లక్షణాలు</v>
      </c>
      <c r="E199" s="1" t="s">
        <v>854</v>
      </c>
      <c r="F199" s="1" t="str">
        <f>IFERROR(__xludf.DUMMYFUNCTION("GOOGLETRANSLATE(E:E, ""en"", ""te"")"),"శక్తితో కూడిన పారాచూట్")</f>
        <v>శక్తితో కూడిన పారాచూట్</v>
      </c>
      <c r="G199" s="1" t="s">
        <v>155</v>
      </c>
      <c r="H199" s="1" t="str">
        <f>IFERROR(__xludf.DUMMYFUNCTION("GOOGLETRANSLATE(G:G, ""en"", ""te"")"),"అమెరికా")</f>
        <v>అమెరికా</v>
      </c>
      <c r="I199" s="1" t="s">
        <v>3101</v>
      </c>
      <c r="J199" s="1" t="str">
        <f>IFERROR(__xludf.DUMMYFUNCTION("GOOGLETRANSLATE(I:I, ""en"", ""te"")"),"స్కైమాస్టర్ శక్తితో కూడిన పారాచూట్లు")</f>
        <v>స్కైమాస్టర్ శక్తితో కూడిన పారాచూట్లు</v>
      </c>
      <c r="K199" s="1" t="s">
        <v>3102</v>
      </c>
      <c r="O199" s="1" t="s">
        <v>135</v>
      </c>
      <c r="S199" s="1" t="s">
        <v>3103</v>
      </c>
      <c r="T199" s="1" t="s">
        <v>3104</v>
      </c>
      <c r="V199" s="1" t="s">
        <v>3105</v>
      </c>
      <c r="AB199" s="1" t="s">
        <v>865</v>
      </c>
      <c r="AC199" s="2" t="s">
        <v>167</v>
      </c>
      <c r="AD199" s="1" t="s">
        <v>3106</v>
      </c>
      <c r="AE199" s="1" t="s">
        <v>1766</v>
      </c>
      <c r="AF199" s="1" t="s">
        <v>3107</v>
      </c>
      <c r="AJ199" s="1" t="s">
        <v>3108</v>
      </c>
      <c r="BF199" s="1" t="s">
        <v>3109</v>
      </c>
      <c r="BG199" s="1" t="s">
        <v>3110</v>
      </c>
      <c r="BN199" s="1" t="s">
        <v>3111</v>
      </c>
      <c r="DK199" s="1" t="s">
        <v>3112</v>
      </c>
    </row>
    <row r="200">
      <c r="A200" s="1" t="s">
        <v>3113</v>
      </c>
      <c r="B200" s="1" t="str">
        <f>IFERROR(__xludf.DUMMYFUNCTION("GOOGLETRANSLATE(A:A, ""en"", ""te"")"),"స్కైవే లైట్")</f>
        <v>స్కైవే లైట్</v>
      </c>
      <c r="C200" s="1" t="s">
        <v>3114</v>
      </c>
      <c r="D200" s="1" t="str">
        <f>IFERROR(__xludf.DUMMYFUNCTION("GOOGLETRANSLATE(C:C, ""en"", ""te"")"),"స్కైవే లైట్ ఒక జర్మన్ పారామోటర్, ఇది శక్తితో కూడిన పారాగ్లైడింగ్ కోసం ఎట్టెన్‌హీమ్ యొక్క స్కైవే ఉత్పత్తులచే రూపొందించబడింది మరియు ఉత్పత్తి చేయబడింది. ఇప్పుడు ఉత్పత్తిలో లేదు, ఇది అందుబాటులో ఉన్నప్పుడు విమానం పూర్తి మరియు సిద్ధంగా ఉండటానికి సిద్ధంగా ఉంది. "&amp;"[1] ఈ విమానం యుఎస్ ఫార్ 103 అల్ట్రాలైట్ వెహికల్స్ నిబంధనలతో పాటు యూరోపియన్ నిబంధనలను పాటించేలా రూపొందించబడింది. ఇది పారాగ్లైడర్-స్టైల్ వింగ్, సింగిల్-ప్లేస్ వసతి మరియు ఒకే 19 హెచ్‌పి (14 కిలోవాట్ల) స్కైవే టి 170 ఇంజిన్‌ను పషర్ కాన్ఫిగరేషన్‌లో 2.8: 1 నిష్ప"&amp;"త్తి తగ్గింపు డ్రైవ్ మరియు 110 సెం.మీ (43 అంగుళాలు) వ్యాసం కలిగిన మూడు-బ్లేడెడ్ కాంపోజిట్ ప్రొపెల్లర్‌తో కలిగి ఉంది. ఇంధన ట్యాంక్ సామర్థ్యం 11 లీటర్లు (2.4 ఇంప్ గల్; 2.9 యుఎస్ గాల్). ఈ విమానం బోల్ట్ అల్యూమినియం మరియు మిశ్రమ పదార్థం కలయిక నుండి నిర్మించబడి"&amp;"ంది, ఇంజిన్ మౌంట్ మరియు ఇంధన ట్యాంక్‌తో మిశ్రమాలతో తయారు చేయబడింది.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సాధించబడుతు"&amp;"ంది. [1] బెర్ట్రాండ్ నుండి డేటా [1] సాధారణ లక్షణాలు")</f>
        <v>స్కైవే లైట్ ఒక జర్మన్ పారామోటర్, ఇది శక్తితో కూడిన పారాగ్లైడింగ్ కోసం ఎట్టెన్‌హీమ్ యొక్క స్కైవే ఉత్పత్తులచే రూపొందించబడింది మరియు ఉత్పత్తి చేయబడింది. ఇప్పుడు ఉత్పత్తిలో లేదు, ఇది అందుబాటులో ఉన్నప్పుడు విమానం పూర్తి మరియు సిద్ధంగా ఉండటానికి సిద్ధంగా ఉంది. [1] ఈ విమానం యుఎస్ ఫార్ 103 అల్ట్రాలైట్ వెహికల్స్ నిబంధనలతో పాటు యూరోపియన్ నిబంధనలను పాటించేలా రూపొందించబడింది. ఇది పారాగ్లైడర్-స్టైల్ వింగ్, సింగిల్-ప్లేస్ వసతి మరియు ఒకే 19 హెచ్‌పి (14 కిలోవాట్ల) స్కైవే టి 170 ఇంజిన్‌ను పషర్ కాన్ఫిగరేషన్‌లో 2.8: 1 నిష్పత్తి తగ్గింపు డ్రైవ్ మరియు 110 సెం.మీ (43 అంగుళాలు) వ్యాసం కలిగిన మూడు-బ్లేడెడ్ కాంపోజిట్ ప్రొపెల్లర్‌తో కలిగి ఉంది. ఇంధన ట్యాంక్ సామర్థ్యం 11 లీటర్లు (2.4 ఇంప్ గల్; 2.9 యుఎస్ గాల్). ఈ విమానం బోల్ట్ అల్యూమినియం మరియు మిశ్రమ పదార్థం కలయిక నుండి నిర్మించబడింది, ఇంజిన్ మౌంట్ మరియు ఇంధన ట్యాంక్‌తో మిశ్రమాలతో తయారు చేయబడింది.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200" s="1" t="s">
        <v>756</v>
      </c>
      <c r="F200" s="1" t="str">
        <f>IFERROR(__xludf.DUMMYFUNCTION("GOOGLETRANSLATE(E:E, ""en"", ""te"")"),"పారామోటర్")</f>
        <v>పారామోటర్</v>
      </c>
      <c r="G200" s="1" t="s">
        <v>113</v>
      </c>
      <c r="H200" s="1" t="str">
        <f>IFERROR(__xludf.DUMMYFUNCTION("GOOGLETRANSLATE(G:G, ""en"", ""te"")"),"ఫ్రాన్స్")</f>
        <v>ఫ్రాన్స్</v>
      </c>
      <c r="I200" s="1" t="s">
        <v>3115</v>
      </c>
      <c r="J200" s="1" t="str">
        <f>IFERROR(__xludf.DUMMYFUNCTION("GOOGLETRANSLATE(I:I, ""en"", ""te"")"),"స్కైవే ఉత్పత్తులు")</f>
        <v>స్కైవే ఉత్పత్తులు</v>
      </c>
      <c r="K200" s="1" t="s">
        <v>3116</v>
      </c>
      <c r="O200" s="1" t="s">
        <v>135</v>
      </c>
      <c r="T200" s="1" t="s">
        <v>3117</v>
      </c>
      <c r="V200" s="1" t="s">
        <v>3118</v>
      </c>
      <c r="AB200" s="2" t="s">
        <v>762</v>
      </c>
      <c r="AC200" s="2" t="s">
        <v>713</v>
      </c>
      <c r="AD200" s="1" t="s">
        <v>3119</v>
      </c>
      <c r="AE200" s="1" t="s">
        <v>3120</v>
      </c>
      <c r="AF200" s="1" t="s">
        <v>3121</v>
      </c>
    </row>
    <row r="201">
      <c r="A201" s="1" t="s">
        <v>3122</v>
      </c>
      <c r="B201" s="1" t="str">
        <f>IFERROR(__xludf.DUMMYFUNCTION("GOOGLETRANSLATE(A:A, ""en"", ""te"")"),"Sperwill st")</f>
        <v>Sperwill st</v>
      </c>
      <c r="C201" s="1" t="s">
        <v>3123</v>
      </c>
      <c r="D201" s="1" t="str">
        <f>IFERROR(__xludf.DUMMYFUNCTION("GOOGLETRANSLATE(C:C, ""en"", ""te"")"),"స్పెర్విల్ సెయింట్ ఒక బ్రిటిష్ పారామోటర్, దీనిని రియాన్ ఆలివర్ రూపొందించారు మరియు శక్తితో కూడిన పారాగ్లైడింగ్ కోసం బ్రిస్టల్ యొక్క స్పెర్విల్ లిమిటెడ్ నిర్మించారు. ఇప్పుడు ఉత్పత్తిలో లేదు, ఇది అందుబాటులో ఉన్నప్పుడు విమానం పూర్తి మరియు సిద్ధంగా ఉండటానికి స"&amp;"ిద్ధంగా ఉంది. [1] ఈ విమానం యుఎస్ ఫార్ 103 అల్ట్రాలైట్ వెహికల్స్ నిబంధనలతో పాటు యూరోపియన్ నిబంధనలను పాటించేలా రూపొందించబడింది. ఇది పారాగ్లైడర్ తరహా వింగ్, సింగిల్-ప్లేస్ వసతి మరియు ఒకే 24.6 హెచ్‌పి (18 కిలోవాట్) హిర్త్ ఎఫ్ -33 ఇంజిన్ పషర్ కాన్ఫిగరేషన్‌లో 2"&amp;".3: 1 నిష్పత్తి తగ్గింపు డ్రైవ్ మరియు మూడు-బ్లేడెడ్, ఫిక్స్‌డ్-పిచ్ చెక్క ప్రొపెల్లర్‌తో ఉంది. ఇంధన ట్యాంక్ సామర్థ్యం 9 లీటర్లు (2.0 ఇంప్ గల్; 2.4 యుఎస్ గాల్). ఈ విమానం బోల్టెడ్ అల్యూమినియం మరియు 4130 స్టీల్ గొట్టాలు మరియు భూ రవాణా కోసం కూల్చివేసిన వాటి క"&amp;"లయిక నుండి నిర్మించబడింది.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సాధార"&amp;"ణ లక్షణాలు")</f>
        <v>స్పెర్విల్ సెయింట్ ఒక బ్రిటిష్ పారామోటర్, దీనిని రియాన్ ఆలివర్ రూపొందించారు మరియు శక్తితో కూడిన పారాగ్లైడింగ్ కోసం బ్రిస్టల్ యొక్క స్పెర్విల్ లిమిటెడ్ నిర్మించారు. ఇప్పుడు ఉత్పత్తిలో లేదు, ఇది అందుబాటులో ఉన్నప్పుడు విమానం పూర్తి మరియు సిద్ధంగా ఉండటానికి సిద్ధంగా ఉంది. [1] ఈ విమానం యుఎస్ ఫార్ 103 అల్ట్రాలైట్ వెహికల్స్ నిబంధనలతో పాటు యూరోపియన్ నిబంధనలను పాటించేలా రూపొందించబడింది. ఇది పారాగ్లైడర్ తరహా వింగ్, సింగిల్-ప్లేస్ వసతి మరియు ఒకే 24.6 హెచ్‌పి (18 కిలోవాట్) హిర్త్ ఎఫ్ -33 ఇంజిన్ పషర్ కాన్ఫిగరేషన్‌లో 2.3: 1 నిష్పత్తి తగ్గింపు డ్రైవ్ మరియు మూడు-బ్లేడెడ్, ఫిక్స్‌డ్-పిచ్ చెక్క ప్రొపెల్లర్‌తో ఉంది. ఇంధన ట్యాంక్ సామర్థ్యం 9 లీటర్లు (2.0 ఇంప్ గల్; 2.4 యుఎస్ గాల్). ఈ విమానం బోల్టెడ్ అల్యూమినియం మరియు 4130 స్టీల్ గొట్టాలు మరియు భూ రవాణా కోసం కూల్చివేసిన వాటి కలయిక నుండి నిర్మించబడింది.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201" s="1" t="s">
        <v>756</v>
      </c>
      <c r="F201" s="1" t="str">
        <f>IFERROR(__xludf.DUMMYFUNCTION("GOOGLETRANSLATE(E:E, ""en"", ""te"")"),"పారామోటర్")</f>
        <v>పారామోటర్</v>
      </c>
      <c r="G201" s="1" t="s">
        <v>819</v>
      </c>
      <c r="H201" s="1" t="str">
        <f>IFERROR(__xludf.DUMMYFUNCTION("GOOGLETRANSLATE(G:G, ""en"", ""te"")"),"యునైటెడ్ కింగ్‌డమ్")</f>
        <v>యునైటెడ్ కింగ్‌డమ్</v>
      </c>
      <c r="I201" s="1" t="s">
        <v>3124</v>
      </c>
      <c r="J201" s="1" t="str">
        <f>IFERROR(__xludf.DUMMYFUNCTION("GOOGLETRANSLATE(I:I, ""en"", ""te"")"),"Sperwill ltd")</f>
        <v>Sperwill ltd</v>
      </c>
      <c r="K201" s="1" t="s">
        <v>3125</v>
      </c>
      <c r="L201" s="1" t="s">
        <v>3126</v>
      </c>
      <c r="O201" s="1" t="s">
        <v>135</v>
      </c>
      <c r="T201" s="1" t="s">
        <v>3086</v>
      </c>
      <c r="V201" s="1" t="s">
        <v>3127</v>
      </c>
      <c r="AB201" s="2" t="s">
        <v>762</v>
      </c>
      <c r="AC201" s="1" t="s">
        <v>828</v>
      </c>
      <c r="AD201" s="1" t="s">
        <v>581</v>
      </c>
      <c r="AE201" s="1" t="s">
        <v>764</v>
      </c>
      <c r="AF201" s="1" t="s">
        <v>3128</v>
      </c>
    </row>
  </sheetData>
  <hyperlinks>
    <hyperlink r:id="rId1" ref="K2"/>
    <hyperlink r:id="rId2" ref="AC3"/>
    <hyperlink r:id="rId3" ref="AC4"/>
    <hyperlink r:id="rId4" ref="AC6"/>
    <hyperlink r:id="rId5" ref="AC8"/>
    <hyperlink r:id="rId6" ref="K9"/>
    <hyperlink r:id="rId7" ref="AC13"/>
    <hyperlink r:id="rId8" ref="AC14"/>
    <hyperlink r:id="rId9" ref="K15"/>
    <hyperlink r:id="rId10" ref="AC15"/>
    <hyperlink r:id="rId11" ref="AC17"/>
    <hyperlink r:id="rId12" ref="BI18"/>
    <hyperlink r:id="rId13" ref="K21"/>
    <hyperlink r:id="rId14" ref="AC21"/>
    <hyperlink r:id="rId15" ref="K22"/>
    <hyperlink r:id="rId16" ref="AC22"/>
    <hyperlink r:id="rId17" ref="AB24"/>
    <hyperlink r:id="rId18" ref="AC24"/>
    <hyperlink r:id="rId19" ref="BI25"/>
    <hyperlink r:id="rId20" ref="K26"/>
    <hyperlink r:id="rId21" ref="K27"/>
    <hyperlink r:id="rId22" ref="AC29"/>
    <hyperlink r:id="rId23" ref="K30"/>
    <hyperlink r:id="rId24" ref="AC30"/>
    <hyperlink r:id="rId25" ref="K33"/>
    <hyperlink r:id="rId26" ref="AC33"/>
    <hyperlink r:id="rId27" ref="AC34"/>
    <hyperlink r:id="rId28" ref="K35"/>
    <hyperlink r:id="rId29" ref="M35"/>
    <hyperlink r:id="rId30" ref="AC35"/>
    <hyperlink r:id="rId31" ref="BP35"/>
    <hyperlink r:id="rId32" ref="AC36"/>
    <hyperlink r:id="rId33" ref="AB37"/>
    <hyperlink r:id="rId34" ref="AC37"/>
    <hyperlink r:id="rId35" ref="AC38"/>
    <hyperlink r:id="rId36" ref="AC39"/>
    <hyperlink r:id="rId37" ref="AC42"/>
    <hyperlink r:id="rId38" ref="AC43"/>
    <hyperlink r:id="rId39" ref="K45"/>
    <hyperlink r:id="rId40" ref="AC45"/>
    <hyperlink r:id="rId41" ref="AC46"/>
    <hyperlink r:id="rId42" ref="K47"/>
    <hyperlink r:id="rId43" ref="AB47"/>
    <hyperlink r:id="rId44" ref="AC47"/>
    <hyperlink r:id="rId45" ref="K48"/>
    <hyperlink r:id="rId46" ref="AB49"/>
    <hyperlink r:id="rId47" ref="AC49"/>
    <hyperlink r:id="rId48" ref="K50"/>
    <hyperlink r:id="rId49" ref="AC50"/>
    <hyperlink r:id="rId50" ref="K51"/>
    <hyperlink r:id="rId51" ref="M51"/>
    <hyperlink r:id="rId52" ref="AC51"/>
    <hyperlink r:id="rId53" ref="BP51"/>
    <hyperlink r:id="rId54" ref="AC52"/>
    <hyperlink r:id="rId55" ref="BP52"/>
    <hyperlink r:id="rId56" ref="AC53"/>
    <hyperlink r:id="rId57" ref="AC54"/>
    <hyperlink r:id="rId58" ref="K56"/>
    <hyperlink r:id="rId59" ref="AC57"/>
    <hyperlink r:id="rId60" ref="K58"/>
    <hyperlink r:id="rId61" ref="AB58"/>
    <hyperlink r:id="rId62" ref="AC58"/>
    <hyperlink r:id="rId63" ref="AC60"/>
    <hyperlink r:id="rId64" ref="BP60"/>
    <hyperlink r:id="rId65" ref="AC61"/>
    <hyperlink r:id="rId66" ref="AC63"/>
    <hyperlink r:id="rId67" ref="AC64"/>
    <hyperlink r:id="rId68" ref="AC65"/>
    <hyperlink r:id="rId69" ref="AC66"/>
    <hyperlink r:id="rId70" ref="AC67"/>
    <hyperlink r:id="rId71" ref="AC68"/>
    <hyperlink r:id="rId72" ref="AB69"/>
    <hyperlink r:id="rId73" ref="AC70"/>
    <hyperlink r:id="rId74" ref="AC71"/>
    <hyperlink r:id="rId75" ref="M72"/>
    <hyperlink r:id="rId76" ref="AB72"/>
    <hyperlink r:id="rId77" ref="AC73"/>
    <hyperlink r:id="rId78" ref="AC74"/>
    <hyperlink r:id="rId79" ref="AC75"/>
    <hyperlink r:id="rId80" ref="K76"/>
    <hyperlink r:id="rId81" ref="AC76"/>
    <hyperlink r:id="rId82" ref="K77"/>
    <hyperlink r:id="rId83" ref="M77"/>
    <hyperlink r:id="rId84" ref="AC77"/>
    <hyperlink r:id="rId85" ref="BP77"/>
    <hyperlink r:id="rId86" ref="K79"/>
    <hyperlink r:id="rId87" ref="AB79"/>
    <hyperlink r:id="rId88" ref="AC79"/>
    <hyperlink r:id="rId89" ref="K80"/>
    <hyperlink r:id="rId90" ref="AB80"/>
    <hyperlink r:id="rId91" ref="AC80"/>
    <hyperlink r:id="rId92" ref="AB81"/>
    <hyperlink r:id="rId93" ref="AC81"/>
    <hyperlink r:id="rId94" ref="AB82"/>
    <hyperlink r:id="rId95" ref="AC82"/>
    <hyperlink r:id="rId96" ref="K83"/>
    <hyperlink r:id="rId97" ref="AB83"/>
    <hyperlink r:id="rId98" ref="AC83"/>
    <hyperlink r:id="rId99" ref="AB84"/>
    <hyperlink r:id="rId100" ref="AC84"/>
    <hyperlink r:id="rId101" ref="K86"/>
    <hyperlink r:id="rId102" ref="AC86"/>
    <hyperlink r:id="rId103" ref="AC87"/>
    <hyperlink r:id="rId104" ref="AC88"/>
    <hyperlink r:id="rId105" ref="AC89"/>
    <hyperlink r:id="rId106" ref="AC90"/>
    <hyperlink r:id="rId107" ref="AC91"/>
    <hyperlink r:id="rId108" ref="AC92"/>
    <hyperlink r:id="rId109" ref="AC93"/>
    <hyperlink r:id="rId110" ref="AC94"/>
    <hyperlink r:id="rId111" ref="AC95"/>
    <hyperlink r:id="rId112" ref="AC97"/>
    <hyperlink r:id="rId113" ref="BG97"/>
    <hyperlink r:id="rId114" ref="AC98"/>
    <hyperlink r:id="rId115" ref="AC99"/>
    <hyperlink r:id="rId116" ref="BI99"/>
    <hyperlink r:id="rId117" ref="AC101"/>
    <hyperlink r:id="rId118" ref="AC102"/>
    <hyperlink r:id="rId119" ref="AC103"/>
    <hyperlink r:id="rId120" ref="AC104"/>
    <hyperlink r:id="rId121" ref="AC105"/>
    <hyperlink r:id="rId122" ref="AC106"/>
    <hyperlink r:id="rId123" ref="AC107"/>
    <hyperlink r:id="rId124" ref="AC108"/>
    <hyperlink r:id="rId125" ref="AC109"/>
    <hyperlink r:id="rId126" ref="AC110"/>
    <hyperlink r:id="rId127" ref="AC111"/>
    <hyperlink r:id="rId128" ref="AC112"/>
    <hyperlink r:id="rId129" ref="AC113"/>
    <hyperlink r:id="rId130" ref="AC114"/>
    <hyperlink r:id="rId131" ref="AC115"/>
    <hyperlink r:id="rId132" ref="AC116"/>
    <hyperlink r:id="rId133" ref="AC117"/>
    <hyperlink r:id="rId134" ref="AC118"/>
    <hyperlink r:id="rId135" ref="AC119"/>
    <hyperlink r:id="rId136" ref="AC120"/>
    <hyperlink r:id="rId137" ref="AC121"/>
    <hyperlink r:id="rId138" ref="AC122"/>
    <hyperlink r:id="rId139" ref="AC123"/>
    <hyperlink r:id="rId140" ref="AC124"/>
    <hyperlink r:id="rId141" ref="K125"/>
    <hyperlink r:id="rId142" ref="AC126"/>
    <hyperlink r:id="rId143" ref="AC129"/>
    <hyperlink r:id="rId144" ref="AC130"/>
    <hyperlink r:id="rId145" ref="AC131"/>
    <hyperlink r:id="rId146" ref="AC132"/>
    <hyperlink r:id="rId147" ref="K133"/>
    <hyperlink r:id="rId148" ref="BI133"/>
    <hyperlink r:id="rId149" ref="AC134"/>
    <hyperlink r:id="rId150" ref="AC135"/>
    <hyperlink r:id="rId151" ref="AC136"/>
    <hyperlink r:id="rId152" ref="AC137"/>
    <hyperlink r:id="rId153" ref="K138"/>
    <hyperlink r:id="rId154" ref="AB138"/>
    <hyperlink r:id="rId155" ref="K139"/>
    <hyperlink r:id="rId156" ref="AB139"/>
    <hyperlink r:id="rId157" ref="AC139"/>
    <hyperlink r:id="rId158" ref="AC140"/>
    <hyperlink r:id="rId159" ref="AC141"/>
    <hyperlink r:id="rId160" ref="AB142"/>
    <hyperlink r:id="rId161" ref="AC142"/>
    <hyperlink r:id="rId162" ref="AC143"/>
    <hyperlink r:id="rId163" ref="AC145"/>
    <hyperlink r:id="rId164" ref="AC146"/>
    <hyperlink r:id="rId165" ref="AC148"/>
    <hyperlink r:id="rId166" ref="AC149"/>
    <hyperlink r:id="rId167" ref="AC150"/>
    <hyperlink r:id="rId168" ref="AC151"/>
    <hyperlink r:id="rId169" ref="AC152"/>
    <hyperlink r:id="rId170" ref="AC155"/>
    <hyperlink r:id="rId171" ref="K156"/>
    <hyperlink r:id="rId172" ref="AB156"/>
    <hyperlink r:id="rId173" ref="AC156"/>
    <hyperlink r:id="rId174" ref="K157"/>
    <hyperlink r:id="rId175" ref="AB157"/>
    <hyperlink r:id="rId176" ref="AC157"/>
    <hyperlink r:id="rId177" ref="AC158"/>
    <hyperlink r:id="rId178" ref="AC159"/>
    <hyperlink r:id="rId179" ref="AC160"/>
    <hyperlink r:id="rId180" ref="AC162"/>
    <hyperlink r:id="rId181" ref="AC163"/>
    <hyperlink r:id="rId182" ref="AC164"/>
    <hyperlink r:id="rId183" ref="AC165"/>
    <hyperlink r:id="rId184" ref="AC167"/>
    <hyperlink r:id="rId185" ref="BI167"/>
    <hyperlink r:id="rId186" ref="AB168"/>
    <hyperlink r:id="rId187" ref="AC168"/>
    <hyperlink r:id="rId188" ref="AC169"/>
    <hyperlink r:id="rId189" ref="AC170"/>
    <hyperlink r:id="rId190" ref="AB171"/>
    <hyperlink r:id="rId191" ref="AC175"/>
    <hyperlink r:id="rId192" ref="AB177"/>
    <hyperlink r:id="rId193" ref="K181"/>
    <hyperlink r:id="rId194" ref="AC184"/>
    <hyperlink r:id="rId195" ref="K186"/>
    <hyperlink r:id="rId196" ref="AC187"/>
    <hyperlink r:id="rId197" ref="K188"/>
    <hyperlink r:id="rId198" ref="K189"/>
    <hyperlink r:id="rId199" ref="AB189"/>
    <hyperlink r:id="rId200" ref="AC190"/>
    <hyperlink r:id="rId201" ref="AB191"/>
    <hyperlink r:id="rId202" ref="AC191"/>
    <hyperlink r:id="rId203" ref="AB192"/>
    <hyperlink r:id="rId204" ref="AC192"/>
    <hyperlink r:id="rId205" ref="AC193"/>
    <hyperlink r:id="rId206" ref="AB194"/>
    <hyperlink r:id="rId207" ref="AC194"/>
    <hyperlink r:id="rId208" ref="AB195"/>
    <hyperlink r:id="rId209" ref="AC195"/>
    <hyperlink r:id="rId210" ref="AB196"/>
    <hyperlink r:id="rId211" ref="AC196"/>
    <hyperlink r:id="rId212" ref="AB197"/>
    <hyperlink r:id="rId213" ref="AC197"/>
    <hyperlink r:id="rId214" ref="AB198"/>
    <hyperlink r:id="rId215" ref="AC199"/>
    <hyperlink r:id="rId216" ref="AB200"/>
    <hyperlink r:id="rId217" ref="AC200"/>
    <hyperlink r:id="rId218" ref="AB201"/>
  </hyperlinks>
  <drawing r:id="rId219"/>
</worksheet>
</file>