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2400" sheetId="1" r:id="rId4"/>
  </sheets>
  <definedNames/>
  <calcPr/>
</workbook>
</file>

<file path=xl/sharedStrings.xml><?xml version="1.0" encoding="utf-8"?>
<sst xmlns="http://schemas.openxmlformats.org/spreadsheetml/2006/main" count="4080" uniqueCount="2941">
  <si>
    <t>name</t>
  </si>
  <si>
    <t>Description</t>
  </si>
  <si>
    <t>Role</t>
  </si>
  <si>
    <t>Rolelink</t>
  </si>
  <si>
    <t>National origin</t>
  </si>
  <si>
    <t>National originlink</t>
  </si>
  <si>
    <t>Manufacturer</t>
  </si>
  <si>
    <t>Manufacturerlink</t>
  </si>
  <si>
    <t>Status</t>
  </si>
  <si>
    <t>Produced</t>
  </si>
  <si>
    <t>Crew</t>
  </si>
  <si>
    <t>Wingspan</t>
  </si>
  <si>
    <t>Wing area</t>
  </si>
  <si>
    <t>Aspect ratio</t>
  </si>
  <si>
    <t>Maximum speed</t>
  </si>
  <si>
    <t>Rate of sink</t>
  </si>
  <si>
    <t>Variants</t>
  </si>
  <si>
    <t>Empty weight</t>
  </si>
  <si>
    <t>Gross weight</t>
  </si>
  <si>
    <t>Cruise speed</t>
  </si>
  <si>
    <t>Stall speed</t>
  </si>
  <si>
    <t>Designer</t>
  </si>
  <si>
    <t>Introduction</t>
  </si>
  <si>
    <t>First flight</t>
  </si>
  <si>
    <t>Number built</t>
  </si>
  <si>
    <t>Length</t>
  </si>
  <si>
    <t>Height</t>
  </si>
  <si>
    <t>Airfoil</t>
  </si>
  <si>
    <t>Powerplant</t>
  </si>
  <si>
    <t>Propellers</t>
  </si>
  <si>
    <t>Time to altitude</t>
  </si>
  <si>
    <t>img</t>
  </si>
  <si>
    <t>Capacity</t>
  </si>
  <si>
    <t>Upper wingspan</t>
  </si>
  <si>
    <t>Lower wingspan</t>
  </si>
  <si>
    <t>Range</t>
  </si>
  <si>
    <t>Service ceiling</t>
  </si>
  <si>
    <t>Max takeoff weight</t>
  </si>
  <si>
    <t>Fuel capacity</t>
  </si>
  <si>
    <t>Ferry range</t>
  </si>
  <si>
    <t>Wing loading</t>
  </si>
  <si>
    <t>Fuel consumption</t>
  </si>
  <si>
    <t>Thrust/weight</t>
  </si>
  <si>
    <t>Takeoff</t>
  </si>
  <si>
    <t>Landing</t>
  </si>
  <si>
    <t>Type</t>
  </si>
  <si>
    <t>Typelink</t>
  </si>
  <si>
    <t>Serial</t>
  </si>
  <si>
    <t>Owners and operators</t>
  </si>
  <si>
    <t>Owners and operatorslink</t>
  </si>
  <si>
    <t>Fate</t>
  </si>
  <si>
    <t>Manufactured</t>
  </si>
  <si>
    <t>Registration</t>
  </si>
  <si>
    <t>Seriallink</t>
  </si>
  <si>
    <t>In service</t>
  </si>
  <si>
    <t>Never exceed speed</t>
  </si>
  <si>
    <t>Endurance</t>
  </si>
  <si>
    <t>g limits</t>
  </si>
  <si>
    <t>Maximum glide ratio</t>
  </si>
  <si>
    <t>Power/mass</t>
  </si>
  <si>
    <t>Developed from</t>
  </si>
  <si>
    <t>Rate of climb</t>
  </si>
  <si>
    <t>Landing speed</t>
  </si>
  <si>
    <t>Developed fromlink</t>
  </si>
  <si>
    <t>Designerlink</t>
  </si>
  <si>
    <t>Developed into</t>
  </si>
  <si>
    <t>Developed intolink</t>
  </si>
  <si>
    <t>Statuslink</t>
  </si>
  <si>
    <t>Main rotor diameter</t>
  </si>
  <si>
    <t>Main rotor area</t>
  </si>
  <si>
    <t>Cabin volume for passengers</t>
  </si>
  <si>
    <t>Passenger doors</t>
  </si>
  <si>
    <t>Cargo door</t>
  </si>
  <si>
    <t>Seat pitch at max. Capacity</t>
  </si>
  <si>
    <t>Luggage compartment volume</t>
  </si>
  <si>
    <t>Maximum landing weight</t>
  </si>
  <si>
    <t>Service ceiling on one engine</t>
  </si>
  <si>
    <t>Absolute ceiling</t>
  </si>
  <si>
    <t>Take-off run</t>
  </si>
  <si>
    <t>Landing run</t>
  </si>
  <si>
    <t>Bore</t>
  </si>
  <si>
    <t>Stroke</t>
  </si>
  <si>
    <t>Displacement</t>
  </si>
  <si>
    <t>Diameter</t>
  </si>
  <si>
    <t>Dry weight</t>
  </si>
  <si>
    <t>Fuel system</t>
  </si>
  <si>
    <t>Fuel type</t>
  </si>
  <si>
    <t>Oil system</t>
  </si>
  <si>
    <t>Cooling system</t>
  </si>
  <si>
    <t>Power output</t>
  </si>
  <si>
    <t>Oil consumption</t>
  </si>
  <si>
    <t>First flightlink</t>
  </si>
  <si>
    <t>Primary users</t>
  </si>
  <si>
    <t>Primary userslink</t>
  </si>
  <si>
    <t>Variantslink</t>
  </si>
  <si>
    <t>Hardpoints</t>
  </si>
  <si>
    <t>Missiles</t>
  </si>
  <si>
    <t>Primary user</t>
  </si>
  <si>
    <t>Guns</t>
  </si>
  <si>
    <t>Retired</t>
  </si>
  <si>
    <t>Combat range</t>
  </si>
  <si>
    <t>Rockets</t>
  </si>
  <si>
    <t>Bombs</t>
  </si>
  <si>
    <t>Primary userlink</t>
  </si>
  <si>
    <t>Number builtlink</t>
  </si>
  <si>
    <t>Take-off distance to 15 m (49 ft)</t>
  </si>
  <si>
    <t>Landing distance from 15 m (49 ft)</t>
  </si>
  <si>
    <t>Horizontal turn time</t>
  </si>
  <si>
    <t>Project for</t>
  </si>
  <si>
    <t>Project forlink</t>
  </si>
  <si>
    <t>Issued by</t>
  </si>
  <si>
    <t>Issued bylink</t>
  </si>
  <si>
    <t>Prototypes</t>
  </si>
  <si>
    <t>Prototypeslink</t>
  </si>
  <si>
    <t>Outcome</t>
  </si>
  <si>
    <t>Predecessor programs</t>
  </si>
  <si>
    <t>Predecessor programslink</t>
  </si>
  <si>
    <t>Successor programs</t>
  </si>
  <si>
    <t>Successor programslink</t>
  </si>
  <si>
    <t>Requirement</t>
  </si>
  <si>
    <t>Value</t>
  </si>
  <si>
    <t>Date initiated</t>
  </si>
  <si>
    <t>Proposals</t>
  </si>
  <si>
    <t>Proposalslink</t>
  </si>
  <si>
    <t>Date concluded</t>
  </si>
  <si>
    <t>Outcomelink</t>
  </si>
  <si>
    <t>Related programs</t>
  </si>
  <si>
    <t>Related programslink</t>
  </si>
  <si>
    <t>Minimum speed</t>
  </si>
  <si>
    <t>Disk loading</t>
  </si>
  <si>
    <t>Retiredlink</t>
  </si>
  <si>
    <t>Take-off distance</t>
  </si>
  <si>
    <t>Landing distance</t>
  </si>
  <si>
    <t>Introductionlink</t>
  </si>
  <si>
    <t>Designed by</t>
  </si>
  <si>
    <t>Width</t>
  </si>
  <si>
    <t>Valvetrain</t>
  </si>
  <si>
    <t>Reduction gear</t>
  </si>
  <si>
    <t>Crankshaft</t>
  </si>
  <si>
    <t>Power-to-weight ratio</t>
  </si>
  <si>
    <t>Take-off and landing distances</t>
  </si>
  <si>
    <t>Landing run '102'</t>
  </si>
  <si>
    <t>Landing run '101'</t>
  </si>
  <si>
    <t>Take-off time</t>
  </si>
  <si>
    <t>Take-off distance, pilot only</t>
  </si>
  <si>
    <t>Nose</t>
  </si>
  <si>
    <t>Rear fuselage</t>
  </si>
  <si>
    <t>Under fuselage</t>
  </si>
  <si>
    <t>Length de-rigged</t>
  </si>
  <si>
    <t>Width de-rigged (without tailplane)</t>
  </si>
  <si>
    <t>Width de-rigged (with tailplane)</t>
  </si>
  <si>
    <t>Height de-rigged</t>
  </si>
  <si>
    <t>Sol Prymus</t>
  </si>
  <si>
    <t>The Sol Prymus (English: Primus, meaning Primary) is a Brazilian single-place paraglider that was designed and produced by Sol Paragliders of Jaraguá do Sul starting in the mid-2000s. It remained in production as the Prymus 4 in 2016.[1][2] The Prymus was designed as a beginner to intermediate glider. By 2016 the design had progressed through four generations of models, the Prymus 1, 2, 3 and 4, each improving on the last. The models are each named for their relative size.[1] The Prymus 4 has a top and bottom wing surface made from WTX 40 - 40 g/m2 fabric, with wing ribs made from Pro Nyl 42 g/m2 rip stop covered with poliuretano and BT technology reinforcements. The lines are 1.1, 1.5 and 2.1 mm Cousin Technora Superaram, while the risers are Fitanew 15 x 2,0 mm Flat Multi 1600 kg strapping. The carabiners are Ansung Precision 4mm 800 kg and the pulleys are made by SOL.[2] Data from Bertrand[1]General characteristics Performance</t>
  </si>
  <si>
    <t>Paraglider</t>
  </si>
  <si>
    <t>https://en.wikipedia.org/Paraglider</t>
  </si>
  <si>
    <t>Brazil</t>
  </si>
  <si>
    <t>https://en.wikipedia.org/Brazil</t>
  </si>
  <si>
    <t>Sol Paragliders</t>
  </si>
  <si>
    <t>https://en.wikipedia.org/Sol Paragliders</t>
  </si>
  <si>
    <t>In production (Prymus 4, 2016)</t>
  </si>
  <si>
    <t>mid-2000s - present</t>
  </si>
  <si>
    <t>one</t>
  </si>
  <si>
    <t>11.88 m (39 ft 0 in)</t>
  </si>
  <si>
    <t>29.77 m2 (320.4 sq ft)</t>
  </si>
  <si>
    <t>45 km/h (28 mph, 24 kn)</t>
  </si>
  <si>
    <t>1.1 m/s (220 ft/min)</t>
  </si>
  <si>
    <t>Sol Synergy</t>
  </si>
  <si>
    <t>The Sol Synergy is a Brazilian single-place paraglider that was designed and produced by Sol Paragliders of Jaraguá do Sul in the mid-2000s. It is now out of production.[1] The Synergy was designed as an intermediate glider. The models are each named for their relative size.[1] Data from Bertrand[1]General characteristics Performance</t>
  </si>
  <si>
    <t>Sol Paragiders</t>
  </si>
  <si>
    <t>https://en.wikipedia.org/Sol Paragiders</t>
  </si>
  <si>
    <t>Production completed</t>
  </si>
  <si>
    <t>mid-2000s</t>
  </si>
  <si>
    <t>12.34 m (40 ft 6 in)</t>
  </si>
  <si>
    <t>28.01 m2 (301.5 sq ft)</t>
  </si>
  <si>
    <t>50 km/h (31 mph, 27 kn)</t>
  </si>
  <si>
    <t>1.0 m/s (200 ft/min)</t>
  </si>
  <si>
    <t>{}</t>
  </si>
  <si>
    <t>Windtech Coral</t>
  </si>
  <si>
    <t>The Windtech Coral is a Spanish single-place paraglider that was designed and produced by Windtech Parapentes of Gijón. It is now out of production.[1] The aircraft was designed as a beginner glider for school flight training use. The models are each named for their approximate wing area in square metres.[1] The design features pitch control stability to simplify beginner ground handling. Also the cells decrease in width towards the wing tips to improve turn co-ordination.[2] The glider wing is made from Porcher Marine Skytex 44 g/m2 nylon fabric. The rib reinforcements are 310 g/m2 Dacron, with the trailing edge reinforcement fabricated of 175 g/m2 polyester. The lines are all sheathed Kevlar of 1.1 and 1.7 mm in diameter. The risers are made from 25 mm wide polyester strapping.[3] Data from Bertrand[1] and manufacturer[3]General characteristics Performance</t>
  </si>
  <si>
    <t>Spain</t>
  </si>
  <si>
    <t>https://en.wikipedia.org/Spain</t>
  </si>
  <si>
    <t>Windtech Parapentes</t>
  </si>
  <si>
    <t>https://en.wikipedia.org/Windtech Parapentes</t>
  </si>
  <si>
    <t>11.54 m (37 ft 10 in)</t>
  </si>
  <si>
    <t>29.56 m2 (318.2 sq ft)</t>
  </si>
  <si>
    <t>5.2 kg (11 lb)</t>
  </si>
  <si>
    <t>100 kg (220 lb)</t>
  </si>
  <si>
    <t>36 km/h (22 mph, 19 kn)</t>
  </si>
  <si>
    <t>20 km/h (12 mph, 11 kn)</t>
  </si>
  <si>
    <t>XIX Form</t>
  </si>
  <si>
    <t>The XIX Form is a Swiss single-place paraglider that was designed by Michi Kobler and produced by XIX GmbH of Kronbühl in the mid-2000s. It is now out of production.[1] The Form was designed as an intermediate glider. The design progressed through several generations of models, each improving on the last. The models are each named for their relative size.[1] Data from Bertrand[1]General characteristics Performance</t>
  </si>
  <si>
    <t>Switzerland</t>
  </si>
  <si>
    <t>https://en.wikipedia.org/Switzerland</t>
  </si>
  <si>
    <t>XIX GmbH</t>
  </si>
  <si>
    <t>https://en.wikipedia.org/XIX GmbH</t>
  </si>
  <si>
    <t>12.3 m (40 ft 4 in)</t>
  </si>
  <si>
    <t>28 m2 (300 sq ft)</t>
  </si>
  <si>
    <t>Michi Kobler</t>
  </si>
  <si>
    <t>XIX Inter</t>
  </si>
  <si>
    <t>The XIX Inter is a Swiss single-place paraglider that was designed by Michi Kobler and produced by XIX GmbH of Kronbühl introduced in 2003. It is now out of production.[1] The Inter was designed as an intermediate glider. The design progressed through several generations of models, each improving on the last. The models are each named for their relative size.[1] Data from Bertrand[1]General characteristics Performance</t>
  </si>
  <si>
    <t>12.2 m (40 ft 0 in)</t>
  </si>
  <si>
    <t>28.9 m2 (311 sq ft)</t>
  </si>
  <si>
    <t>49 km/h (30 mph, 26 kn)</t>
  </si>
  <si>
    <t>Latham L.1</t>
  </si>
  <si>
    <t>The Latham L.1 was a French competitor in the 1923 Schneider Trophy race. It was a twin engine, biplane flying boat, built by Société Latham. The Latham L.1 was a single bay biplane with a single, faired interplane strut on each side. There was slight stagger. The gap between the upper and lower wings was large, about 2.5 m (8.2 ft) or 20% of the span. This allowed the engines, a pair of 220 kW (300 hp) Lorraine 12D V-12s mounted in push-pull configuration, to be mounted between the wings. Enclosed in a continuous, streamlined cowling, they were strut-mounted from below on four pairs of longitudinal V-struts and another four smaller pairs of inverted V-struts from their upper side formed a cabane which braced the upper wing centre-section. The engines were cooled with cylindrical Lamblin radiators on each forward engine support strut. The lower wing was mounted on top of the fuselage.[1] The upper and lower wings were rectangular in plan and the same size, both set with slight dihedral. Rectangular plan ailerons, extending to the tips, were fitted on both wings and were externally connected. Stabilising floats were fitted directly to the lower wing underside below the interplane struts.[1] The L.1 had a single-step hull, built entirely of duralumin and with a slightly concave V-section planing bottom. The fuselage sides were a little rounded, flatter than the upper decking. The pilot's open cockpit was ahead of the wing leading edges but below the forward engine.  At the rear the upper fuselage swept upwards into the fin, which carried the horizontal tail at its top. The latter was straight-edged with angled tips, its tailplane braced to the fuselage with a rearward-leaning strut on each side.  The rudder, which worked in a cut-out between the elevators, was rounded and had a comma-style balance that operated above the tailplane.[1] The 1923 Schneider Cup race was held off Portsmouth over the Solent between Cowes and Selsey and flown on 28 September after taxiing and mooring tests the day before. They French team had two Latham L.1s (the second was not termed L.2 in contemporary reports,[2][3] despite the accounts in some modern sources), one (race no. 11, F-ESEJ) to compete with Duhamel as pilot and the other as a reserve.[2] They also had a pair of CAMS 38s.[2] Latham L.1 No.11 passed the 27 September tests without incident but engine problems prevented it reaching the starting line the next day and the only French competitor was one of the CAMS 38s, which dropped out after one lap. The race was decisively won by the US with their Curtiss CR-3 floatplanes in first and second places.[4] Data from Les Ailes, November 1923[1]General characteristics Performance</t>
  </si>
  <si>
    <t>Schneider Trophy racing aircraft</t>
  </si>
  <si>
    <t>https://en.wikipedia.org/Schneider Trophy racing aircraft</t>
  </si>
  <si>
    <t>France</t>
  </si>
  <si>
    <t>https://en.wikipedia.org/France</t>
  </si>
  <si>
    <t>Société Latham</t>
  </si>
  <si>
    <t>https://en.wikipedia.org/Société Latham</t>
  </si>
  <si>
    <t>One</t>
  </si>
  <si>
    <t>12.40 m (40 ft 8 in)</t>
  </si>
  <si>
    <t>50 m2 (540 sq ft)</t>
  </si>
  <si>
    <t>260 km/h (160 mph, 140 kn)</t>
  </si>
  <si>
    <t>2,200 kg (4,850 lb)</t>
  </si>
  <si>
    <t>2,700 kg (5,952 lb)</t>
  </si>
  <si>
    <t>11 m (36 ft 1 in)</t>
  </si>
  <si>
    <t>4.27 m (14 ft 0 in)</t>
  </si>
  <si>
    <t>Göttingen 416</t>
  </si>
  <si>
    <t>2 × Lorraine 12D water-cooled V12, 300 kW (400 hp)  each</t>
  </si>
  <si>
    <t>2-bladed</t>
  </si>
  <si>
    <t>20 min to 4,000 m (13,000 ft)</t>
  </si>
  <si>
    <t>Sikorsky S-33 Messenger</t>
  </si>
  <si>
    <t>The Sikorsky S-33 Messenger was an American two-seat sesqiuplane designed and built by the Sikorsky Manufacturing Corporation in 1925. The first of two examples built participated in the Sixth Pulitzer Trophy Race at Mitchel Field, Long Island, New York on October 12, 1925 and was piloted by Al Krapish, an employee of Sikorsky.[1] The first aircraft is reported to have been powered by a Wright Gale of 60 hp (45 kW) and the second by a Lawrance L-3 of 60 hp (45 kW). These were essentially the same engine type, post- and pre- acquisition of the Lawrance Aero Engine Company by the Wright Aeronautical Corporation, respectively. Some sources assert that the aircraft was powered by an Anzani engine,[2] but this is most likely to be a mis-identification.[original research?] Data from Aerofiles[2]General characteristics Performance This article on an aircraft of the 1920s is a stub. You can help Wikipedia by expanding it.</t>
  </si>
  <si>
    <t>Racer/Utility</t>
  </si>
  <si>
    <t>America</t>
  </si>
  <si>
    <t>https://en.wikipedia.org/America</t>
  </si>
  <si>
    <t>Sikorsky</t>
  </si>
  <si>
    <t>Two</t>
  </si>
  <si>
    <t>160.4 sq ft (14.90 m2)</t>
  </si>
  <si>
    <t>115 mph (185 km/h, 100 kn)</t>
  </si>
  <si>
    <t>882 lb (400 kg)</t>
  </si>
  <si>
    <t>1,389 lb (630 kg)</t>
  </si>
  <si>
    <t>35 mph (56 km/h, 30 kn)</t>
  </si>
  <si>
    <t>18 ft 0 in (5.49 m)</t>
  </si>
  <si>
    <t>1 × Wright Gale 3-cylinder radial, 60 hp (45 kW)</t>
  </si>
  <si>
    <t>//upload.wikimedia.org/wikipedia/commons/thumb/d/d0/Sikorsky_S-33_Messenger_airplane.jpg/300px-Sikorsky_S-33_Messenger_airplane.jpg</t>
  </si>
  <si>
    <t>500 lb (230 kg)</t>
  </si>
  <si>
    <t>32 ft 0 in (9.75 m)</t>
  </si>
  <si>
    <t>20 ft 0 in (6.10 m)</t>
  </si>
  <si>
    <t>400 mi (640 km, 350 nmi)</t>
  </si>
  <si>
    <t>15,000 ft (4,600 m)</t>
  </si>
  <si>
    <t>Sky Brontes</t>
  </si>
  <si>
    <t>The Sky Brontes is a Czech single-place paraglider, designed and produced by Sky Paragliders of Frýdlant nad Ostravicí. It is now out of production.[1] The Brontes was designed as an intermediate and cross country glider. The models are each named for their relative size.[1] Reviewer Noel Bertrand described the Brontes in a 2003 review as "pleasant to fly, high performance and well built."[1] Data from Bertrand[1]General characteristics Performance</t>
  </si>
  <si>
    <t>Czech Republic</t>
  </si>
  <si>
    <t>https://en.wikipedia.org/Czech Republic</t>
  </si>
  <si>
    <t>Sky Paragliders</t>
  </si>
  <si>
    <t>https://en.wikipedia.org/Sky Paragliders</t>
  </si>
  <si>
    <t>12.4 m (40 ft 8 in)</t>
  </si>
  <si>
    <t>29.07 m2 (312.9 sq ft)</t>
  </si>
  <si>
    <t>52 km/h (32 mph, 28 kn)</t>
  </si>
  <si>
    <t>Sky Flirt</t>
  </si>
  <si>
    <t>The Sky Flirt is a Czech single-place paraglider, designed and produced by Sky Paragliders of Frýdlant nad Ostravicí. It is now out of production.[1] The Flirt was designed as an advanced performance glider. The models are each named for their approximate wing area in square metres.[1] Data from Bertrand[1]General characteristics Performance</t>
  </si>
  <si>
    <t>12.26 m (40 ft 3 in)</t>
  </si>
  <si>
    <t>26.2 m2 (282 sq ft)</t>
  </si>
  <si>
    <t>Sky Paragliders Lift</t>
  </si>
  <si>
    <t>The Sky Paragliders Lift is a Czech single-place paraglider, designed and produced by Sky Paragliders of Frýdlant nad Ostravicí. Available in the mid-2000s, it is now out of production.[1] The Lift was designed as an intermediate glider. The models are each named for their approximate wing area in square metres.[1] Data from Bertrand[1]General characteristics Performance</t>
  </si>
  <si>
    <t>11.31 m (37 ft 1 in)</t>
  </si>
  <si>
    <t>26.1 m2 (281 sq ft)</t>
  </si>
  <si>
    <t>1.2 m/s (240 ft/min)</t>
  </si>
  <si>
    <t>Stratos 714</t>
  </si>
  <si>
    <t>The Stratos 714 is an American very light jet aircraft under development by Stratos Aircraft of Redmond, Oregon. The project was announced in July 2008, a prototype first flew on 21 November 2016, although Stratos currently lacks the funding to complete type certification. Predominantly made of carbon composite, the single turbofan aircraft would seat four to six at 400 kn (740 km/h) over up to 1,500 nmi (2,800 km). Chief technology officer Carsten Sundin launched the VLJ project with CEO Michael Lemaire, aiming for higher speed and range than competitors. Sundin joined Lancair in 1993 after graduating and became engineering manager on the 240 kn (440 km/h) Lancair Legacy 2000. In 2003 he joined Epic Aircraft to become engineering manager on its new single turboprop and met the aerodynamicist of the Farnborough F1, Gordon Robinson. Farnborough Aircraft and Epic formed a joint venture to develop the smaller kit Epic LT along the FAR-23 certificated F1, sharing their wing, engine and tail, and Sundin Left Epic in 2005.[1] The project was unveiled on 16 July 2008, touted as an owner-flown Very Light Personal Jet.[2] A cabin mock-up was shown at AirVenture in July 2009. At that time the company predicted the jet would sell for about US$2M. The company was seeking US$12M to build two prototypes and a further US$100M to complete certification and commence production. The company CEO, Michael Lemaire, indicated in 2009 that the aircraft will fill a performance niche, as there is no other four seat aircraft with the 714's speed and range.[3][4] The company was accepting refundable customer deposits of US$50,000 to be held in interest-bearing escrow in 2009.[5] The first deposit was made by Cascade Air Charter, of Bend, Oregon in October 2009.[6] First flight of a proof of concept aircraft was achieved on 21 November 2016 before a public introduction at AirVenture in July 2017, with no firm schedule for certification.[7] It is registered as N403KT.[8] In February 2017 prototype flight testing continued. The company did not have the funding to complete certification, and was no longer accepting deposits from customers. Stratos CEO Michael Lemaire indicated at that time, "we are privately funded for the prototype phase, during which we are planning to explore the full flight envelope and draw conclusions for the certification stage. We are not yet funded for the certification phase. At present, we have no plan to take deposits towards deliveries, which are still many years away."[9] While investment is sufficient for an additional prototype and to finish flight testing, certification would need in the range of at least $200 million.[10] Stratos estimates type certification would need $100–150 million, but this could triple, and considers as an intermediate step selling aircraft kits needing a $200–400 thousand JT15D-5 with a few hundred hours before TBO. Production aircraft with a $900,000 PW535E are targeted for $3–3.5 million, 50% more than a Cirrus SF50 but competitive with $4.5-5 million twin very light jets with its 400 kn (740 km/h), 1,500 nmi (2,800 km) range, 600 lb (270 kg) full fuel payload and consuming only 1.16 lb/mi (0.33 kg/km) cruising at FL410, while used aircraft at this price have lower efficiency, dispatch reliability and inferior technology.[1] By July 2018, the 714 prototype had flown 185 flight hours, reaching 25,000 feet and 370 knots.[11] The proof-of-concept aircraft had logged 250 hours by April 2019,[12] and 330 hours by January 2020.[13] In May 2018, after 170 hours of test flying, Stratos decided to stretch the fuselage by 31 in (77.5 cm) to better accommodate six adults with bags. The aircraft was to be named and unveiled in the third quarter of 2018, with a first flight likely in 2019.[14] Powered by a 3,000 lbf (13 kN) PWC JT15D-5 with single-lever control, The 716X was unveiled at the July 2018 EAA AirVenture, to be available as a kit in the fourth quarter with a stretched and 2 in (51 mm) wider fuselage than the 714. Before production of a certified version in four to five years, Stratos intends to sell three kits per year. The kits will each take 2,500 hours to build, in the same manner as an Epic LT single turboprop.[11] By April 2019, Stratos was building the fuselage for the first prototype. A full-scale cabin mock-up will be displayed at EAA AirVenture Oshkosh in July. A 3,400 lbf (15 kN) PW535 will propel the certificated version, featuring Garmin G3000 or G5000 avionics.[12] By January 2020, load testing had been completed, while the first prototype was being assembled. The company intends to conduct high-speed taxi tests in the second quarter, with first flight forecast for the second half of 2020. The company intends to start taking orders once flight testing is under way. Stratos forecasts a production rate of 30 to 50 aircraft per year.[13] On July 2, 2020, the 716X made a 22 minute maiden flight from Redmond, Oregon, climbing to 13,500 ft and launching a flight-test program that will last several months.[15] The aircraft design features a cantilever low-wing with winglets, a cruciform tail and retractable tricycle landing gear. The original four seater has an 11.5 ft (3.5 m) long, 170 cu ft (4.8 m3) cabin, but following aircraft will be larger, with six seats. The airframe is built from Toray pre-preg carbon composites and nomex honeycomb sandwich, except the aft-center section, a fairing-covered moly steel cage supporting the turbofan for damage tolerance, in case of an uncontained engine failure. The 198 sq ft (18.4 m2) wing has a thickness ratio of 14-16.5%, to allow for the main landing gear and 196 US gal (740 l; 163 imp gal) of fuel per side (2,553 lb (1,158 kg) total), double-slotted flaps and the supercritical airfoil maintains laminar flow on 50-55% of the upper surface. The engine is in-line with the center of mass to avoid thrust-pitch coupling. It employs a fuselage-top mount, its intakes outside the boundary layer.[1] The aircraft is flown by sidesticks like Lancair aircraft or the Cessna TTx. The first prototype has an experimental Electronic International/Garmin flight deck, but production aircraft will have a Garmin G3000 cockpit. The 8.33 psi (57.4 kPa) pressurization provides a 8,000 ft (2,400 m) cabin altitude at its FL410 ceiling. The leading edge deicing boots allow flying in icing conditions. The prototype is powered by a single 2,900 lbf (13 kN) JT15D-5 taken from a Beechjet, but production versions will use a 3,360 lbf (14.9 kN) PW535E for 22-27% more high altitude thrust and 15% better TSFC.[1] Data from Stratos.[16]General characteristics Performance     Related lists</t>
  </si>
  <si>
    <t>Very light jet</t>
  </si>
  <si>
    <t>https://en.wikipedia.org/Very light jet</t>
  </si>
  <si>
    <t>Stratos Aircraft</t>
  </si>
  <si>
    <t>https://en.wikipedia.org/Stratos Aircraft</t>
  </si>
  <si>
    <t>Under development</t>
  </si>
  <si>
    <t>40 ft 6 in (12.34 m)</t>
  </si>
  <si>
    <t>198[1] sq ft (18.4 m2)</t>
  </si>
  <si>
    <t>402 kn (462 mph, 744 km/h) High Speed cruise</t>
  </si>
  <si>
    <t>5,035 lb (2,284 kg) including 200 lb (91 kg) pilot</t>
  </si>
  <si>
    <t>6,261 lb (2,840 kg) Max. zero fuel</t>
  </si>
  <si>
    <t>320 kn (370 mph, 590 km/h) Long range cruise</t>
  </si>
  <si>
    <t>35 ft 10 in (10.91 m)</t>
  </si>
  <si>
    <t>11 ft 5 in (3.48 m)</t>
  </si>
  <si>
    <t>supercritical, 14-16.5% thickness ratio[1]</t>
  </si>
  <si>
    <t>1 × Pratt &amp; Whitney Canada PW535E turbofan, 3,360 lbf (14.9 kN) thrust</t>
  </si>
  <si>
    <t>17 minutes to FL370</t>
  </si>
  <si>
    <t>3-5 passengers</t>
  </si>
  <si>
    <t>1,178 nmi (1,356 mi, 2,182 km) Max payload</t>
  </si>
  <si>
    <t>41,000 ft (12,000 m)</t>
  </si>
  <si>
    <t>8,421 lb (3,820 kg)</t>
  </si>
  <si>
    <t>2,619 lb (1,188 kg)</t>
  </si>
  <si>
    <t>1,777 nmi (2,045 mi, 3,291 km)</t>
  </si>
  <si>
    <t>43 lb/sq ft (210 kg/m2)</t>
  </si>
  <si>
    <t>4.0–3.7 lb/mi (1.12–1.05 kg/km)</t>
  </si>
  <si>
    <t>2,090 ft (637 m) [SL, ISA, MTOW]</t>
  </si>
  <si>
    <t>1,510 ft (460 m)</t>
  </si>
  <si>
    <t>Windtech Pulsar</t>
  </si>
  <si>
    <t>The Windtech Pulsar is a Spanish single-place paraglider that was designed and produced by Windtech Parapentes of Gijón. It is now out of production.[1] The aircraft was designed as a sports intermediate glider, to replace the Windtech Serak in the company line. The models are each named for their approximate wing area in square metres.[1] The design was optimized for strength, using V-ribs to reduce the line count for lower drag and higher speed.[2] The glider wing is made from Porcher Marine Skytex 45 g/m2 nylon fabric. The rib reinforcements are 180 g/m2 Dacron, with the trailing edge reinforcement fabricated of 175 g/m2 polyester. The lines are all sheathed Kevlar and 1.1 and 1.7 mm in diameter. The risers are made from 20 mm wide Polyamida strapping.[3] Data from Bertrand[1] and manufacturer[3]General characteristics Performance</t>
  </si>
  <si>
    <t>11.52 m (37 ft 10 in)</t>
  </si>
  <si>
    <t>25.85 m2 (278.2 sq ft)</t>
  </si>
  <si>
    <t>7.47 kg (16 lb)</t>
  </si>
  <si>
    <t>90 kg (198 lb)</t>
  </si>
  <si>
    <t>37 km/h (23 mph, 20 kn)</t>
  </si>
  <si>
    <t>22 km/h (14 mph, 12 kn)</t>
  </si>
  <si>
    <t>Windtech Tonic</t>
  </si>
  <si>
    <t>The Windtech Tonic is a Spanish single-place paraglider that was designed and produced by Windtech Parapentes of Gijón. It is now out of production.[1] The Tonic was designed as a beginner to intermediate glider for new pilots. The models are each named for their approximate wing area in square metres.[1] The glider was designed to be easy and smooth to inflate and launch and to fly with a high degree of stability and resistance to collapses.[2] The glider wing is made from Porcher Marine Skytex 44 g/m2 nylon fabric. The rib reinforcements are 180 g/m2 Dacron, with the trailing edge reinforcement fabricated of 175 g/m2 polyester. The lines are all sheathed Kevlar of 1.1 and 1.7 mm diameter. The risers are made from 20 mm wide Polyamida strapping.[3] Data from Bertrand[1] and manufacturer[3]General characteristics Performance</t>
  </si>
  <si>
    <t>11.2 m (36 ft 9 in)</t>
  </si>
  <si>
    <t>26.5 m2 (285 sq ft)</t>
  </si>
  <si>
    <t>48 km/h (30 mph, 26 kn)</t>
  </si>
  <si>
    <t>85 kg (187 lb)</t>
  </si>
  <si>
    <t>21 km/h (13 mph, 11 kn)</t>
  </si>
  <si>
    <t>Hot Stuff (aircraft)</t>
  </si>
  <si>
    <t>Hot Stuff is the nickname of a Consolidated B-24 Liberator, 41-23728, of the 8th Air Force that was used in World War II. It was the first heavy bomber in the 8th Air Force to complete twenty-five missions in Europe in World War II and the aircraft which crashed while carrying Lt. Gen. Frank M. Andrews.  Hot Stuff was part of the 8th Air Force out of Hardwick (Station 104), England, and part of the 93rd Bomb Group, 330th Bomb Squadron. Hot Stuff flew its 25th mission on February 7, 1943, against long odds at a time when many planes were being shot down. Hot Stuff became the first heavy bomber and crew, and first B-24, in the 8th Air Force to complete twenty-five missions in Europe in World War II. It reached its 25th mission milestone three-and-a-half months before the widely celebrated Memphis Belle. After Hot Stuff completed thirty-one missions, it was selected to return to the America on May 3, 1943, to tour the country and help sell war bonds.[1] In early 1943 Lt. Gen. Frank M. Andrews needed to get back to Washington, D.C. He was Commander of the European Theater of Operations and known as the father of the Air Force. General Andrews knew Hot Stuff's pilot Capt. "Shine" Shannon and chose to fly back to the America with him. The pilot, Capt. Shannon stated before the flight that he was "assigned to take Andrews home via Iceland."  PFC Carroll Stewart, Gen. Andrews' aide and 93rd Bomb Group historian stated that "Captain Robert H. (Shine) Shannon of The Circus would have been going south, too, (to participate in Operation Tidal Wave, the Ploesti Raid) except his plane and crew were tabbed by Frank M. Andrews, gray-thatched European Theater Commander, for a hurried trip to the Pentagon." It was well known that General Andrews was in line for promotion and may have been going back to Washington, D.C., to be promoted to four star general and/or possibly assigned to lead the assault across the English Channel.[2] Hot Stuff had a scheduled refueling stop in Iceland but crashed into Mount Fagradalsfjall near Grindavik, Iceland, in bad weather on May 3, 1943. Fourteen on board were killed. Only the tail gunner, George Eisel, survived.[3]  Because of Gen. Andrews's death, the job of Supreme Allied Commander was assigned to Gen. Dwight Eisenhower seven months later in December 1943. Additionally, because Hot Stuff was destroyed in the crash, the War Department chose to send the Memphis Belle home and celebrate it as the first bomber to reach 25 missions. Memphis Belle later inspired the making of two motion pictures: a 1944 documentary film, Memphis Belle: A Story of a Flying Fortress, and a 1990 Hollywood feature film, Memphis Belle.[4] A monument honoring the dead was unveiled near the crash site on 3 May 2018, 75 years after the crash.[5]</t>
  </si>
  <si>
    <t>Consolidated Aircraft</t>
  </si>
  <si>
    <t>https://en.wikipedia.org/Consolidated Aircraft</t>
  </si>
  <si>
    <t>//upload.wikimedia.org/wikipedia/commons/thumb/b/b7/FMA_crash_photo1.JPG/300px-FMA_crash_photo1.JPG</t>
  </si>
  <si>
    <t>Consolidated B-24 Liberator</t>
  </si>
  <si>
    <t>https://en.wikipedia.org/Consolidated B-24 Liberator</t>
  </si>
  <si>
    <t>41-23728</t>
  </si>
  <si>
    <t>America Army Air Forces</t>
  </si>
  <si>
    <t>https://en.wikipedia.org/America Army Air Forces</t>
  </si>
  <si>
    <t>Crashed May 3, 1943</t>
  </si>
  <si>
    <t>XIX Top</t>
  </si>
  <si>
    <t>The XIX Top is a series of Swiss single-place paragliders, that was designed by Michi Kobler and produced by XIX GmbH of Kronbühl in the mid-2000s. It is now out of production.[1] The Top was designed as a performance cross country glider. The design progressed through several generations of models, each improving on the last. The models are each named for their relative size.[1] Data from Bertrand[1]General characteristics Performance</t>
  </si>
  <si>
    <t>12.5 m (41 ft 0 in)</t>
  </si>
  <si>
    <t>60 km/h (37 mph, 32 kn)</t>
  </si>
  <si>
    <t>Jojo Addiction</t>
  </si>
  <si>
    <t>The Jojo Addiction is a Czech single-place paraglider that was designed and produced by Jojo Wings of Roudnice nad Labem. It is now out of production.[1] The Addiction was designed as an advanced performance glider. The models are each named for their relative size.[1] Reviewer Noel Bertrand noted the very low price of the Addiction in a 2003 review, saying "the prices are very interesting".[1] Data from Bertrand[1]General characteristics</t>
  </si>
  <si>
    <t>Jojo Wings</t>
  </si>
  <si>
    <t>https://en.wikipedia.org/Jojo Wings</t>
  </si>
  <si>
    <t>13 m (42 ft 8 in)</t>
  </si>
  <si>
    <t>29 m2 (310 sq ft)</t>
  </si>
  <si>
    <t>Jojo Quest Bi</t>
  </si>
  <si>
    <t>The Jojo Quest Bi is a Czech two-place paraglider that was designed and produced by Jojo Wings of Roudnice nad Labem. It is now out of production.[1] The aircraft was designed as a tandem glider for flight training and as such was referred to as the Quest Bi, indicting "bi-place" or two seater.[1] The aircraft's 14.5 m (47.6 ft) span wing has 52 cells, a wing area of 42 m2 (450 sq ft) and an aspect ratio of 5:1. The pilot weight range is 155 to 200 kg (342 to 441 lb). The glider is AFNOR Biplace certified.[1] Reviewer Noel Bertrand noted the very low price of the Quest Bi in a 2003 review, saying "the prices are very interesting".[1] Data from Bertrand[1]General characteristics</t>
  </si>
  <si>
    <t>14.5 m (47 ft 7 in)</t>
  </si>
  <si>
    <t>42 m2 (450 sq ft)</t>
  </si>
  <si>
    <t>one passenger</t>
  </si>
  <si>
    <t>Mac Pasha</t>
  </si>
  <si>
    <t>The Mac Pasha (from the Turkish title) is a Czech two-place paraglider that was designed by Peter Recek and is produced by Mac Para Technology of Rožnov pod Radhoštěm. It remained in production in 2016 as the Pasha 5.[1] The Pasha was designed as a tandem glider for flight training. The design has progressed through five generations of models, the Pasha, Pasha 2, 3, 4 and 5, each improving on the last. With two sizes, the Pasha 5 models are each named for their approximate wing area in square metres.[1][2] Data from Bertrand[1]General characteristics Performance</t>
  </si>
  <si>
    <t>Mac Para Technology</t>
  </si>
  <si>
    <t>https://en.wikipedia.org/Mac Para Technology</t>
  </si>
  <si>
    <t>In production (Pasha 5, 2016)</t>
  </si>
  <si>
    <t>4.60 m (15.08 ft)</t>
  </si>
  <si>
    <t>42.28 m2 (455.1 sq ft)</t>
  </si>
  <si>
    <t>40 km/h (25 mph, 22 kn)</t>
  </si>
  <si>
    <t>1.15 m/s (226 ft/min)</t>
  </si>
  <si>
    <t>Peter Recek</t>
  </si>
  <si>
    <t>Sky Fides</t>
  </si>
  <si>
    <t>The Sky Fides is a Czech single-place paraglider, designed and produced by Sky Paragliders of Frýdlant nad Ostravicí. It is now out of production.[1] The Fides was designed as a beginner glider. The models are each named for their approximate wing area in square metres.[1] Reviewer Noel Bertrand described the Fides in a 2003 review as "pleasant to fly, high performance and well built."[1] Data from Bertrand[1]General characteristics Performance</t>
  </si>
  <si>
    <t>11.4 m (37 ft 5 in)</t>
  </si>
  <si>
    <t>28.74 m2 (309.4 sq ft)</t>
  </si>
  <si>
    <t>44 km/h (27 mph, 24 kn)</t>
  </si>
  <si>
    <t>Windtech Bantoo</t>
  </si>
  <si>
    <t>The Windtech Bantoo is a Spanish two-place paraglider that was designed and produced by Windtech Parapentes of Gijón. It is now out of production.[1] The Bantoo was designed as a tandem glider for flight training.[1] The aircraft's 14.7 m (48.2 ft) span wing has 51 cells, a wing area of 41.3 m2 (445 sq ft) and an aspect ratio of 5:1. The crew weight range is 135 to 220 kg (298 to 485 lb). The glider is DHV 1-2 certified.[1] The glider wing is made from Porcher Marine Skytex 45 g/m2 nylon fabric, with the v-ribs of lighter 34 g/m2 fabric. The rib reinforcements are 310 g/m2 Dacron, with the trailing edge reinforcement fabricated of 175 g/m2 polyester. The lines are all sheathed Kevlar, with the A and B lines 2.2 mm in diameter, the C and D lines 1.7 mm in diameter and the upper lines 1.1 mm in diameter. The risers are made from 25 mm wide polyester strapping.[2] Data from Bertrand[1] and manufacturer[2]General characteristics Performance</t>
  </si>
  <si>
    <t>14.7 m (48 ft 3 in)</t>
  </si>
  <si>
    <t>43.1 m2 (464 sq ft)</t>
  </si>
  <si>
    <t>9.7 kg (21 lb)</t>
  </si>
  <si>
    <t>220 kg (485 lb)</t>
  </si>
  <si>
    <t>Windtech Nitro</t>
  </si>
  <si>
    <t>The Windtech Nitro is a Spanish single-place paraglider that was designed and produced by Windtech Parapentes of Gijón. It is now out of production.[1] The aircraft was designed as a competition glider. The models are each named for their approximate wing area in square metres.[1] The design was optimized for glide ratio and maintenance of wing tip pressure to prevent collapses.[2] The glider wing is made from Porcher Marine Skytex 44 g/m2 nylon fabric. The rib reinforcements are 310 g/m2 Dacron, with the trailing edge reinforcement fabricated of 175 g/m2 polyester. The lines are all sheathed Kevlar of 1.1 and 1.7 mm diameter or, optionally 0.6 and 0.9 mm micro unsheathed lines. The risers are made from 20 mm wide Polyamida strapping.[3] Reviewer Noel Bertrand praised the glider in a 2003 review, saying, "the flight qualities of the Nitro are explosive!"[1] Data from Bertrand[1] and manufacturer[3]General characteristics Performance</t>
  </si>
  <si>
    <t>12.77 m (41 ft 11 in)</t>
  </si>
  <si>
    <t>26.42 m2 (284.4 sq ft)</t>
  </si>
  <si>
    <t>65 km/h (40 mph, 35 kn)</t>
  </si>
  <si>
    <t>115 kg (254 lb)</t>
  </si>
  <si>
    <t>23 km/h (14 mph, 12 kn)</t>
  </si>
  <si>
    <t>Doc (aircraft)</t>
  </si>
  <si>
    <t>Doc is a Boeing B-29 Superfortress. It is one of two that are currently flying in the world, the other B-29 being FIFI. It is owned by Doc's Friends, Inc., a non-profit organization based in Wichita, Kansas, America. Doc attends various air shows and offers rides.[1] The B-29 was built in 1944 as part of a production run of 1620 aircraft built by Boeing at Wichita, Kansas and allocated the military Serial Number 44-69972.[2][3] It was delivered to the America Army Air Forces in March 1945. The aircraft did not see combat, and was converted to a radar calibration aircraft in 1951 and based at Griffiss Air Force Base, New York. While based at Griffiss, the squadron's members named their B-29s after characters in the Disney movie Snow White and the Seven Dwarfs and 44-69972 became Doc.[4]  In 1955, the aircraft, modified as a TB-29, was moved to Yuma County Airport in Arizona to be used as a target tug.[5] Retired from the America Air Force in 1956, it was sent to the Naval Air Weapons Station China Lake for use as a ballistic missile target.[6] The airframe was acquired by the America Aviation Museum of Cleveland, Ohio, for restoration to flight status. After extensive restoration work at the Boeing plant in Wichita, Kansas where it was originally built, the aircraft was moved in March 2007 to the Kansas Aviation Museum. In February 2013, the aircraft was acquired by the non-profit organization "Doc's Friends". As of June 2014, all four overhauled engines and propellers had been reinstalled, a spokesperson for the group stating at that time, that the aircraft would be airborne by the end the year.[citation needed] This timetable was not achieved, with the aircraft being towed out of the workshop for the first time on March 23, 2015.[7] A few months after the rollout the first post-restoration flight was anticipated to take place by the end of the year.[8] At 8 a.m. on September 18, 2015, Doc successfully completed its first engine starts and testing of all four engines in Wichita.[9] On May 11, 2016 the restoration crew performed the first of many low-speed taxi tests as the final preparations for the post-restoration flight began. This marked the first time since 1956, that the B-29 moved under its own power. Doc traveled more than a half mile during the taxi test and the crew was able to successfully test the brakes and steering.[10] The aircraft received a certificate of airworthiness from the Federal Aviation Administration on May 20, 2016, allowing it to be flown.[11] On July 17, 2016, it flew for the first time since 1956, piloted by members of FIFI's flight crews.[12] Take off was delayed due to issues with the forward bomb bay doors latching shut, and the flight was conducted with the undercarriage down.[13] The event was livestreamed on YouTube and the Doc's Friends website.[14][15][16] The Smithsonian Institution's Air &amp; Space/Smithsonian magazine carried an in depth review of Doc's history in its September 2016 issue.[17] Doc participated in its first airshow since the restoration, the Defenders of Liberty Airshow, on May 6 and 7, 2017 at Barksdale Air Force Base near Shreveport, Louisiana.[18][19]</t>
  </si>
  <si>
    <t>Boeing</t>
  </si>
  <si>
    <t>https://en.wikipedia.org/Boeing</t>
  </si>
  <si>
    <t>Airworthy</t>
  </si>
  <si>
    <t>//upload.wikimedia.org/wikipedia/commons/thumb/f/f7/B-29_DOC.jpg/300px-B-29_DOC.jpg</t>
  </si>
  <si>
    <t>Boeing B-29-70-BW Superfortress</t>
  </si>
  <si>
    <t>https://en.wikipedia.org/Boeing B-29-70-BW Superfortress</t>
  </si>
  <si>
    <t>44-69972 America Army Air Forces</t>
  </si>
  <si>
    <t>America Army Air ForcesAmerica Air ForceAmerica Aviation Museum Doc's Friends, Inc.</t>
  </si>
  <si>
    <t>https://en.wikipedia.org/America Army Air ForcesAmerica Air ForceAmerica Aviation Museum Doc's Friends, Inc.</t>
  </si>
  <si>
    <t>N69972</t>
  </si>
  <si>
    <t>https://en.wikipedia.org/44-69972 America Army Air Forces</t>
  </si>
  <si>
    <t>1945–1956</t>
  </si>
  <si>
    <t>Sikorsky S-8</t>
  </si>
  <si>
    <t>The Sikorsky S-8 Malyutka (baby) was a small Russian single engine aircraft built by the Russian Baltic Railroad Car Works shortly after Igor Sikorsky became chief engineer of the aircraft manufacturing division in 1912. The S-8 was a two bay biplane trainer powered by a 50 hp (37 kW) Gnome air-cooled rotary engine with the main wings and landing gear of similar design to the S-6-A. Completed early in the summer of 1912, the aircraft featured a side by side seating arrangement with controls that could be moved between the instructor and student. For improved downward visibility the lower wing had no fabric covering between the wing root and first rib. [1][2][3] On the evening of 17 September 1912, Sikorsky piloted the S-8 on a ninety minute night flight from the Korpusnoi Aerodrome near Saint Petersburg. He landed with help of fires set at the airfield.[2] Data from Russian Aviation Museum[3]General characteristics Performance</t>
  </si>
  <si>
    <t>Trainer</t>
  </si>
  <si>
    <t>Russian Empire</t>
  </si>
  <si>
    <t>https://en.wikipedia.org/Russian Empire</t>
  </si>
  <si>
    <t>Russian Baltic Railroad Car Works</t>
  </si>
  <si>
    <t>https://en.wikipedia.org/Russian Baltic Railroad Car Works</t>
  </si>
  <si>
    <t>290 sq ft (27 m2)</t>
  </si>
  <si>
    <t>50 mph (80 km/h, 43 kn) [2]</t>
  </si>
  <si>
    <t>Igor Sikorsky</t>
  </si>
  <si>
    <t>24 ft 7 in (7.5 m)</t>
  </si>
  <si>
    <t>1 × Gnome Omega 7-cylinder air-cooled rotary piston engine, 50 hp (37 kW)</t>
  </si>
  <si>
    <t>//upload.wikimedia.org/wikipedia/commons/thumb/3/3b/Sikorsky_S-8_aircraft_circa_1912.jpg/300px-Sikorsky_S-8_aircraft_circa_1912.jpg</t>
  </si>
  <si>
    <t>39 ft 4 in (12 m)</t>
  </si>
  <si>
    <t>26 ft 3 in (8 m)</t>
  </si>
  <si>
    <t>Paratech P Bi4</t>
  </si>
  <si>
    <t>The Paratech P Bi4 is a Swiss two-place paraglider that was designed by Uwe Bernholz and produced by Paratech of Appenzell. It is now out of production.[1] The P Bi4 was designed as a tandem glider for flight training and as such was referred to as the Bi4, indicating "bi-place" or two seater.[1] The aircraft's 15.20 m (49.9 ft) span wing has 58 cells, a wing area of 42 m2 (450 sq ft) and an aspect ratio of 5.5:1. The crew weight range is 140 to 225 kg (309 to 496 lb). The glider is DHV 1-2Bipl certified.[1] The wing design includes "Permanent Air Flow", a feature by which the cell openings are made smaller to improve the leading edge profile.[1] Data from Bertrand[1]General characteristics Performance</t>
  </si>
  <si>
    <t>Paratech</t>
  </si>
  <si>
    <t>https://en.wikipedia.org/Paratech</t>
  </si>
  <si>
    <t>15.20 m (49 ft 10 in)</t>
  </si>
  <si>
    <t>Uwe Bernholz</t>
  </si>
  <si>
    <t>Kimfly River</t>
  </si>
  <si>
    <t>The Kimfly River is a Slovenian single-place paraglider that was designed in collaboration with Michaël Nessler and was produced by Kimfly of Vodice. It is now out of production.[1] The River was designed as an intermediate glider. The models are each named for their relative size.[1] Data from Bertrand[1]General characteristics Performance</t>
  </si>
  <si>
    <t>Slovenia</t>
  </si>
  <si>
    <t>https://en.wikipedia.org/Slovenia</t>
  </si>
  <si>
    <t>Kimfly D.O.O.</t>
  </si>
  <si>
    <t>https://en.wikipedia.org/Kimfly D.O.O.</t>
  </si>
  <si>
    <t>12 m (39 ft 4 in)</t>
  </si>
  <si>
    <t>28.25 m2 (304.1 sq ft)</t>
  </si>
  <si>
    <t>Michaël Nessler</t>
  </si>
  <si>
    <t>Mac Eden</t>
  </si>
  <si>
    <t>The Mac Eden is a Czech single-place paraglider that was designed by Peter Recek and is produced by Mac Para Technology of Rožnov pod Radhoštěm. It remains in production in 2016 as the Eden 6.[1] The Eden was designed as an intermediate cross country glider.[1] The design has progressed through six generations of models, the Eden, Eden 2, 3, 4, 5 and 6, each improving on the last. The models are each named for their approximate wing area in square metres.[1] The manufacturer claims a glide ratio of over 10:1 for the Eden 6.[2] Reviewer Ziad Bassil described the Eden 6 in a review, "the Eden 6 is a new breed of Mac Para gliders. There’s something different in the making. The glide angle is the best you can get. The climb rate is very good! The handling is pleasurable. The Eden 6 is fast! For sure, it’s a small step over the Eden 5 in piloting but ok for an experienced B pilot looking inside the high B category!".[2] Jürgen Karthe reviewing the Eden 6 concluded, "The Eden 6 is a great wing, giving enormous pleasure. Its the "Bird of Paradise" in 6th generation. A switch from Eden 5 to 6 should differ only in the higher performance of the new sail. The new Mac Para Eden 6 has an overall balanced and manageable basic characteristic and provides a great, safe feeling in the flight (fly in peace). Even in turbulent conditions, the wing retains largely stoic and does not detract from the good feeling of flight. The glide of the Eden 6 is at the top of the current B segment. The manufacturer claims a glide ratio of 10+. This seems to be no dreamy optimism, but is according to our experience, corresponding to the reality."[2] Data from Bertrand[1]General characteristics Performance</t>
  </si>
  <si>
    <t>In production (Eden 6, 2016)</t>
  </si>
  <si>
    <t>early 2000s-present</t>
  </si>
  <si>
    <t>12.28 m (40 ft 3 in)</t>
  </si>
  <si>
    <t>28.44 m2 (306.1 sq ft)</t>
  </si>
  <si>
    <t>Pegas Avis</t>
  </si>
  <si>
    <t>The Pegas Avis is a Czech single-place paraglider that was designed and produced by Pegas 2000 of Prague. It is now out of production.[1] The aircraft was designed as an intermediate glider. The design has progressed through three generations of models, the Avis 1, 2 and 3, each improving on the last. The Avis 3 was introduced in 2003.[1] The models are each named for their approximate wing area in square metres.[1] Data from Bertrand[1]General characteristics</t>
  </si>
  <si>
    <t>Pegas 2000</t>
  </si>
  <si>
    <t>https://en.wikipedia.org/Pegas 2000</t>
  </si>
  <si>
    <t>11.7 m (38 ft 5 in)</t>
  </si>
  <si>
    <t>Rans S-21 Outbound</t>
  </si>
  <si>
    <t>The Rans S-21 Outbound is an American STOL homebuilt aircraft that was designed by Randy Schlitter and is produced by Rans Designs of Hays, Kansas. It was introduced at AirVenture in 2016. The aircraft is supplied as a quick-build kit for amateur construction or ready-to-fly.[1][2] The S-21 Outbound features a strut-braced high-wing, a two-seats-in-side-by-side configuration enclosed cabin accessed via doors, fixed tricycle landing gear or optionally conventional landing gear and a single engine in tractor configuration.[1] The aircraft is made from aluminum sheet, with both leading edge and trailing edge extruded spars. The sheet metal parts employ final-size matched holes to reduce builder errors and speed construction. Its 28 ft (8.5 m) span wing mounts flaps and has a wing area of 141 sq ft (13.1 m2). The standard engine used is the 180 hp (134 kW) Continental Titan X-340 powerplant. Tundra tires up to 26 in (66 cm) may be fitted.[1][3] The aircraft has a typical empty weight of 985 lb (447 kg) and a gross weight of 1,800 lb (820 kg), giving a useful load of 815 lb (370 kg). With full fuel of 31.75 U.S. gallons (120.2 L; 26.44 imp gal) the payload for the crew/pilot, passengers and baggage is 625 lb (283 kg).[1][3] The S-21 competes with the CubCrafters Carbon Cub EX and the American Legend Super Legend HP in the kit aircraft market.[4] The prototype, registered N215RD, first flew on 17 December 2017, it gained special light-sport aircraft approval in March 2018 with the Rotax 912 ULS, Rotax 912 iS, Lycoming YO-233 and Titan OX-340 engines.[5][6] In a review for KitPlanes magazine writer Dave Prizio stated that aircraft amateur builders, "seem to want a high-wing utility plane they can use to knock around the backcountry. It's nice to be able to get from here to there at 180 knots, but if there ends up being a 1200-foot dirt strip, an RV-8 doesn't look like the best choice for the trip. The point is that the utility plane is the hot ticket right now, and RANS seems to have come up with just the right plane at just the right time. And if the S-21 with a 100-hp Rotax is a good plane (it is), it is a better plane with 180 hp—a much better plane. This S-21 with the big engine and big tires was a hit at Sun 'n Fun 2019. Everyone wanted a demo ride in this popular new configuration of what is proving to be a very popular plane."[7] Data from Manufacturer and AVweb[1][3]General characteristics Performance</t>
  </si>
  <si>
    <t>Homebuilt aircraftLight-sport aircraft</t>
  </si>
  <si>
    <t>https://en.wikipedia.org/Homebuilt aircraftLight-sport aircraft</t>
  </si>
  <si>
    <t>Rans Designs</t>
  </si>
  <si>
    <t>https://en.wikipedia.org/Rans Designs</t>
  </si>
  <si>
    <t>In production (2018)</t>
  </si>
  <si>
    <t>28 ft (8.5 m)</t>
  </si>
  <si>
    <t>141 sq ft (13.1 m2)</t>
  </si>
  <si>
    <t>150 mph (240 km/h, 130 kn)</t>
  </si>
  <si>
    <t>985 lb (447 kg)</t>
  </si>
  <si>
    <t>1,800 lb (816 kg)</t>
  </si>
  <si>
    <t>38 mph (61 km/h, 33 kn)</t>
  </si>
  <si>
    <t>Randy Schlitter</t>
  </si>
  <si>
    <t>1 × Continental X-340 Titan four cylinder, air-cooled, four stroke aircraft engine, 180 hp (130 kW)</t>
  </si>
  <si>
    <t>527 mi (848 km, 458 nmi)</t>
  </si>
  <si>
    <t>14,500 ft (4,400 m)</t>
  </si>
  <si>
    <t>40.00 U.S. gallons (151.4 L; 33.31 imp gal) main tank, plus 5.00 U.S. gallons (18.9 L; 4.16 imp gal) header tank, total 45.00 U.S. gallons (170.3 L; 37.47 imp gal)</t>
  </si>
  <si>
    <t>12.76 lb/sq ft (62.3 kg/m2)</t>
  </si>
  <si>
    <t>215 mph (346 km/h, 187 kn)</t>
  </si>
  <si>
    <t>3.9 hours</t>
  </si>
  <si>
    <t>+6/-4</t>
  </si>
  <si>
    <t>10 lb/hp</t>
  </si>
  <si>
    <t>Sol Eclipse</t>
  </si>
  <si>
    <t>The Sol Eclipse is a Brazilian single-place paraglider that was designed and produced by Sol Paragliders of Jaraguá do Sul in the mid-2000s. It is now out of production.[1] The Eclipse was designed as an advanced performance glider. The models are each named for their relative size.[1] Data from Bertrand[1]General characteristics Performance</t>
  </si>
  <si>
    <t>Mid-2000s</t>
  </si>
  <si>
    <t>27.05 m2 (291.2 sq ft)</t>
  </si>
  <si>
    <t>55 km/h (34 mph, 30 kn)</t>
  </si>
  <si>
    <t>Zero Gravity Windstar</t>
  </si>
  <si>
    <t>The Zero Gravity Windstar is a South Korean single-place paraglider that was designed by Mansoo Chae and produced by Zero Gravity Paragliders of Seoul, introduced in 2002. It is now out of production.[1] The Windstar was designed as an intermediate glider. The models are each named for their relative size.[1] By 2003 glider was initially to be only sold in South Korea, with global marketing to follow.[1] Data from Bertrand[1]General characteristics</t>
  </si>
  <si>
    <t>South Korea</t>
  </si>
  <si>
    <t>https://en.wikipedia.org/South Korea</t>
  </si>
  <si>
    <t>Zero Gravity Paragliders</t>
  </si>
  <si>
    <t>https://en.wikipedia.org/Zero Gravity Paragliders</t>
  </si>
  <si>
    <t>27.8 m2 (299 sq ft)</t>
  </si>
  <si>
    <t>Mansoo Chae</t>
  </si>
  <si>
    <t>Emsco B-2 Challenger</t>
  </si>
  <si>
    <t>The Emsco B-2 Challenger  was a US three-engined,  six passenger aircraft flown in 1929. Only two were built and they were quite soon converted into two different Emsco types, one with one engine and the other with two.  The Emsco Corporation took its name from the initials of its founder E.M Smith.[1] In early 1929 Emsco bought out the Albatross Corporation and their aircraft, designed by Charles Rocheville.[2] One of these was the American Albatross B-1[3] of 1928, a high wing braced monoplane with a single engine producing 260 hp (190 kW) and with accommodation for six passengers.[4] The Emsco Challenger was a development of it[5] and was quite similar apart from having three engines totalling 510 hp (380 kW).[6][7]  It was intended as the first of a range of similar Emsco aircraft, differing in having one or two engines.[7] The Challenger's wing was built in two parts, both rectangular in plan out to semi-elliptical tips, which met on top of the fuselage and were mounted with 1.5° dihedral. They had wooden structures built around two box spars and were fabric covered. Parallel struts from beyond mid-span braced the spars to the lower fuselage longerons and the rear struts were also braced near their midpoints to the upper longerons; all struts were enclosed in wide, airfoil section fairings.  Its inset ailerons were long and narrow.[1][7] The fuselage of the Challenger was built around a rectangular cross-section chrome-molybdenum steel frame and given an oval cross-section by bulkheads.  The cabin region was plywood skinned; aft, formers and stringers were fabric covered. One of the three 180 hp (130 kW), six-cylinder Curtiss Challenger radial engines was in the nose under a wide-chord fairing.  The other two were mounted uncowled on the wing bracing struts, assisted by more struts between engine and upper fuselage and others between the struts. The pilots occupied an enclosed cockpit, placed high and just ahead of the wing leading edge, with side-by-side seating and dual control. A passageway connected the cockpit and the windowed, well furnished passenger cabin. Cabin and cockpit were accessed by a door on the port side, equipped with a built-in ladder, via a compartment containing a curtained-off lavatory and a luggage space.[1][7] The empennage, like the fuselage, was steel framed and fabric covered. Both fin and tailplane, the latter mounted at mid-fuselage height, had straight, swept leading edges and carried balanced control surfaces with straight, unswept rear edges and round tips.  The rudder was deep, extending to the keel, and worked within an elevator cut-out. The Challenger had a fixed tailwheel undercarriage. Its mainwheels were on faired, cranked axles hinged from the central fuselage underside, braced by drag struts hinged further aft; these members were enclosed in balsa and fabric airfoil fairings. Short, vertical oleo legs were attached to the bottom of the outer engine mountings.  The wheels had independent Bendix brakes and were almost entirely enclosed in large dural tube, fabric covered fairings. A small tailwheel was mounted on a rubber-sprung pylon.[1][7] The Challenger was flown for the first time in June 1929 by Jack Reid at Long Beach, California. Immediately afterwards it toured the U.S. West Coast, combining test and publicity flights.[8] Two were built and both were later modified into different types by changing engines.  The first became an Emsco B-3A in 1930 with a single 420 hp (310 kW) Pratt &amp; Whitney Wasp C and the second, with two 420 hp (310 kW) Wright J-5s, was the only Emsco B-5.[9] Data from Aviation, October 12, 1929 p.746-8[7] Performance figures with full normal load.General characteristics Performance</t>
  </si>
  <si>
    <t>Six passenger seat transport</t>
  </si>
  <si>
    <t>US</t>
  </si>
  <si>
    <t>https://en.wikipedia.org/US</t>
  </si>
  <si>
    <t>Emsco Aircraft Co.</t>
  </si>
  <si>
    <t>https://en.wikipedia.org/Emsco Aircraft Co.</t>
  </si>
  <si>
    <t>57 ft 0 in (17.37 m)</t>
  </si>
  <si>
    <t>483 sq ft (44.9 m2) approximately</t>
  </si>
  <si>
    <t>121–130 mph (195–209 km/h, 105–113 kn) at 2,000 rpm</t>
  </si>
  <si>
    <t>{'Emsco B-2 Challenger': ' described', 'Emsco B-3': 'milar to the B-2 but with a greater span (60\xa0ft 0\xa0in (18.29\xa0m)). Longer at 40\xa0ft 9\xa0in (12.42\xa0m), it had an extra passenger seat and was powered by a single 420\xa0hp (310\xa0kW) Pratt &amp; Whitney Wasp C nine-cylinder radial engine. Five were built. One went to Mexico and one to Rumania. Another B-3, initially named he City of Tacoma was used on an unsuccessful attempt to cross the North Pacific, flown by Harold Bromley and Harold Gatty in 1930. In August 1931, renamed the Clarissa Madge it made a successful crossing,  The prototype was lost at the end of an attempt on the world duration record; it seems that its pilot, Jack Reid, fell asleep after setting a record time of 38 hr 40 min.  Reid died in the crash.[9]', 'Emsco B-3A': 'ile:Emsco_B-3A_Aero_Digest_August,1930.jpg]Emsco B-3A Aero Digest August,1930One of the B-2s was converted to a single Pratt &amp; Whitney Wasp C engine;[9] it retained the shorter span wing of the B-2 but had the longer fuselage of the B-3 and its extra seat.  It achieved its Approved Type Certificate early in 1931.[10] Only the B-3A, not the B-3, appeared in contemporary advertisements.[11]'}</t>
  </si>
  <si>
    <t>3,362 lb (1,525 kg) [6]</t>
  </si>
  <si>
    <t>5,400 lb (2,449 kg)</t>
  </si>
  <si>
    <t>100 mph (160 km/h, 87 kn) at 1,650 rpm</t>
  </si>
  <si>
    <t>Charles Rocheville</t>
  </si>
  <si>
    <t>36 ft 0 in (10.97 m)</t>
  </si>
  <si>
    <t>12 ft 0 in (3.66 m)</t>
  </si>
  <si>
    <t>Göttingen 398[13]</t>
  </si>
  <si>
    <t>3 × Curtiss Challenger 6-cylinder, air-cooled, two-row radial, 170 hp (130 kW)  each at 1,850 rpm</t>
  </si>
  <si>
    <t>2-bladed Westinghouse Micarta</t>
  </si>
  <si>
    <t>//upload.wikimedia.org/wikipedia/commons/thumb/2/27/Emsco_B-2_Aero_Digest_August_1929.jpg/300px-Emsco_B-2_Aero_Digest_August_1929.jpg</t>
  </si>
  <si>
    <t>Six passengers</t>
  </si>
  <si>
    <t>550 mi (890 km, 480 nmi)</t>
  </si>
  <si>
    <t>15,000 ft (4,600 m) service, absolute 18,000 m (59,000 ft)</t>
  </si>
  <si>
    <t>130 imp gal (160 US gal; 590 l) normal, in wing tanks</t>
  </si>
  <si>
    <t>American Albatross B-1</t>
  </si>
  <si>
    <t>850 ft/min (4.3 m/s)</t>
  </si>
  <si>
    <t>45–57 mph (72–92 km/h; 39–50 kn)</t>
  </si>
  <si>
    <t>Wickham Model E</t>
  </si>
  <si>
    <t>The Wickham Model E Sunbird II is a single seat homebuilt aircraft designed by engineer James M. Wickham. Jim Wickham had studied engineering at Ohio State University, and graduated from MIT as an Aeronautical Engineer. Wickham's career began at Chance-Vought, then in 1938 joined the Stearman division of Boeing.[2] Starting in the 1950s, Wickham started designing and building his own series of homebuilt aircraft.  The Sunbird II is a single place low wing aircraft made primarily of wood. It differs from the Model C by employing tricycle landing gear, a larger wing, and power from a larger 1835cc VW engine. The Wickham E was the fifth of six designs by Wickham, which first flew on August 8, 1979 at Arlington, WA. The aircraft was lost following a spin test where the aircraft did not recover.[3] Data from Sport Aviation, original drawings,General characteristics Performance  Related development</t>
  </si>
  <si>
    <t>Homebuilt aircraft</t>
  </si>
  <si>
    <t>https://en.wikipedia.org/Homebuilt aircraft</t>
  </si>
  <si>
    <t>Crashed July 20, 1980</t>
  </si>
  <si>
    <t>26 ft 8 in (8.13 m)</t>
  </si>
  <si>
    <t>82 sq ft (7.6 m2)</t>
  </si>
  <si>
    <t>100 kn (120 mph, 190 km/h)</t>
  </si>
  <si>
    <t>Jim Wickham</t>
  </si>
  <si>
    <t>1[1]</t>
  </si>
  <si>
    <t>18 ft (5.5 m)</t>
  </si>
  <si>
    <t>7 ft (2.1 m)</t>
  </si>
  <si>
    <t>2-bladed 54/40</t>
  </si>
  <si>
    <t>Lockheed CL-288</t>
  </si>
  <si>
    <t>The Lockheed CL-288 was a conceptual interceptor aircraft[1] based on the Lockheed F-104 Starfighter, powered by two wing-mounted engines.[2] This aircraft-related article is a stub. You can help Wikipedia by expanding it.</t>
  </si>
  <si>
    <t>Interceptor aircraft</t>
  </si>
  <si>
    <t>https://en.wikipedia.org/Interceptor aircraft</t>
  </si>
  <si>
    <t>Lockheed Corporation</t>
  </si>
  <si>
    <t>https://en.wikipedia.org/Lockheed Corporation</t>
  </si>
  <si>
    <t>Conceptual</t>
  </si>
  <si>
    <t>Lockheed F-104 Starfighter</t>
  </si>
  <si>
    <t>https://en.wikipedia.org/Lockheed F-104 Starfighter</t>
  </si>
  <si>
    <t>Sikorsky S-2</t>
  </si>
  <si>
    <t>The Sikorsky S-2 was the second fixed wing aircraft designed by Igor Sikorsky using the main wing section from the S-1 and a 25 hp (19 kW) Anzani 3 three-cylinder engine in a tractor configuration. During the first flight attempt on June 3, 1910, the biplane reached a height of two to four feet and traveled approximately 200 yards. After several successful flights the S-2 was destroyed on June 30 when Sikorsky inadvertently stalled the underpowered aircraft at an altitude of 70 feet.[1] Data from Russian Aviation Museum[2]General characteristics Performance  Related development</t>
  </si>
  <si>
    <t>Experimental</t>
  </si>
  <si>
    <t>destroyed during testing</t>
  </si>
  <si>
    <t>260 sq ft (24 m2)</t>
  </si>
  <si>
    <t>419 lb (190 kg)</t>
  </si>
  <si>
    <t>573 lb (260 kg)</t>
  </si>
  <si>
    <t>1 × Anzani 3 -cylinder air-cooled fan piston engine, 25 hp (19 kW)</t>
  </si>
  <si>
    <t>//upload.wikimedia.org/wikipedia/commons/thumb/c/c1/Sikorsky_S-2_aircraft_spring_1910.jpg/300px-Sikorsky_S-2_aircraft_spring_1910.jpg</t>
  </si>
  <si>
    <t>Sikorsky S-1</t>
  </si>
  <si>
    <t>https://en.wikipedia.org/Sikorsky S-1</t>
  </si>
  <si>
    <t>https://en.wikipedia.org/Igor Sikorsky</t>
  </si>
  <si>
    <t>Sikorsky S-3</t>
  </si>
  <si>
    <t>https://en.wikipedia.org/Sikorsky S-3</t>
  </si>
  <si>
    <t>Sikorsky S-7</t>
  </si>
  <si>
    <t>The Sikorsky S-7 was a Russian single engine experimental prototype aircraft built by the Russian Baltic Railroad Car Works shortly after Igor Sikorsky became chief engineer of the aircraft manufacturing division.  The S-7 was two-seater wire-braced monoplane powered by a 70 hp (52 kW) Gnome air-cooled rotary engine. Construction began in early summer of 1912 and completed in July. The pilot sat in the rear cockpit with a passenger seated in a forward compartment in a tandem arrangement. The fuselage was enclosed in plywood and the aircraft used components taken from the S-6A including the main wing, tail and landing gear.[1][2] The S-7 was entered in the international military competition at Saint Petersburg in August 1912. During a take-off attempt from a furrowed field the landing gear was severely damaged and the S-7 was unable to finish the completion. In 1913 the aircraft was repaired and served as a trainer. In 1914 Bulgaria purchased the S-7 and used it in operations during World War I.[2][1] Data from Russian Aviation Museum[3]General characteristics Performance</t>
  </si>
  <si>
    <t>sold to Bulgarian Army for use in World War I</t>
  </si>
  <si>
    <t>220 sq ft (20 m2)</t>
  </si>
  <si>
    <t>67 mph (108 km/h, 58 kn)</t>
  </si>
  <si>
    <t>990 lb (449 kg)</t>
  </si>
  <si>
    <t>1,711 lb (776 kg)</t>
  </si>
  <si>
    <t>26 ft 11 in (8.2 m)</t>
  </si>
  <si>
    <t>1 × Gnome Lambda 7-cylinder air-cooled rotary piston engine, 70 hp (52 kW)</t>
  </si>
  <si>
    <t>//upload.wikimedia.org/wikipedia/commons/thumb/2/28/Sikorsky_S-7_aircraft_front_circa_1912.jpg/300px-Sikorsky_S-7_aircraft_front_circa_1912.jpg</t>
  </si>
  <si>
    <t>One passenger</t>
  </si>
  <si>
    <t>32 ft 10 in (10 m)</t>
  </si>
  <si>
    <t>https://en.wikipedia.org/sold to Bulgarian Army for use in World War I</t>
  </si>
  <si>
    <t>XIX Sens</t>
  </si>
  <si>
    <t>The XIX Sens is a series of Swiss single-place paragliders, that was designed by Michi Kobler and produced by XIX GmbH of Kronbühl in the mid-2000s. It is now out of production.[1] The Sens was designed as a competition performance glider. The design progressed through several generations of models, each improving on the last. The models are each named for their relative size.[1] The Sens-C3 version was introduced in 2003 to replace the Sens 2.[1] Data from Bertrand[1]General characteristics Performance</t>
  </si>
  <si>
    <t>13.1 m (43 ft 0 in)</t>
  </si>
  <si>
    <t>26.8 m2 (288 sq ft)</t>
  </si>
  <si>
    <t>64 km/h (40 mph, 35 kn)</t>
  </si>
  <si>
    <t>0.95 m/s (187 ft/min)</t>
  </si>
  <si>
    <t>XIX Smile</t>
  </si>
  <si>
    <t>The XIX Smile is a Swiss single-place paraglider that was designed by Michi Kobler and produced by XIX GmbH of Kronbühl, introduced in 2003. It is now out of production.[1] The Smile was designed as a beginner glider for the flight training role. The models are each named for their relative size.[1] Reviewer Noel Bertrand described the Smile in a 2003 review as having, "all the quality of construction and performance of the more sophisticated XIX products".[1] Data from Bertrand[1]General characteristics Performance</t>
  </si>
  <si>
    <t>27.3 m2 (294 sq ft)</t>
  </si>
  <si>
    <t>46 km/h (29 mph, 25 kn)</t>
  </si>
  <si>
    <t>Apollo Gyro AG1</t>
  </si>
  <si>
    <t>The Apollo Gyro AG1 is a Hungarian autogyro produced by Apollo Ultralight Aircraft, of Eger and introduced in 2012. The aircraft is supplied ready-to-fly.[1] The aircraft features a carriage built on a welded stainless steel frame, with a fiberglass composite streamlined fairing, dual-controls, a two-seats-in-tandem, open cockpit, tricycle landing gear with wheel pants and a single engine in pusher configuration. The rotor is of aluminum alloy and includes a pneumatic pre-rotator.[1][2] The powerplant options include the four cylinder, liquid-cooled, four-stroke, dual-ignition 100 hp (75 kW) Rotax 912ULS engine, or the 115 hp (86 kW) turbo-charged Rotax 914 engine.[1][2] Originally an open-cockpit design with dual windshields, in 2013 a bubble canopy was introduced as an option. It weighs 20 kg (44 lb) and can be installed in five minutes.[1] Data from Tacke and manufacturer[1][2]General characteristics Performance</t>
  </si>
  <si>
    <t>Ultralight autogyro</t>
  </si>
  <si>
    <t>https://en.wikipedia.org/Ultralight autogyro</t>
  </si>
  <si>
    <t>Hungary</t>
  </si>
  <si>
    <t>https://en.wikipedia.org/Hungary</t>
  </si>
  <si>
    <t>Apollo Ultralight Aircraft</t>
  </si>
  <si>
    <t>https://en.wikipedia.org/Apollo Ultralight Aircraft</t>
  </si>
  <si>
    <t>2012-present</t>
  </si>
  <si>
    <t>160 km/h (99 mph, 86 kn)</t>
  </si>
  <si>
    <t>256 kg (564 lb)</t>
  </si>
  <si>
    <t>500 kg (1,102 lb)</t>
  </si>
  <si>
    <t>30 km/h (19 mph, 16 kn)</t>
  </si>
  <si>
    <t>1 × Rotax 912ULS 4 cylinder horizontally-opposed piston engine, 75 kW (100 hp)</t>
  </si>
  <si>
    <t>3-bladed composite fixed pitch</t>
  </si>
  <si>
    <t>//upload.wikimedia.org/wikipedia/commons/thumb/1/11/Apollo_gyro1_hu.jpg/300px-Apollo_gyro1_hu.jpg</t>
  </si>
  <si>
    <t>1 passenger</t>
  </si>
  <si>
    <t>60 l (16 US gal; 13 imp gal)</t>
  </si>
  <si>
    <t>180 km/h (110 mph, 97 kn)</t>
  </si>
  <si>
    <t>5 m/s (980 ft/min) at gross weight</t>
  </si>
  <si>
    <t>8.4 m (27 ft 7 in)</t>
  </si>
  <si>
    <t>55.4 m2 (596 sq ft) teetering head rotor</t>
  </si>
  <si>
    <t>IAI Rotem L</t>
  </si>
  <si>
    <t>The IAI Rotem L or IAI Rotem - Light is a loitering munition developed by the Israel Aerospace Industries. The drone is a quadcopter that can  loiter for 30–45 minutes with the maximum range of 10 km. It can carry 1 kg warhead that could be two fragmentation grenades.[1] Rotem L can be operated by a single soldier. Unlike many other loitering drones, Rotem has the significant feature that it can be reused once aborts the mission, and safely lands in a safe location.[2] Data from Israel Aircraft Industries[3]General characteristics Performance Armament This article on an unmanned aerial vehicle is a stub. You can help Wikipedia by expanding it.</t>
  </si>
  <si>
    <t>loitering munition</t>
  </si>
  <si>
    <t>https://en.wikipedia.org/loitering munition</t>
  </si>
  <si>
    <t>Israel</t>
  </si>
  <si>
    <t>IAI</t>
  </si>
  <si>
    <t>https://en.wikipedia.org/IAI</t>
  </si>
  <si>
    <t>None</t>
  </si>
  <si>
    <t>4.5 kg (9.0 lb)</t>
  </si>
  <si>
    <t>//upload.wikimedia.org/wikipedia/commons/thumb/6/63/Rotem_L_%282%29.jpg/300px-Rotem_L_%282%29.jpg</t>
  </si>
  <si>
    <t>10 km (6.2 mi, 5.4 nmi) (maximum)</t>
  </si>
  <si>
    <t>30-45 minutes</t>
  </si>
  <si>
    <t>Loitering Munition family</t>
  </si>
  <si>
    <t>https://en.wikipedia.org/Loitering Munition family</t>
  </si>
  <si>
    <t>Pegas Bain</t>
  </si>
  <si>
    <t>The Pegas Bain is a Czech single-place paraglider that was designed and produced by Pegas 2000 of Prague. Introduced in 2002, it is now out of production.[1] The aircraft was designed as an intermediate glider. The models are each named for their approximate wing area in square metres.[1] Data from Bertrand[1]General characteristics</t>
  </si>
  <si>
    <t>11.9 m (39 ft 1 in)</t>
  </si>
  <si>
    <t>25.5 m2 (274 sq ft)</t>
  </si>
  <si>
    <t>Pegas Certus</t>
  </si>
  <si>
    <t>The Pegas Certus is a Czech single-place paraglider that was designed and produced by Pegas 2000 of Prague. It is now out of production.[1] The aircraft was designed as a competition glider. The models are each named for their approximate wing area in square metres.[1] The design has progressed through several generations of models, each improving on the last.[1] Data from Bertrand[1]General characteristics</t>
  </si>
  <si>
    <t>12.1 m (39 ft 8 in)</t>
  </si>
  <si>
    <t>25.3 m2 (272 sq ft)</t>
  </si>
  <si>
    <t>58 km/h (36 mph, 31 kn)</t>
  </si>
  <si>
    <t>Sky Atis</t>
  </si>
  <si>
    <t>The Sky Atis is a Czech single-place paraglider, designed and produced by Sky Paragliders of Frýdlant nad Ostravicí. It was introduced in 2003 and remained in production in 2016 as the Atis 4.[1] The Atis was designed as a beginner to intermediate glider.[1] The design has progressed through four generations of models, the Atis, Atis 2, 3 and 4, each improving on the last. The models are each named for their relative size.[1][2] Data from Manufacturer[2]General characteristics Performance</t>
  </si>
  <si>
    <t>In production</t>
  </si>
  <si>
    <t>2003-present</t>
  </si>
  <si>
    <t>11.76 m (38 ft 7 in)</t>
  </si>
  <si>
    <t>26.60 m2 (286.3 sq ft)</t>
  </si>
  <si>
    <t>53 km/h (33 mph, 29 kn)</t>
  </si>
  <si>
    <t>5.10 kg (11 lb)</t>
  </si>
  <si>
    <t>118 kg (260 lb)</t>
  </si>
  <si>
    <t>39 km/h (24 mph, 21 kn)</t>
  </si>
  <si>
    <t>Sky Flare</t>
  </si>
  <si>
    <t>The Sky Flare is a Czech single-place paraglider, designed and produced by Sky Paragliders of Frýdlant nad Ostravicí. It is now out of production.[1] The Flare was designed as a competition glider. The models are each named for their approximate wing area in square metres.[1] Data from Bertrand[1]General characteristics</t>
  </si>
  <si>
    <t>112.9 m (370 ft 5 in)</t>
  </si>
  <si>
    <t>Sky Golem</t>
  </si>
  <si>
    <t>The Sky Golem is a Czech two-place paraglider, designed and produced by Sky Paragliders of Frýdlant nad Ostravicí. It is named for the legendary Golem character and is now out of production.[1] The Golem was designed as a tandem glider for flight training.[1] The aircraft's 14.31 m (46.9 ft) span wing has 56 cells, a wing area of 40.23 m2 (433.0 sq ft) and an aspect ratio of 5.1:1. The crew weight range is 140 to 210 kg (309 to 463 lb). The glider is AFNOR Bi-Place certified.[1] Data from Bertrand[1]General characteristics</t>
  </si>
  <si>
    <t>14.31 m (46 ft 11 in)</t>
  </si>
  <si>
    <t>40.23 m2 (433.0 sq ft)</t>
  </si>
  <si>
    <t>Sol Yaris</t>
  </si>
  <si>
    <t>The Sol Yaris is a Brazilian single-place paraglider that was designed and produced by Sol Paragliders of Jaraguá do Sul in the mid-2000s. It is now out of production.[1] The Yaris was designed as an intermediate glider. The models are each named for their relative size.[1] Data from Bertrand[1]General characteristics Performance</t>
  </si>
  <si>
    <t>12.06 m (39 ft 7 in)</t>
  </si>
  <si>
    <t>29.0 m2 (312 sq ft)</t>
  </si>
  <si>
    <t>Aviad Zigolo MG12</t>
  </si>
  <si>
    <t>The Aviad Zigolo MG12 is an Italian kitbuilt introductory motor-glider first flown in 2012. It has a small engine and limited gliding performance but is inexpensive to buy and run and simple to build and fly. Kit production began in 2013 and by the following year twenty had been sold. Designed by Francesco Di Martino, the Zigolo is based on the unpowered Sandlin Goat primary glider. The design priority was to produce a motor-glider which would be inexpensive to build, transport and store. It is marketed as a powered glider but qualifies in the UK as an SSDR (single-seat, deregulated) microlight. Kit build time is quoted as less than 100 hrs. It can be dismantled for transport and reassembled for flight within an hour.[1] Its structure throughout is based on aluminium tubes, its flying surfaces covered with bonded fabric. It has a high, braced, wing of rectangular plan with blunted tips, rigged with 3° of dihedral. The ailerons occupy the whole of the trailing edges apart from a central gap.[1] The fuselage is an uncovered tube structure, with the exposed pilot's seat on a pair of tubes which form the basis of the forward section with a curved reinforcing girder under it. The primary wing bracing, V-struts from the wing spars, are attached to them. They meet at the nose, where another tube joins them to the forward spar. Behind the wing the lower fuselage member is a single tube, braced at its forward end by a pair of tubes upwards to the rear spar and at its rear by another long pair to the rear spar. A horizontal pair of tubes from the rear spar to a vertical rudder post, which joins the lower fuselage tube at its base, complete the rear frame. The upper frame supports a straight-edged tailplane with balanced elevators and a balanced rudder which extends from the keel to above the tailplane via an elevator cut-out.[1] The Zigolo's 18.3 hp (13.6 kW) single-cylinder two-stroke engine is mounted on the fuselage frame in pusher configuration below the wing trailing edge. Its propeller is driven through belt gearing, the top of the propeller disc in the gap between the ailerons. An optional electric engine is also available.[1][2] It has fixed landing gear with small mainwheels mounted 1.1 m (3 ft 7 in) apart on split axles hinged from a central pylon below the main fuselage frame. Gas shock absorbers lean in from the axles' extremities to the lower frame. There is a small tailwheel. The Zingalo is fitted with a ballistic parachute mounted on the sloping fuselage member ahead of the pilot.[1] The Zigolo first flew in 2012 and later that year the prototype was joined by a demonstrator. The first production aircraft appeared at the April 2013 Friedrichshafen show; by then the type had flown more than 300 hrs. Twenty kits had been sold by March 2014 to builders across Europe, China, Japan and the US.[1] There are two on the UK register in 2016.[3] Data from General, Jane's All the World's Aircraft 2015/16;[1] Performance, PilotWeb[4]General characteristics Performance</t>
  </si>
  <si>
    <t>Single-seat kitbuilt ultralight</t>
  </si>
  <si>
    <t>Italy</t>
  </si>
  <si>
    <t>https://en.wikipedia.org/Italy</t>
  </si>
  <si>
    <t>Aviad Francesco Di Martino</t>
  </si>
  <si>
    <t>11.10 m (36 ft 5 in)</t>
  </si>
  <si>
    <t>15.80 m2 (170.1 sq ft)</t>
  </si>
  <si>
    <t>1.40 m/s (276 ft/min) engine off, 44 km/h; 28 mph (24 kn)</t>
  </si>
  <si>
    <t>95 kg (209 lb)</t>
  </si>
  <si>
    <t>67 km/h (41 mph, 36 kn)</t>
  </si>
  <si>
    <t>35 km/h (22 mph, 19 kn)</t>
  </si>
  <si>
    <t>Francesco Di Martino</t>
  </si>
  <si>
    <t>20 kits delivered by March 2014</t>
  </si>
  <si>
    <t>5.50 m (18 ft 1 in)</t>
  </si>
  <si>
    <t>1.3[4] m (4 ft 3 in)</t>
  </si>
  <si>
    <t>1 × Vittorazi Moster 185[4] single cylinder two-stroke, 18.6 kW (24.9 hp)</t>
  </si>
  <si>
    <t>2-bladed, 1.4 m (4 ft 7 in) diameter fixed pitch, driven via belt reduction gearing</t>
  </si>
  <si>
    <t>12 l (2.6 imp gal; 3.2 US gal)</t>
  </si>
  <si>
    <t>13.9 kg/m2 (2.8 lb/sq ft)</t>
  </si>
  <si>
    <t>93 km/h (58 mph, 50 kn)</t>
  </si>
  <si>
    <t>Goupy Hydroaeroplane</t>
  </si>
  <si>
    <t>The Goupy Hydroaeroplane was a floatplane developed by Ambroise Goupy in 1912, which was displayed at the 1912 Paris Aero Salon. It was described in Flight as being generally comparable to a Goupy biplane designed by Alphonse Tellier displayed the year before, except for the change from wheels to a pair of pontoon-style floats.[1] Janes 1913 stated that at least one had been built in 1912, and that the company was producing around 30 a year, but actual production numbers are not known beyond the 1912 demonstrator. An editorial review of the 1913 Paris Aero Salon bemoaned the lack of advancement in Goupy designs, with no display of a seaplane.[2]  Data from Jane's All the World's Aircraft 1913[3]General characteristics Performance</t>
  </si>
  <si>
    <t>Experimental aircraft</t>
  </si>
  <si>
    <t>12.7 m (41 ft 8 in)</t>
  </si>
  <si>
    <t>45 m2 (480 sq ft)</t>
  </si>
  <si>
    <t>120 km/h (75 mph, 65 kn)</t>
  </si>
  <si>
    <t>450 kg (992 lb)</t>
  </si>
  <si>
    <t>750 kg (1,653 lb)</t>
  </si>
  <si>
    <t>Ambroise Goupy</t>
  </si>
  <si>
    <t>at least 1</t>
  </si>
  <si>
    <t>10 m (32 ft 10 in)</t>
  </si>
  <si>
    <t>1 × Gnome Lambda 7-cylinder air-cooled rotary piston engine, 60 kW (80 hp)</t>
  </si>
  <si>
    <t>2-bladed fixed-pitch propeller</t>
  </si>
  <si>
    <t>2 passengers</t>
  </si>
  <si>
    <t>https://en.wikipedia.org/Ambroise Goupy</t>
  </si>
  <si>
    <t>Aircraft Industries L 410 NG</t>
  </si>
  <si>
    <t>Aircraft Industries L 410 NG ("New Generation") is a twin-engine 19-seat aircraft manufactured by Czech company, Aircraft Industries (formerly Let Kunovice). The aircraft is an upgraded version of the Let L 410 UVP-E20. The first flight took place on 29 July 2015. Serial production of the L 410 NG began in March 2018. The development of the modernized L 410 was launched in 2010. The first prototype L 410 NG was first presented to the public on July 15, 2015 at Kunovice Airport in Slovácko. The first flight took place on July 29, 2015 at Kunovice Airport. The basic flight characteristics and performance of the airplane, as well as proper operation of the airplane control system, propulsion unit, fuel system, avionics and navigation systems have been verified.[1] Compared to previous models, the L 410 NG has significant changes. It comes with new, more powerful GE H85-200 engines, combined with quieter AV-725 propellers; a new wing design featuring an integrated fuel tank; a more modern cockpit from Garmin; and a bigger luggage compartment.  With these improvements, the L 410 NG has doubled the maximum distance it can fly and can carry 500 kilograms in increased payload than the previous model. Like its predecessor L 410 UVP-E20, it will be sold in all variations. It is intended for commercial airlines, government agencies, non-governmental organizations, and armed forces. In addition to the passenger version, it can also be configured as a cargo plane. It can be used especially in island states where there is a problem of refueling in remote islands. A series of certification flights were done in accordance with the relevant regulations. Certified by the European Aviation Safety Agency (EASA) and the Russian Interstate Aviation Committee (MAK). Development started in April 2010, costs of the project is 568 million crowns, 237 million was paid by the Ministry of Industry and Trade of Czech Republic. In March 2018, serial production started.[2] The first serial produced L 410 NG traveled to a customer in Russia. Production of 16 aircraft is planned for 2019, half of them will be flown to Russia, six aircraft will be delivered to Kazakhstan and two to Poland.[3] Data from L 410[4]General characteristics Performance  Related development Aircraft of comparable role, configuration, and era</t>
  </si>
  <si>
    <t>Regional airliner, cargo aircraft</t>
  </si>
  <si>
    <t>https://en.wikipedia.org/Regional airliner, cargo aircraft</t>
  </si>
  <si>
    <t>Aircraft Industries (Let Kunovice)</t>
  </si>
  <si>
    <t>https://en.wikipedia.org/Aircraft Industries (Let Kunovice)</t>
  </si>
  <si>
    <t>2018–present</t>
  </si>
  <si>
    <t>19.478 m (63 ft 11 in)</t>
  </si>
  <si>
    <t>34.86 m2 (375.2 sq ft)</t>
  </si>
  <si>
    <t>417 km/h (259 mph, 225 kn) TAS</t>
  </si>
  <si>
    <t>15.074 m (49 ft 5 in) [5]</t>
  </si>
  <si>
    <t>5.969 m (19 ft 7 in)</t>
  </si>
  <si>
    <t>root</t>
  </si>
  <si>
    <t>2 × General Electric H85-200 turboprop engines</t>
  </si>
  <si>
    <t>5-bladed Avia-725 constant-speed proellers</t>
  </si>
  <si>
    <t>//upload.wikimedia.org/wikipedia/commons/thumb/e/ea/LET_L-410NG_OK-NGA_ILA_Berlin_2016_09.jpg/300px-LET_L-410NG_OK-NGA_ILA_Berlin_2016_09.jpg</t>
  </si>
  <si>
    <t>19 passengers / 2,300 kg (5,071 lb) load</t>
  </si>
  <si>
    <t>2,750 km (1,710 mi, 1,480 nmi) at FL140 with reserve fuel</t>
  </si>
  <si>
    <t>6,100 m (20,000 ft)</t>
  </si>
  <si>
    <t>7,000 kg (15,432 lb)</t>
  </si>
  <si>
    <t>2,254 kg (4,969 lb)</t>
  </si>
  <si>
    <t>10 hours 30 minutes</t>
  </si>
  <si>
    <t>Let L-410 Turbolet</t>
  </si>
  <si>
    <t>8.5 m/s (1,670 ft/min)</t>
  </si>
  <si>
    <t>https://en.wikipedia.org/Let L-410 Turbolet</t>
  </si>
  <si>
    <t>17.9 m3 (632 cu ft)</t>
  </si>
  <si>
    <t>0.8 m × 1.46 m (2 ft 7 in × 4 ft 9 in)</t>
  </si>
  <si>
    <t>1.25 m × 1.46 m (4 ft 1 in × 4 ft 9 in)</t>
  </si>
  <si>
    <t>0.76 m (2 ft 6 in)</t>
  </si>
  <si>
    <t>2.98 m3 (105 cu ft)</t>
  </si>
  <si>
    <t>6,800 kg (14,991 lb)</t>
  </si>
  <si>
    <t>3,900 m (12,795 ft) (ISA, 95% MTOW, 15 m/min (50 ft/min) climb rate )</t>
  </si>
  <si>
    <t>8,230 m (27,001 ft)</t>
  </si>
  <si>
    <t>600 m (1,969 ft)</t>
  </si>
  <si>
    <t>590 m (1,936 ft)</t>
  </si>
  <si>
    <t>Menasco-Salmson B-2</t>
  </si>
  <si>
    <t>The B-2 was a conversion of Salmson Z9 water-cooled aircraft engines to air cooling by Albert Menasco in the America. Data from Jane's all the World's Aircraft 1928[1]    Related lists</t>
  </si>
  <si>
    <t>38.5 in (980 mm)</t>
  </si>
  <si>
    <t>//upload.wikimedia.org/wikipedia/commons/thumb/6/61/AL-88A_Al_Menasco_Album_Image_000011_%2814338175066%29.jpg/300px-AL-88A_Al_Menasco_Album_Image_000011_%2814338175066%29.jpg</t>
  </si>
  <si>
    <t>12 gal/h (10.0 imp gal/h; 45 l/h) at 1,500 rpm</t>
  </si>
  <si>
    <t>9-cylinder air-cooled radial piston engine</t>
  </si>
  <si>
    <t>Salmson Z9</t>
  </si>
  <si>
    <t>https://en.wikipedia.org/Salmson Z9</t>
  </si>
  <si>
    <t>4.92 in (125 mm)</t>
  </si>
  <si>
    <t>6.69 in (170 mm)</t>
  </si>
  <si>
    <t>1,144.8 cu in (18.760 l)</t>
  </si>
  <si>
    <t>49.125 in (1,247.8 mm)</t>
  </si>
  <si>
    <t>540 lb (240 kg)</t>
  </si>
  <si>
    <t>one Zenith carburetor feeding mixture to cylinders via an annular plenum and radial pipes</t>
  </si>
  <si>
    <t>Aviation gasolene</t>
  </si>
  <si>
    <t>worm driven double-plunger oil pump for pressure and scavenge</t>
  </si>
  <si>
    <t>water-cooled</t>
  </si>
  <si>
    <t>250 hp (190 kW) at 1,500 rpm maximum continuus; 290 hp (220 kW) at 1,750 rpm maximum</t>
  </si>
  <si>
    <t>0.25 gal/h (0.21 imp gal/h; 0.95 l/h)</t>
  </si>
  <si>
    <t>The Sikorsky S-1 was the first fixed wing aircraft design by Igor Sikorsky. In February 1910 work began on the pusher configured biplane powered by a 15 hp (11 kW) Anzani three-cylinder, air-cooled engine. The machine was completed  in April and Sikorsky began his first attempts at flight. In early May during a take-off attempt on a windy day the machine briefly became airborne due mostly to a favorable headwind. Further attempts were less successful, and Sikorsky disassembled it, saving the main wing section to construct the S-2.[1] Data from Russian Aviation Museum[2]General characteristics Performance  Related development</t>
  </si>
  <si>
    <t>Prototype</t>
  </si>
  <si>
    <t>397 lb (180 kg)</t>
  </si>
  <si>
    <t>551 lb (250 kg)</t>
  </si>
  <si>
    <t>1 × Anzani 3 -cylinder air-cooled fan piston engine, 15 hp (11 kW)</t>
  </si>
  <si>
    <t>//upload.wikimedia.org/wikipedia/commons/thumb/2/25/Sikorsky_S-1_aircraft_circa_1910.jpg/300px-Sikorsky_S-1_aircraft_circa_1910.jpg</t>
  </si>
  <si>
    <t>https://en.wikipedia.org/Sikorsky S-2</t>
  </si>
  <si>
    <t>PZL M-2</t>
  </si>
  <si>
    <t>PZL M-2 was a Polish trainer aircraft prototype of 1958, a low-wing monoplane with fixed gear. Designed at WSK-Mielec, it did not enter production. The M-2 was designed as a trainer aircraft for the Polish Aero Club by the newly created construction bureau of the WSK Mielec factory. The aircraft's main designer was Stanisław Jachyra. The first prototype was flown on 26 June 1958 (registration SP-PAC) with the second prototype flying on 13 September that year (registration SP-PBA). The aircraft was of relatively modern, all-metal construction. Its major drawback was its engine, an imported Praga Doris flat-six piston engine, which caused vibration and was not suitable for aerobatics. This limited the potential use of the aircraft. It was proposed to replace the engine with the Polish designed and built Narkiewicz WN-6 flat-six engine, but this was still under development and was never perfected. Due to the problems with the powerplant, the development of the aircraft was delayed, and in the meantime, the Polish Aero Club changed its preferences to aircraft with a tricycle landing gear and withdrew its interest in the M-2. As a result, the M-2 did not enter production and further work was abandoned. A development of the M-2 was the PZL M-4 Tarpan, with a retractable tricycle landing gear. Metal construction low-wing monoplane, conventional in layout, metal covered. Semi-monocoque fuselage. Trapezoid  wings, two-spar, fitted with flaps. Crew of two, sitting in tandem, under a common canopy, with double controls (student in front, instructor in the rear). Fixed conventional landing gear. Flat engine in front, two-blade tractor propeller, 2.3 m diameter. Fuel tanks in wings - 120 L. The first prototype (SP-PAC) is stored in the Polish Aviation Museum in Kraków (disassembled), the second prototype (SP-PBA) is preserved as a monument in Radomyśl Wielki near Mielec. Data from Jane's All The World's Aircraft 1961–62[1]General characteristics Performance  Related development Aircraft of comparable role, configuration, and era</t>
  </si>
  <si>
    <t>Trainer aircraft</t>
  </si>
  <si>
    <t>https://en.wikipedia.org/Trainer aircraft</t>
  </si>
  <si>
    <t>WSK-Mielec</t>
  </si>
  <si>
    <t>https://en.wikipedia.org/WSK-Mielec</t>
  </si>
  <si>
    <t>9.50 m (31 ft 2 in)</t>
  </si>
  <si>
    <t>13.6 m2 (146 sq ft)</t>
  </si>
  <si>
    <t>282 km/h (175 mph, 152 kn)</t>
  </si>
  <si>
    <t>787 kg (1,735 lb)</t>
  </si>
  <si>
    <t>1,067 kg (2,352 lb)</t>
  </si>
  <si>
    <t>240 km/h (150 mph, 130 kn)</t>
  </si>
  <si>
    <t>2 prototypes</t>
  </si>
  <si>
    <t>7.62 m (25 ft 0 in)</t>
  </si>
  <si>
    <t>3.02 m (9 ft 11 in)</t>
  </si>
  <si>
    <t>1 × Praga Doris M208B 6-cylinder air-cooled horizontally-opposed piston engine, 160 kW (220 hp)</t>
  </si>
  <si>
    <t>2-bladed adjustable-pitch wooden propeller, 2.3 m (7 ft 7 in) diameter</t>
  </si>
  <si>
    <t>//upload.wikimedia.org/wikipedia/commons/thumb/c/c4/PL_-_Radomy%C5%9Bl_Wielki_-_market_square_-_Kroton_001.JPG/300px-PL_-_Radomy%C5%9Bl_Wielki_-_market_square_-_Kroton_001.JPG</t>
  </si>
  <si>
    <t>685 km (426 mi, 370 nmi)</t>
  </si>
  <si>
    <t>5,600 m (18,400 ft)</t>
  </si>
  <si>
    <t>436 km/h (271 mph, 235 kn)</t>
  </si>
  <si>
    <t>7.0 m/s (1,380 ft/min)</t>
  </si>
  <si>
    <t>IAI Nammer</t>
  </si>
  <si>
    <t>The IAI Nammer (נמר "Leopard"[1]) was a fighter aircraft developed in the Israeli aerospace manufacturing Israel Aerospace Industries (IAI) during the late 1980s and early 1990s. The programme was pursued as a private venture and the resultant aircraft was intended for the export market. During the 1980s, IAI decided to embark upon the independent development of a modernised version of the IAI Kfir; reusing its airframe and pairing it with a modernised cockpit, engine, and avionics, the latter of which was to have taken advantage of the earlier work undertaken for the cancelled IAI Lavi programme. These changes were to result in greater performance, range, and air-to-air combat capabilities than the preceding Kfir. Named Nammer, the aircraft was to be offered under various different configurations, including alternative engines and radars, as well as prospective licensed production arrangements, to customers. IAI stated that they were willing to be highly flexible with the Nammer's launch customers, being open to giving them great leeway over modifying the design and incorporating their own systems as to their preferences. Development of the Nammer proceeded to the prototype stage; a single aircraft was constructed to function as a proof-of-concept prototype, demonstrating IAI's capability to successfully install and operate advanced avionics in existing airframes, in this case the Mirage III/Kfir. On 21 March 1991, the prototype performed its maiden flight. Following on from its first flight, it continued to be used for test flights for some time, demonstrating both the maturity of the concept and of the new IAI-integrated systems. While the proven delta canard configuration of the airframe had been retained, testing was focused upon the new avionics installed, which were said by IAI to make for a relatively modern fighter aircraft. However, despite the company's lengthy efforts to seek both partner companies and export customers for the Nammer, neither participants in the programme nor buyers of the finished proved to be forthcoming; as such, development of the Nammer was ultimately ceased by IAI during the early 1990s without any further examples having been constructed. During the 1980s, Israeli aerospace company Israel Aircraft Industries (IAI), decided to embark upon the development of a private-venture fighter aircraft; as envisaged, this programme was to be principally based around the airframe of the IAI Kfir and the advanced avionics that had been developed for the cancelled IAI Lavi.[2][1] Speaking on the Nammer, Moshe Scharf, IAI's director of international military aircraft marketing stated of the reasoning behind the initiative: "Upgrading the existing Kfir platform will not be as cheap as building a new airframe based on the proven delta canard concept".[3] By early 1988, the company had completed the preliminary design and system definition stages of the Nammer's development and had progressed onto the detail design phase. Additionally, the company had conducted early discussions with prospective customers in respect to the type. In particular, IAI was keen to form a partnership with another entity with which to carry out further development work and subsequent production on the Nammer programme.[4] During the late 1980s, IAI had originally announced and marketed the Nammer as being an upgrade package for existing Mirage III and Mirage 5 airframes. Customers were to have been offered a choice of two basic configurations of the type, one based around re-engining the aircraft with a General Electric F404, while the other was to have retained the Mirage's SNECMA Atar engine but integrated either the Elta EL/M-2011 or EL/M-2032 fire-control radar. The first of these options was envisioned to maximise the aircraft's performance and range while the second was to have served to increase the air-to-air targeting capabilities of the Nammer.[5] As development progressed, the Nammer came to be advertised by the company as being a new-build aircraft, featuring the EL/M-2032 radar as an integral part of the package. Reportedly, customers were able to choose their preferred engine, ranging from the General Electric F404 (or its Volvo Aero-built derivative, the RM12), the SNECMA M53, and the Pratt &amp; Whitney PW1120, all of which being within the 18,0001b-20,0001b-thrust class.[2] The company has claimed that the proven delta canard configuration of the airframe, when paired with new avionics and a more modern engine design, would result in a relatively modern fighter aircraft, comparable to the General Dynamics F-16A Fighting Falcon or Dassault Mirage 2000, but at a cost of approximately half of the price of the latter aircraft.[5] For development and demonstration purposes, a single prototype was constructed by the company. On 21 March 1991, this prototype perform its maiden flight.[5] According to IAI, the concept was presented to a number of foreign air forces while seeking to secure sales of the aircraft; the company also stated that it had no intentions to proceed with production of the aircraft until orders for a minimum of 80 aircraft had been secured.[5][3] It is known that in the course of these negotiations, IAI offered a high degree of customisability to prospective operators, essentially allowing for them to make a significant impact upon the Nammer's design.[4] The company also offered various manufacturing arrangements, from constructing the Nammer at the company's existing facilities in Israel to the potential establishment of a final assembly line within a client customer's country.[2] During 1990, as part of a renewed sales effort, IAI offered to effectively entirely transfer production of the Nammer, along with the onboard systems and software, overseas to customers.[3] The IAI Nammer was a proposed fighter aircraft, the airframe of which being derived from the earlier IAI Kfir (which was, in turn, based upon the Dassault Mirage 5).[6] Externally, the design bore a strong resemblance to the C7 model of the Kfir; however, it could be easily distinguished by the presence of a longer nose and the lack of a dorsal airscoop at the base of the leading edge of the tailfin.[5] Other areas of the aircraft also featured major differences from the Kfir, including in its cockpit, radar and engine.[2] According to IAI, Nammer was to possess a maximum speed of Mach 2.2 and a 58,000ft (19,300m) stabilised ceiling. The company intended to offer the Nammer with a choice of engines — either the Mirage Ill's original Snecma Atar 9K50, or a variety of more modern powerplants, which would typically possess greater fuel-efficiency and reduced weight than the original engine.[5][2] The cockpit of the Nammer was extensively modernised, includes a new overall layout which, amongst other benefits, would have permitted its pilot to maintain effective control of the aircraft via hands-on-throttle-and-stick (HOTAS) operation of all of the key systems under the majority of anticipated operational circumstances. A total of four displays, comprising a head-up display, a pair of multi-function displays, and a radar warning/electronic countermeasures display, were intended to supply the pilot with all necessary information.[5] The various displays and the solid-state instrumentation for the engine was to be based upon reused Lavi technology.[2] The avionics were a major focus area of the Nammer's development.[4] According to IAI, the Nammer was to be equipped with an advanced weapon management system that was directly integrated with a multimode pulse-Doppler radar, while its electronic warfare suite included features originally designed for the cancelled Lavi would also have been potentially used.[3] The maximum take-off weight of the aircraft was approximately 15,450kg, while the maximum payload was 6,270kg. It could internally contain a total of 3,000kg of fuel, along with an additional 3,720kg in external tanks.[5] In addition, it was to be provided with an aerial refueling capability.[3] According to repeated statements by IAI, serial production of the Nammer fighter would have had been available at a unit cost of less than $20 million.[3][2] General characteristics Performance Armament  Related development</t>
  </si>
  <si>
    <t>Fighter</t>
  </si>
  <si>
    <t>https://en.wikipedia.org/Israel</t>
  </si>
  <si>
    <t>Israel Aerospace Industries (IAI)</t>
  </si>
  <si>
    <t>https://en.wikipedia.org/Israel Aerospace Industries (IAI)</t>
  </si>
  <si>
    <t>Cancelled</t>
  </si>
  <si>
    <t>one pilot</t>
  </si>
  <si>
    <t>8.22 m (27 ft 0 in)</t>
  </si>
  <si>
    <t>34.8 m2 (375 sq ft)</t>
  </si>
  <si>
    <t>Mach 2.2</t>
  </si>
  <si>
    <t>16,511 kg (36,400 lb)</t>
  </si>
  <si>
    <t>16.00 m (52 ft 6 in)</t>
  </si>
  <si>
    <t>4.55 m (14 ft 11 in)</t>
  </si>
  <si>
    <t>1 × various , 80–90 kN (18,000–20,000 lbf) thrust</t>
  </si>
  <si>
    <t>//upload.wikimedia.org/wikipedia/commons/thumb/7/71/IAI_NAMMER.JPG/300px-IAI_NAMMER.JPG</t>
  </si>
  <si>
    <t>1,382 km (859 mi, 746 nmi)</t>
  </si>
  <si>
    <t>17,700 m (58,000 ft)</t>
  </si>
  <si>
    <t>Dassault Mirage 5  IAI Kfir</t>
  </si>
  <si>
    <t>https://en.wikipedia.org/Dassault Mirage 5  IAI Kfir</t>
  </si>
  <si>
    <t>Loening M-8</t>
  </si>
  <si>
    <t>The Loening M-8 was a 1910s American fighter monoplane designed by Grover Loening and built by his Loening Aeronautical Engineering Company. An order of 5000 for the America Army Air Corps was canceled when the First World War ended. The first design by Grover Loening after he had formed his company was a two-seat braced-wing monoplane fighter the M-8. It had a fixed tail-skid landing gear and was powered by a nose-mounted Hispano-Suiza engine with a tractor propeller. The pilot and gunner had tandem open cockpits. The first aircraft was flown in 1918 and after testing, the America Army Air Corps ordered 5,000 aircraft to be built.  Only two aircraft were delivered to the Army and one to the America Navy, with the designation M-8-0. At the end of the war the order was canceled. The Navy ordered 46 aircraft in two variants for use as observation aircraft. The Navy also ordered six M-8-S twin-float seaplane versions. A single-seat version was developed for the Army as the Loening PW-2. Data from America Navy aircraft since 1911[1]General characteristics Performance Armament  Related development Aircraft of comparable role, configuration, and era  Related lists</t>
  </si>
  <si>
    <t>Monoplane fighter</t>
  </si>
  <si>
    <t>Loening Aeronautical Engineering</t>
  </si>
  <si>
    <t>https://en.wikipedia.org/Loening Aeronautical Engineering</t>
  </si>
  <si>
    <t>32 ft 9 in (9.98 m)</t>
  </si>
  <si>
    <t>229 sq ft (21.3 m2)</t>
  </si>
  <si>
    <t>145 mph (233 km/h, 126 kn)</t>
  </si>
  <si>
    <t>1,623 lb (736 kg)</t>
  </si>
  <si>
    <t>2,058 lb (933 kg)</t>
  </si>
  <si>
    <t>Grover Loening</t>
  </si>
  <si>
    <t>24 ft 0 in (7.32 m)</t>
  </si>
  <si>
    <t>6 ft 7 in (2.01 m)</t>
  </si>
  <si>
    <t>1 × Wright-Hisso H-3 V-8 water-cooled piston engine, 300 hp (220 kW)</t>
  </si>
  <si>
    <t>2-bladed fixed-pitch wooden propeller</t>
  </si>
  <si>
    <t>13,900 ft (4,200 m) in 10 minutes</t>
  </si>
  <si>
    <t>//upload.wikimedia.org/wikipedia/en/thumb/6/60/Loening_M-8.png/300px-Loening_M-8.png</t>
  </si>
  <si>
    <t>22,000 ft (6,700 m)</t>
  </si>
  <si>
    <t>5 hours 30 minutes</t>
  </si>
  <si>
    <t>https://en.wikipedia.org/Grover Loening</t>
  </si>
  <si>
    <t>https://en.wikipedia.org/1918</t>
  </si>
  <si>
    <t>America NavyAmerica Army Air Corps</t>
  </si>
  <si>
    <t>https://en.wikipedia.org/America NavyAmerica Army Air Corps</t>
  </si>
  <si>
    <t>https://en.wikipedia.org/Loening PW-2</t>
  </si>
  <si>
    <t>Thermoplan</t>
  </si>
  <si>
    <t>The Thermoplan is a given name of the prototype of Russian lenticular-shaped hybrid airship. The key feature of Thermoplan is its combined structure with primary section having a torus of revolution shape (one variant was to construct this section hermetic and fill with helium instead of the shell helium section). This section supports the shell which has two sections one filled with helium and second with air that can be heated by the airship engines exhaust gas or cooled naturally.[1] This design, based on the concept of a "rozière", greatly improves the manoeuvrability compared to an all-helium type.[2] The disc shape is also intended to improve manoeuvrability and to help resist winds up to 20 m/s (45 mph; 39 kn; 72 km/h). Shell volume was 10660 cu. m. (376 450 cu. ft.) with its diameter of 40 m. The prototype had 2 Klimov GTD-350 engines (with 400 h.p. each), 1 Vedeneyev M14P motor (360 h.p.) and 2 electric power unit for vertical propulsion (50 h.p. each). Flight crew was 2 pilots.[3] The project was started in the late 1970s in the Moscow Aviation Institute by a small team of students led by Yury Ishkov under scientific direction of Sergey Eger [ru]. With a help of then MAI rector Yuri Ryzhov they obtained in second half of 1980s support from Gazprom for the start-up Design Bureau "Thermpolan" and first scaled prototype ALA-40 was constructed at the Ulyanovsk Aviation Production Complex and rolled-out in 1992. That was a rather small airship, and a full-scale model was not built at that time due to problems caused by the economic crisis of the 1990s.[4][1] In the late 2000s there was an attempt to revive this project under the new name Locomoskyner by the Russian company Lokomosky in Ulyanovsk. However, without success and programme was cancelled.[5]</t>
  </si>
  <si>
    <t>Experimental hybrid airship</t>
  </si>
  <si>
    <t>https://en.wikipedia.org/Experimental hybrid airship</t>
  </si>
  <si>
    <t>Ulyanovsk Aviation Production Complex in cooperation with Design Bureau "Thermoplan"</t>
  </si>
  <si>
    <t>https://en.wikipedia.org/Ulyanovsk Aviation Production Complex in cooperation with Design Bureau "Thermoplan"</t>
  </si>
  <si>
    <t>destroyed in a ground accident</t>
  </si>
  <si>
    <t>Yury G. Ishkov</t>
  </si>
  <si>
    <t>1992 (towing mode)</t>
  </si>
  <si>
    <t>ROS-Aeroprogress T-101 Grach</t>
  </si>
  <si>
    <t>The light multipurpose aircraft T-101 "Grach" or "Rook" in English, was based on the An-2 biplane and planned as a replacement for it. The design is focused on low cost, high reliability, and operating from unprepared airfields. The T-101 can carry 10 passengers, or transport 1600 kg of cargo. It can be used for agricultural, patrol, aerial photography, search and rescue, airborne and other utility functions. The T-101 has a strut-braced high-wing, fixed landing gear with tail wheel and a single engine in the nose. Data from Jane's all the World's Aircraft 2004-05[1]General characteristics Performance</t>
  </si>
  <si>
    <t>Light utility monoplane</t>
  </si>
  <si>
    <t>Russia</t>
  </si>
  <si>
    <t>Krunichev OKB</t>
  </si>
  <si>
    <t>1 or 2</t>
  </si>
  <si>
    <t>18.2 m (59 ft 9 in)</t>
  </si>
  <si>
    <t>43.63 m2 (469.6 sq ft)</t>
  </si>
  <si>
    <t>300 km/h (190 mph, 160 kn) at 3,000 m (9,800 ft)</t>
  </si>
  <si>
    <t>3,330 kg (7,341 lb)</t>
  </si>
  <si>
    <t>250 km/h (160 mph, 130 kn) at 3,000 m (9,800 ft)</t>
  </si>
  <si>
    <t>Evgeny Grunin</t>
  </si>
  <si>
    <t>15.06 m (49 ft 5 in)</t>
  </si>
  <si>
    <t>4.86 m (15 ft 11 in)</t>
  </si>
  <si>
    <t>TsAGI P-11-14; 3° dihedral ; 3° incidence</t>
  </si>
  <si>
    <t>1 × Glushenkov TVD-10B (Omsk / Mars TVD-10) turboprop, 706 kW (947 shp)</t>
  </si>
  <si>
    <t>3-bladed AV-24N, 2.8 m (9 ft 2 in) diameter constant-speed fully-feathering reversible propeller</t>
  </si>
  <si>
    <t>//upload.wikimedia.org/wikipedia/commons/thumb/e/e2/The_Plane_T-101_%22Grach%22_%288682331463%29.jpg/300px-The_Plane_T-101_%22Grach%22_%288682331463%29.jpg</t>
  </si>
  <si>
    <t>700 km (430 mi, 380 nmi) with max payload</t>
  </si>
  <si>
    <t>4,000 m (13,000 ft)</t>
  </si>
  <si>
    <t>5,250 kg (11,574 lb)</t>
  </si>
  <si>
    <t>1,200 l (320 US gal; 260 imp gal) / 950 kg (2,090 lb) max</t>
  </si>
  <si>
    <t>120.3 kg/m2 (24.6 lb/sq ft)</t>
  </si>
  <si>
    <t>7.44 kg/kW (12.22 lb/shp)</t>
  </si>
  <si>
    <t>DFW Mars</t>
  </si>
  <si>
    <t>The DFW Mars was an early German military utility aircraft built in 1913 and was the first original design manufactured by DFW. The aircraft was produced in both monoplane and biplane versions, which shared a common fuselage and empennage. The monoplane version featured wings that were wire-braced to a kingpost on the forward fuselage, and was powered by a 71 kW (90 hp) NAG engine. Examples of the monoplane built as dedicated trainer aircraft also incorporated a reinforcing truss beneath the wings. The biplane had conventional three-bay wings of unequal span and was powered by a 75 kW (100 hp) Mercedes engine. The wings of both the monoplane and biplane versions featured prominent sweepback. Mars aircraft distinguished themselves in pre-war passenger-carrying feats and reliability trials, and were purchased by both the German military and the British Admiralty, which purchased an example for the RNAS. Turkish Mars aircraft were flown in the First and Second Balkan Wars in 1912-1913 and the type is therefore believed to be the first German-built aircraft to have seen active military service. General characteristics Performance</t>
  </si>
  <si>
    <t>Military utility aircraft</t>
  </si>
  <si>
    <t>DFW</t>
  </si>
  <si>
    <t>https://en.wikipedia.org/DFW</t>
  </si>
  <si>
    <t>Two, pilot and observer or instructor</t>
  </si>
  <si>
    <t>17.07 m (56 ft 0 in)</t>
  </si>
  <si>
    <t>48.3 m2 (520 sq ft)</t>
  </si>
  <si>
    <t>110 km/h (68 mph, 59 kn)</t>
  </si>
  <si>
    <t>660 kg (1,460 lb)</t>
  </si>
  <si>
    <t>9.75 m (32 ft 0 in)</t>
  </si>
  <si>
    <t>1 × Mercedes D.I 6-cylinder in-line water-cooled piston engine , 75 kW (100 hp)</t>
  </si>
  <si>
    <t>//upload.wikimedia.org/wikipedia/commons/thumb/2/23/DFW_Mars_1913.jpg/300px-DFW_Mars_1913.jpg</t>
  </si>
  <si>
    <t>1.5 m/s (300 ft/min)</t>
  </si>
  <si>
    <t>https://en.wikipedia.org/1913</t>
  </si>
  <si>
    <t>Mozhaysky's airplane</t>
  </si>
  <si>
    <t>Mozhaysky's airplane (Russian: Самолёт Можайского) was an experimental Russian airplane designed and built by a naval officer Alexander Mozhaysky (also transliterated as Mozhayskiy, Mozhayski, Mozhaiski and Mozhaisky). Powered by two steam engines, the monoplane design reputedly made a powered take off assisted by the use of a ramp, flying between 20 and 30 m (66–98 ft) near Krasnoye Selo, Russia in 1884. The aircraft was originally powered by two steam engines with a total power of 30 horsepower (22 kW). It had an estimated flight speed of 40 km/h (22 kn; 25 mph), a gross weight of 950 kilograms (2,090 lb), a wingspan of 24 metres (79 ft) and a fuselage length of 15 metres (49 ft). Tests were carried out over several years starting in 1882. A note by the chief of the Military Engineering Board of the Russian Ministry of War, describes the results of testing in 1883: "we have seen it in action ... but it could not take off".[1] On 21 January 1883 Mozhaysky presented his project to the Russian Technological Society's Seventh Division (Aeronautics). A special presentation was made and resulted in the assignment of an evaluation commission, which included a Division II (Mechanical) representative. The aircraft, however, was not powerful enough for flight, and neither the Technological Society nor the Ministry of War could assist Mozhaysky. In 1885 the Mozhaysky Commission appealed to the Chief of Military Engineering, but the request was not accepted. That same year, the aircraft tried to take off in the presence of authorities, piloted by its mechanic I. N. Golubiov. During the flight trial a wooden member failed, resulting in a broken wing. Historical research by the Soviet Central Aerohydrodynamic Institute (Russian: ЦАГИ) of Moscow in 1979 and 1981 showed that it would be impossible to keep the aircraft in level flight due to a lack of stability. However, historical data has emerged claiming that Mozhaysky's aircraft achieved flight, as found in a 1909 newspaper,[1] and also included in the "Military Encyclopedia" of 1916.[2] After failing its test flight, Mozhaysky tried to repair his aircraft and equip it with new engines. The Central Aerohydrodynamic Institute proved in 1982 that with new engines it could have taken off.[1]  The new steam engines had a total of 50 horsepower (37 kW) but were not ready before Mozhaysky's death in 1890. The aircraft was later dismantled and transported to nearby Vologda. The aircraft design drawings disappeared, although various drafts of handmade components and their descriptions have been found throughout the twentieth century. Current models of the aircraft were derived from those draft drawings. Mozhaysky's design relied upon a ramp rather than engine power to generate sufficient speed for lift. The wing design of his aircraft lacked the airfoil camber necessary to generate sufficient lift. While it is possible that Mozhaysky's wings slowed his monoplane's descent after launch from the ramp, the wings were unlikely ever to have provided sufficient lift for sustained flight unless used at angles of attack that would have been impractical, given the steam engines then available to Mozhaysky. He also experimented with different angles of attack. According to Andrei Veimarn, Mozhaysky's airplane theoretically could have taken off if he had a headwind, which may have occurred on 20 July, although that date is not clearly established. On that day the weather station at Pulkovo measured wind speeds at 10 metres per second (19 kn; 22 mph), so it may have been sufficient for flight.[3] The aircraft has been claimed to have made its maiden flight at Krasnoye Selo in 1884. In 1909 a Russian newspaper claimed that Mozhaysky's hop was the first powered flight. In 1971–1981 TsAGI researched the topic and disproved the claim. Mozhaysky's original aircraft was found incapable of generating lift because of low engine capacity. It was also shown that with a more powerful engine, which Mozhaysky had planned shortly before his death, the aircraft might have been able to fly.[4][5]</t>
  </si>
  <si>
    <t>Experimental monoplane</t>
  </si>
  <si>
    <t>https://en.wikipedia.org/Experimental monoplane</t>
  </si>
  <si>
    <t>Alexander Mozhaysky</t>
  </si>
  <si>
    <t>https://en.wikipedia.org/Alexander Mozhaysky</t>
  </si>
  <si>
    <t>unknown</t>
  </si>
  <si>
    <t>Between 1884 (disputed)</t>
  </si>
  <si>
    <t>//upload.wikimedia.org/wikipedia/commons/thumb/a/a7/Mozhaisky_Aeroplane.jpg/300px-Mozhaisky_Aeroplane.jpg</t>
  </si>
  <si>
    <t>Saunders-Roe SR.177</t>
  </si>
  <si>
    <t>The Saunders-Roe SR.177 was a 1950s project to develop a combined jet- and rocket-powered interceptor aircraft for the Royal Air Force (RAF) and Royal Navy. It was an enlarged derivative of the Saunders-Roe SR.53, which was itself an experimental combined jet-and-rocket interceptor aircraft. The SR.177 principally differed from the smaller SR.53 in its adoption of a nose-mounted airborne interception radar unit, which allowed it to scan for and lock onto its own targets; a more powerful turbojet engine was also incorporated. In addition to British interests in the aircraft, the German Navy had also expressed their interest in the project and closely evaluated its progress with an eye towards its potential procurement. However, the SR.177 was ultimately cancelled as a result of changes in Britain's military policies in 1957. A much larger derivative of the SR.177 had been studied, which was designated as the SR.187, and was being developed with the intention of meeting the requirements of Operational Requirement F.155. However, this work was also cancelled in 1957. By the time of termination, approximately 90 per cent of the first prototype had been completed, while several other prototypes were in various states of completion.[1] The prototypes were stored for several years while attempts were made to revive the project; while interest was present, including from Japan, nothing more came of the project and the remaining assets were broken up. In 1952, Saunders-Roe had been awarded a contract to develop a combined rocket-and-jet-propelled interceptor aircraft, which was designated as the Saunders-Roe SR.53.[2] However, as development work on the project  progressed, the shortcomings of the design became increasingly evident. Most particularly, as with the German rocket-powered interceptors of the Second World War, the range and endurance of such an aircraft were limited by the high rate of fuel consumption by the rocket engine. However, as turbojet engines developed and became increasingly powerful and efficient, new powerplants were quickly becoming available that would make such aircraft more practical.[3] Maurice Brennan, the chief designer of the SR.53, had also become convinced of the necessity for an airborne radar unit to be carried by the aircraft, as the SR.53 was reliant upon on ground-based radar guidance and the pilot's own vision to intercept aircraft.[2] In particular, it was feared that pilots would be unable to focus their eyes properly at the 60,000 feet (18,000 m) altitude that the SR.53 was capable of. Out of a combined desire to equip the aircraft with a radar unit and to make greater use of turbojet power, a more ambitious design began to be drawn up.[4]  While it had begun as an advanced design concept for the SR.53, upon the issuing of a development contract by the Ministry of Defence in May 1955 (to meet specification F.155), the project was given its own designation as the SR.177.[5] As work continued on the SR.53, a separate High Speed Development Section was formed by Saunders-Roe to work on the SR.177.[6] Initially, the SR.177 was a straightforward development of the SR.53, sharing much of the same configuration and equipment, and it was envisioned that the first test flight would take place during the first half of 1957. However, in February 1955, an extensive redesign of the SR.177, with the aim of making the type suitable for use by both the RAF and the Royal Navy, was commenced.[7] Of the changes made to the aircraft, major differences included the repositioning of the jet engine to the lower fuselage lobe, which was now fed with air via a large, chin-mounted intake; the wing was also enlarged and blown flaps were adopted. The turbojet engine selected was the de Havilland Gyron Junior, capable of generating 8,000 lbf (36,000 N) of thrust.[7] In September 1955, Saunders-Roe received instructions to proceed on the SR.177 from the British Ministry of Supply.[7] The Ministry also gave instruction for the production of mock-ups, windtunnel tests, and the development of  construction jigs for the manufacture of an initial batch of aircraft.[8] From the onset, the SR.177 faced competition in the form of an enlarged derivative of the Avro 720, which had itself been devised as a competitor against the smaller SR.53. Avro promoted the 720 to the Royal Navy, hoping to win favour away from the SR.177, which was by this point had reached the detail design phase.[9] The Ministry ultimately opted to cancel all work on the Avro 720, primarily as a cost-saving measure, as well as to concentrate development work on HTP-based rocket motors, such as those powering the SR.53 and SR.177.[10] The most significant difference between the SR.53 and SR.177 was the latter's use of a jet engine with nearly five times the thrust of the one adopted for the former. While the SR.53 had relied mostly on its rocket engine for climbing, the SR.177 would be able to add considerable endurance by conserving use of its rocket for the dash towards a target only.[4] It was expected that the added endurance would allow the SR.177 to perform roles other than pure interception; these roles were expected to include strike and reconnaissance missions. The SR.53 design had been considerably enlarged to accommodate the new engine, and the original sleek lines were forfeited for the chin-mounted air intake.[11] Following the maiden flight of the SR.53 in May 1957, the development of the SR.177 became the main focus of activity at Saunders-Roe.[12] At this point, the project was viewed as having considerable large scale potential, as both the RAF and Royal Navy appeared to be set to be customers for the SR.177. The RAF sought to operate it alongside the incoming English Electric Lightning interceptors while, according to aviation author Derek Wood, the Royal Navy also had considerable interest in the programme.[12] When the development contract had been issued in May 1955, it reflected this dual interest. The Navy's requirements were defined in NA.47 while the RAF's requirements were specified in OR.337, which had been issued by the Ministry of Supply as Operational Requirement F.155.[12] There was optimism that a joint aircraft for the two services could be developed, saving considerable expense, time, and effort.[13] Negotiations on the exact number of aircraft sought by either service were protracted; but it had been established that there was demand for an initial batch of 27 SR.177 aircraft, and that sufficient tooling should be produced to enable the programme to transition rapidly to full-rate production.[13] By April 1956, a consensus had emerged that, in order for the first five SR.177s to be completed by January 1958, these aircraft would be produced without any A.I. radar or the ability to support armaments.[13] In July 1956, funding was secured for 27 aircraft to be produced, the first of which being expected to fly by April (later postponed to October) 1958. On 4 September 1956, a formal contract for the 27 aircraft was issued, which was sub-divided into four batches of five, four, four, and fourteen respectively, although the final eighteen were subject to evaluation and were thus pending confirmation.[13] During 1957, a development contract for the SR.177 was announced for its use with the Royal Navy.[14] By January 1957, the design of the main component jigs was 70 per cent complete while the component assembly jigs were almost 50 per cent complete; the manufacture of a quantity production batch was nearing, which would have likely been subcontracted to another aviation company due to the high level of workload at Saunders-Roe's Cowes facility.[15] Armstrong Whitworth, who had already taken over work on the basic wing design of the SR.177, had been selected as the second production outlet for the type. The selection of a production center for the SR.177 was complicated by a favourable event; interest in the programme from the West German government.[15] Since 1955, the revived German Air Force had sought a suitable high performance aircraft to equip itself with, and there were hopes that the SR.177 could become the foundation of a collaborative European fighter programme.[15] The German Defence Ministry had first expressed interest in the SR.177 in October 1955; in February 1956, the British Government Committee on Security consented to discussions being held on the SR.177.[16] The prospects of a large German order for as many as 200 aircraft, and for the SR.177 to be manufactured under licence in Germany by the recovering German aircraft industry, were soon being aired, of which the British government declared its openness towards.[17] In January 1957, the Anglo-German Standing Committee on Arms Supply reported that General Kammhuber, the Commander-in-Chief of the German Air Force, was concerned that, due to a lack of available financing until April 1958, the delivery timetable may not be satisfactory. According to Wood, Germany was keen to issue an order as soon as possible by this point.[18] During 1957, the fate of the SR.177 was to be subject to a massive re-thinking of air defence philosophy in Britain, being principally outlined in the 1957 Defence White Paper, which called for manned combat aircraft to be replaced by missiles. Very shortly afterwards, OR.337 was cancelled and the prospects of an order from the RAF had evaporated.[19] This was a serious blow, while it the Royal Navy and Germany remained potential customers for the SR.177, the confidence of both parties was shaken by the move.[20] Work on the SR.177 continued for a little longer, however, in the anticipation of continued interest from Germany. In September 1957, Aubrey Jones, the  Minister of Supply, was keen to support the programme and had agreed to continue funding development of five of the six prototypes.[20] However, according to Wood, the SR.177 was subject to political in-fighting between Aubrey Jones and Duncan Sandys, the minister who had been the prime advocate of the Defence White Paper. While Jones assured German officials that the SR.177 project was continuing, Sandys contacted them to inform them that the aircraft was effectively dead.[20] These mixed messages led to considerable confusion and apprehension within the German Defence Ministry. Further difficulty was added when, in response to lobbying by Rolls-Royce Limited, the German government insisted that the Rolls-Royce RB.153 engine be used in place of the Gyron Junior, causing Saunders-Roe to work on a further hasty redesign of SR.177.[20][21] The German government also decided to change its priorities from seeking an interceptor aircraft to acquiring a strike fighter instead, leading Saunders-Roe to redesign the aircraft for this role. However, even with Heinkel preparing to manufacture the SR.177 locally under licence, Germany chose to withdraw support from the venture in December 1957.[21] The Minister had visited the German government in November 1957 as the Germans wanted the arrangements to be between governments instead of between their government and Saunders-Roe.[22] Of the remaining aircraft under consideration, the West German Government chose to purchase a development of the American Lockheed F-104 Starfighter interceptor instead to meet the role of "high-altitude reconnaissance machine, a tactical fighter-bomber, and an all-weather fighter",[22] along with the majority of European governments. This Lockheed coup, known as the "Deal of the Century", caused major political controversy in Europe and the West German Minister of Defence Franz Josef Strauss was almost forced to resign over the issue. During later investigation into Lockheed's business practices, it was discovered that Lockheed had paid out millions of dollars in "sales incentives" in each of these countries in order to secure the deal. Prince Bernhard of the Netherlands confessed to taking more than one million dollars in bribes from Lockheed to buy the F-104.[23] Following the withdrawal of German interest and there being no requirement for the SR.177 by the RAF, the existing Royal Navy requirement was considered not worthwhile to proceed with. Accordingly, the Ministry of Supply soon chose to cancel the project. On 24 December 1957, a letter from the Ministry was received by Saunders-Roe, announcing the decision to terminate.[24]  Saunders-Roe announced that it expected to make 1,000 workers redundant[21] as a result of the termination. As the jigs and near-complete aircraft was disassembled during the New Year, it was decided that the aircraft assemblies themselves should be stored in the event of the project being revived.[24] In 1958, the SR.177 received one last burst of interest when Japan, which was interested in developing a rocket-jet fighter itself, approached Britain with a request for quotations for the purchase of the two prototype SR.53s along with the completion of two SR.177s.[24] However, due to a lack of backing from the British government, this initiative did not come to anything; the Japanese ultimately turned to the F-104 as well. Woods summarises the cancellation of the SR.177 as: "...it could ultimately have been built in hundreds or thousands. Due to ridiculous defence policies and a complete lack of Whitehall inter-departmental collaboration in the technology field, one of the most promising projects in a decade was destroyed".[24] Data from [25]General characteristics Performance Armament Avionics AI.23 airborne interception radar  Related development Aircraft of comparable role, configuration, and era</t>
  </si>
  <si>
    <t>Mixed power interceptor</t>
  </si>
  <si>
    <t>https://en.wikipedia.org/Mixed power interceptor</t>
  </si>
  <si>
    <t>Saunders-Roe</t>
  </si>
  <si>
    <t>https://en.wikipedia.org/Saunders-Roe</t>
  </si>
  <si>
    <t>30 ft 3 in (9.22 m) with missiles, 27.12 ft (8.27 m) without missiles</t>
  </si>
  <si>
    <t>327 sq ft (30.4 m2)</t>
  </si>
  <si>
    <t>Mach 2.35</t>
  </si>
  <si>
    <t>14,533 lb (6,592 kg)</t>
  </si>
  <si>
    <t>25,786 lb (11,696 kg) (normal warning)</t>
  </si>
  <si>
    <t>Maurice Brennan</t>
  </si>
  <si>
    <t>14 ft 3.5 in (4.356 m)</t>
  </si>
  <si>
    <t>1 × de Havilland Spectre 5A liquid-fuelled rocket engine, 10,000 lbf (44 kN) thrust</t>
  </si>
  <si>
    <t>brake release to 20,000 ft (6,100 m) - 1 min 27 sbrake release to 40,000 ft (12,000 m) - 2 min 3 sbrake release to 60,000 ft (18,000 m) - 3 min 6 sbrake release to 70,000 ft (21,000 m) - 3 min 51 s</t>
  </si>
  <si>
    <t>//upload.wikimedia.org/wikipedia/commons/thumb/b/b2/SR.177.png/300px-SR.177.png</t>
  </si>
  <si>
    <t>67,000 ft (20,000 m)</t>
  </si>
  <si>
    <t>28,174 lb (12,780 kg) (extended warning)</t>
  </si>
  <si>
    <t>Saunders-Roe SR.53</t>
  </si>
  <si>
    <t>60,000 ft/min (300 m/s)</t>
  </si>
  <si>
    <t>https://en.wikipedia.org/Saunders-Roe SR.53</t>
  </si>
  <si>
    <t>https://en.wikipedia.org/Maurice Brennan</t>
  </si>
  <si>
    <t>2 with a capacity of 1,000 lb (450 kg)</t>
  </si>
  <si>
    <t>Initially 2 x de Havilland Firestreak air-to-air missilesLater 2 x Hawker Siddeley Red Top (Firestreak Mark 4)</t>
  </si>
  <si>
    <t>Kawasaki KDA-3</t>
  </si>
  <si>
    <t>The Kawasaki KDA-3 was a single-engine, parasol wing, single seat experimental fighter aircraft designed by Dornier engineer Dr. Richard Vogt and built by Kawasaki for the Japanese Imperial Army, first flying in 1928. The KDA-3 was built to replace the Ko-4 but only three prototypes were built and it was not ordered into production. In March 1927, the Rikugun Koku Hombu[1]  ordered Kawasaki, Nakajima and Mitsubishi to investigate design of a single-seat fighter on a competitive basis to replace the aging Ko-4 (Nieuport-Delage NiD 29).  Kawasaki's entry was the parasol-wing single-engine Kawasaki KDA-3. The Mitsubishi 1MF2 Hayabusa and the Nakajima NC were the other competitors. Three prototype aircraft from each firm were to be delivered to the Tokorozawa Army test center for testing. Vogt was hired by Kawasaki to assist that firm in designing new aircraft. He and his assistant engineer and primary student, Kawasaki's Takeo Doi, used the high-wing German Dornier Do H as the starting point for the KDA-3 design. The KDA-3 was to have higher performance than the Dornier. The first prototype KDA-3 was to be delivered April 1, 1928, but the landing gear collapsed before delivery could be made. Although the Mitsubishi Hayabusa recorded a maximum speed of 270 km/h (170 mph) at 3,000 m (9,843 ft), during a diving test the Mitsubishi fighter broke up in the air after exceeding 400 km/h (250 mph). The Rikugun Koku Hombu suspended evaluation of the contending types, canceled the program and began testing the other prototypes to destruction. Unfortunately for Kawasaki, Nakajima persevered with their own design and built six more prototypes, the last being tested extensively by the Japanese army before finally being accepted for production as the Nakajima Army Type 91 Fighter. The Imperial Japanese Army began turning to nationalism the same year, and before long, a decision was made at the highest level to no longer purchase aircraft that were not designed and built in Japan, and to no longer hire foreign engineers or designers. The experience in designing and building the KDA-3 was not lost, but in fact was of great benefit to the designers, as they used the knowledge gained developing the KDA-3 in the design and construction of the Kawasaki KDA-5, an equal span biplane, which was accepted by the Japanese Army as the Kawasaki Army Type 92 Model 1 Fighter. One of the three (either the 2nd or 3rd built) KDA-3s received Japanese civil registration J-BEYF.[2] Data from Japanese Aircraft 1910–1941[3]General characteristics Performance Armament</t>
  </si>
  <si>
    <t>Experimental Fighter</t>
  </si>
  <si>
    <t>Japan</t>
  </si>
  <si>
    <t>Kawasaki</t>
  </si>
  <si>
    <t>12.60 m (41 ft 4 in)</t>
  </si>
  <si>
    <t>25.0 m2 (269 sq ft)</t>
  </si>
  <si>
    <t>283 km/h (176 mph, 153 kn)</t>
  </si>
  <si>
    <t>1,350 kg (2,976 lb)</t>
  </si>
  <si>
    <t>1,950 kg (4,299 lb)</t>
  </si>
  <si>
    <t>Richard Vogt</t>
  </si>
  <si>
    <t>8.85 m (29 ft 0 in)</t>
  </si>
  <si>
    <t>3 m (9 ft 10 in)</t>
  </si>
  <si>
    <t>1 × BMW VI twelve-cylinder vee water-cooled engine, 470 kW (630 hp)</t>
  </si>
  <si>
    <t>2-bladed wooden fixed-pitch propeller</t>
  </si>
  <si>
    <t>12 min to 5,000 m (16,400 ft)</t>
  </si>
  <si>
    <t>//upload.wikimedia.org/wikipedia/commons/thumb/2/29/Kda3-i.jpg/300px-Kda3-i.jpg</t>
  </si>
  <si>
    <t>9,000 m (30,000 ft)</t>
  </si>
  <si>
    <t>https://en.wikipedia.org/Richard Vogt</t>
  </si>
  <si>
    <t>Japan (Imperial Japanese Army Air Force)</t>
  </si>
  <si>
    <t>*2 × fixed forward-firing 7.7 mm machine guns</t>
  </si>
  <si>
    <t>LWD Żak</t>
  </si>
  <si>
    <t>The LWD Żak was a Polish touring and trainer aircraft of the late 1940s, designed in the LWD and built in a short series. The Żak (old-fashioned "student") was designed in the Lotnicze Warsztaty Doświadczalne (LWD, Aviation Experimental Workshops) in Łódź, directed by Tadeusz Sołtyk in 1946, as one of the first Polish post-war aircraft. It was a light low-wing cantilever monoplane of a mixed construction, with a crew of two, sitting side by side, and fixed conventional landing gear. The first prototype Żak-1 was first flown on March 23, 1947. It was powered by the Czechoslovak 65 hp straight engine Walter Mikron III and carried markings SP-AAC. The second prototype Żak-2 was powered by the 65 hp flat engine Continental A-65 and had an open cockpit. It was flown on November 27, 1947, and carried markings SP-AAE. The design appeared successful and the Ministry of Communication ordered a series of 10 aircraft. They were to be powered by  licence-built A-65 engines, but since plans of engine production were abandoned, it was decided to fit them with Walter Mikron engines. They were also fitted with a closed canopy, sliding rearwards, and named Żak-3. Ten planes were built by the LWD in the end of 1948, the first of them was flown on November 8, 1948. They had markings: SP-AAS to SP-AAZ, and SP-BAA to SP-BAC. At least one (SP-AAX) had engine replaced later with 85 hp (63 kW) Cirrus F.III. They were used in the Polish regional aero clubs until 1955. On October 20, 1948, there was flown a prototype of the last variant, Żak-4, meant for a glider towing. It had stronger 105 hp Walter engine and an open canopy. Since it showed unsuitable for glider towing, and old Polikarpov Po-2 appeared the better plane for this purpose, Żak-4 was not built in series, and the prototype was re-fitted with a closed canopy and used as a touring plane in aero club (markings SP-BAE). Żak-3 SP-AAX is preserved in the Polish Aviation Museum in Kraków (disassembled as for 2007) Data from Jane's All The World's Aircraft 1953-54 [1]General characteristics Performance   Aircraft of comparable role, configuration, and era</t>
  </si>
  <si>
    <t>Touring and trainer aircraft</t>
  </si>
  <si>
    <t>LWD</t>
  </si>
  <si>
    <t>https://en.wikipedia.org/LWD</t>
  </si>
  <si>
    <t>1947-1948</t>
  </si>
  <si>
    <t>11.80 m (38 ft 9 in)</t>
  </si>
  <si>
    <t>17.0 m2 (183 sq ft)</t>
  </si>
  <si>
    <t>400 kg (882 lb)</t>
  </si>
  <si>
    <t>620 kg (1,367 lb)</t>
  </si>
  <si>
    <t>130 km/h (81 mph, 70 kn)</t>
  </si>
  <si>
    <t>62 km/h (39 mph, 33 kn)</t>
  </si>
  <si>
    <t>Tadeusz Sołtyk</t>
  </si>
  <si>
    <t>7.60 m (24 ft 11 in)</t>
  </si>
  <si>
    <t>1.95 m (6 ft 5 in)</t>
  </si>
  <si>
    <t>1 × Walter Mikron III air-cooled 4-cylinder straight engine, 48 kW (65 hp)</t>
  </si>
  <si>
    <t>//upload.wikimedia.org/wikipedia/commons/thumb/4/4c/LWD_Zak-3_%28SP-AAS%29.jpg/300px-LWD_Zak-3_%28SP-AAS%29.jpg</t>
  </si>
  <si>
    <t>400 km (250 mi, 220 nmi)</t>
  </si>
  <si>
    <t>3,500 m (11,500 ft)</t>
  </si>
  <si>
    <t>2.7 m/s (530 ft/min)</t>
  </si>
  <si>
    <t>https://en.wikipedia.org/Tadeusz Sołtyk</t>
  </si>
  <si>
    <t>Polish civilian aviation</t>
  </si>
  <si>
    <t>RWD 21</t>
  </si>
  <si>
    <t>The RWD 16bis and RWD 21 were Polish two-seat low-wing touring and sports planes of the late 1930s, constructed by the RWD bureau, sharing the same construction, main difference of the RWD 21 being a stronger engine. The RWD 16bis was designed in 1938 by Andrzej Anczutin of the RWD bureau as a light and economical touring and sports plane, utilizing the experience from an unsuccessful earlier design RWD 16. In  spite of the designation, the RWD 16bis design was new, only partly basing on the RWD 16 construction. On contrary, it appeared a successful design, with good handling and performance and ease of flying. It was a wooden low-wing monoplane, with two seats side-by-side in a closed cockpit. The first prototype was built and first flown in June–July 1938 (registration SP-BNM) followed by the second prototype (SP-BPC). Both were powered by a Polish-designed 63 hp Avia 3 straight engine. In series, a 62 hp Walter Mikron II straight engine was expected. The LOPP paramilitary organization ordered 20 aircraft, the first were to be built by May 1939. Probably a few were completed by the outbreak of the World War II, but there are no evidences.[1] The RWD 21 was a development variant with a stronger 90 hp engine Cirrus Minor and some minor changes, mostly to a canopy. The prototype was flown in February 1939 (registration SP-BPE). The first series of 10 aircraft was ordered and at least six were completed and registered before the war outbreak (SP-BRE, BRF, BRG, BRH, BRM, KAR)[2] Both aircraft were found by the LOPP paramilitary organization as successful economical planes, suitable for the plan of subsidising the development of private aviation in Poland. A series of RWD 16bis was ordered by the LOPP at a price of 17,800 złoty (including the engine 6,200 zł), in order to sell airframes to private owners for 9,500 zł (the price of a mid-class car), lending them engines. The price of the RWD 21 was 20,500 zł (including the engine 8,000 zł). At the outbreak of World War II, one RWD 21 was owned by Wilno Aero Club (SP-BRF), three by the LOPP (SP-BRE, BRG, BRH), one by private owner (SP-KAR) and two remained in the factory (SP-BPE, BRM).[3] After the German invasion on Poland, in September 1939, two RWD 21s (SP-BPE and BRM[3]) were evacuated from the factory to Romania (one of them by a glider pilot Bronisław Żurakowski, who had not flown a plane before). At least one of them (SP-BPE) was used in Romania with markings YR-VEN and returned to Poland after the war. It was next used until the mid-1950s with new markings SP-AKG. It is currently restored and preserved in the Polish Aviation Museum in Kraków. One RWD 21 was evacuated to Latvia, its further fate is unknown. Wooden construction low-wing cantilever monoplane, conventional in layout, with a fixed landing gear and a closed cockpit. Fuselage semi-monocoque, plywood-covered, duralumin in front engine section. Single-part trapezoid wings with rounded tips, two-spar, plywood (in front) and canvas covered, fitted with split flaps. Conventional cantilever empennage, plywood (fins) and canvas (elevators and rudder) covered. Two seats side-by-side, with twin controls, under a canopy, with a fixed windshield. Behind a cockpit, a place for a baggage. Conventional fixed landing gear with a rear skid, the main gear in covers. 4-cylinder straight engine in front, driving a two-blade fixed pitch Szomański wooden propeller, with a 73 l (19 US gal; 16 imp gal) fuel tank in the centre-section, under the crew seats. Data from Polish aircraft 1893-1939[4], Polskie konstrukcje lotnicze 1893–1939[5]General characteristics Performance   Aircraft of comparable role, configuration, and era</t>
  </si>
  <si>
    <t>Touring and sports plane</t>
  </si>
  <si>
    <t>Poland</t>
  </si>
  <si>
    <t>DWL</t>
  </si>
  <si>
    <t>https://en.wikipedia.org/DWL</t>
  </si>
  <si>
    <t>1938-1939</t>
  </si>
  <si>
    <t>14.95 m2 (160.9 sq ft)</t>
  </si>
  <si>
    <t>210 km/h (130 mph, 110 kn) at sea level</t>
  </si>
  <si>
    <t>425 kg (937 lb)</t>
  </si>
  <si>
    <t>660 kg (1,455 lb)</t>
  </si>
  <si>
    <t>175 km/h (109 mph, 94 kn)</t>
  </si>
  <si>
    <t>72 km/h (45 mph, 39 kn)</t>
  </si>
  <si>
    <t>RWD bureau</t>
  </si>
  <si>
    <t>1938 (RWD 16bis)</t>
  </si>
  <si>
    <t>&gt;2 RWD 16bis  &gt;6 RWD 21</t>
  </si>
  <si>
    <t>2.12 m (6 ft 11 in)</t>
  </si>
  <si>
    <t>1 × Blackburn Cirrus Minor 4-cylinder air-cooledinverted in-line piston engine, 67 kW (90 hp)</t>
  </si>
  <si>
    <t>2-bladed Szomański fixed-pitch propeller</t>
  </si>
  <si>
    <t>1,000 m (3,281 ft) in 4 minutes 30 seconds</t>
  </si>
  <si>
    <t>//upload.wikimedia.org/wikipedia/commons/thumb/2/25/RWD.21_%27SP-BPE%27_%28really_SP-AKG%29_%2815783257430%29.jpg/300px-RWD.21_%27SP-BPE%27_%28really_SP-AKG%29_%2815783257430%29.jpg</t>
  </si>
  <si>
    <t>600 km (370 mi, 320 nmi)</t>
  </si>
  <si>
    <t>5,500 m (18,000 ft)</t>
  </si>
  <si>
    <t>685 kg (1,510 lb)</t>
  </si>
  <si>
    <t>73 l (19 US gal; 16 imp gal) in a centre-section tank ; 7 l (1.8 US gal; 1.5 imp gal) oil</t>
  </si>
  <si>
    <t>44.1 kg/m2 (9.0 lb/sq ft)</t>
  </si>
  <si>
    <t>0.1021 kW/kg (0.0621 hp/lb)</t>
  </si>
  <si>
    <t>RWD 16</t>
  </si>
  <si>
    <t>https://en.wikipedia.org/RWD 16</t>
  </si>
  <si>
    <t>https://en.wikipedia.org/RWD bureau</t>
  </si>
  <si>
    <t>https://en.wikipedia.org/1938 (RWD 16bis)</t>
  </si>
  <si>
    <t>Bell D-188A</t>
  </si>
  <si>
    <t>The Bell D-188A (unofficial military designations XF-109/XF3L) was a proposed eight-engine Mach 2–capable vertical take-off and landing (VTOL) tiltjet fighter that never proceeded past the mock-up stage. In 1955, Bell Aircraft was requested by both the USAF and the US Navy to develop a VTOL/STOVL supersonic, all-weather fighter-bomber and defence interceptor. The project was highly ambitious and was designed to fulfill a multitude of roles for two different services. The aircraft was designated the Model 2000, and was offered in two different versions – the D-188 for the Navy and the D-188A for the Air Force. Bell had rather optimistically called the Navy version the XF3L-1 and the Air Force version the XF-109, although neither of these designations were official.[citation needed] In 1959, Bell teamed with Convair to form a joint weapon systems management team in order to push the XF-109 program.[1] On 5 December 1960, Bell publicly showed off the design as the XF-109 – the Air Force version, as the Navy had lost interest the year earlier, however in the spring of 1961, the US Air Force canceled the program and no examples were built. The military designations were not official and were speculative on the part of Bell.[citation needed] The Navy's XF3L-1 was not assigned, but would have been the D-188's designation had the aircraft been built, as this was the next in the US Navy's number series. The Air Force XF-109 designation had previously been assigned to a proposed Convair F-106B variant, however, had subsequently been left blank and Bell assumed – if the D-188A had been built – that this would have been assigned to the aircraft. Many reference works refer to the D-188A by its assumed experimental series number, but in fact the XF-109 designator was never assigned.[citation needed] The aircraft was unconventional, and consisted of a long, thin, area ruled fuselage with a large fin and all-moving stabilators in the tail. The single seat cockpit was in the extreme nose and the small-span wing was mounted high on the fuselage. At the ends of each wing were pods that contained two turbojets each. These pods were designed to swivel through an arc of 100° (horizontal to 10° past vertical) to allow for both horizontal and vertical flight. To take off vertically, the pods were rotated to direct the engine's thrust downward, while for horizontal flight the pods were rotated back to the horizontal. The pods were capable of directing thrust slightly forward as well for enhanced landing maneuvers. In addition to the four wing engines, four engines were also mounted in the fuselage – two in the rear directed out of two separate tail ducts, and two liftjets directly aft of the cockpit and positioned vertically to aid in VTOL operation, exhausting out of two ventral ducts. The D-188A featured an engine bleed system to assist in vertical lift and maneuvering. Bleed air from the fuselage engine compressors would have been directed to a pair of thrusters in the nose and two more in the tail to aid in pitch, roll and yaw movements. Armament would have consisted of two 20mm cannon in the fuselage, an internal weapons bay and eight wing hard points for missiles and other ordnance. Data from National Museum of the USAF factsheet.[2]General characteristics Performance Armament   Aircraft of comparable role, configuration, and era  Related lists</t>
  </si>
  <si>
    <t>VTOL fighter</t>
  </si>
  <si>
    <t>https://en.wikipedia.org/VTOL fighter</t>
  </si>
  <si>
    <t>Bell Aircraft Corporation</t>
  </si>
  <si>
    <t>https://en.wikipedia.org/Bell Aircraft Corporation</t>
  </si>
  <si>
    <t>Canceled 1961</t>
  </si>
  <si>
    <t>23 ft 9 in (7.24 m)</t>
  </si>
  <si>
    <t>194 sq ft (18.02 m2)</t>
  </si>
  <si>
    <t>Mach 2.3</t>
  </si>
  <si>
    <t>13,800 lb (6,260 kg)</t>
  </si>
  <si>
    <t>23,917 lb (10,849 kg)</t>
  </si>
  <si>
    <t>1 mockup</t>
  </si>
  <si>
    <t>62 ft 0 in (18.90 m)</t>
  </si>
  <si>
    <t>12 ft 9 in (3.89 m)</t>
  </si>
  <si>
    <t>8 × General Electric J85-GE-5 turbojets, 2,600 lbf (12 kN) thrust each</t>
  </si>
  <si>
    <t>//upload.wikimedia.org/wikipedia/commons/thumb/e/e9/Bell_XF-109.jpg/300px-Bell_XF-109.jpg</t>
  </si>
  <si>
    <t>2,300 mi (3,900 km, 2,000 nmi)</t>
  </si>
  <si>
    <t>60,000 ft (18,000 m)</t>
  </si>
  <si>
    <t>America Air ForceAmerica Navy</t>
  </si>
  <si>
    <t>https://en.wikipedia.org/America Air ForceAmerica Navy</t>
  </si>
  <si>
    <t>4 × 20 mm (0.79 in) cannon</t>
  </si>
  <si>
    <t>1,350 mi (2,170 km, 1,170 nmi)</t>
  </si>
  <si>
    <t>108 × 2.75 in (70 mm) rockets</t>
  </si>
  <si>
    <t>4,000 lb (1,800 kg)</t>
  </si>
  <si>
    <t>Temco T-35 Buckaroo</t>
  </si>
  <si>
    <t>The Temco T-35 Buckaroo (company designation TE-1) was designed in the late 1940s as an extremely low-cost trainer for commercial and military markets. Temco's failure to secure a America Air Force order for the Buckaroo forced it to turn to non-U.S. governments to keep the production lines going, yet only a few export orders materialized. Early in 1948, Temco's president, Robert McCulloch, received an inquiry from the Philippine Government expressing an interest in a tandem trainer version of the Swift. The first TE-1A was a modification of the Swift GC-1B, hand-built to rough layout drawings, the major difference in appearance being the tandem seating arrangement which resulted in a narrow windshield and an elongated two-piece canopy with a fixed bubble at the rear. This TE-1A prototype was completed late in 1948. After initial flight tests a 145-hp Continental engine replaced the original 125-hp installation. Early in 1949, Temco's management received word that the America Air Force (USAF) planned to hold a competition for a new primary/basic trainer. Temco built two additional prototypes for this competition, adding some minor improvements as time permitted. The three aircraft were designated the YT-35 by the Air Force. Temco was competing with two other training aircraft, namely the Fairchild XNQ-1/T-31 and the Beechcraft Model 45. On 24 February 1949, the Air Force trainer evaluation board chose the Beech Model 45 by a four-to-one vote with Temco's TE-1A a distant third. Due to budget cuts, the USAF program was ultimately cancelled that year.[1] Although the USAF had decided against the TE-1A, interest had increased on the part of foreign governments, particularly the Republic of the Philippines. After a study of the competition evaluation, Temco decided to proceed with a program to improve the TE-1A. Some of the redesign included:  Concurrent with all this redesign, Temco had decided to build, on speculation, 10 of these production models powered by 145-hp engines. Late in 1949 with the engineering and tooling about 75% complete, three of the TE-1As redesigned YT-35 were entered in the revived USAF trainer competition commencing in 1950.[1] An evaluation program using students flying competing aircraft would be held at Randolph Air Force Base. Following receipt of the USAF order, Temco decided that in addition to the extensive changes that had been made to the TE-1A, a 165-hp Franklin engine would be installed. The USAF agreed to the change, with this model designated the TE-1B and given the name “Buckaroo”. Development of the TE-1A and the TE-1B continued concurrently. The TE-1A was designated for export, and the TE-1B was for the USAF. One TE-1A was bought by the Israeli Air Force and a second one was bought by the Greek Air Force.[1] In July 1950, the three YT-35 Buckaroos were delivered to Randolph AFB to compete with the YT-34 Mentor, the Fairchild T-31, Boulton Paul Balliol, and the de Havilland DHC-1B Chipmunk trainers. Later in 1950, the Korean War disrupted many U.S. military programs, including the YT-35 evaluation. The aircraft ended up at James Connally Air Force Base, now called TSTC Waco Airport near Waco, Texas. After 10 months of rigorous testing, the three YT-35s were returned to Temco in late July 1951, for factory overhaul. They then were assigned to Goodfellow Air Force Base where later all three were sold as surplus. The majority of the TE-1Bs were sold to Saudi Arabia (designated T-35A) through the USAF under the Mutual Defense Aid Program. Temco's contract with the Saudis called for ten T-35A aircraft and enough spares to keep them flying for years. The Saudi Arabian T-35A aircraft included two 30-caliber machine guns, one mounted inside each wing and ten 2.75-inch rockets, five mounted under each wing. Both Italy and Israel bought a single TE-1B Buckaroo in 1948.[1] In 1950, the Israeli aircraft was evaluated against the Fokker Instructor and the DHC-1 Chipmunk for possible use as a trainer with the IAF flight school. Losing the competition, the single Buckaroo was retired in late 1950 or early 1951. One T-35A is on display in Riyadh, Saudi Arabia. Two T-35As recovered from a Saudi desert "boneyard" are owned by The International Swift Association [1] in Athens, Tennessee, USA. Currently five Buckaroos are registered in the America.[4] Data from Jane's All The World's Aircraft 1953–54 [5]General characteristics Performance Armament   Aircraft of comparable role, configuration, and era  Related lists</t>
  </si>
  <si>
    <t>trainer</t>
  </si>
  <si>
    <t>https://en.wikipedia.org/trainer</t>
  </si>
  <si>
    <t>Temco Aircraft</t>
  </si>
  <si>
    <t>https://en.wikipedia.org/Temco Aircraft</t>
  </si>
  <si>
    <t>29 ft 4 in (8.94 m)</t>
  </si>
  <si>
    <t>134 sq ft (12.4 m2)</t>
  </si>
  <si>
    <t>156 mph (251 km/h, 136 kn) at sea level</t>
  </si>
  <si>
    <t>1,300 lb (590 kg)</t>
  </si>
  <si>
    <t>1,920 lb (871 kg)</t>
  </si>
  <si>
    <t>1948, (TE-1B: 20 February 1950)</t>
  </si>
  <si>
    <t>26[citation needed]</t>
  </si>
  <si>
    <t>21 ft 8 in (6.60 m)</t>
  </si>
  <si>
    <t>6 ft 1+1⁄2 in (1.867 m)</t>
  </si>
  <si>
    <t>NACA 23015 (root), NACA 23009 (tip)</t>
  </si>
  <si>
    <t>1 × Franklin 6A4-165-B3 6-cylinder air-cooled horizontally opposed engine, 165 hp (123 kW)</t>
  </si>
  <si>
    <t>32.7 min to 12,000 ft (3,700 m)</t>
  </si>
  <si>
    <t>//upload.wikimedia.org/wikipedia/en/thumb/b/bf/TemcoT-35.jpg/300px-TemcoT-35.jpg</t>
  </si>
  <si>
    <t>548 mi (882 km, 476 nmi) [6]</t>
  </si>
  <si>
    <t>17,000 ft (5,200 m)</t>
  </si>
  <si>
    <t>32.5 US gal (27.1 imp gal; 123 L)</t>
  </si>
  <si>
    <t>Globe Swift</t>
  </si>
  <si>
    <t>1,000 ft/min (5.1 m/s)</t>
  </si>
  <si>
    <t>https://en.wikipedia.org/Globe Swift</t>
  </si>
  <si>
    <t>Saudi Arabia</t>
  </si>
  <si>
    <t>2× 30-caliber machine guns in wings</t>
  </si>
  <si>
    <t>Racks for ten 2.75 in rockets</t>
  </si>
  <si>
    <t>https://en.wikipedia.org/Saudi Arabia</t>
  </si>
  <si>
    <t>https://en.wikipedia.org/26[citation needed]</t>
  </si>
  <si>
    <t>LIPNUR Belalang</t>
  </si>
  <si>
    <t>The LIPNUR Belalang (Indonesian: Grasshopper) was a military trainer aircraft built in small numbers in Indonesia by LIPNUR in the late 1950s. It was essentially a Piper L-4J Grasshopper converted to give it a low wing. The NU-85 prototype flew for the first time on 17 April 1958 and the first production of NU-90 took place in 1959.[2] The aircraft was operated by Indonesian Air Force.[2] Indonesian Army and Indonesian Civil Aviation Institute at Curug, Tangerang also used this aircraft.[3] In 1949-1950 period, the Indonesian Air Force (then called AURI) received around 60 Piper L-4J Grasshoppers from Royal Netherlands East Indies Air Force as part of the transfer of sovereignty.[4] AURI used them as liaison and primary trainer aircraft.[4] In 1957, AURI decided that their ex-Dutch L-4Js, which were powered by 65 hp Continental O-170, were already ageing and needed to be replaced. The L-4Js also has high wing so its aerobatic performance is very limited.[3]   Nurtanio Pringgoadisuryo, head of AURI’s Air Engineering Maintenance Depot at Andir airfield in Bandung, decided to modified the ageing L-4Js as it can be developed rapidly and with low technology so that the production cost is cheap.[3] An L-4J then is modified by converting it into low wing design with "V" lift struts and installed it with an 85 hp Continental C-85 four-cylinder horizontally-opposed piston engine with Sensenich two-bladed fixed-pitch propeller.[5] The aircraft maintained its old canopy but due to the new wing structure the canopy was hinged open to the right.[3] The prototype was then designated as NU-85 Belalang. The 85 was derived from the 85 hp engine, while the name Belalang (grasshopper) was used as his single-engine designs were named after insects.[3] The NU-85 prototype first flew on 17 April 1958. Another source stated that it was first flown on 26 April 1958, piloted by Nurtanio himself.[3] After testing, it was determined that the NU-85 performed better than the L-4Js in their role as primary trainer.[5] Despite the performance observed, Nurtanio determined it still needed further refinement.[3]  Then in 1959, Nurtanio designed the NU-90.[3] The differences from its predecessor are it was powered by more powerful 90 hp Continental C-90-12F flat-four direct-drive engine.[5] It also has bubble canopy that were split into two sections, the forward section hinged to the right and the rear section slides to the aft.[5] It retains many of the L-4J's features, although modified, such as its USA-35B airfoil but with the flaps removed, the split-axle mainwheels which was moved 10cm forward, and also L-4Js original wing structures.[5] The wings itself was braced with V-struts from the top section of the fuselage longerons and was set 1° 37’ incidence at the root and 5° dihedral.[5] The control surfaces were consisted of aluminum-alloy-frame covered with fiberglass.[5] The fuselage was of welded steel construction covered with fiberglass, while the vertical stabilizer was fabric-covered welded steel.[5] Three pre-production aircraft were sent to the Indonesian Air Force Academy in Yogyakarta for evaluation. Although the aircraft were still in the evaluation stage, eight cadets managed to solo fly after being trained with the three Belalangs.[3] The three aircraft were then sent back to the LIPNUR facility at Bandung to be reconditioned and overhauled.[3] Those aircraft then were transferred to the Indonesian Aviation Civil Institute in Curug, Tangerang.[3] Satisfied with the aircraft's performance, Indonesian Air Force ordered 50 units of Belalang to replace the L-4J Grasshoppers, but the orders could not be fulfilled as the LIPNUR facility at that time lacked tools to mass-produced them.[3] The Indonesian Army Aviation Command also expressed interest with Belalang. The Indonesian Army Aviation School at Kalibanteng airfield in Semarang received 5 Belalangs to be used as primary trainers.[3] Data from Jane's All The World's Aircraft 1965-66 [1]General characteristics Performance</t>
  </si>
  <si>
    <t>Military trainer</t>
  </si>
  <si>
    <t>https://en.wikipedia.org/Military trainer</t>
  </si>
  <si>
    <t>Indonesia</t>
  </si>
  <si>
    <t>https://en.wikipedia.org/Indonesia</t>
  </si>
  <si>
    <t>Angkatan Udara Republik Indonesia, Depot Penjelidikan, Pertjobaan dan Pembuatan/LIPNUR</t>
  </si>
  <si>
    <t>https://en.wikipedia.org/Angkatan Udara Republik Indonesia, Depot Penjelidikan, Pertjobaan dan Pembuatan/LIPNUR</t>
  </si>
  <si>
    <t>15.0 m2 (161 sq ft)</t>
  </si>
  <si>
    <t>184 km/h (114 mph, 99 kn)</t>
  </si>
  <si>
    <t>{'Belalang NU-85': ' single prototype', 'Belalang NU-90': ' five production aircraft', 'Belalang NU-90A': ' 75\xa0kW (100\xa0hp) Continental O-200 engine replacing 67\xa0kW (90\xa0hp) '}</t>
  </si>
  <si>
    <t>472 kg (1,041 lb)</t>
  </si>
  <si>
    <t>682 kg (1,504 lb)</t>
  </si>
  <si>
    <t>144 km/h (89 mph, 78 kn)</t>
  </si>
  <si>
    <t>Nurtanio Pringgoadisuryo (id)</t>
  </si>
  <si>
    <t>17 April 1958[1]</t>
  </si>
  <si>
    <t>9 (estimated)</t>
  </si>
  <si>
    <t>7.70 m (25 ft 3 in)</t>
  </si>
  <si>
    <t>2.03 m (6 ft 8 in)</t>
  </si>
  <si>
    <t>USA-35B</t>
  </si>
  <si>
    <t>1 × Continental O-200-A air-cooled flat-four engine, 75 kW (100 hp)</t>
  </si>
  <si>
    <t>2-bladed McCauley fixed-pitch, 1.83 m (6 ft 0 in) diameter</t>
  </si>
  <si>
    <t>560 km (350 mi, 300 nmi)</t>
  </si>
  <si>
    <t>3,700 m (12,000 ft)</t>
  </si>
  <si>
    <t>45 L (12 US gal; 9.9 imp gal)</t>
  </si>
  <si>
    <t>Piper J-3 Cub</t>
  </si>
  <si>
    <t>3.0 m/s (600 ft/min)</t>
  </si>
  <si>
    <t>https://en.wikipedia.org/Piper J-3 Cub</t>
  </si>
  <si>
    <t>https://en.wikipedia.org/Nurtanio Pringgoadisuryo (id)</t>
  </si>
  <si>
    <t>Indonesian Air ForceIndonesian Army  Indonesian Civil Aviation Institute</t>
  </si>
  <si>
    <t>https://en.wikipedia.org/Indonesian Air ForceIndonesian Army  Indonesian Civil Aviation Institute</t>
  </si>
  <si>
    <t>MKEK-4</t>
  </si>
  <si>
    <t>The MKEK-4 Uğur (Turkish: "Luck") was a basic trainer aircraft which was used by the Turkish Air Force between 1955-1963. Originally developed as the THK-15, in total 57 Uğurs were produced in Turkey, all of which were used in the Turkish AF Flight School except three which were donated to the Royal Jordanian Air Force. Data from Lucky or Not?,[1] Jane's All the World's Aircraft 1958-59,[2] Jane's All the World's Aircraft 1955-56[3]General characteristics Performance</t>
  </si>
  <si>
    <t>Turkey</t>
  </si>
  <si>
    <t>https://en.wikipedia.org/Turkey</t>
  </si>
  <si>
    <t>MKEK</t>
  </si>
  <si>
    <t>https://en.wikipedia.org/MKEK</t>
  </si>
  <si>
    <t>15.9 m2 (171 sq ft)</t>
  </si>
  <si>
    <t>217 km/h (135 mph, 117 kn)</t>
  </si>
  <si>
    <t>664.5 kg (1,465 lb)</t>
  </si>
  <si>
    <t>923 kg (2,035 lb)</t>
  </si>
  <si>
    <t>177 km/h (110 mph, 96 kn) economical cruise</t>
  </si>
  <si>
    <t>72 km/h (45 mph, 39 kn) (flaps down)</t>
  </si>
  <si>
    <t>7.50 m (24 ft 7 in)</t>
  </si>
  <si>
    <t>2.16 m (7 ft 1 in)</t>
  </si>
  <si>
    <t>Clark YH</t>
  </si>
  <si>
    <t>1 × de Havilland Gipsy Major 4-cyl inverted air-cooled in-line piston engine, 108 kW (145 hp)</t>
  </si>
  <si>
    <t>2-bladed Fairey-Reed fixed-pitch metal propeller</t>
  </si>
  <si>
    <t>//upload.wikimedia.org/wikipedia/commons/thumb/1/15/THK15.jpg/300px-THK15.jpg</t>
  </si>
  <si>
    <t>512 km (318 mi, 276 nmi)</t>
  </si>
  <si>
    <t>4,575 m (15,010 ft)</t>
  </si>
  <si>
    <t>90 l (23.8 US gal; 19.8 imp gal)</t>
  </si>
  <si>
    <t>3.25 hours</t>
  </si>
  <si>
    <t>4.1 m/s (800 ft/min)</t>
  </si>
  <si>
    <t>Turkish Air ForceRoyal Jordanian Air Force</t>
  </si>
  <si>
    <t>https://en.wikipedia.org/Turkish Air ForceRoyal Jordanian Air Force</t>
  </si>
  <si>
    <t>335 m (1,099 ft)</t>
  </si>
  <si>
    <t>366 m (1,201 ft)</t>
  </si>
  <si>
    <t>Laville DI-4</t>
  </si>
  <si>
    <t>Laville DI-4 (Russian: Лавиль ДИ-4) was a prototype two-seat fighter aircraft developed in the Soviet Union in the 1930s. The chief designer Henri Laville was one of several French aviation specialists invited to work in the Soviet Union and not surprisingly the DI-4 layout was typical of the French trend at the time with a high-mounted gull wing (first for a Soviet aircraft) and all-metal construction. Test flight program was completed in 1933 but despite good performance the aircraft did not enter mass production, in part because Soviet Union had no plans to purchase the Curtiss V-1570 engine.[1] Data from Istoriia konstruktskii samoletov v SSSR do 1938[1]General characteristics Performance Armament</t>
  </si>
  <si>
    <t>Soviet Union</t>
  </si>
  <si>
    <t>https://en.wikipedia.org/Soviet Union</t>
  </si>
  <si>
    <t>13.3 m (43 ft 8 in)</t>
  </si>
  <si>
    <t>23.9 m2 (257 sq ft)</t>
  </si>
  <si>
    <t>266 km/h (165 mph, 144 kn)</t>
  </si>
  <si>
    <t>1,448 kg (3,192 lb)</t>
  </si>
  <si>
    <t>1,949 kg (4,297 lb)</t>
  </si>
  <si>
    <t>Henri Laville</t>
  </si>
  <si>
    <t>8.5 m (27 ft 11 in)</t>
  </si>
  <si>
    <t>× Curtiss V-1570 Conqueror V-12 liquid-cooled piston engine, 448 kW (601 hp)</t>
  </si>
  <si>
    <t>5,000 m (16,404 ft) in 17 minutes</t>
  </si>
  <si>
    <t>//upload.wikimedia.org/wikipedia/en/9/9b/Laville_DI-4.jpg</t>
  </si>
  <si>
    <t>500 km (310 mi, 270 nmi)</t>
  </si>
  <si>
    <t>6,440 m (21,130 ft)</t>
  </si>
  <si>
    <t>81.5 kg/m2 (16.7 lb/sq ft)</t>
  </si>
  <si>
    <t>0.230 kW/kg (0.140 hp/lb)</t>
  </si>
  <si>
    <t>https://en.wikipedia.org/4 January 1932</t>
  </si>
  <si>
    <t>15 seconds</t>
  </si>
  <si>
    <t>Aero Synergie J300 Joker</t>
  </si>
  <si>
    <t>The Aero Synergie J300 Joker is a French ultralight aircraft that was designed and produced by Sauper/ALMS and later by Aero Synergie. The aircraft was supplied as a kit for amateur construction and also as a complete ready-to-fly aircraft.[1] The aircraft was designed to comply with the Fédération Aéronautique Internationale microlight rules. It features a strut-braced high-wing, a two seats in side-by-side configuration enclosed cockpit, tricycle landing gear or conventional landing gear and a single engine in tractor configuration.[1] The aircraft is made from welded steel tubing, covered in doped aircraft fabric. Its 9.04 m (29.7 ft) span wing employs dual parallel struts. The standard engine fitted is the 80 hp (60 kW) Rotax 912UL four-stroke powerplant, with the 100 hp (75 kW) Rotax 912ULS optional.[1] Originally produced by Sauper/ALMS the design was later manufactured by Aero Synergie. Production was halted circa 2011, although parts were still available in 2012.[2] Popular in Europe and Africa as a trainer, it also found use as a personal aircraft due to its simple construction and ease of handling.[1] Data from Bayerl[1]General characteristics Performance</t>
  </si>
  <si>
    <t>Ultralight aircraft</t>
  </si>
  <si>
    <t>https://en.wikipedia.org/Ultralight aircraft</t>
  </si>
  <si>
    <t>Sauper/ALMSAero Synergie</t>
  </si>
  <si>
    <t>https://en.wikipedia.org/Sauper/ALMSAero Synergie</t>
  </si>
  <si>
    <t>9.04 m (29 ft 8 in)</t>
  </si>
  <si>
    <t>15.6 m2 (168 sq ft)</t>
  </si>
  <si>
    <t>272 kg (600 lb)</t>
  </si>
  <si>
    <t>472.5 kg (1,042 lb)</t>
  </si>
  <si>
    <t>140 km/h (87 mph, 76 kn)</t>
  </si>
  <si>
    <t>1990s</t>
  </si>
  <si>
    <t>1 × Rotax 912ULS four cylinder, liquid and air-cooled, four stroke, 75 kW (101 hp)</t>
  </si>
  <si>
    <t>94 litres (21 imp gal; 25 US gal)</t>
  </si>
  <si>
    <t>5 m/s (980 ft/min)</t>
  </si>
  <si>
    <t>AeroCad AeroCanard</t>
  </si>
  <si>
    <t>The AeroCad AeroCanard is a family of American amateur-built aircraft, designed and produced by AeroCad of Florissant, Missouri. The aircraft is supplied as a kit for amateur construction.[1][2] The AeroCanard line of aircraft all feature a cantilever mid-wing, a canard tail, a four seat enclosed cabin and a single engine in pusher configuration. The tricycle landing gear features either fixed main wheels and a retractable nose wheel or fully retractable gear, depending on the model.[1][2] The aircraft is made from composites. Its 28.1 ft (8.6 m) span wing has an area of 102.3 sq ft (9.50 m2). The aircraft's recommended engine power range is 160 to 200 hp (119 to 149 kW) with the standard engine used the 200 hp (149 kW) Lycoming IO-360 four-stroke powerplant.[1][2] By October 2012 four examples had been registered in the America with the Federal Aviation Administration.[3] Data from Kitplanes[1]General characteristics Performance</t>
  </si>
  <si>
    <t>Amateur-built aircraft</t>
  </si>
  <si>
    <t>https://en.wikipedia.org/Amateur-built aircraft</t>
  </si>
  <si>
    <t>AeroCad</t>
  </si>
  <si>
    <t>https://en.wikipedia.org/AeroCad</t>
  </si>
  <si>
    <t>In production (2012)</t>
  </si>
  <si>
    <t>28.1 ft (8.6 m)</t>
  </si>
  <si>
    <t>102.3 sq ft (9.50 m2)</t>
  </si>
  <si>
    <t>2,150 lb (975 kg)</t>
  </si>
  <si>
    <t>210 mph (340 km/h, 180 kn)</t>
  </si>
  <si>
    <t>78 mph (126 km/h, 68 kn)</t>
  </si>
  <si>
    <t>16.8 ft (5.1 m)</t>
  </si>
  <si>
    <t>1 × Lycoming IO-360 four cylinder, air-cooled, fuel injected, four stroke aircraft engine, 200 hp (150 kW)</t>
  </si>
  <si>
    <t>3-bladed constant speed propeller</t>
  </si>
  <si>
    <t>three passengers</t>
  </si>
  <si>
    <t>1,000 mi (1,600 km, 870 nmi)</t>
  </si>
  <si>
    <t>50 U.S. gallons (190 L; 42 imp gal)</t>
  </si>
  <si>
    <t>21.0 lb/sq ft (103 kg/m2)</t>
  </si>
  <si>
    <t>1,900 ft/min (9.7 m/s)</t>
  </si>
  <si>
    <t>Aeros Combat</t>
  </si>
  <si>
    <t>The Aeros Combat is a family of Ukrainian high-wing, single-place, hang gliders, designed and produced by Aeros of Kiev and introduced in 2000.[1][2] The Combat series was conceived as a single-place competition hang glider and as such has gone through successive updates to keep it competitive.[1][2] Typical of the line, the Combat 2 13 model is made from aluminum tubing, with the wing covered in Dacron sailcloth. Its 10.35 m (34.0 ft) span wing is cable braced, but without a kingpost and upper rigging. The nose angle is 131° and the aspect ratio is 7.95:1.[1] The wing is also used on the Aeros ANT nanotrike, as well as the Flylight Libelle and Flylight Motorfloater, British ultralight trikes, in its Combat T configuration.[3][4] In 2005 Oleg Bodnarchuk was the Hang Gliding World Champion, flying a Combat L.[1][2] Data from Bertrand[1]General characteristics</t>
  </si>
  <si>
    <t>Hang glider</t>
  </si>
  <si>
    <t>https://en.wikipedia.org/Hang glider</t>
  </si>
  <si>
    <t>Ukraine</t>
  </si>
  <si>
    <t>https://en.wikipedia.org/Ukraine</t>
  </si>
  <si>
    <t>Aeros</t>
  </si>
  <si>
    <t>https://en.wikipedia.org/Aeros</t>
  </si>
  <si>
    <t>10.7 m (35 ft 1 in)</t>
  </si>
  <si>
    <t>14.8 m2 (159 sq ft)</t>
  </si>
  <si>
    <t>Aero &amp; Tech Nexth</t>
  </si>
  <si>
    <t>The Aero &amp; Tech Nexth (or sometimes Next-H[2]) is an Italian ultralight aircraft designed by  Morelli Luca[2] and produced by Aero &amp; Tech of Fossato di Vico. Introduced at the Aero show held in Friedrichshafen in 2011, the aircraft is intended to be supplied as a complete ready-to-fly aircraft.[1][3] The Nexth complies with the Fédération Aéronautique Internationale microlight rules.[1][3] A later version will comply with US light-sport aircraft rules.[1][3] The design features a cantilever mid-wing, two seats in side-by-side configuration, retractable tricycle landing gear made from titanium and a single 100 hp (75 kW) Rotax 912ULS four cylinder, liquid and air-cooled, four stroke engine in tractor configuration. Cockpit access is by two gull wing doors hinged at the top.[1][3] The aircraft was designed to meet aerobatic category requirements, including +9 and -4.5 g.[3][4] The aircraft fuselage is an aluminum sheet covered steel space frame, based on Formula One racing construction techniques. Its 7.90 m (25.9 ft) span wing employs winglets and flaps. Fuel is carried in a single fuselage tank and totals 130 litres (29 imp gal; 34 US gal), giving a range of over 1,700 km (1,056 mi).[1] Marino Boric, writing in the World Directory of Leisure Aviation notes that the Nexth fuselage is an unusual multi-faceted shape reminiscent of stealth fighter design. The prototype was painted black, which adds to the resemblance.[1][3] Data from Bayerl and Aero &amp; Tech[1][4]General characteristics Performance</t>
  </si>
  <si>
    <t>European FAI microlight class and light-sport aircraft[1]</t>
  </si>
  <si>
    <t>https://en.wikipedia.org/European FAI microlight class and light-sport aircraft[1]</t>
  </si>
  <si>
    <t>Italy[1]</t>
  </si>
  <si>
    <t>https://en.wikipedia.org/Italy[1]</t>
  </si>
  <si>
    <t>Aero &amp; Tech[1]</t>
  </si>
  <si>
    <t>https://en.wikipedia.org/Aero &amp; Tech[1]</t>
  </si>
  <si>
    <t>In production[2]</t>
  </si>
  <si>
    <t>7.90 m (25 ft 11 in)</t>
  </si>
  <si>
    <t>9.23 m2 (99.4 sq ft)</t>
  </si>
  <si>
    <t>225 km/h (140 mph, 121 kn)</t>
  </si>
  <si>
    <t>Morelli Luca[2]</t>
  </si>
  <si>
    <t>2011[1]</t>
  </si>
  <si>
    <t>February 2012[3]</t>
  </si>
  <si>
    <t>//upload.wikimedia.org/wikipedia/commons/thumb/c/c8/Aero_%26_Tech_Nexth_at_AERO_Friedrichshafen_2018_%281X7A4281%29.jpg/300px-Aero_%26_Tech_Nexth_at_AERO_Friedrichshafen_2018_%281X7A4281%29.jpg</t>
  </si>
  <si>
    <t>1,700 km (1,100 mi, 920 nmi)</t>
  </si>
  <si>
    <t>5,000 m (16,400 ft)</t>
  </si>
  <si>
    <t>130 litres (29 imp gal; 34 US gal)</t>
  </si>
  <si>
    <t>305 km/h (190 mph, 165 kn)</t>
  </si>
  <si>
    <t>+9/-4.5</t>
  </si>
  <si>
    <t>7.9 m/s (1,550 ft/min)</t>
  </si>
  <si>
    <t>https://en.wikipedia.org/Morelli Luca[2]</t>
  </si>
  <si>
    <t>Aero Synergie Jodel D20</t>
  </si>
  <si>
    <t>The Aero Synergie Jodel D20 is a French ultralight aircraft that was designed by Jean Délémontez and produced by Aero Synergie of Villefranche-de-Rouergue. The aircraft was supplied as a kit for amateur construction or as a completed aircraft.[1] Aero Synergie no longer offers the D20. The aircraft complies with the Fédération Aéronautique Internationale microlight rules. It features a cantilever low wing, two seats in a side-by-side configuration enclosed cockpit, a choice of tricycle landing gear or conventional landing gear and a single engine in tractor configuration.[1] The aircraft has a wooden airframe covered in doped aircraft fabric. Like most Jodel designs its 7.5 m (24.6 ft) span wing employs dihedral in the outer half only. Standard engines used are the 100 hp (75 kW) Rotax 912ULS four-stroke and the 85 hp (63 kW) Jabiru 2200 powerplant. Other engines of similar power output can also be used.[1] Reviewers Robby Bayerl et al. describe the aircraft as possessing "great performance and impeccable behaviour in flight".[1] Data from Bayerl[1]General characteristics Performance       Media related to Jodel D20 at Wikimedia Commons</t>
  </si>
  <si>
    <t>Aero Synergie</t>
  </si>
  <si>
    <t>https://en.wikipedia.org/Aero Synergie</t>
  </si>
  <si>
    <t>10.50 m2 (113.0 sq ft)</t>
  </si>
  <si>
    <t>230 km/h (140 mph, 120 kn)</t>
  </si>
  <si>
    <t>265 kg (584 lb)</t>
  </si>
  <si>
    <t>205 km/h (127 mph, 111 kn)</t>
  </si>
  <si>
    <t>Jean Délémontez</t>
  </si>
  <si>
    <t>//upload.wikimedia.org/wikipedia/commons/thumb/6/6b/Jodel_D20%2C_Private_JP6822825.jpg/300px-Jodel_D20%2C_Private_JP6822825.jpg</t>
  </si>
  <si>
    <t>55 litres (12 imp gal; 15 US gal)</t>
  </si>
  <si>
    <t>4.5 m/s (890 ft/min)</t>
  </si>
  <si>
    <t>https://en.wikipedia.org/Jean Délémontez</t>
  </si>
  <si>
    <t>Aeros Cross Country</t>
  </si>
  <si>
    <t>The Aeros Cross Country, sometimes called the Aeros Cross-Country, is a Ukrainian ultralight trike, designed and produced by Aeros of Kiev. The aircraft is supplied as a complete ready-to-fly aircraft or as kit for amateur construction.[1][2][3] Intended as a more basic model than the Aeros-2 for off-airport use, the Cross Country features a cable-braced hang glider-style high-wing, weight-shift controls, a two-seats-in-tandem open cockpit, tricycle landing gear and a single engine in pusher configuration.[1][2][3] The aircraft is made from tubing, with its wing covered in Dacron sailcloth. Its 10.3 m (33.8 ft) span wing is supported by a single tube-type kingpost and uses an "A" frame control bar. Unlike the Aeros-2 the Cross Country does not have a cockpit fairing and sports heavy duty main wheel suspension for rough fields.[1][2][3] Engines available include the twin cylinder, two-stroke, air-cooled 50 hp (37 kW) Rotax 503, the liquid-cooled 64 hp (48 kW) Rotax 582, the four cylinder four-stroke 80 hp (60 kW) Rotax 912UL and 100 hp (75 kW) 912ULS or the certified 912A or S. The BMW K-1100 ULS powerplant is also optional. Available wings to be mated to the carriage are the Aeros Profi, Aeros Stranger, Aeros Stream and Aeros Still.[1][2][3][4] An aerial application kit to allow crop spraying was available as an option.[1] Data from Aeros[5]General characteristics Performance</t>
  </si>
  <si>
    <t>Ultralight trike</t>
  </si>
  <si>
    <t>https://en.wikipedia.org/Ultralight trike</t>
  </si>
  <si>
    <t>14.5 m2 (156 sq ft)</t>
  </si>
  <si>
    <t>222 kg (489 lb)</t>
  </si>
  <si>
    <t>90 km/h (56 mph, 49 kn)</t>
  </si>
  <si>
    <t>1 × Rotax 912UL four cylinder, four stroke aircraft engine, 60 kW (80 hp)</t>
  </si>
  <si>
    <t>53 litres (12 imp gal; 14 US gal)</t>
  </si>
  <si>
    <t>+4/-2</t>
  </si>
  <si>
    <t>5 m/s (980 ft/min) at 450 kg take-off weight</t>
  </si>
  <si>
    <t>Aeros Discus</t>
  </si>
  <si>
    <t>The Aeros Discus is a family of Ukrainian high-wing, single-place, hang gliders, designed and produced by Aeros of Kiev and introduced in 2002.[1][2] The Discus series was conceived as a single-place intermediate hang glider for recreational cross country flying.[1][2] Aeros explains the design role: Not everyone has the desire or ability to take part in masters’ competitions. A lot of pilots just enjoy flying cross-country or soaring in familiar places without feeling the restraints of a hang glider for beginners. This problem is easily solved with the help of an intermediate glider. Such gliders combine rather high performance with simple piloting and maintaining. They are more comfortable in the air than competitive gliders and easier to land.[3] Typical of the line, the Discus 148 model is made from aluminum tubing, with the wing covered in Dacron sailcloth. Its 10.0 m (32.8 ft) span wing is cable braced with a kingpost. The nose angle is 128° and the aspect ratio is 7.3:1.[1] The wing is also used on the Aeros ANT and the British Flylight Dragonfly, Flylight Motorfloater and Flylight E-Dragon ultralight trikes in its Discus T configuration.[4][5] Data from Bertrand[1]General characteristics</t>
  </si>
  <si>
    <t>10.0 m (32 ft 10 in)</t>
  </si>
  <si>
    <t>13.7 m2 (147 sq ft)</t>
  </si>
  <si>
    <t>Aeros Target</t>
  </si>
  <si>
    <t>The Aeros Target is a family of Ukrainian high-wing, single and two-place hang gliders, designed and produced by Aeros of Kiev and introduced in 1995. The two-place Target 21 Tandem remains in production in 2012.[1][2][3] The Target series was conceived as a single-place beginner's hang glider for flight training and recreational flying and as such it has gentle flying characteristics. The design received British Hang Gliding and Paragliding Association (BHPA) certification in 1995. Over time the line has been refined and in 2012 the Target 21 Tandem was the last of the line still in production.[2] The 2003 model Target 162 was typical of the line. It is constructed from bolted together aluminum tubing with its single-surface wing covered in Dacron sailcloth. The wing is supported by cables suspended from a kingpost. The aircraft has weight-shift controls, actuated though an "A" frame control bar. Its 9.6 m (31.5 ft) span wing has an area of 16.2 m2 (174 sq ft), a nose angle of 120° and an aspect ratio of 5.7:1. The pilot hook-in weight range is 60 to 100 kg (132 to 220 lb). The Target 162 sold for £1790 in 2003.[1] The single-place versions of the Target were replaced in the company's line by the Aeros Fox.[4] Data from Bertrand[1]General characteristics</t>
  </si>
  <si>
    <t>Target 21 Tandem in production</t>
  </si>
  <si>
    <t>8.65 m (28 ft 5 in)</t>
  </si>
  <si>
    <t>13.4 m2 (144 sq ft)</t>
  </si>
  <si>
    <t>Advanced Attack Helicopter</t>
  </si>
  <si>
    <t>The Advanced Attack Helicopter (AAH) was a America Army program to develop an advanced ground attack helicopter beginning in 1972. The Advanced Attack Helicopter program followed cancellation of the Lockheed AH-56 Cheyenne. After evaluating industry proposals, the AAH competition was reduced to offerings from Bell and Hughes. Following a flight test evaluation of prototypes, Hughes' YAH-64 was selected in December 1976.[1] During the mid-1960s, the America Army initiated the Advanced Aerial Fire Support System (AAFSS) program, which led to the development of the Lockheed AH-56 Cheyenne for use in the anti-tank gunship role. The US Army pursued the AH-1G HueyCobra as an "interim type" for the "jungle fighting" role. However, the Army's broader concern was the task of protecting Western Europe from the legions of Warsaw Pact armor to the east.[2][3] The main scenario used by NATO throughout the Cold War was that, if the Soviet Union and Warsaw Pact forces were to conduct a massive tank offensive attack on Western Europe, they would probably cross either the Fulda Gap (capturing Frankfurt first and then aiming for the westward bend of the Rhine south of Wiesbaden: a total distance of just 85 miles), or cross the North German Plain (see map). The Advanced Attack Helicopter was conceived from the need to defend against such an attack. In 1971, political friction increased between the Army and the Air Force over the close air support (CAS) mission.[4] The Air Force asserted that the Cheyenne would infringe on the Air Force's CAS mission in support of the Army, which had been mandated with the Key West Agreement of 1948.[5] The Department of Defense (DOD) conducted a study which concluded that the Air Force's A-X program, the Navy's proposed Harrier, and the Cheyenne were significantly different and that they did not constitute a duplication of capabilities.[6] The Army convened a special task force under General Marks in January 1972, to reevaluate the requirements for an attack helicopter.[6] The task force conducted flight evaluations of the AH-56, along with two industry alternatives for comparison; the Bell 309 KingCobra and Sikorsky S-67 Blackhawk.[6] In 1972, the Army conducted a competitive fly-off of the helicopters from the spring 1972 until July 1972.[2] The Army determined that the three helicopters could not fulfill its requirements.[6][7][8] In April 1972, the Senate published its report on CAS. The report recommended funding of the Air Force's A-X program, which would become the A-10 Thunderbolt II, and limited procurement of the Harrier for the Navy. The report never referred to the Cheyenne by name and only offered a lukewarm recommendation for the Army to continue to seek to procure attack helicopters, so long as their survivability could be improved.[9] The Cheyenne program was canceled by the Army on 9 August 1972.[6][10] The helicopter's large size and inadequate night/all-weather capability were reasons stated by the Army for the cancellation.[10] Following the cancellation of the AH-56 Cheyenne the US Army sought an aircraft to fill an anti-armor attack role. The Army wanted an aircraft better than the AH-1 Cobra in firepower, performance and range. It would have the maneuverability to fly nap-of-the-earth (NoE) missions.[1] On 17 August 1972, the Army initiated the Advanced Attack Helicopter (AAH) program.[11] AAH sought an attack helicopter based on combat experience in Vietnam, with a lower top speed of 145 knots (269 km/h) and twin engines for improved survivability.[12] To this end, the US Army issued a Request For Proposals (RFP) for an Advanced Attack Helicopter (AAH) on 15 November 1972.[11] The AAH requirements for reliability, survivability and life cycle costs were very similar to the UTTAS requirements.[13] The Army specified that the AAH was to be powered by twin General Electric T700 turboshaft engines that produce 1,500 shp (1,120 kW) each. The T700 was the same powerplant fit specified for a new Army utility helicopter competition that would be won by the UH-60 Black Hawk. The AAH would be armed with a 30 millimeter cannon and 16 TOW anti-tank missiles. The missile armament specification was later modified to include an alternate load of 16 laser-guided AGM-114 Hellfire anti-tank missiles. The Hellfire was then in development and promised greater range and lethality than TOW.[14] Proposals were submitted by five manufacturers: Bell, Boeing-Vertol (teamed with Grumman), Hughes Aircraft, Lockheed, and Sikorsky. In June 1973, Bell and Hughes Aircraft's Toolco Aircraft Division (later Hughes Helicopters) were selected as finalists, and were each awarded contracts for the construction of two prototype aircraft.[14] This began the phase 1 of the competition.[1] Each company built two prototype helicopters for a flight test program.[1] Bell's Model 409/YAH-63A prototype featured a three-wheel landing gear in a tricycle arrangement, and placed the pilot in the cockpit front instead of the usual rear seat, to help with nap of earth flying.[15] Hughes' Model 77/YAH-64A prototype featured a three-wheel landing gear with the third gear at its tail. Its cockpit placed the pilot in the rear seat.[1] Faced with a flight deadline of the end of September,[16] Hughes' YAH-64 first flew on 30 September 1975, while Bell's YAH-63 first flew on 1 October.[1][16] The second YAH-64's first flight was on 22 November, and second YAH-63 flew on 21 December 1975.[17] The first YAH-63 crashed in June 1976, but a static test prototype was brought up to flight standard and, along with the second prototype, entered the flyoff against Hughes' YAH-64s.[14] The Army put all four helicopters through a demanding program of flight testing during 1976.[1] The Army flyoff began in June of that year.[18][19] A separate competition was conducted for the sensor and targeting suite for the AAH, with Martin Marietta and Northrop submitting proposals in November 1976.[17] During the prototype evaluation, the Army changed the AAH primary antitank weapon from the proven TOW wire-guided missile to the new Hellfire laser-guided missile, with over twice the effective range.[1] This was risky because Hellfire had not even been flown at the time, with the initial development contract with Rockwell International signed in October 1976.[17] After evaluating test results, the Army selected Hughes' YAH-64A over Bell's YAH-63A on 10 December 1976. Both designs were regarded as good, but the Hughes design seemed to have an edge in survivability.[17] Reasons for selecting the YAH-64A included its more damage-tolerant four-blade main rotor and reduced stability of the YAH-63's tricycle landing gear arrangement.[20] The AH-64A then entered phase 2 of the AAH program. This called for building three preproduction AH-64s, and upgrading the two YAH-64A flight prototypes and the ground test unit up to the same standard.[17] Weapons and sensor systems were integrated and tested during this time,[1] including the new Hellfire missile.[17] The Phase 2 program suffered through a number of delays for various reasons and stretched out to over five years. The first Phase 2 flight, of an upgraded initial prototype, was on 28 November 1977, with the first flight of a newbuild preproduction prototype on 31 October 1979. Initial Hellfire launches had already taken place by then, with first firings in April 1979. A competitive evaluation of preproduction helicopters, one fitted with the Martin Marietta sensor / targeting suite and the other fitted with the Northrop suite, was performed, with Martin Marietta winning the competition in April 1980. An initial production order for 11 "AH-64A Apache" attack helicopters was issued on 26 March 1982.[17]</t>
  </si>
  <si>
    <t>//upload.wikimedia.org/wikipedia/commons/thumb/6/67/YAH-64_1982_01761_cr.jpg/300px-YAH-64_1982_01761_cr.jpg</t>
  </si>
  <si>
    <t>Attack helicopter</t>
  </si>
  <si>
    <t>https://en.wikipedia.org/Attack helicopter</t>
  </si>
  <si>
    <t>America Army</t>
  </si>
  <si>
    <t>https://en.wikipedia.org/America Army</t>
  </si>
  <si>
    <t>Bell YAH-63  Hughes YAH-64</t>
  </si>
  <si>
    <t>https://en.wikipedia.org/Bell YAH-63  Hughes YAH-64</t>
  </si>
  <si>
    <t>YAH-64 selected for production as AH-64 Apache</t>
  </si>
  <si>
    <t>Advanced Aerial Fire Support System</t>
  </si>
  <si>
    <t>https://en.wikipedia.org/Advanced Aerial Fire Support System</t>
  </si>
  <si>
    <t>Light Helicopter Experimental</t>
  </si>
  <si>
    <t>https://en.wikipedia.org/Light Helicopter Experimental</t>
  </si>
  <si>
    <t>Advanced Tactical Fighter</t>
  </si>
  <si>
    <t>The Advanced Tactical Fighter (ATF) was a demonstration and validation program undertaken by the America Air Force to develop a next-generation air superiority fighter to counter emerging worldwide threats, including Soviet Sukhoi Su-27 and Mikoyan MiG-29 fighters under development in the 1980s.[3]  Lockheed and Northrop were selected in  1986 to develop the YF-22 and the YF-23 technology demonstrator aircraft.  These aircraft were evaluated in 1991 and the Lockheed YF-22 was selected and later developed into the F-22 Raptor. In 1981, USAF began forming requirements for a new air superiority fighter intended to replace the capability of the F-15 Eagle.  In June 1981 a request for information (RFI) for the Advanced Tactical Fighter (ATF) was published by the Air Force.  Design concepts were provided by defense contractors.  The common areas among the concepts were stealth, STOL and supercruise.[4]  It was envisioned that the ATF would incorporate emerging technologies including advanced alloys and composite material, advanced fly-by-wire flight control systems, higher power propulsion systems, and low-observable, or stealth technology.[5] In September 1983, study contracts were awarded to seven airframe manufacturers for further definition of their designs.  By late 1984, ATF requirements had settled on a fighter with a maximum takeoff weight of 50,000 pounds (23,000 kg), a mission radius of 800 miles (1,300 km), supercruise speed of Mach 1.4-1.5 and the ability to use a 2,000 feet (610 m) runway.[6]  A request for proposals (RFP) for the fighter's engine, called the Joint Advanced Fighter Engine (JAFE), was released in May 1983.  Pratt &amp; Whitney and General Electric received contracts for the development and production of prototype engines in September 1983.[7] A request for proposals (RFP) for the fighter was issued in September 1985.[5][8]  In May 1986, the Air Force changed the RFP so that final selection would involve flying prototypes.[9]  In July 1986, proposals were provided by Boeing, General Dynamics, Lockheed, Northrop, and McDonnell Douglas.[2]  Two contractors, Lockheed and Northrop were selected in October 1986 to undertake a 50-month demonstration/validation phase, culminating in the flight test of two technology demonstrator prototypes, the YF-22 and the YF-23.  Under terms of agreements between Lockheed, General Dynamics, and Boeing, the companies agreed to participate in the development jointly if only one company's design was selected.  Northrop and McDonnell Douglas had a similar agreement.[10] During development, both contractor teams conducted performance and cost trade studies and presented them in system requirement reviews (SRRs) with the USAF. This enabled the USAF to adjust ATF requirements and delete ones that were significant weight and cost drivers while having marginal operational value. Because of the added weight for thrust vectoring/reversing nozzles and related systems on the F-15 S/MTD research aircraft, the Air Force changed the runway length requirement to 3,000 feet (910 m) and removed the thrust reversers on the ATF in late 1987.[11][12] As avionics was a significant cost driver, side-looking radars were deleted, and the dedicated infrared search and track (IRST) system was downgraded from requirement to goal. The ejection seat requirement was downgraded from a fresh design to the existing McDonnell Douglas ACES II. Despite efforts by the contractor teams to rein in weight, the takeoff gross weight estimate was increased from 50,000 lb (22,700 kg) to 60,000 lb (27,200 kg), resulting in engine thrust requirement increasing from 30,000 lbf (133 kN) to 35,000 lbf (156 kN) class.[13] Two examples of each prototype were built for the Demonstration-Validation phase: one with General Electric YF120 engines, the other with Pratt &amp; Whitney YF119 engines.[5][14] The first YF-23 made its maiden flight on 27 August 1990 and the first YF-22 first flew on 29 September 1990.[15]  Flight testing began afterwards and added the second aircraft for each competitor in late October 1990.[16]  The first YF-23 with P&amp;W engines supercruised at Mach 1.43 on 18 September 1990 and the second YF-23 with GE engines reached Mach 1.6 on 29 November 1990.[16]  The YF-22 with GE engines achieved Mach 1.58 in supercruise.[17]  Flight testing continued until December 1990.  Following flight testing, the contractor teams submitted proposals for ATF production.[16] Following a review of the flight test results and proposals, the Air Force announced the Lockheed YF-22 with Pratt &amp; Whitney engines as the competition winner on 23 April 1991.[18] The YF-23 design was stealthier and faster, but the YF-22 was more agile.[19]  The US Navy had begun considering a version of the ATF called Navy Advanced Tactical Fighter (NATF) in 1986.[20]  It has been speculated in the aviation press that the YF-22 was also seen as more adaptable to the NATF.[21]  The Navy abandoned NATF by 1992.[22] The Lockheed team was awarded the contract to develop and build the Advanced Tactical Fighter in August 1991.  The YF-22 was modified into the production F-22 Raptor version.[23]  The Northrop YF-23 design was later considered by the company for modification as a bomber,[18] but the proposals have not come to fruition.[24]</t>
  </si>
  <si>
    <t>//upload.wikimedia.org/wikipedia/commons/thumb/3/3b/YF-22_and_YF-23.jpg/300px-YF-22_and_YF-23.jpg</t>
  </si>
  <si>
    <t>Air superiority fighter</t>
  </si>
  <si>
    <t>https://en.wikipedia.org/Air superiority fighter</t>
  </si>
  <si>
    <t>America Air Force</t>
  </si>
  <si>
    <t>Lockheed YF-22, Northrop YF-23</t>
  </si>
  <si>
    <t>https://en.wikipedia.org/Lockheed YF-22, Northrop YF-23</t>
  </si>
  <si>
    <t>YF-22 selected for production as Lockheed Martin F-22 Raptor</t>
  </si>
  <si>
    <t>Advanced Tactical Fighter Statement of Operational Need (November 1984)</t>
  </si>
  <si>
    <t>$US 86.6 billion when winner was selected[1]</t>
  </si>
  <si>
    <t>June 1981 (1981-06) (RFI), September 1985 (1985-09) (RFP)</t>
  </si>
  <si>
    <t>proposals from Boeing, General Dynamics, Lockheed, Northrop, and McDonnell Douglas[2]</t>
  </si>
  <si>
    <t>https://en.wikipedia.org/proposals from Boeing, General Dynamics, Lockheed, Northrop, and McDonnell Douglas[2]</t>
  </si>
  <si>
    <t>August 1991 (1991-08)</t>
  </si>
  <si>
    <t>https://en.wikipedia.org/YF-22 selected for production as Lockheed Martin F-22 Raptor</t>
  </si>
  <si>
    <t>JAFE, NATF, Have Dash II</t>
  </si>
  <si>
    <t>https://en.wikipedia.org/JAFE, NATF, Have Dash II</t>
  </si>
  <si>
    <t>Aero-Kros MP-02 Czajka</t>
  </si>
  <si>
    <t>The Aero-Kros MP-02 Czajka (English: Lapwing) is a Polish ultralight aircraft designed and developed by Aero-Kros of Krosno, introduced at the Aero show held in Friedrichshafen in 2009. The aircraft is supplied ready-to-fly.[1][2] Since March 2017 the design has been built by HMS Aviation, which is also located in Krosno, Poland.[3] The Czajka was designed to comply with the Fédération Aéronautique Internationale microlight rules and US light-sport aircraft rules. It features a cantilever high-wing, a two seats in side-by-side configuration enclosed cockpit, tricycle landing gear and a single engine in tractor configuration.[1][2] The aircraft is made from carbon-fiber-reinforced polymer. Its 9.72 m (31.9 ft) span wing employs Fowler flaps to keep the stall speed low enough for the FAI microlight category. The standard engine provided is the 100 hp (75 kW) Rotax 912ULS four-stroke powerplant which gives a cruise speed of 230 km/h (143 mph). The cockpit is 1.215 m (48 in) wide.[1][2] Data from Bayerl and Tacke[1][2]General characteristics Performance</t>
  </si>
  <si>
    <t>https://en.wikipedia.org/Poland</t>
  </si>
  <si>
    <t>Aero-KrosHMS Aviation</t>
  </si>
  <si>
    <t>https://en.wikipedia.org/Aero-KrosHMS Aviation</t>
  </si>
  <si>
    <t>9.72 m (31 ft 11 in)</t>
  </si>
  <si>
    <t>10.2 m2 (110 sq ft)</t>
  </si>
  <si>
    <t>268 kg (591 lb)</t>
  </si>
  <si>
    <t>170 km/h (110 mph, 92 kn)</t>
  </si>
  <si>
    <t>//upload.wikimedia.org/wikipedia/commons/thumb/9/97/ILA_Berlin_2012_PD_084.JPG/300px-ILA_Berlin_2012_PD_084.JPG</t>
  </si>
  <si>
    <t>112 litres (25 imp gal; 30 US gal)</t>
  </si>
  <si>
    <t>46.3 kg/m2 (9.5 lb/sq ft)</t>
  </si>
  <si>
    <t>6.5 m/s (1,280 ft/min)</t>
  </si>
  <si>
    <t>Aeroprakt A-26 Vulcan</t>
  </si>
  <si>
    <t>The Aeroprakt A-26 Vulcan is a light twin engine aircraft developed from a modified Aeroprakt A-20 light single aircraft. Some models imported to the America are registered as Spectrum Aircraft SA-26 Vulcan. The A-26 has an extra 3° degree sweepback of the wings from its single engine counterpart, the A-20. The aircraft is powered by two Rotax 503 (eventually Rotax 582) engines in a pusher configuration.[1] An example of the A-26 was demonstrated at the 2000 Experimental Aircraft Association AirVenture airshow in Oshkosh, Wisconsin.[2] Spectrum Aircraft imported versions for the American market.[3] The Aeroprakt A-36 Vulcan is an updated factory built Rotax 912S powered twin.[4] Data from AeropraktGeneral characteristics Performance</t>
  </si>
  <si>
    <t>Light twin</t>
  </si>
  <si>
    <t>Aeroprakt</t>
  </si>
  <si>
    <t>https://en.wikipedia.org/Aeroprakt</t>
  </si>
  <si>
    <t>15.7 m2 (169 sq ft)</t>
  </si>
  <si>
    <t>290 kg (639 lb)</t>
  </si>
  <si>
    <t>520 kg (1,146 lb)</t>
  </si>
  <si>
    <t>Yuri Yakovlev</t>
  </si>
  <si>
    <t>6.7 m (22 ft 0 in)</t>
  </si>
  <si>
    <t>1.9 m (6 ft 3 in)</t>
  </si>
  <si>
    <t>2 × Rotax 582 , 48 kW (65 hp)  each</t>
  </si>
  <si>
    <t>//upload.wikimedia.org/wikipedia/commons/thumb/4/4d/SA-26_Vulcan.jpg/300px-SA-26_Vulcan.jpg</t>
  </si>
  <si>
    <t>38 l</t>
  </si>
  <si>
    <t>Aeroprakt A-20</t>
  </si>
  <si>
    <t>10 m/s (2,000 ft/min) 2.5 m/s with one engine</t>
  </si>
  <si>
    <t>https://en.wikipedia.org/Aeroprakt A-20</t>
  </si>
  <si>
    <t>https://en.wikipedia.org/Aeroprakt A-36 Vulcan</t>
  </si>
  <si>
    <t>AeroAndina MXP-1000 Tayrona</t>
  </si>
  <si>
    <t>The Aeroandina MXP-1000 Tayrona is a single engine, high wing, two seat ultralight, based on the Zenair formula, developed in Colombia by AeroAndina. It was launched in 2005. The MXP-1000 Tayrona, named after a Colombian National Park is a development of the MXP-800 Fantasy, itself a development of Aeroandina's Zenair CH 701-based MXP-740/750 series of high wing, side-by-side configuration ultralights. It is mostly constructed from aluminium alloy, with a steel cage around the cockpit which is under the wing and cutaway at the rear. The constant chord wing is braced to the lower fuselage with pairs of V-form, faired lift struts assisted by jury struts.  The first four Tayronas had flaperons but all later aircraft have flaps.  The leading edge slats of earlier MXP models have been abandoned to increase cruising speed.  The angular fin and rudder has sweep on its leading edge and the tailplane, set on top of the fuselage, is also swept.[1][2] The Tayrona has a tricycle undercarriage, with cantilever aluminium spring legs for the mainwheels and a steerable nosewheel with rubber springing. The wheels may bespatted.  There is a choice between three flat-four Rotax engines, the 58.8 kW (78.9 hp) Rotax 912UL, the 73.5 kW (98.5 hp) Rotax 912ULS or the 84.6 kW (113.4 hp) Rotax 914 ULS Turbo.[1][2] Sales to Europe began in 2005[1] and by mid-2010 there were 26 on the civil aircraft registers of European countries excluding Russia.[3]  In the America, AMD planned to adapt the design to military use as the AMD MXP-150 Patriot[1] but this was not proceeded with. Data from Jane's All the World's Aircraft 2011/12[1]General characteristics Performance</t>
  </si>
  <si>
    <t>Two seat ultralight</t>
  </si>
  <si>
    <t>https://en.wikipedia.org/Two seat ultralight</t>
  </si>
  <si>
    <t>Colombia</t>
  </si>
  <si>
    <t>https://en.wikipedia.org/Colombia</t>
  </si>
  <si>
    <t>AeroAndina</t>
  </si>
  <si>
    <t>https://en.wikipedia.org/AeroAndina</t>
  </si>
  <si>
    <t>10.00 m (32 ft 10 in)</t>
  </si>
  <si>
    <t>12.23 m2 (131.6 sq ft) gross</t>
  </si>
  <si>
    <t>200 km/h (120 mph, 110 kn)</t>
  </si>
  <si>
    <t>190 km/h (120 mph, 100 kn) at 75% power</t>
  </si>
  <si>
    <t>56 km/h (35 mph, 30 kn) flaps down</t>
  </si>
  <si>
    <t>c.2005</t>
  </si>
  <si>
    <t>more than 26</t>
  </si>
  <si>
    <t>6.30 m (20 ft 8 in)</t>
  </si>
  <si>
    <t>2.40 m (7 ft 10 in)</t>
  </si>
  <si>
    <t>× Rotax 914 ULS Turbo , 84.6 kW (113.5 hp)</t>
  </si>
  <si>
    <t>2-bladed ground adjustable pitch</t>
  </si>
  <si>
    <t>1,046 km (650 mi, 565 nmi) at 75% power</t>
  </si>
  <si>
    <t>3,660 m (12,010 ft)</t>
  </si>
  <si>
    <t>640 kg (1,411 lb)</t>
  </si>
  <si>
    <t>92 L(24.3 US gal; 20.2 Imp Gal))</t>
  </si>
  <si>
    <t>+6/-3</t>
  </si>
  <si>
    <t>Aeroandinas MXP-800 Fantasy</t>
  </si>
  <si>
    <t>5.6 m/s (1,100 ft/min) maximum at sea level</t>
  </si>
  <si>
    <t>https://en.wikipedia.org/Aeroandinas MXP-800 Fantasy</t>
  </si>
  <si>
    <t>35 m (115 ft)</t>
  </si>
  <si>
    <t>60 m (200 ft)</t>
  </si>
  <si>
    <t>Aeroprakt A-28 Victor</t>
  </si>
  <si>
    <t>The Aeroprakt A-28 Victor is a Ukrainian light aircraft, designed and produced by Aeroprakt of Kiev. The aircraft is supplied as a complete ready-to-fly-aircraft.[1] The design goals for the A-28 included twin engines for safety over hazardous terrain, a payload of 300 kg (660 lb) with four seats, 10 hours endurance, as well as good short and rough field capabilities. The resulting design features a cantilever low-wing, a four-seat enclosed cabin accessed through a hinged windshield, a T-tail, fixed conventional landing gear and twin engines in tractor configuration.[1] The aircraft has mixed construction, with the forward fuselage made from fibreglass and the tail cone of aluminum sheet. The wings and tail are all-aluminum, while the control surfaces are aluminum frames covered in doped aircraft fabric. Its 12 m (39.4 ft) span wing employs a TsAGI P-IIIA-15 airfoil, has an area of 13.4 m2 (144 sq ft) and mounts flaps. The standard engines fitted are two 80 hp (60 kW) Rotax 912 or two 100 hp (75 kW) Rotax 912S powerplants. The conventional landing gear fits wheel pants and features a steerable tailwheel.[1][2] The A-28 has an empty weight of 530 kg (1,170 lb) and a gross weight of 1,100 kg (2,400 lb), giving a useful load of 570 kg (1,260 lb).[1] One example was registered in 2001 in the America with the Federal Aviation Administration in the amateur-built category, but on 18 October 2004 it was deregistered and exported to Ukraine.[3][4] Data from Bayerl[1]General characteristics Performance</t>
  </si>
  <si>
    <t>Light aircraft</t>
  </si>
  <si>
    <t>https://en.wikipedia.org/Light aircraft</t>
  </si>
  <si>
    <t>In production (2011)</t>
  </si>
  <si>
    <t>300 km/h (190 mph, 160 kn)</t>
  </si>
  <si>
    <t>530 kg (1,168 lb)</t>
  </si>
  <si>
    <t>1,100 kg (2,425 lb)</t>
  </si>
  <si>
    <t>250 km/h (160 mph, 130 kn)</t>
  </si>
  <si>
    <t>at least three</t>
  </si>
  <si>
    <t>TsAGI P-IIIA-15</t>
  </si>
  <si>
    <t>2 × Rotax 912 four cylinder, liquid and air-cooled, four stroke aircraft engine, 60 kW (80 hp) each</t>
  </si>
  <si>
    <t>3-bladed composite</t>
  </si>
  <si>
    <t>//upload.wikimedia.org/wikipedia/commons/thumb/a/a8/Aeroprakt_A28_Victor_01.JPG/300px-Aeroprakt_A28_Victor_01.JPG</t>
  </si>
  <si>
    <t>180 litres (40 imp gal; 48 US gal)</t>
  </si>
  <si>
    <t>82.1 kg/m2 (16.8 lb/sq ft)</t>
  </si>
  <si>
    <t>Aeros-2</t>
  </si>
  <si>
    <t>The Aeros-2 is a Ukrainian ultralight trike, designed and produced by Aeros of Kyiv. The aircraft is supplied as a complete ready-to-fly aircraft or as kit for amateur construction.[1][2][3] In the America the design is marketed as the Venture and Velocity.[2][3] Developed from the earlier Aeros-1, the Aeros-2 features a cable-braced hang glider-style high-wing, weight-shift controls, a two-seats-in-tandem open cockpit, tricycle landing gear and a single engine in pusher configuration.[1][2] The aircraft is made from square tubing, with its wing covered in Dacron sailcloth. Its 10 m (32.8 ft) span wing is supported by a single tube-type kingpost and uses an "A" frame control bar. The occupants are housed in streamlined fibreglass cockpit fairing. Engines available include the twin cylinder, two-stroke, liquid-cooled 64 hp (48 kW) Rotax 582 and the four cylinder four-stroke 80 hp (60 kW) Rotax 912UL and 100 hp (75 kW) 912ULS. Engine mounts for BMW and Subaru engines are also available. Available wings to be mated to the carriage are the Aeros Profi, Aeros Stranger, Aeros Stream and Aeros Still. The wing-mounting pylon is foldable, allowing the wing to be installed by one person. Floats and ski landing gear are optional.[1][2] Data from Aeros[4]General characteristics Performance</t>
  </si>
  <si>
    <t>229.5 kg (506 lb)</t>
  </si>
  <si>
    <t>//upload.wikimedia.org/wikipedia/commons/thumb/0/0c/AEROS_2_Trike.JPG/300px-AEROS_2_Trike.JPG</t>
  </si>
  <si>
    <t>Aeros-1</t>
  </si>
  <si>
    <t>https://en.wikipedia.org/Aeros-1</t>
  </si>
  <si>
    <t>Adcox 1-A</t>
  </si>
  <si>
    <t>The Adcox 1-A was a two-seat open-cockpit biplane built by the students of the US Adcox Aviation Trade School in 1929. Only a single example was constructed.  This article on an aircraft of the 1920s is a stub. You can help Wikipedia by expanding it.</t>
  </si>
  <si>
    <t>Adcox Cloud Buster</t>
  </si>
  <si>
    <t>The Adcox Cloud Buster was a two-seat sporting biplane built by the students of the US Adcox Aviation Trade School in 1931.  It was originally powered by a Salmson AD-9 engine of 40 hp (30 kW). A single example was built, changing owners (and engines) several times before it was scrapped in 1938.  This aircraft of the 1930s article is a stub. You can help Wikipedia by expanding it.</t>
  </si>
  <si>
    <t>Aerocar Mini-IMP</t>
  </si>
  <si>
    <t>The Aerocar Mini-IMP (Independently Made Plane) is a light aircraft designed by Moulton Taylor and marketed for homebuilding by Aerocar International. It is a scaled-down derivative of his original Aerocar IMP design. A two-seat version called the Bullet was also built. The Mini-IMP follows the same unconventional layout as its larger predecessor, with a center mounted engine, long driveshaft to a tail propeller, and inverted-V rudder/elevators.[1] The aircraft is available in the form of plans for amateur construction. Following Taylor's death, the plans and licensing for the Mini-IMP have been marketed by the Mini-IMP Aircraft Company of Weatherford, Texas.[2][3][4] The aircraft features a cantilever high-wing, a single-seat enclosed cockpit, fixed or retractable tricycle landing gear or conventional landing gear and a single engine in pusher configuration.[2][3] The aircraft is made from riveted aluminum sheet. Its 24.5 ft (7.5 m) span wing is mounted well behind the pilot and employs a NASA GA(PC)-1 airfoil. The engine is mounted behind the pilot's seat driving the propeller through an extension shaft. Engines used include the  60 to 100 hp (45 to 75 kW) Volkswagen air-cooled engine four-stroke.[2][3][5] Taylor claimed the Mini-IMP was not an original design, but an updated version of the 1912 Edison Doladay Bullet, a design that was capable of 110 mph in the earliest days of flight.[6] In the late 1970s inquiries were made concerning a military version of the Mini-IMP, skinned with Kevlar, armed with two 7.62-millimeter machine guns, and with room in the baggage compartment for a considerable quantity of ammunition. Nothing came of the proposal.[7] Data from Bayerl and Tacke[2][3]General characteristics Performance Related development:</t>
  </si>
  <si>
    <t>Aerocar International</t>
  </si>
  <si>
    <t>https://en.wikipedia.org/Aerocar International</t>
  </si>
  <si>
    <t>Plans available (2015)</t>
  </si>
  <si>
    <t>24 ft 6 in (7.46 m)</t>
  </si>
  <si>
    <t>175 mph (281 km/h, 152 kn)</t>
  </si>
  <si>
    <t>518 lb (235 kg)</t>
  </si>
  <si>
    <t>805 lb (365 kg)</t>
  </si>
  <si>
    <t>43 mph (69 km/h, 37 kn)</t>
  </si>
  <si>
    <t>Moulton Taylor</t>
  </si>
  <si>
    <t>1 × Volkswagen air-cooled engine four cylinder, 1835 cc, air-cooled, four stroke automotive conversion, 60 hp (45 kW)</t>
  </si>
  <si>
    <t>2-bladed composite</t>
  </si>
  <si>
    <t>//upload.wikimedia.org/wikipedia/commons/thumb/4/47/Wright_Patterson_AFB-Mini_Imp.jpg/300px-Wright_Patterson_AFB-Mini_Imp.jpg</t>
  </si>
  <si>
    <t>12 U.S. gallons (45 L; 10.0 imp gal)</t>
  </si>
  <si>
    <t>Aerocar IMP</t>
  </si>
  <si>
    <t>1,200 ft/min (6 m/s)</t>
  </si>
  <si>
    <t>https://en.wikipedia.org/Aerocar IMP</t>
  </si>
  <si>
    <t>https://en.wikipedia.org/Moulton Taylor</t>
  </si>
  <si>
    <t>Aeroflying Sensation</t>
  </si>
  <si>
    <t>The Aeroflying Sensation is a French ultralight aircraft, designed by former Airbus engineer Jose Verges and produced by Aeroflying of Saint-André-des-Eaux, Loire-Atlantique. It was introduced at the French Hombuilders Rally in Blois in 2007. The aircraft is supplied as a kit for amateur construction or as a complete ready-to-fly-aircraft.[1][2] By 2015 the aircraft was produced by Espace and distribution was handled by Randkar.[2] The Sensation was designed to comply with the Fédération Aéronautique Internationale microlight rules. It features a cantilever low-wing, a two-seats-in-side-by-side configuration enclosed cockpit, a choice of tricycle landing gear or conventional landing gear and a single engine in tractor configuration.[1][2] The aircraft is made from riveted aluminum sheet. Its 8.40 m (27.6 ft) span wing employs slotted flaps. Standard engines available are the 80 hp (60 kW) Rotax 912UL and the 100 hp (75 kW) Rotax 912ULS four-stroke powerplants. A variety of kits is available with varying degrees of completion, none of which includes the engine.[1][2] The Sensation has a cruise speed of 200 km/h (124 mph) on 80 hp (60 kW) and has a range of 1,200 km (746 mi).[1][2] Data from Bayerl and Tacke[1][2]General characteristics Performance</t>
  </si>
  <si>
    <t>Espace</t>
  </si>
  <si>
    <t>8.40 m (27 ft 7 in)</t>
  </si>
  <si>
    <t>10.55 m2 (113.6 sq ft)</t>
  </si>
  <si>
    <t>278 kg (613 lb)</t>
  </si>
  <si>
    <t>Jose Verges</t>
  </si>
  <si>
    <t>1 × Rotax 912UL four cylinder, liquid and air-cooled, four stroke, 60 kW (80 hp)</t>
  </si>
  <si>
    <t>1,200 km (750 mi, 650 nmi)</t>
  </si>
  <si>
    <t>110 litres (24 imp gal; 29 US gal)</t>
  </si>
  <si>
    <t>44.8 kg/m2 (9.2 lb/sq ft)</t>
  </si>
  <si>
    <t>5.5 m/s (1,080 ft/min)</t>
  </si>
  <si>
    <t>Adams CA-2</t>
  </si>
  <si>
    <t>The Adams CA-2 is a single seat, low-wing, American ultralight aircraft that was designed by Frank Griffith of Corning Aircraft around 1992 and was available as plans for amateur construction until 1999. In 1999, Hummel Aviation of Bryan, Ohio began offering the design.[1][2][3][4] Although the design was well received, plans were no longer listed as being available from Hummel Aviation as of 2007.[5] In 2011, Adams Aeronautics Company of Dallas, Georgia, took over sales and support of the CA-2 design.[6] The design goals of the CA-2 described a plans-built aircraft for the US FAR 103 Ultralight Vehicles category, including a maximum 254 lb (115 kg) empty weight. The CA-2 was also intended to be one of the lowest cost ways of obtaining an ultralight aircraft. These goals were met and the resulting aircraft has an empty weight of 250 lb (113 kg), when equipped with a 28 hp (21 kW) Rotax 277 engine. At the time it entered the market, the airframe construction cost was estimated to be US$1600 and the total completion cost US$5000–6000. The price for the plans, consisting of 40 sheets of 11"X17" (28 X 43 cm), was US$150 in 2011.[1][2][3][4] The CA-2 requires about 600 hours to build. The airframe is of all-metal construction using 2024-T3 aluminum sheet, extruded angles and tubing, fastened primarily with stainless steel pop rivets. Construction requires normal hand tools, plus a small bending brake and a tube bender.[1] The fuselage and wings are of monocoque stressed skin construction. The wings include plain flaps and differential ailerons and are stressed to +4.4 and -2.2 g. The wings are removable by withdrawing three bolts. The control surfaces are made from aluminum tubing, are fabric covered and actuated by pushrods. The landing gear is of conventional configuration with a steerable tailwheel linked to the rudder.[1] The prototype was powered by a Rotax 277. Heavier engines can be installed, although the aircraft will not then meet the US FAR 103 weight requirements as an ultralight aircraft. Other engines used include the 40 hp (30 kW) Rotax 447, 35 hp (26 kW) Rotax 377, 30 hp (22 kW) 1/2 VW and the 22 hp (16 kW) Hirth F-33.[1][2][3][4] Data from Cliche, Kitplanes &amp; Aerocrafter[1][2][3][4]General characteristics Performance   Aircraft of comparable role, configuration, and era</t>
  </si>
  <si>
    <t>Corning AircraftHummel AviationAdams Aeronautics Company</t>
  </si>
  <si>
    <t>https://en.wikipedia.org/Corning AircraftHummel AviationAdams Aeronautics Company</t>
  </si>
  <si>
    <t>Plans available</t>
  </si>
  <si>
    <t>26 ft 0 in (7.93 m)</t>
  </si>
  <si>
    <t>117 sq ft (10.9 m2)</t>
  </si>
  <si>
    <t>63 mph (102 km/h, 55 kn)</t>
  </si>
  <si>
    <t>250 lb (113 kg)</t>
  </si>
  <si>
    <t>50 mph (81 km/h, 43 kn)</t>
  </si>
  <si>
    <t>26 mph (42 km/h, 23 kn)</t>
  </si>
  <si>
    <t>Frank Griffith</t>
  </si>
  <si>
    <t>c. 1992</t>
  </si>
  <si>
    <t>45 (as of 2011)</t>
  </si>
  <si>
    <t>16 ft 6 in (5.03 m)</t>
  </si>
  <si>
    <t>1 × Rotax 277 , 28 hp (21 kW)</t>
  </si>
  <si>
    <t>270 lbs (122 kg) useful load, no passengers</t>
  </si>
  <si>
    <t>125 mi (203 km, 109 nmi)</t>
  </si>
  <si>
    <t>10,000 ft (3,050 m)</t>
  </si>
  <si>
    <t>520 lb (235 kg)</t>
  </si>
  <si>
    <t>4.4 lb/sq ft (21.6 kg/m2)</t>
  </si>
  <si>
    <t>80 mph (130 km/h, 70 kn)</t>
  </si>
  <si>
    <t>18.6 lb/hp (0.09 kW/kg)</t>
  </si>
  <si>
    <t>600 ft/min (3.05 m/s)</t>
  </si>
  <si>
    <t>Aero Concepts Discovery</t>
  </si>
  <si>
    <t>The Aero Concepts Discovery is an American amateur-built aircraft, produced by Aero Concepts of Florida. The aircraft is supplied as a kit for amateur construction.[1] The Discovery is a three lifting surface aircraft that features a cantilever mid-wing, a twin boom high tail, a canard surface, a two-seats-in-side-by-side configuration enclosed cockpit, fixed tricycle landing gear and a single engine in pusher configuration.[1] The aircraft is made from composites. Its 30 ft (9.1 m) span wing employs a NASA NLF-0215 airfoil and has an area of 125 sq ft (11.6 m2). The canard uses the same airfoil, while the tailplane uses a NASA 63218. The aircraft's recommended engine power range is 160 to 230 hp (119 to 172 kW) and standard engines used include the 180 hp (134 kW) Lycoming O-360 four-stroke powerplant. Construction time from the supplied kit is 1200 hours.[1][2] The company plans to develop the design into a light-sport aircraft, a jet-powered version and four-seat variant as well.[2] By the end of 2011 three examples had been reported as completed and flown.[1] Data from Kitplanes[1]General characteristics Performance</t>
  </si>
  <si>
    <t>Aero Concepts</t>
  </si>
  <si>
    <t>https://en.wikipedia.org/Aero Concepts</t>
  </si>
  <si>
    <t>30 ft (9.1 m)</t>
  </si>
  <si>
    <t>125 sq ft (11.6 m2)</t>
  </si>
  <si>
    <t>860 lb (390 kg)</t>
  </si>
  <si>
    <t>1,620 lb (735 kg)</t>
  </si>
  <si>
    <t>225 mph (362 km/h, 196 kn)</t>
  </si>
  <si>
    <t>58 mph (93 km/h, 50 kn)</t>
  </si>
  <si>
    <t>Martin Hollmann</t>
  </si>
  <si>
    <t>mid-1990s</t>
  </si>
  <si>
    <t>17.9 ft (5.5 m)</t>
  </si>
  <si>
    <t>1 × Lycoming O-360 four cylinder, air-cooled, four stroke aircraft engine, 180 hp (130 kW)</t>
  </si>
  <si>
    <t>650 mi (1,050 km, 560 nmi)</t>
  </si>
  <si>
    <t>30 U.S. gallons (110 L; 25 imp gal)</t>
  </si>
  <si>
    <t>13.0 lb/sq ft (63 kg/m2)</t>
  </si>
  <si>
    <t>2,300 ft/min (12 m/s)</t>
  </si>
  <si>
    <t>AeroJames 01 Isatis</t>
  </si>
  <si>
    <t>The AeroJames 01 Isatis (named for the flowering plant) is a French ultralight aircraft, designed and produced by AeroJames of Ajaccio, Corsica. It was introduced at the Aero show held in Friedrichshafen in 2009. The aircraft is supplied as a complete ready-to-fly-aircraft.[1][2] By the beginning of 2018 company website was for sale, the company seems to have gone out of business and production ended.[3][4] The design is unusual in that the engine is mounted behind the cabin and drives the nose-mounted propeller though a carbon fibre extension driveshaft that is housed in a casing that runs between the two occupants. This allows a smaller and more pointed nose than with a nose-mounted engine and improves visibility.[1][2] The aircraft was designed to comply with the Fédération Aéronautique Internationale microlight rules. It features a strut-braced high-wing, a two-seats-in-side-by-side configuration enclosed cockpit, tricycle landing gear and a single engine in tractor configuration.[1][2] The aircraft is made from carbon fibre composites. Its 9.80 m (32.2 ft) span wing employs flaps. The standard engine used is a 100 hp (75 kW) BMW four-stroke, two-cylinder, air-cooled, horizontally-opposed motorcycle powerplant.[1][2] Data from Bayerl[1]General characteristics Performance</t>
  </si>
  <si>
    <t>AeroJames</t>
  </si>
  <si>
    <t>https://en.wikipedia.org/AeroJames</t>
  </si>
  <si>
    <t>9.80 m (32 ft 2 in)</t>
  </si>
  <si>
    <t>12.0 m2 (129 sq ft)</t>
  </si>
  <si>
    <t>270 km/h (170 mph, 150 kn)</t>
  </si>
  <si>
    <t>270 kg (595 lb)</t>
  </si>
  <si>
    <t>1 × BWM two cylinder, oil and air-cooled, four stroke, located behind the cockpit., 75 kW (101 hp)</t>
  </si>
  <si>
    <t>64 litres (14 imp gal; 17 US gal)</t>
  </si>
  <si>
    <t>Aeroprakt A-36 Vulcan</t>
  </si>
  <si>
    <t>The Aeroprakt A-36 Vulcan is a Ukrainian light aircraft, designed and produced by Aeroprakt of Kiev. The aircraft is supplied as a complete ready-to-fly-aircraft.[1] The A-36 is a development of the Aeroprakt A-26 Vulcan. The design goals for the A-36 include operations over hostile terrain, the ability to take-off and land with only one engine running and the ability to operate from short runways. The resulting design features a strut-braced high-wing, T-tail, a two-seats in tandem configuration enclosed cockpit, fixed conventional landing gear with wheel pants and twin engines in pusher configuration.[1] The aircraft is of mixed construction, with the forward fuselage made from fibreglass and the tail cone from aluminum sheet. The wings and tail are aluminum, while the main landing gear legs, engine cowlings and fairings are fibreglass. Its 11.4 m (37.4 ft) span wing has an area of 15.7 m2 (169 sq ft) and mounts flaps. The standard engines used are the 100 hp (75 kW) Rotax 912S four-stroke powerplant.[1] The A-36 has an empty weight of 450 kg (990 lb) and a gross weight of 750 kg (1,650 lb), giving a useful load of 300 kg (660 lb).[1] By December 2012 one example had been registered in the America with the Federal Aviation Administration.[2] It had previously been publicly exhibited at the April 2009 Sun 'n Fun aviation gathering at Lakeland, Florida. Data from Bayerl[1]General characteristics Performance</t>
  </si>
  <si>
    <t>220 km/h (140 mph, 120 kn)</t>
  </si>
  <si>
    <t>70 km/h (43 mph, 38 kn)</t>
  </si>
  <si>
    <t>2 × Rotax 912S four cylinder, liquid and air-cooled, four stroke aircraft engine, 75 kW (101 hp) each</t>
  </si>
  <si>
    <t>//upload.wikimedia.org/wikipedia/commons/thumb/8/8d/Aeroprakt_A-36_AN1421645.jpg/300px-Aeroprakt_A-36_AN1421645.jpg</t>
  </si>
  <si>
    <t>120 litres (26 imp gal; 32 US gal)</t>
  </si>
  <si>
    <t>47.8 kg/m2 (9.8 lb/sq ft)</t>
  </si>
  <si>
    <t>11 m/s (2,200 ft/min)</t>
  </si>
  <si>
    <t>https://en.wikipedia.org/Aeroprakt A-26 Vulcan</t>
  </si>
  <si>
    <t>Aeros Stalker</t>
  </si>
  <si>
    <t>The Aeros Stalker is the name given to two families of Ukrainian high-wing, single-place, hang gliders, that were designed and produced by Aeros of Kiev and introduced in 1991 and 1999 respectively. Neither line is in production.[1][2] The original Stalker series was conceived as a single-place intermediate hang glider for recreational cross country flying. It was the company's first product after splitting from Antonov, with the prototype introduced in 1991. With over 100 flying, the design received British Hang Gliding and Paragliding Association (BHPA) certification in 1994. Production ended when the Stalker was replaced by the Aeros Stealth in production in 1995.[2] In 1999 Aeros decided to produce a rigid wing hang glider and revived the Stalker name for the new design. In 2001 the glider received German DHV certification. The type was still in production in 2003.[1][2] The 2003 model Stalker was noted as being unique among rigid wing hang gliders in that its wing mounts ailerons in place of the more common spoilers. Its 12.4 m (40.7 ft) span wing has a nose angle of 146° and an aspect ratio of 11:1. The pilot hook-in weight range is 65 to 100 kg (143 to 220 lb).[1] Data from Bertrand[1]General characteristics</t>
  </si>
  <si>
    <t>12.04 m (39 ft 6 in)</t>
  </si>
  <si>
    <t>13.1 m2 (141 sq ft)</t>
  </si>
  <si>
    <t>ATEC 122 Zephyr 2000</t>
  </si>
  <si>
    <t>The ATEC 122 Zephyr 2000 is a Czech ultralight aircraft, designed by Oldrich Olansky and produced by ATEC v.o.s. of Libice nad Cidlinou. The aircraft is supplied as a complete ready-to-fly-aircraft or as a kit for amateur construction.[2][3][4][5] The Zephyr was designed to comply with the Fédération Aéronautique Internationale microlight rules. It features a cantilever low-wing, a two-seats-in-side-by-side configuration enclosed cockpit under a bubble canopy, fixed tricycle landing gear, a T-tail and a single engine in tractor configuration.[2][3][4] The aircraft's fuselage is made from composites with wooden bulkheads. The semi-tapered 9.6 m (31.5 ft) span wing is made from plywood with composite spars and leading edges and employs a UA-2 airfoil. The wing is covered with doped aircraft fabric. The standard engine factory-supplied was the 100 hp (75 kW) Rotax 912ULS four-stroke powerplant.[2][3][4][5] The Zephyr is noted for its low payload. With a useful load of 197.5 kg (435 lb) and full fuel of 43 kg (95 lb), this leaves only 154.3 kg (340 lb) for occupants and baggage.[2][3][4] The Zephyr was later developed into the ATEC 321 Faeta.[2] Data from Bertrand and Purdy[2][5]General characteristics Performance</t>
  </si>
  <si>
    <t>Ultralight aircraft and Light-sport aircraft</t>
  </si>
  <si>
    <t>https://en.wikipedia.org/Ultralight aircraft and Light-sport aircraft</t>
  </si>
  <si>
    <t>ATEC v.o.s.</t>
  </si>
  <si>
    <t>https://en.wikipedia.org/ATEC v.o.s.</t>
  </si>
  <si>
    <t>9.6 m (31 ft 6 in)</t>
  </si>
  <si>
    <t>10.07 m2 (108.4 sq ft)</t>
  </si>
  <si>
    <t>265 km/h (165 mph, 143 kn)</t>
  </si>
  <si>
    <t>275 kg (606 lb)</t>
  </si>
  <si>
    <t>215 km/h (134 mph, 116 kn)</t>
  </si>
  <si>
    <t>Oldrich Olansky</t>
  </si>
  <si>
    <t>1996[1]</t>
  </si>
  <si>
    <t>more than 200</t>
  </si>
  <si>
    <t>UA-2</t>
  </si>
  <si>
    <t>//upload.wikimedia.org/wikipedia/commons/thumb/a/a3/Zephyr_2000_OK-MUG_48.jpg/300px-Zephyr_2000_OK-MUG_48.jpg</t>
  </si>
  <si>
    <t>60 litres (13 imp gal; 16 US gal)</t>
  </si>
  <si>
    <t>46.92 kg/m2 (9.61 lb/sq ft)</t>
  </si>
  <si>
    <t>https://en.wikipedia.org/ATEC 321 Faeta</t>
  </si>
  <si>
    <t>ATEC 321 Faeta</t>
  </si>
  <si>
    <t>The ATEC 321 Faeta is a Czech ultralight and light-sport aircraft, designed and produced by ATEC v.o.s. of Libice nad Cidlinou. It was developed from the earlier ATEC 122 Zephyr 2000. The aircraft is supplied as a complete ready-to-fly-aircraft.[2][3][4] The Faeta was designed to comply with the Fédération Aéronautique Internationale microlight rules and US light-sport aircraft rules. It features a cantilever low-wing, a two-seats-in-side-by-side configuration enclosed cockpit under a bubble canopy, fixed tricycle landing gear, a T-tail and a single engine in tractor configuration. It is an approved SLSA in the USA.[2][3][4][5] The aircraft fuselage is made with a carbon fibre shell and composite sandwich bulkheads. The 9.6 m (31.5 ft) span wing is made from carbon fibre sandwiches built upon a laminated wooden spar. The wing varies from the Zephyr in that it has a different tapered planform and uses a new airfoil. The design attempts to provide a lower empty weight and stall speed than the 122 Zephyr. The standard engine available is the 100 hp (75 kW) Rotax 912ULS four-stroke powerplant.[2][3][4] The Nordic Omsider amphibian prototype uses the wings and part of the tail from the Faeta.[4] Data from Bayerl and Tacke[2][4]General characteristics Performance</t>
  </si>
  <si>
    <t>10.1 m2 (109 sq ft)</t>
  </si>
  <si>
    <t>227 km/h (141 mph, 123 kn)</t>
  </si>
  <si>
    <t>2003[1]</t>
  </si>
  <si>
    <t>//upload.wikimedia.org/wikipedia/commons/thumb/0/0e/New_aircraft._Atec_321_Faeta_%288128160256%29.jpg/300px-New_aircraft._Atec_321_Faeta_%288128160256%29.jpg</t>
  </si>
  <si>
    <t>70 litres (15 imp gal; 18 US gal)</t>
  </si>
  <si>
    <t>46.78 kg/m2 (9.58 lb/sq ft)</t>
  </si>
  <si>
    <t>7 m/s (1,400 ft/min)</t>
  </si>
  <si>
    <t>https://en.wikipedia.org/ATEC 122 Zephyr 2000</t>
  </si>
  <si>
    <t>Bristol Buckmaster</t>
  </si>
  <si>
    <t>The Bristol Buckmaster was an advanced British training aircraft operated by the Royal Air Force during the 1950s. By 1945, there was a serious gap in performance between the so-called advanced trainers in use – such as the Avro Anson, Airspeed Oxford, dual-control Bristol Blenheim and Lockheed Hudson – and the combat aircraft which the pilots would be expected to fly on graduation. The Bristol response to Air Ministry Specification T.13/43[1] was to make further use of the Buckingham wing, with another new fuselage, in an aircraft developed as the Type 166. The trainee and instructor were seated side by side with a wireless operator seated behind. The Buckmaster was a propeller-driven, twin-engine mid-wing aircraft. The retractable undercarriage was of conventional (tailwheel) configuration. The radial engines were equipped with four-blade propellers. A total of 65 Buckingham bombers were unfinished on the production line and ended up being rebuilt as the  Buckmaster, to add the production series. All were intended to serve as a trainer for the similar Brigand.[1][2] It was considered the "highest performance trainer in the RAF" when introduced. Blind flying instruction and instrument training could be undertaken, the normal crew complement being pilot, instructor and air signaller. The last Training Command Buckmasters served with the No. 238 OCU at Colerne into the mid-fifties; the transfer of one or two to Filton for experimental work[1] marked its retirement in the mid-1950s.[3] Data from Jane's Fighting Aircraft of World War II[4]General characteristics Performance  Related development Aircraft of comparable role, configuration, and era  Related lists</t>
  </si>
  <si>
    <t>Advanced trainer aircraft</t>
  </si>
  <si>
    <t>https://en.wikipedia.org/Advanced trainer aircraft</t>
  </si>
  <si>
    <t>Bristol Aeroplane Company</t>
  </si>
  <si>
    <t>https://en.wikipedia.org/Bristol Aeroplane Company</t>
  </si>
  <si>
    <t>1945–1946</t>
  </si>
  <si>
    <t>3 (student pilot, instructor pilot, radio operator)</t>
  </si>
  <si>
    <t>72 ft 4 in (22.05 m)</t>
  </si>
  <si>
    <t>708 sq ft (65.8 m2)</t>
  </si>
  <si>
    <t>352 mph (566 km/h, 306 kn) at 12,000 ft (3,700 m)</t>
  </si>
  <si>
    <t>24,627 lb (11,171 kg)</t>
  </si>
  <si>
    <t>325 mph (523 km/h, 282 kn) at 18,000 ft (5,500 m) (weak mixture)</t>
  </si>
  <si>
    <t>46 ft 5 in (14.15 m)</t>
  </si>
  <si>
    <t>17 ft 5 in (5.31 m)</t>
  </si>
  <si>
    <t>2 × Bristol Centaurus 57 eighteen-cylinder air-cooled radial engines, 2,585 hp (1,928 kW)  each</t>
  </si>
  <si>
    <t>4-bladed Rotol constant-speed propellers</t>
  </si>
  <si>
    <t>//upload.wikimedia.org/wikipedia/commons/thumb/6/67/Bristol_Buckmaster_T.1_at_Boscombe_Down_c1945.jpg/300px-Bristol_Buckmaster_T.1_at_Boscombe_Down_c1945.jpg</t>
  </si>
  <si>
    <t>2,000 mi (3,200 km, 1,700 nmi) [5]</t>
  </si>
  <si>
    <t>30,000 ft (9,100 m)</t>
  </si>
  <si>
    <t>38,193 lb (17,324 kg)</t>
  </si>
  <si>
    <t>Bristol Buckingham</t>
  </si>
  <si>
    <t>2,245 ft/min (11.40 m/s)</t>
  </si>
  <si>
    <t>https://en.wikipedia.org/Bristol Buckingham</t>
  </si>
  <si>
    <t>Royal Air Force</t>
  </si>
  <si>
    <t>https://en.wikipedia.org/Royal Air Force</t>
  </si>
  <si>
    <t>Acrolite</t>
  </si>
  <si>
    <t>The Acrolite is a family of Canadian amateur-built aircraft, designed by Ron Wilson and produced by Acrolite Aircraft of Kakabeka Falls, Ontario, in the form of plans for amateur construction.[1][2][3] The aircraft in the series all feature one or two seats, fixed conventional landing gear and a single engine in tractor configuration. The Acrolite fuselages are all made from welded 4130 steel tubing, with wooden structure wings covered in hot laminated plywood and control surfaces made from aluminum sheet. All other surfaces are covered in doped aircraft fabric. Wing arrangements, cockpit and engines vary by model.[1][2] Aircraft Spruce &amp; Specialty Co supplies plans and materials kits for the Acrolite 1C. The company claims that the 16 airframe-only materials packages cost under US$10,000.[3] The Acrolite 1A won a Canadian Owners and Pilots Association "Good Show" award in 1998 and the Acrolite 1B was chosen as one of two finalists in the 1995 Aircraft Spruce &amp; Speciality Scratchbuild Design Contest.[3][4][5] In March 2017, five examples were registered with Transport Canada, although a total of seven had been once registered.[6][7] Data from Bayerl and Acrolite Aircraft[1][9][15]General characteristics Performance</t>
  </si>
  <si>
    <t>Canada</t>
  </si>
  <si>
    <t>https://en.wikipedia.org/Canada</t>
  </si>
  <si>
    <t>Acrolite Aircraft</t>
  </si>
  <si>
    <t>https://en.wikipedia.org/Acrolite Aircraft</t>
  </si>
  <si>
    <t>Plans available (2021)</t>
  </si>
  <si>
    <t>6.09 m (20 ft 0 in)</t>
  </si>
  <si>
    <t>12.36 m2 (133.0 sq ft)</t>
  </si>
  <si>
    <t>210 km/h (130 mph, 110 kn)</t>
  </si>
  <si>
    <t>205 kg (452 lb)</t>
  </si>
  <si>
    <t>362 kg (798 lb)</t>
  </si>
  <si>
    <t>176 km/h (109 mph, 95 kn)</t>
  </si>
  <si>
    <t>Ron Wilson</t>
  </si>
  <si>
    <t>5.2 m (17 ft)</t>
  </si>
  <si>
    <t>1.8 m (6 ft)</t>
  </si>
  <si>
    <t>GA30U-212 semi-symmetrical airfoil or, optionally a GA30U-012 fully symmetrical</t>
  </si>
  <si>
    <t>1 × Rotax 912UL four cylinder, liquid and air-cooled, four stroke aircraft engine, 60 kW (80 hp)</t>
  </si>
  <si>
    <t>34 litres (7.5 imp gal; 9.0 US gal)</t>
  </si>
  <si>
    <t>29.3 kg/m2 (6.0 lb/sq ft)</t>
  </si>
  <si>
    <t>9 m/s (1,800 ft/min)</t>
  </si>
  <si>
    <t>Adcox Special</t>
  </si>
  <si>
    <t>The Adcox Special was a two-seat open-cockpit biplane built by the students of the US Adcox Aviation Trade School in 1929, powered by a Kinner K-5 engine of 100 hp (75 kW).[1] Although only one example was built, the design formed the basis for the Adcox Student Prince that was produced in small numbers later that year.  Related development     This article on an aircraft of the 1920s is a stub. You can help Wikipedia by expanding it.</t>
  </si>
  <si>
    <t>Aerial Wheel Syndicate Monoplane</t>
  </si>
  <si>
    <t>The Aerial Wheel Monoplane was an experimental British aircraft built during 1912 in order to compete in the Military Aeroplane Competition which was to be held at Larkhill on Salisbury Plain in August of that year. It was not assembled in time, and the aircraft was not allowed to enter the competition. The Aerial Wheel was the brainchild of George Sturgess of Mablethorpe, Lincolnshire. It was a novel idea for the undercarriage of an aircraft, which Flight magazine had thought interesting enough to publish. Sturgess's explanation, accompanied by a photograph of a model appears in the issue dated 10 Dec 1910.[1] His idea was in effect a wheel where only the rim revolves, using a pair of twelve-foot diameter hoops each of which would be free to rotate while being held in place by bearings mounted on a cradle of struts. The wing passed through the middle of the wheels. The intention was to produce a wheel that, having a large diameter, would easily roll over the rough grass surfaces that aircraft operated from at the time: ease of take off and landing from rough ground were prominent among the War Office requirements. Whatever the merits of the idea, it was far beyond the manufacturing and material technologies of the day. Sturgess's idea was incorporated into an aircraft built in Birmingham in collaboration with Ralph Platts, a keen member of the Birmingham Aero club who had successfully flown a canard glider of his own design during 1911.[2] Platt is probably largely responsible for the airframe, which differs greatly from Sturgess's model.  This was  a tractor monoplane with a pair of his wheels. Neither wing nor tailplane have any dihedral, and there is no rudder.  The aircraft that was built was of canard configuration, with swept wings that changed section and angle of incidence considerably between the roots and  wingtips: deeply cambered inboard, and changing to a flatter section with upswept tips, producing wash-out to enhance stability. Stability would also have resulted from the dihedral of the wings. Lateral control was by wing-warping, the control wires being taken to the raked wingtips via kingposts. A small nacelle projecting forward from the wing housed the 50 hp (37 kW) N.E.C. engine driving the tractor propeller, behind which the pilot and passenger sat side by side at the leading edge of the wing.  A monoplane elevator was carried on long booms in front of the aircraft. The undercarriage was now reduced to a single Aerial Wheel half above and half below the wing and passing through it just behind the cockpit, with its centre just aft of the propeller. It was supported by struts running back from the lower leading quadrant, and a pair of long skids trailing from the fuselage were fitted to stop it keeling over and damaging the wings. Whatever Platt contributed to the design, it was not a rudder: there seems to have been no provision for directional control. Although the aircraft was delivered to Larkhill in the stipulated 30 ft by 9 ft by 9 ft crate, its makers did not manage to assemble their aircraft before the actual flight trials were to begin, and it made no appearance of any sort.  Data from Lewis, P British Aircraft 1806-1914 p. 39 (linear dimensions scaled from drawing)General characteristics</t>
  </si>
  <si>
    <t>United Kingdom</t>
  </si>
  <si>
    <t>Aerial WheelSyndicate</t>
  </si>
  <si>
    <t>30 ft (9.1 m) (approx)</t>
  </si>
  <si>
    <t>Ralph Platts and George Sturgess</t>
  </si>
  <si>
    <t>25 ft (7.6 m) (approx)</t>
  </si>
  <si>
    <t>1 × N.E.C. , 50 hp (37 kW)</t>
  </si>
  <si>
    <t>Aero Synergie Papango</t>
  </si>
  <si>
    <t>The Aero Synergie Papango (named for the New Zealand scaup, known in Māori as the papango) is a French ultralight aircraft that was produced by Sauper/ALMS and later by Aero Synergie. The aircraft was supplied as a kit for amateur construction and as a ready-to-fly complete aircraft. It is no longer in production as of 2012.[1][2] The aircraft was designed to comply with the Fédération Aéronautique Internationale microlight rules. It features a strut-braced high-wing, a two seats in side-by-side configuration enclosed open cockpit, conventional landing gear and a single engine in tractor configuration.[1] The aircraft's 9.40 m (30.8 ft) span wing employs a single strut per side. The standard engine available was the 100 hp (75 kW) Rotax 912 four-stroke powerplant. The Papango is noted for its good visibility and crew comfort.[1] Designed for personal use the Papango has also found employment in flight training.[1] Data from Bayerl[1]General characteristics Performance       This article on an aircraft of the 1990s is a stub. You can help Wikipedia by expanding it.</t>
  </si>
  <si>
    <t>9.40 m (30 ft 10 in)</t>
  </si>
  <si>
    <t>15.3 m2 (165 sq ft)</t>
  </si>
  <si>
    <t>150 km/h (93 mph, 81 kn)</t>
  </si>
  <si>
    <t>Aeromarine BM-1</t>
  </si>
  <si>
    <t>The Aeromarine BM-1 was a new mail plane design to meet a request for proposal by the US Postal Service. Aeromarine developed the AM-1, AM-2, and AM-3 designs in 1923 for an earlier proposal. The BM-1 was a clean-sheet design for the new effort.[1] The BM-1 was a single place biplane with conventional landing gear and a steerable tail skid. The aircraft used a dropable main fuel tank between the main gear to meet crashworthiness requirements and a small header tank of 10 gallons in the upper wing. Control cables were designed not to use pulleys. The wings had optional metal or wood spars with doped aircraft fabric covering. The fuselage used an all-metal aluminum girder structure with aluminum covering. The horizontal stabilizer used a jack screw for trim adjustment. The engine featured a radiator mounted to the front with a pass-through for the propeller shaft.[1] The BM-1 did not progress beyond design phase. Data from SkywaysGeneral characteristics Performance  Related development</t>
  </si>
  <si>
    <t>Mail plane</t>
  </si>
  <si>
    <t>https://en.wikipedia.org/Mail plane</t>
  </si>
  <si>
    <t>Aeromarine</t>
  </si>
  <si>
    <t>https://en.wikipedia.org/Aeromarine</t>
  </si>
  <si>
    <t>Design stage only</t>
  </si>
  <si>
    <t>514 sq ft (47.8 m2)</t>
  </si>
  <si>
    <t>109 kn (125 mph, 201 km/h)</t>
  </si>
  <si>
    <t>2,822 lb (1,280 kg)</t>
  </si>
  <si>
    <t>4,755 lb (2,157 kg)</t>
  </si>
  <si>
    <t>43 kn (50 mph, 80 km/h)</t>
  </si>
  <si>
    <t>Boris v. Korvin-Kroukovsky</t>
  </si>
  <si>
    <t>none</t>
  </si>
  <si>
    <t>30 ft 6 in (9.30 m)</t>
  </si>
  <si>
    <t>11 ft (3.4 m)</t>
  </si>
  <si>
    <t>Aeromarine airfoil series 2a</t>
  </si>
  <si>
    <t>1 × Liberty 12 , 420 hp (310 kW)</t>
  </si>
  <si>
    <t>47 ft (14 m)</t>
  </si>
  <si>
    <t>44 ft (13 m)</t>
  </si>
  <si>
    <t>100 U.S. gallons (380 L; 83 imp gal)</t>
  </si>
  <si>
    <t>AV Vagabund</t>
  </si>
  <si>
    <t>The AV Leichtflugzeuge Vagabund (English: Vagabond) is a German ultralight aircraft that was designed by Birk Meier, Hans Grannemann and Robert Kaps and produced by AV Leichtflugzeuge of Haren, Germany. The aircraft is supplied as a kit or plans for amateur construction or as a complete ready-to-fly-aircraft.[1][2] The design was marketed in the 1990s by Aircraft Coverings of Bad Essen, Germany.[3] The Vagabund was designed to comply with the Fédération Aéronautique Internationale microlight rules. It features a strut-braced biplane layout, a two-seats-in-tandem open cockpit, fixed conventional landing gear and a single engine in tractor configuration. The aircraft closely resembles the 1930s Bücker Bü 131.[1][2] The aircraft is made from Polish pine, with its flying surfaces covered in doped aircraft fabric. Its 7.55 m (24.8 ft) span wing employs ailerons on the lower wing only. The aircraft can use engines from 50 to 85 hp (37 to 63 kW). The 80 hp (60 kW) Rotax 912UL, the  85 hp (63 kW) Jabiru 2200 and the 75 hp (56 kW) Limbach L2000 Volkswagen air-cooled engine have been fitted, along with automotive conversions such as the Nissan 1.2 litre engine.[1][2][3] Data from Bayerl and Aerocrafter[1][3]General characteristics Performance</t>
  </si>
  <si>
    <t>Germany</t>
  </si>
  <si>
    <t>https://en.wikipedia.org/Germany</t>
  </si>
  <si>
    <t>AV Leichtflugzeuge</t>
  </si>
  <si>
    <t>https://en.wikipedia.org/AV Leichtflugzeuge</t>
  </si>
  <si>
    <t>7.55 m (24 ft 9 in)</t>
  </si>
  <si>
    <t>18.2 m2 (196 sq ft)</t>
  </si>
  <si>
    <t>114 kg (252 lb)</t>
  </si>
  <si>
    <t>115 km/h (71 mph, 62 kn)</t>
  </si>
  <si>
    <t>59 km/h (37 mph, 32 kn)</t>
  </si>
  <si>
    <t>4 (1998)</t>
  </si>
  <si>
    <t>1 × Jabiru 2200 four cylinder, air-cooled, four stroke aircraft engine, 63 kW (85 hp)</t>
  </si>
  <si>
    <t>2-bladed wooden</t>
  </si>
  <si>
    <t>50 litres (11 imp gal; 13 US gal)</t>
  </si>
  <si>
    <t>24.73 kg/m2 (5.07 lb/sq ft)</t>
  </si>
  <si>
    <t>3 m/s (590 ft/min)</t>
  </si>
  <si>
    <t>Aeromarine AM-1</t>
  </si>
  <si>
    <t>The Aeromarine AM-1 was a biplane built to pursue a US Air Mail Service requirement for a nighttime transport.[1] The AM-1 was completed 122 days from the announcement of a 1924 requirement for a nighttime mail plane capable of hauling 300 lb (136 kg) of mail.[2] The contest was lost to Douglas aircraft.[3] The AM-1 was a biplane with conventional landing gear, it featured an all-metal fuselage with metal covering .32 in (8.13 mm) thick. The engine was fully cowled with the exhaust stacks stretching behind the pilot. The water-cooled engine used a centrally mounted radiator mounted above the top wing for visibility. Two streamlined fuel tanks sat on top of the wings. The upper wing was larger than the lower wing, each using spruce spars. The tail surfaces were aluminum framed with fabric covering. Many components were common with the design of the Aeromarine AMC flying boat.[2] Data from Skyways[2]General characteristics Performance   Aircraft of comparable role, configuration, and era</t>
  </si>
  <si>
    <t>541 sq ft (50.3 m2)</t>
  </si>
  <si>
    <t>100 kn (115 mph, 185 km/h)</t>
  </si>
  <si>
    <t>2,875 lb (1,304 kg)</t>
  </si>
  <si>
    <t>4,450 lb (2,018 kg)</t>
  </si>
  <si>
    <t>39 kn (45 mph, 72 km/h)</t>
  </si>
  <si>
    <t>Paul Zimmerman</t>
  </si>
  <si>
    <t>32 ft 11 in (10.03 m)</t>
  </si>
  <si>
    <t>Aeromarine airfoil section 2A</t>
  </si>
  <si>
    <t>1 × Liberty 12 12 cylnder, 400 hp (300 kW)</t>
  </si>
  <si>
    <t>2-bladed, 9 ft 6 in (2.90 m) diameter</t>
  </si>
  <si>
    <t>//upload.wikimedia.org/wikipedia/commons/thumb/8/87/Aeromarine_AM-3.jpg/300px-Aeromarine_AM-3.jpg</t>
  </si>
  <si>
    <t>50 ft (15 m)</t>
  </si>
  <si>
    <t>45 ft 10 in (13.97 m)</t>
  </si>
  <si>
    <t>17,000 ft (5,200 m) service</t>
  </si>
  <si>
    <t>100 US gallons (380 l; 83 imp gal)</t>
  </si>
  <si>
    <t>8.27 lb/sq ft (40.4 kg/m2)</t>
  </si>
  <si>
    <t>3 hrs</t>
  </si>
  <si>
    <t>Aeromarine AMC</t>
  </si>
  <si>
    <t>800 ft/min (4.1 m/s)</t>
  </si>
  <si>
    <t>Mitsubishi Ki-18</t>
  </si>
  <si>
    <t>The Mitsubishi Ki-18 (三菱 キ18, Ki-jyuhachi) was an unsuccessful and unsolicited attempt by Mitsubishi to meet a 1934 requirement issued by the Japanese Army for a modern single-seat monoplane fighter suitable to the needs of the Imperial Japanese Army Air Force. During this competition, Nakajima entered the Nakajima Ki-11 (which was somewhat similar to the Boeing P-26 Peashooter), and Kawasaki entered the more maneuverable Kawasaki Ki-10 biplane. The competition was won by Kawasaki, but the new fighter was not accepted by the IJAAF with much enthusiasm.[1] In 1934, Mitsubishi had developed the Ka-14 9-Shi fighter prototype specifically for an Imperial Japanese Navy requirement. The design exhibited outstanding performance, and with the Navy's consent, the Army placed a contract with Mitsubishi for a modified version for evaluation, which was designated the Ki-18.[1][2] The Ki-18 was a low-wing monoplane of all-metal construction with fabric-covered control surfaces. It was powered by a Nakajima Kotobuki-5 nine-cylinder radial engines, rated at 410 kW (550 hp) for take-off, and 447 kW (600 hp) at 3,100 m (10,170 ft), driving a two-blade fixed-pitch wooden propeller. The main external differences between the Ki-18 and the Ka-14 included an enlarged rudder, larger landing gear (with spats) and an engine cowling. Internally, the direction of the throttle movement was reversed to meet Army practice, and the machine guns were replaced with Army standard weaponry. The Ki-18 made its first flight once completed in August 1935 at the Army's Tachikawa Air Technical Research Institute, and was later tested at the Akeno Army Flying School through the end of 1935.[1] In early 1936, the engine was changed to the Nakajima Kotobuki 3, rated at 477 kW (640 hp) for take-off and 533 kW (715 hp) at 2,800 m (9,190 ft). During testing, the Ki-18 achieved a maximum speed of 444 km/h (276 mph) at 3,050 m (10,010 ft) was recorded, and the aircraft was able to climb to 5,000 m (16,400 ft) in 6 minutes 25.8 seconds, which was considered an exceptional rate for the time.[1] The Akeno Army Flying School test results gave the Ki-18 a very high recommendation, and it was proposed that the fighter be produced for front-line service. However, the Army Air Technical Research Institute was vehemently against using a Navy design, and after choosing to ignore the data, claimed that the Nakajima Kotobuki engines were "unreliable" and that the Ki-18 lacked the performance necessary for an Army fighter. Instead, the Army Air Technical Research Institute recommended that a new competition would be staged, with Nakajima, Kawasaki and Mitsubishi invited to participate. As the Ki-10 had entered production only one year earlier, this proposal was immediately vetoed by the Imperial Japanese Army General Staff. Thus, the Ki-18 ended with only one aircraft, although the essentially identical Ka-14 was accepted as a revolutionary fighter by the Japanese Navy as the Mitsubishi A5M Type 96 carrier-based fighter.[1] Data from Japanese Aircraft, 1910-1941,[1] Famous Airplanes of the World, first series, #76: Army Experimental Fighters (1)[3]General characteristics Performance Armament  Related development   Related lists</t>
  </si>
  <si>
    <t>prototype fighter aircraft</t>
  </si>
  <si>
    <t>Mitsubishi Heavy Industries, Ltd</t>
  </si>
  <si>
    <t>https://en.wikipedia.org/Mitsubishi Heavy Industries, Ltd</t>
  </si>
  <si>
    <t>17.8 m2 (192 sq ft)</t>
  </si>
  <si>
    <t>444 km/h (276 mph, 240 kn) at 3,050 m (10,007 ft)</t>
  </si>
  <si>
    <t>{'Ki-18': ' Prototype for testing (1 unit produced)'}</t>
  </si>
  <si>
    <t>1,110 kg (2,447 lb)</t>
  </si>
  <si>
    <t>1,422 kg (3,135 lb)</t>
  </si>
  <si>
    <t>7.655 m (25 ft 1 in)</t>
  </si>
  <si>
    <t>3.15 m (10 ft 4 in)</t>
  </si>
  <si>
    <t>1 × Nakajima Kotobuki 5 9-cylinder air-cooled radial piston engine, 333 kW (447 hp)</t>
  </si>
  <si>
    <t>//upload.wikimedia.org/wikipedia/commons/thumb/9/90/Mitsubishi_Ki-18.jpg/300px-Mitsubishi_Ki-18.jpg</t>
  </si>
  <si>
    <t>79.9 kg/m2 (16.4 lb/sq ft)</t>
  </si>
  <si>
    <t>0.31 kW/kg (0.19 hp/lb)</t>
  </si>
  <si>
    <t>12.95 m/s (2,549 ft/min)</t>
  </si>
  <si>
    <t>https://en.wikipedia.org/August 1935</t>
  </si>
  <si>
    <t>IJA Air Force</t>
  </si>
  <si>
    <t>2× fixed forward-firing 7.7 mm (.303 in) Type 89 machine guns</t>
  </si>
  <si>
    <t>https://en.wikipedia.org/IJA Air Force</t>
  </si>
  <si>
    <t>A2 CZ Ellipse Spirit</t>
  </si>
  <si>
    <t>The A2 CZ Ellipse Spirit (sometimes spelled Elipse Spirit) is a Czech ultralight aircraft, designed and produced by A2 CZ. The aircraft was introduced at the Aero show in 2011 and is supplied complete and ready to fly or as a kit for amateur construction.[1][2] The aircraft was designed to comply with the Fédération Aéronautique Internationale rules. It features a cantilever low wing, a two seats in side-by-side configuration cockpit, tricycle landing gear and a single engine in tractor configuration.[1][2] The aircraft of all-composite construction. Its 8.0 m (26.2 ft) span elliptical wing employs rounded wingtips and fixed slots in the outer portion of the wing and dive brakes. Optional fuel capacity is 100 litres (22 imp gal; 26 US gal) giving a range of 1,730 km (1,075 mi). The standard engine is the ULPower 260iS four-cylinder, four-stroke aircraft engine of 107 hp (80 kW) and other engines available include the 100 hp (75 kW) Rotax 912S and 912iS, plus the 100 hp (75 kW) Lycoming IO-233.[1][2] The basic fixed gear Ellipse was undergoing development in 2011 into a retractable gear version as well as versions for the US light-sport aircraft category.[1][2] Data from Bayerl[1]General characteristics Performance</t>
  </si>
  <si>
    <t>A2 CZ</t>
  </si>
  <si>
    <t>https://en.wikipedia.org/A2 CZ</t>
  </si>
  <si>
    <t>8.00 m (26 ft 3 in)</t>
  </si>
  <si>
    <t>8.48 m2 (91.3 sq ft)</t>
  </si>
  <si>
    <t>280 km/h (170 mph, 150 kn)</t>
  </si>
  <si>
    <t>272.5 kg (601 lb)</t>
  </si>
  <si>
    <t>1 × ULPower 260iS four cylinder, four stroke aircraft engine, 80 kW (107 hp)</t>
  </si>
  <si>
    <t>//upload.wikimedia.org/wikipedia/commons/thumb/5/57/Ellipse_Spirit_OM-M118%2C_Gliwice_2018.08.12_%2802%29.jpg/300px-Ellipse_Spirit_OM-M118%2C_Gliwice_2018.08.12_%2802%29.jpg</t>
  </si>
  <si>
    <t>100 litres (22 imp gal; 26 US gal)</t>
  </si>
  <si>
    <t>7.5 m/s (1,480 ft/min)</t>
  </si>
  <si>
    <t>AMD Patriot</t>
  </si>
  <si>
    <t>The AMD Patriot is a light sport aircraft produced by Aircraft Manufacturing and Design Co. In 2007 AMD announced that they intended to produce a high-wing, all metal, tricycle gear aircraft with a Continental O-200 engine to compete with the Cessna Skycatcher.[1] General characteristics Performance AMD Alarus This article on an aircraft of the 2000s is a stub. You can help Wikipedia by expanding it.</t>
  </si>
  <si>
    <t>Light Sport Aircraft</t>
  </si>
  <si>
    <t>https://en.wikipedia.org/Light Sport Aircraft</t>
  </si>
  <si>
    <t>Aircraft Manufacturing and Design</t>
  </si>
  <si>
    <t>https://en.wikipedia.org/Aircraft Manufacturing and Design</t>
  </si>
  <si>
    <t>36 ft 1 in (11 m)</t>
  </si>
  <si>
    <t>124 mph (200 km/h, 108 kn)</t>
  </si>
  <si>
    <t>785 lb (356 kg)</t>
  </si>
  <si>
    <t>118 mph (190 km/h, 103 kn)</t>
  </si>
  <si>
    <t>35 mph (56 km/h, 30 kn) flaps extended; 40 mph (64 km/h) flaps retracted</t>
  </si>
  <si>
    <t>20 ft 6 in (6.25 m)</t>
  </si>
  <si>
    <t>3 ft 9 in (1.14 m)</t>
  </si>
  <si>
    <t>1 × Continental O-200 , 100 hp (75 kW)</t>
  </si>
  <si>
    <t>1 passenger and 525 lb (238 kg) useful load</t>
  </si>
  <si>
    <t>650 mi (1,046 km, 565 nmi)</t>
  </si>
  <si>
    <t>12,000 ft (3,658 m)</t>
  </si>
  <si>
    <t>1,310 lb (594 kg)</t>
  </si>
  <si>
    <t>143 mph (230 km/h, 124 kn)</t>
  </si>
  <si>
    <t>1,100 ft/min (5.6 m/s)</t>
  </si>
  <si>
    <t>APEV Pouchelec</t>
  </si>
  <si>
    <t>The APEV Pouchelec (English: Ladder Flea Electric) is a French amateur-built electric aircraft, that was designed by Daniel Dalby and produced by APEV of Peynier. When it was available the aircraft was supplied as plans or as a kit for amateur construction.[1][2][3] The Pouchelec is a development of the APEV Pouchel Light, adapted for electric power, including revised landing gear and longer span wings with greater surface area. The original Pouchel was constructed using three commercially available aluminium ladders, hence APEV is the Association pour la Promotion des Echelles Volantes, or in English, Association for the Promotion of Flying Ladders. Later models were forced to move to rectangular aluminium tubing when the ladder manufacturer grew concerned about liability. The Pouchel series are all derivatives of the classic 1930s Henri Mignet-designed Mignet Pou-du-Ciel (Flying Flea).[2][3][4] The Pouchelec features a cantilever rear wing with a strut-braced parasol front wing, a single-seat open cockpit without a windshield, fixed conventional landing gear and a single engine in tractor configuration. The aircraft is made from bolted-together aluminum tubing, with its flying surfaces covered in Dacron sailcloth. Its 7.30 m (24.0 ft) span front wing and 5.30 m (17.4 ft) span rear have a combined area of 14.6 m2 (157 sq ft) and both employ NACA 23112 airfoils. The engine supplied is a 15 kW (20 hp) AGNI 119R electric motor powered by a Kokam Lithium-ion polymer battery pack, which gives a 30-minute flight endurance.[2][3][4] As of late 2017 it was no longer listed as available as plans or a kit.[1] Bayerl et al. describe the aircraft in flight as "wonderfully quiet".[2] Data from Bayerl and APEV[2][4]General characteristics Performance</t>
  </si>
  <si>
    <t>Amateur-built electric aircraft</t>
  </si>
  <si>
    <t>https://en.wikipedia.org/Amateur-built electric aircraft</t>
  </si>
  <si>
    <t>APEV</t>
  </si>
  <si>
    <t>https://en.wikipedia.org/APEV</t>
  </si>
  <si>
    <t>Plans and kits no longer available (2017)[1]</t>
  </si>
  <si>
    <t>14.6 m2 (157 sq ft)</t>
  </si>
  <si>
    <t>140 kg (309 lb) including batteries</t>
  </si>
  <si>
    <t>250 kg (551 lb)</t>
  </si>
  <si>
    <t>Daniel Dalby</t>
  </si>
  <si>
    <t>NACA 23112</t>
  </si>
  <si>
    <t>1 × AGNI 119R electric motor powered by a Kokam Lithium-ion polymer battery pack, 15 kW (20 hp)</t>
  </si>
  <si>
    <t>//upload.wikimedia.org/wikipedia/commons/thumb/a/ac/Pouchel_pouchelec.jpg/300px-Pouchel_pouchelec.jpg</t>
  </si>
  <si>
    <t>7.30 m (23 ft 11 in)</t>
  </si>
  <si>
    <t>5.30 m (17 ft 5 in)</t>
  </si>
  <si>
    <t>17.1 kg/m2 (3.5 lb/sq ft)</t>
  </si>
  <si>
    <t>30 minutes</t>
  </si>
  <si>
    <t>APEV Pouchel Light</t>
  </si>
  <si>
    <t>https://en.wikipedia.org/APEV Pouchel Light</t>
  </si>
  <si>
    <t>APEV Scoutchel</t>
  </si>
  <si>
    <t>The APEV Scoutchel (English: Scout ladder) is a French amateur-built aircraft, designed by Daniel Dalby and  produced by APEV of Peynier. The aircraft is supplied as plans or as a kit for amateur construction.[1][2][3] The Scoutchel is derived from the earlier APEV Demoichelle, itself an updated version of the pre-First World War Santos-Dumont Demoiselle.[1][2] The Scoutchel features a strut-braced high-wing, a single-seat open cockpit without a cockpit fairing, fixed tricycle landing gear and a single engine mounted above the cockpit on the keel tube, in tractor configuration.[1][2][3] The aircraft is made from bolted-together aluminum tubing. The wings are the same as those used on the Pouchel Light and are built around a single aluminium spar, with ribs made from extruded polystyrene with plywood bracing, all bonded to fibreglass leading and trailing edges, covered in Dacron sailcloth. The 8.30 m (27.2 ft) span wing employs a NACA 23112 airfoil and has an area of 9.96 m2 (107.2 sq ft), with an aspect ratio of 8:1. A unique roll control system is used as the aircraft has no ailerons. Instead the wings are pivoted to +4° and -2° to produce and control roll. The wings can be folded for ground transportation or storage.[1][2][3] Recommended engines are the 35 hp (26 kW) Rotax 377 or the 40 hp (30 kW) Rotax 447 two-stroke powerplants, although it can also fit electric motors as well.[1][2][3] The manufacturer estimates building times at 150 hours from the kit and 300 hours from plans.[3] Data from Bayerl[1]General characteristics Performance</t>
  </si>
  <si>
    <t>8.30 m (27 ft 3 in)</t>
  </si>
  <si>
    <t>9.96 m2 (107.2 sq ft)</t>
  </si>
  <si>
    <t>130 kg (287 lb)</t>
  </si>
  <si>
    <t>100 km/h (62 mph, 54 kn)</t>
  </si>
  <si>
    <t>5.2 m (17 ft 1 in)</t>
  </si>
  <si>
    <t>2.6 m (8 ft 6 in)</t>
  </si>
  <si>
    <t>1 × Rotax 912ULS four cylinder, liquid and air-cooled, four stroke aircraft engine, 75 kW (101 hp)</t>
  </si>
  <si>
    <t>25.1 kg/m2 (5.1 lb/sq ft)</t>
  </si>
  <si>
    <t>APEV Demoichelle</t>
  </si>
  <si>
    <t>https://en.wikipedia.org/APEV Demoichelle</t>
  </si>
  <si>
    <t>BAC/Dassault AFVG</t>
  </si>
  <si>
    <t>BAC/Dassault AFVG (standing for Anglo-French Variable Geometry) was a 1960s project for supersonic multi-role combat aircraft with a variable-sweep wing,[N 1] jointly developed by British Aircraft Corporation in the United Kingdom and Dassault Aviation of France. The project was borne out of ambitions to produce a viable combat aircraft that made use of the variable-sweep wing, as well as to promote wider cooperative efforts between France and the United Kingdom. However, neither Dassault nor the French Air Force were particularly keen on the AFVG; the project was further impacted by repeated specification changes and indecision for what roles that the AFVG was to be tasked with on the part of Britain. In mid-1967, British requirements settled upon adopting the AFVG for the Royal Air Force (RAF) for the strike role in the place of the cancelled BAC TSR-2 strike bomber. The project was cancelled in June 1967, when the French Government withdrew from participation. However, the cancellation was not the end of work on the proposed design. BAC modified the specification to solely satisfy Royal Air Force (RAF) needs, reconfiguring the design as the UKVG and sought out new partners to procure the aircraft, which ultimately emerged as the Anglo-German-Italian consortium-funded "Multi Role Combat Aircraft" (MRCA), (Panavia Tornado), a variable-geometry wing fighter/strike aircraft. From 1945 onwards, Britain conducted a number of studies into the properties and use of variable geometry wings.[1] The noted British engineer and inventor Sir Barnes Wallis began exploring the concept during the Second World War and became an early pioneer and advocate for the variable geometry wing, conceiving of an aircraft consideration that lacked conventional features such as a vertical stabiliser and rudder, instead using variable geometry wings to provide primary controllability in their place. In 1946, Wallis published a paper upon this research, which was quickly hailed as being a major scientific breakthrough in the aviation industry.[1] Wallis proceeded to advocate for the production of an aircraft, military or civil, that would take advantage of a variable geometry wing.[2] The Ministry of Supply and Ministry of Defence arranged for a series of tests to demonstrate the application of the technology to projectiles, both for research purposes and a potential form of anti-aircraft defence; while Wallis worked upon this research programme, he continued to promote the concept of a manned variable geometry aircraft.[3] In 1951, the Ministry of Supply issued Specification ER.110T, which sought a piloted variable geometry aircraft that would be suitable for research flights; however, ER.110T would be cancelled without an order due to urgent demands for more conventional transonic combat aircraft.[4] At one point, Wallis examined the prospects of producing a variable geometry submission for Specification OR.330, which sought a supersonic aerial reconnaissance/strategic bomber aircraft. He conceived of a large aircraft equipped with a moveable delta wing configuration, which he dubbed Swallow; however, midway through scale model free-flight testing, the funding for Wallis' studies was terminated by the Ministry in June 1957.[5] In 1958, research efforts were revived in cooperation with the Mutual Weapons Development Programme of NATO, under which all of Wallis' variable geometry research was shared with the Americans.[5] During the mid 1950s, multiple British aircraft manufacturers had become interested in harnessing variable geometry wings in their proposed designs. Amongst these design studies were a supersonic-capable derivative of the Folland Gnat, and a project by Vickers to design a large variable geometry strike aircraft in response to Specification GOR.339 for a nuclear-armed supersonic bomber.[6] In 1964, the newly formed British Aircraft Corporation (BAC) decided to harness Vicker's earlier variable geometry work on a new design study, designated as the BAC P.45. The conceptual BAC P.45 was designed as a 'light strike' and two-seat trainer aircraft.[7][9] BAC had strongly advocated for a government order for the type to equip the Royal Air Force (RAF), being one of a number of proposed designs[N 2] that were produced by several rival manufacturers to meet Specification AST.362.[11] According to aviation author Derek Wood, in spite the P.45 design being "the obvious choice", the Secretary of State for Defence Denis Healey dismissed it in favour of a prospective cooperative arrangement with France for a joint-project based on the Br.121 ECAT ("Tactical Combat Support Trainer") proposal from Breguet Aviation instead.[12] Starting in 1964, a series of in-depth discussions took place between the governments of France and Great Britain on prospective collaborative military aviation programs; these involved talks between Handel Davies, the co-chairman of an Anglo-French committee, and his French counterpart, Ingénieur-General Lecamus, negotiating the launch of two new military combat aircraft. According to these negotiations, the French would take the lead role in developing a new light ground-attack/trainer, while the British was to assume the leadership of a multirole fighter project.[13] This multirole aircraft was to be equipped with a variable geometry wing and was intended to perform the strike, reconnaissance, and interceptor roles.[14] On 17 May 1965, following on from the cancellation of the BAC TSR-2 supersonic bomber, the British and French governments announced the signing of a pair of agreements to cover the two joint projects; one based on the Breguet Aviation Br.121 ECAT ("Tactical Combat Support Trainer") proposal; this would later evolve, after the cancellation of the AFVG, to become the SEPECAT Jaguar. The other was the AFVG, a larger, variable geometry carrier-capable fighter aircraft for the French Navy (Aéronavale) as well as fulfilling interceptor, tactical strike and reconnaissance roles for the RAF.[15][14] The AFVG was to be jointly developed by BAC and Dassault Aviation, the proposed M45G turbofan engine to power the aircraft was to also be jointly developed by SNECMA and Bristol Siddeley.[14] On 13 July 1965, the specification for the AFVG feasibility study was issued; according to Wood, the specification greatly resembled that which had been earlier issued for the cancelled TSR-2.[16] The AFVG was to have a maximum speed of 800 knots at sea level and Mach 2.5 at altitude. It was required to possess a minimum combat radius of 500 nautical miles, a ferry range of 3,500 nautical miles, and the nose-mounted airborne interception radar was to have a minimum range of 60 nautical miles.[17] Armanment was to include a pair of 30 mm cannons and a 2,500 lb tactical nuclear bomb. However, the specification would be repeatedly re-drafted, the issuing of a definitive specification by Whitehall was delayed until April 1966.[17] Wood observed that the requirements of the specification were of a multi-role nature, akin to the Hawker Siddeley P.1154 and variable geometry General Dynamics F-111K.[17] In RAF service, the AFVG had originally been intended to serve as a fighter, replacing the English Electric Lightning in the interceptor mission.[18] However, following the decision to procure the American-built McDonnell Douglas F-4 Phantom II instead, the AFVG's expected role was changed in 1966 to supplementing the F-111K[N 3] strike aircraft in replacing the English Electric Canberra and the V bomber force.[19] The AFVG was to be powered by a pair of SNECMA/Bristol Siddeley M45G turbofans, which were to be fed by Mirage-style half-shock cone inlets.[20] The engine development programme contract was to be issued by the French government to a SNECMA/Bristol Siddeley joint venture company registered in France.[19] For Marcel Dassault, the founder of the firm that bore his name, relinquishing leadership on a major project, essentially taking a subordinate position to BAC on the AFVG threatened his company's long-term objective of becoming a premier prime contractor for combat aircraft.[21] After less than a year, Dassault began to actively undermine the AFVG project, working on two competing "in-house" projects: the variable geometry Mirage G and the Mirage F1.[22] According to Wood, both Dassault and the French Air Force had been unenthusiastic for the project from the start, the latter wanting to pursue its own indigenous aircraft equipped with variable geometry wings, while the former had determined that the AFVG did not confirm with any of its future equipment plans.[14] While Britain was keen to procure a capable strike aircraft, France wanted interceptor aircraft; these design requirements of these different roles were relatively exclusive of one another.[17] Britain's own set of requirements for the AFVG were complicated by the effort of trying to fit the requirements of both the RAF and the Royal Navy onto a single airframe.[17] Accordingly, as a measure to achieve reasonable performance, two different versions of the AFVG were called for, one being a multirole fighter equipped with pulse-Doppler radar and air-to-air missiles while the other was to be a strike aircraft with limited capability as an interceptor.[17] In June 1967, the French government announced their withdrawal from the AFVG project ostensibly on the grounds of cost.[N 4][24] The collapse of the AFVG programme was considerably troubling to the British position, having chosen to rely on Anglo-French collaboration and American-designed combat aircraft to meet its needs.[25] The unilateral French decision led to a censure debate in the House of Commons.[26][24] By 1967, when the French decided to withdraw from the AFVG programme, the Air Ministry was faced with a dilemma stemming from the imminent prospect of cancelling the F-111K, a decision that was taken in November 1967, to be formalized on 20 March 1968.[27] Up to this point, Britain had spent £2.5 million on the AFVG for practically no gains.[25] In order to justify the absence of any new strike aircraft following the failure of multiple projects to develop or procure one, Healey decided to entirely dismantle the requirement for one. Thus, in 1968, Prime Minister Harold Wilson, alongside Healey, announced that British troops would be withdrawn in 1971 from major military bases in South East Asia, the Persian Gulf and the Maldives, collectively known as 'East of Suez'.[28][29][25] With the prospect of no operational aircraft being available to fulfill the RAF's strike role, BAC decided to revamp the AFVG design, eliminating the carrier capabilities that were no longer necessary, into a larger, more strike-oriented variable geometry aircraft. Holding contracts were issued to BAC to support the project, which had been re-designated as the United Kingdom Variable Geometry (UKVG) aircraft.[27][25] In November 1967, BAC issued a brochure on the UKVG proposal; various proposals would be issued to cover the use of multiple different engines. The quick production of a demonstrator aircraft, powered by a pair of Rolls-Royce/MAN Turbo RB153 turbofan engines, was also mooted.[25] While funding for the UKVG in the United Kingdom was seriously restricted, the British government sought to find partners in the form of NATO members,[N 5] promoting the concept of creating and procuring a common NATO strike aircraft. In July 1968, a memorandum of understanding was signed between Britain, West Germany, Italy, the Netherlands, Belgium, and Canada.[30] This memorandum eventually led to the launch of the multinational Multi-Role Combat Aircraft (MRCA) project, which in turn went on to produce a variable geometry aircraft to perform strike, reconnaissance, and interception missions in the form of the Panavia Tornado.[13][31] Data from Project Cancelled: The Disaster of Britain's Abandoned Aircraft Projects[32]General characteristics Performance Armament Avionics Ground Mapping Radar + TFR</t>
  </si>
  <si>
    <t>Interceptor aircraft, tactical strike, reconnaissance aircraft</t>
  </si>
  <si>
    <t>https://en.wikipedia.org/Interceptor aircraft, tactical strike, reconnaissance aircraft</t>
  </si>
  <si>
    <t>United Kingdom/France</t>
  </si>
  <si>
    <t>British Aircraft Corporation/Dassault Aviation</t>
  </si>
  <si>
    <t>https://en.wikipedia.org/British Aircraft Corporation/Dassault Aviation</t>
  </si>
  <si>
    <t>//upload.wikimedia.org/wikipedia/commons/thumb/8/84/AFVG.jpg/300px-AFVG.jpg</t>
  </si>
  <si>
    <t>Frigate Ecojet</t>
  </si>
  <si>
    <t>The Frigate Ecojet (in Russian: Фрегат Экоджет, transliterated as Fregat Ekodzhet), is a program for the development of a new wide-body medium-haul civil aircraft using new aerodynamic, and design configurations.[1] The project started in 1991 as the twinjet Tu-304 under the leadership of Valentin Klimov (then chief designer of the Tupolev design bureau), being initially projected to carry up to 500 passengers. Since 2004 the project has been carried out by a new design bureau, led by Valentin Klimov and instituted as a daughter company of Tupolev, headed by Valentin Klimov's son, Alexandr Klimov.[2] Since 2017, the quadjet aircraft design has been branded the Frigate Freejet. The primary goal of the Frigate Ecojet program was the development of a range of new wide-body medium-haul aircraft, intended to be operational by 2018.[3] The new wide-body aircraft uses an oval fuselage configuration. The chosen form ensures minimal dimensions for the aircraft with 300–350 passengers in three cabins, three main aisles, no less than 500 mm (20 inches) wide and spaces between seats no less than 810 mm (32 inches). In an all-economy layout, the number of seats can be increased to 400. The aircraft can accommodate 302 passengers in a basic three-class layout (Business Class, Premium Economy and Economy).[4] In 2015 the company and project engineers were relocated from Moscow to an undisclosed non-EU European country in order to seek flight certification from EASA rather than Russia, since this offered savings due to the host country determining certification authority. Russian standards are lower and not yet harmonized with EASA/FAA and if it was based in Russia it would have to repeat at least 30% of qualifying flights for EASA to receive a European flight certification as well as meeting more stringent design standards. If the company were based in an EASA country it could receive EASA and FAA dual certification from a single test program. Sergey Grachev, director of marketing sales for the Frigate Ecojet stated 'It is impossible to develop and create this kind of aircraft here'. The company still intends to perform its first flight in 2018 or 2019 and enter into service in 2021.[5] When moving to Europe the company will also seek to harmonize cockpit design with a competitor to reduce pilot training costs. In January 2016 the company announced that it had completed wind tunnel trials in Germany in partnership with ThyssenKrupp and that the first 15 (unofficially first 45) aircraft would be manufactured and certified in the EU in a location to be announced on Feb 2016, believed to be in the short list were Germany, Czech Republic and Slovakia. The performance specifications were also frozen at 352–400 passengers in all-economy seating, MTOW 123t, a range of 2340 km with a payload of 33.4t and 4500 km with 24.7t, a minimum runway length of 2375m and a speed of Mach 0.8.[6] No announcement on a production location followed however. In August 2017, initially powered by 177–226 kN (40,000–51,000 lbf) PD-18R or PS-90A20 but lacking modern engines, the twinjet was modified into a Freejet four-engined design powered by modern 12–14 tf (26,000–31,000 lbf) engines introduced for the single-aisle market: the Irkut MC-21's Aviadvigatel PD-14, the Pratt &amp; Whitney PW1100G or the CFM International LEAP powering the A320neo and the B737 Max, losing a little in aerodynamics and weight and raising the maximum take-off weight from 130 to 140 t (290,000 to 310,000 lb) for a range of 3,500 km (1,900 nmi) for 300 passengers in an all-economy 10-abreast triple-aisle cabin, increasing to 4,680 km (2,530 nmi) with 244 passengers; it has a wingspan of 48.53 m (159.2 ft) and over length of 49.65 m (162.9 ft) with eight emergency exits.[7] The company said it was dissatisfied with the age of the current engines on the market in the desired power class with no new or updated models in development and lacking the funds and time (around 3–5 years of development) to sponsor development of its own.[8]</t>
  </si>
  <si>
    <t>Wide-body civil aircraft</t>
  </si>
  <si>
    <t>Russian Federation</t>
  </si>
  <si>
    <t>JSC "Russian Avia Consortium" Corp.</t>
  </si>
  <si>
    <t>//upload.wikimedia.org/wikipedia/en/thumb/9/9b/Freejet.jpg/300px-Freejet.jpg</t>
  </si>
  <si>
    <t>Mitsubishi 1MF9</t>
  </si>
  <si>
    <t>The Mitsubishi 1MF9 or Mitsubishi Experimental Taka-type Carrier Fighter was a prototype Japanese fighter aircraft of the 1920s. It was a single-engined, single-seat biplane intended to operate from the Imperial Japanese Navy's aircraft carriers, but only two were built, with the type being rejected by the Navy. The standard carrier-based fighter of the Imperial Japanese Navy in 1926 was the Mitsubishi 1MF or Navy Type 10 Carrier Type Fighter, designed in 1921 by the ex-Sopwith British designer Herbert Smith.[1] In April that year, a specification was issued to Mitsubishi, Aichi and Nakajima for a replacement for the Type 10, requiring the aircraft to stay afloat in the event of ditching in the sea. Mitsubishi gave the task of designing the new fighter to Joji Hattori, who had worked with Smith on the design of the Type 10. The resultant aircraft, the Experimental Taka-type (Falcon) fighter or 1MF9, was a single-bay biplane of wooden construction with fabric covering. It had a watertight fuselage and jettisonable fixed conventional landing gear to meet the Navy's ditching requirements (jettisonable because aircraft with fixed landing gear are very dangerous to land on water, since the drag from the water can easily flip the aircraft over when the wheels touch the surface), and was powered by a Mitsubishi Hi V-12 (licence-built Hispano-Suiza Lb). The pilot sat in an open cockpit, armed with two synchronised machine guns.[2] The first of two prototypes flew in July 1927, being the first Japanese designed carrier-based fighter to fly, with the second following in September.[2] It was not successful, with the design proposed by Nakajima, a modified version of the British Gloster Gamecock fighter being chosen for production as the Nakajima A1N, despite the fact that Nakajima and Gloster had chosen to ignore the requirement for easy ditching, allowing a lighter and more manoeuvrable aircraft.[2][3] Data from Japanese Aircraft 1910–1941[2]General characteristics Performance Armament   Aircraft of comparable role, configuration, and era</t>
  </si>
  <si>
    <t>Carrier-based fighter aircraft</t>
  </si>
  <si>
    <t>https://en.wikipedia.org/Japan</t>
  </si>
  <si>
    <t>Mitsubishi</t>
  </si>
  <si>
    <t>https://en.wikipedia.org/Mitsubishi</t>
  </si>
  <si>
    <t>10.80 m (35 ft 5 in)</t>
  </si>
  <si>
    <t>41.50 m2 (446.7 sq ft)</t>
  </si>
  <si>
    <t>244 km/h (152 mph, 132 kn)</t>
  </si>
  <si>
    <t>1,200 kg (2,646 lb)</t>
  </si>
  <si>
    <t>1,855 kg (4,090 lb)</t>
  </si>
  <si>
    <t>8.443 m (27 ft 8 in)</t>
  </si>
  <si>
    <t>3.403 m (11 ft 2 in)</t>
  </si>
  <si>
    <t>1 × Mitsubishi Hi V-12 water-cooled V12 engine, 450 kW (600 hp)</t>
  </si>
  <si>
    <t>3,000 m (9,800 ft) in 6 min 10 s</t>
  </si>
  <si>
    <t>//upload.wikimedia.org/wikipedia/commons/thumb/7/76/Mitsubishi_1MF9_Taka.jpg/300px-Mitsubishi_1MF9_Taka.jpg</t>
  </si>
  <si>
    <t>7,000 m (23,000 ft)</t>
  </si>
  <si>
    <t>2× 7.7 mm machine guns</t>
  </si>
  <si>
    <t>A-I-R Atos</t>
  </si>
  <si>
    <t>The A-I-R Atos is a German high-wing, single-place, rigid wing hang glider designed by Felix Ruehle and produced by A-I-R GmbH of Halblech.[1] The Atos was originally designed as a competition rigid wing hang glider in 1998, with production commencing the following year. Since then the design has undergone almost continuous refinement and a succession of model numbers. It remained in production in 2012.[1][2] The aircraft structure is made from carbon-fiber-reinforced polymer. The wing uses minimal cable bracing and incorporates both flaps and spoilers for roll control. The aspect ratio for most models is in the range of 11:1 or 12:1. Achieved glide ratios run as high as 20:1. Later models incorporate a horizontal tailplane for improved stability.[1][3] The Atos gliders are designed for folding for ground transportation. The largest model, the Atos VX, for example, can be folded into 5.80 x 0.48 x 0.20m (19.0 x 1.57 x 0.66 feet) in 18 minutes and weighs 47.5 kg (105 lb).[3] Later model Atos are compatible with the Swedish Aerosport Mosquito power pack.[3] The wing was also later developed into an ultralight trike, the Ultralight Design Atos Trike. It can also be fitted to the Veleria Dedalo Strike-T trike.[4] The Atos series have been flown in the rigid wing class in World Hang Gliding Championships since 1999 and have won titles on many occasions.[2] Data from A-I-R[3]General characteristics Performance</t>
  </si>
  <si>
    <t>A-I-R GmbH</t>
  </si>
  <si>
    <t>https://en.wikipedia.org/A-I-R GmbH</t>
  </si>
  <si>
    <t>14.0 m (45 ft 11 in)</t>
  </si>
  <si>
    <t>16.0 m2 (172 sq ft)</t>
  </si>
  <si>
    <t>0.6 m/s (120 ft/min) while solo</t>
  </si>
  <si>
    <t>47.5 kg (105 lb)</t>
  </si>
  <si>
    <t>231 kg (509 lb)</t>
  </si>
  <si>
    <t>Felix Ruehle</t>
  </si>
  <si>
    <t>https://en.wikipedia.org/Felix Ruehle</t>
  </si>
  <si>
    <t>https://en.wikipedia.org/Ultralight Design Atos Trike</t>
  </si>
  <si>
    <t>ANEC I</t>
  </si>
  <si>
    <t>The ANEC I and ANEC II were 1920s British single-engine ultralight aircraft designed and built by Air Navigation and Engineering Company Limited at Addlestone Surrey.[1] One was privately constructed in Brisbane, Australia.[2] The ANEC I and II, designed by W.S Shackleton, were amongst the earliest ultralight aircraft; they were very small, wooden, strut braced high-wing monoplanes.[1] The first ANEC I, registered G-EBHR, first flew at Brooklands on 21 August 1923. It was the first aircraft with an inverted engine, a 696 cc Blackburne Tomtit, to fly in the United Kingdom.   The ANEC I was designed to the rules of the 1923 Lympne light aircraft trials, principally an engine capacity limit of 750 cc, and the two aircraft completed that August took part.  The main prizes were for fuel economy and the second ANEC I G-EBIL, flown by Jimmy James, shared half of the £1,500 prize with an English Electric Wren for flights of 87.5 miles (141 km) on one gallon (4.54 L) of petrol.  He later reached an altitude of 14,000 ft (4,267 m) in it.[1] G-EBIL was evaluated by the Air Ministry in 1924, briefly carrying the RAF serial J7506.[3] Afterwards it was modified with a wingspan greatly reduced from 32 ft to 18 ft 4 in (9.75 m to 5.59 m) and re-engined with a 1,000 cc Anzani engine for entry in the 1925 Lympne August Bank Holiday Races, designated the ANEC IA.[1] Only one more ANEC I was constructed.[1] It was built in Australia by George Beohm, who went on to design the Genairco Biplane, and Horrie Miller.[2] E. W. Beckman, the owner of the aircraft, intended to enter it in the Low-Powered Aeroplane Competition held at Richmond in December 1924, but it was not completed until the following year.[2] The first of the two built in the United Kingdom in 1923, G-EBHR, was exported to Australia in the second half of 1924.[2] The ANEC II was an enlarged version of the ANEC I built for the 1924 Lympne light aircraft trials competition.  Following the revised competition rules, it was a two-seater and its more powerful 1,100 cc Anzani inverted V twin-cylinder had the greatest capacity allowed.  The wing area was increased by 28% to accommodate the extra weight by a 5 ft 2 in (1.57 m) span extension. It was also longer by almost the same amount.[4] Engine problems kept it from flying in the competition and out of the Grosvenor Trophy race that immediately followed.[3] In 1927 a new owner refitted it with a 32 hp (24 kW) Bristol Cherub III flat twin engine, a larger rudder, and a more conventional undercarriage with larger wheels mounted on a cross axle attached to the lower fuselage with a pair of V-struts. In 1931 another new owner fitted a heavier 30 hp (22 kW) ABC Scorpion engine, another flat twin and, to keep the weight down, reworked it as a single seater. It was in this condition when it was acquired by Richard Shuttleworth in about 1937.[3] The 1924 ANEC II G-EBJO is owned and operated by The Shuttleworth Collection in the UK and remains airworthy as of 2017. It underwent restoration to post-Lympne configuration, being completed in 2004, with a single seat, revised undercarriage and fitted with an ABC Scorpion II 30 HP engine. It can be seen flown at home airshows in calm weather during the summer months, as well as on static display as part of the Collection.[5] Data from Jane's all the World's Aircraft 1924,[6] British Civil Aviation since 1919 Volume 1[1]General characteristics Performance</t>
  </si>
  <si>
    <t>ultralight aircraft</t>
  </si>
  <si>
    <t>Air Navigation and Engineering Company Limited</t>
  </si>
  <si>
    <t>https://en.wikipedia.org/Air Navigation and Engineering Company Limited</t>
  </si>
  <si>
    <t>32 ft 10 in (10.01 m)</t>
  </si>
  <si>
    <t>145 sq ft (13.5 m2)</t>
  </si>
  <si>
    <t>74 mph (119 km/h, 64 kn)</t>
  </si>
  <si>
    <t>{'ANEC I': ' three built', 'ANEC IA': ' ANEC I with reduced wingspan, one modified.', 'ANEC II': ' two-seat version, one built'}</t>
  </si>
  <si>
    <t>290 lb (132 kg)</t>
  </si>
  <si>
    <t>470 lb (213 kg)</t>
  </si>
  <si>
    <t>32 mph (51 km/h, 28 kn)</t>
  </si>
  <si>
    <t>W.S. Shackleton</t>
  </si>
  <si>
    <t>3 (ANEC I), 1 (ANEC II)</t>
  </si>
  <si>
    <t>15 ft 7 in (4.75 m)</t>
  </si>
  <si>
    <t>3 ft (0.91 m)</t>
  </si>
  <si>
    <t>1 × Blackburne Tomtit 2-cylinder air-cooled inverted V piston engine, 16 hp (12 kW)</t>
  </si>
  <si>
    <t>2-bladed fixed pitch propeller</t>
  </si>
  <si>
    <t>3,000 ft (910 m) in 8minutes</t>
  </si>
  <si>
    <t>//upload.wikimedia.org/wikipedia/commons/thumb/8/81/ANEC_II.jpg/300px-ANEC_II.jpg</t>
  </si>
  <si>
    <t>3.21 lb/sq ft (15.7 kg/m2)</t>
  </si>
  <si>
    <t>60 mpg‑imp (21 km/l)</t>
  </si>
  <si>
    <t>23.2 hp/lb (38.1 kW/kg)</t>
  </si>
  <si>
    <t>APEV Pouchel Classic</t>
  </si>
  <si>
    <t>The APEV Pouchel Classic (English: Ladder Flea Classic) is a French amateur-built aircraft, designed by Daniel Dalby and produced by APEV of Peynier. The aircraft is supplied as plans or as a kit for amateur construction.[1][2] The Pouchel Classic is derived from the APEV Pouchel, which is itself a derivative of the classic 1930s Henri Mignet-designed Mignet Pou-du-Ciel (Flying Flea). The design features a cantilever rear wing and a strut-braced front parasol wing, a single-seat open cockpit, fixed conventional landing gear and a single engine in tractor configuration.[1][2] The Pouchel Classic differs from the earlier Pouchel in that it has a newly designed wooden fuselage to replace the aluminum ladder and rectangular tube design of the Pouchel and the Pouchel II. The Pouchel Classic's fuselage is also longer. Its 6 m (19.7 ft) span front wing and 4 m (13.1 ft) span rear wing have a combined area of 12 m2 (130 sq ft) and employ NACA 23112 airfoils. Flying surfaces are covered in Dacron sailcloth. Standard engines recommended are the 35 hp (26 kW) Rotax 377 or the 40 hp (30 kW) Rotax 447 two-stroke powerplants.[1][2][3] Data from Bayerl and APEV[1][3]General characteristics Performance</t>
  </si>
  <si>
    <t>12 m2 (130 sq ft) total</t>
  </si>
  <si>
    <t>150 kg (331 lb)</t>
  </si>
  <si>
    <t>1 × Rotax 447 twi cylinder, air-cooled, two stroke aircraft engine, 30 kW (40 hp)</t>
  </si>
  <si>
    <t>6 m (19 ft 8 in)</t>
  </si>
  <si>
    <t>4 m (13 ft 1 in)</t>
  </si>
  <si>
    <t>30 litres (6.6 imp gal; 7.9 US gal)</t>
  </si>
  <si>
    <t>20.8 kg/m2 (4.3 lb/sq ft)</t>
  </si>
  <si>
    <t>Dalby Pouchel</t>
  </si>
  <si>
    <t>https://en.wikipedia.org/Dalby Pouchel</t>
  </si>
  <si>
    <t>The APEV Pouchel Light (English: Ladder Flea Light) is a French amateur-built aircraft, designed by Daniel Dalby and produced by APEV of Peynier. The aircraft is supplied as plans or as a kit for amateur construction.[1][2] The Pouchel Light replaced the Pouchel II in production, which in turn replaced the original APEV Pouchel. The original Pouchel was constructed using three commercially available aluminium ladders, hence APEV is the Association pour la Promotion des Echelles Volantes, or in English, Association for the Promotion of Flying Ladders. Later models were forced to move to rectangular aluminium tubing when the ladder manufacturer grew concerned about liability.[1][2] The Pouchel Light is a re-designed, 50 kg (110 lb) lighter version of the Pouchel II that it replaces in production, with an empty weight of 100 kg (220 lb). The Pouchel series are all derivatives of the classic 1930s Henri Mignet-designed Mignet Pou-du-Ciel (Flying Flea).[1][2][3] The Pouchel Light features a cantilever rear wing with a strut-braced parasol front wing, a single-seat open cockpit without a windshield, fixed conventional landing gear and a single engine in tractor configuration. The aircraft is made from bolted-together aluminum tubing. The wings are the same as those used on the Scoutchel and are built around a single aluminium spar, with ribs made from extruded polystyrene with plywood bracing, all bonded to fibreglass leading and trailing edges, covered in Dacron sailcloth. Its 6 m (20 ft) span front wing and 4 m (13 ft) span rear have a combined area of 12 m2 (129 sq ft) and both employ NACA 23112 airfoils. Recommended engines are the 35 hp (26 kW) Rotax 377 or the 40 hp (30 kW) Rotax 447 two-stroke powerplants.[1][2][3] Data from Bayerl and APEV[1][3]General characteristics Performance</t>
  </si>
  <si>
    <t>In production (kit, 2012)</t>
  </si>
  <si>
    <t>12 m2 (130 sq ft)</t>
  </si>
  <si>
    <t>225 kg (496 lb)</t>
  </si>
  <si>
    <t>1 × Rotax 377 twin cylinder, air-cooled, two stroke aircraft engine, 26 kW (35 hp)</t>
  </si>
  <si>
    <t>18.75 kg/m2 (3.84 lb/sq ft)</t>
  </si>
  <si>
    <t>APEV Pouchel II</t>
  </si>
  <si>
    <t>https://en.wikipedia.org/APEV Pouchel II</t>
  </si>
  <si>
    <t>https://en.wikipedia.org/APEV Pouchelec</t>
  </si>
  <si>
    <t>Bell Airacobra I AH574</t>
  </si>
  <si>
    <t>AH574 was a Bell Airacobra I used by the Royal Navy for test work during and after the Second World War AH574 was initially ordered in 1940 for the Royal Air Force (RAF) as part of the Airacobra I serial number block AH570–AH739 (No. 601 Squadron RAF).[1] When the Airacobra type was rejected by the RAF, AH574 was transferred to the Royal Navy for test work.[2][3] On 4 April 1945, AH574 became part of aviation history when test pilot Captain Eric "Winkle" Brown landed it on the flight deck of HMS Pretoria Castle—the first carrier landing made by an aircraft with retractable tricycle gear—due to a declared emergency during initial trials for landings on rubber decks planned for future carriers.  In his autobiography, Captain Brown described the circumstances thus: I had already collected a few 'firsts' in aviation, and I rather wanted to be the first pilot to put a tricycle aircraft down on a flight deck. The Airacobra was not officially cleared for such a landing, but the boffins had told me privately that it would probably take the strain.This was not on the official programme at all, but I hoped that I could persuade Captain Caspar John of the Pretoria Castle to turn a blind eye to what I had in mind. I wrote to him beforehand and asked him if he would be prepared to take me aboard in the event of sudden engine trouble. He at once saw what I was after, of course, and was good sport enough to go along with it. He suggested that it might be a good idea if my engine trouble occurred on my last approach.Strangely enough it did. I began my approach, then, just for the record, called up the ship and complained that my engine was running rough. Would they accept me? Back came Captain John's instant 'affirmative'. I put the hook down, and caught the wire with no trouble at all. The trouble started when the time came to take off, as the Airacobra had a long take-off run—which was one of the reasons behind the type's rejection by the RAF—and 'Winkle' only managed to get airborne because Pretoria Castle was steaming full speed ahead at the time.[2]  In March 1946, a visiting Bell Test pilot visited the Test establishment to oversee Laminar Flow experiments being conducted with Bell P-63 Kingcobras.Just for a laugh I asked him to test my old Bell Airacobra, which I had been using for so many hops around the country. He took off, did one very quick circuit, and came back ashed-faced. 'I have never,' he said, 'flown in an aeroplane in such an advanced state of decay. This machine should be scrapped forthwith.' So, on 28th March, I went up for a last aerobatic session in her, then bade a sentimental farewell. The last laugh was on me.    AH574 was duly scrapped shortly afterward,[4] and Brown was later given a Fieseler Storch as a replacement.[5]</t>
  </si>
  <si>
    <t>//upload.wikimedia.org/wikipedia/commons/thumb/e/e7/Bell_Airacobra_Mk_I_of_No._601_Squadron_RAF_based_at_Duxford%2C_Cambridgeshire%2C_21_August_1941._CH3711.jpg/300px-Bell_Airacobra_Mk_I_of_No._601_Squadron_RAF_based_at_Duxford%2C_Cambridgeshire%2C_21_August_1941._CH3711.jpg</t>
  </si>
  <si>
    <t>Bell Airacobra I</t>
  </si>
  <si>
    <t>https://en.wikipedia.org/Bell Airacobra I</t>
  </si>
  <si>
    <t>AH574</t>
  </si>
  <si>
    <t>Scrapped, 1946</t>
  </si>
  <si>
    <t>Avion MAI F-1</t>
  </si>
  <si>
    <t>F-1 Favorit (English: Ф-1 «Фаворит») is a light sporting biplane for aerobatics, a modernized version of B2M Mosquit. It was designed and built by the Avion Group together with Moscow Aviation Institute specialists. General characteristics Performance</t>
  </si>
  <si>
    <t>Sporting biplane</t>
  </si>
  <si>
    <t>https://en.wikipedia.org/Sporting biplane</t>
  </si>
  <si>
    <t>Avion Group with MAI</t>
  </si>
  <si>
    <t>//upload.wikimedia.org/wikipedia/commons/thumb/f/fd/Avion_F-1_Favorit_Ryabtsev_2007.jpg/300px-Avion_F-1_Favorit_Ryabtsev_2007.jpg</t>
  </si>
  <si>
    <t>https://en.wikipedia.org/Avion Group with MAI</t>
  </si>
  <si>
    <t>Morane-Saulnier AC</t>
  </si>
  <si>
    <t>The Morane-Saulnier AC, also known as Morane-Saulnier Type AC and MoS 23, was a French fighter of the 1910s. The AC was conceived in mid-1916, being derived from the Type N via the unbuilt Type U. It differed from earlier single-seat Morane-Saulnier aircraft in that it had ailerons for lateral control rather than wing warping, and because of its rigid wing bracing, with a wire braced truss of steel tubes supporting the wings from below.[1]  It appeared in autumn of that year, and was found to be aerodynamically clean. The AC's first flight is unrecorded, however it is assumed that it was late summer 1916.  After initial testing thirty aircraft were ordered for the Aviation Militaire.  Although of advanced design and good performance, the AC was considered inferior to the SPAD S.VII and therefore was not adopted in quantity.  Two examples were provided to the Royal Flying Corps for evaluation. Data from War Planes of the First World War:Volume Five Fighters[2]General characteristics Performance Armament</t>
  </si>
  <si>
    <t>Morane-Saulnier</t>
  </si>
  <si>
    <t>https://en.wikipedia.org/Morane-Saulnier</t>
  </si>
  <si>
    <t>9.80 m (32 ft 1.63 in)</t>
  </si>
  <si>
    <t>15.00 m2 (161.46 sq ft)</t>
  </si>
  <si>
    <t>178 km/h (111 mph, 96 kn)</t>
  </si>
  <si>
    <t>435 kg (957 lb)</t>
  </si>
  <si>
    <t>658 kg (1,448 lb)</t>
  </si>
  <si>
    <t>late 1916</t>
  </si>
  <si>
    <t>7.05 m (23 ft 1.5 in)</t>
  </si>
  <si>
    <t>2.73 m (8 ft 11.5 in)</t>
  </si>
  <si>
    <t>1 × Le Rhône 9J or Le Rhône 9Jb nine-cylinder air-cooled rotary engine , 82 kW (110 hp)</t>
  </si>
  <si>
    <t>//upload.wikimedia.org/wikipedia/commons/thumb/b/bf/Morane-Saulnier_AC.jpg/300px-Morane-Saulnier_AC.jpg</t>
  </si>
  <si>
    <t>5,600 m (18,370 ft)</t>
  </si>
  <si>
    <t>2 hours 30 minutes</t>
  </si>
  <si>
    <t>5.6 m/s (1,100 ft/min) [3]</t>
  </si>
  <si>
    <t>Armée de l'Air</t>
  </si>
  <si>
    <t>soon after</t>
  </si>
  <si>
    <t>https://en.wikipedia.org/Armée de l'Air</t>
  </si>
  <si>
    <t>ATEC 212 Solo</t>
  </si>
  <si>
    <t>The ATEC 212 Solo is a Czech ultralight aircraft, designed and produced by ATEC v.o.s. of Libice nad Cidlinou. The aircraft is supplied as a complete ready-to-fly-aircraft.[1][2] The aircraft was designed to comply with the Fédération Aéronautique Internationale microlight rules. It features a cantilever low-wing, a single-seat, enclosed cockpit with a bubble canopy, fixed conventional landing gear and a single engine in tractor configuration.[1][2] The 212 Solo is made from carbon fibre and was derived from the ATEC 321 Faeta and ATEC 122 Zephyr 2000 designs. Its 7.48 m (24.5 ft) span wing employs an SM701 airfoil and slotted flaps. Standard engines available are the 64 hp (48 kW) Rotax 582 two-stroke and the 80 hp (60 kW) Rotax 912UL four-stroke powerplant.[1][2] Data from Bayerl[1][2]General characteristics Performance</t>
  </si>
  <si>
    <t>7.48 m (24 ft 6 in)</t>
  </si>
  <si>
    <t>7.27 m2 (78.3 sq ft)</t>
  </si>
  <si>
    <t>200 kg (441 lb)</t>
  </si>
  <si>
    <t>315 kg (694 lb)</t>
  </si>
  <si>
    <t>1 × Rotax 582 twin cylinder, liquid-cooled, two stroke, 48 kW (64 hp)</t>
  </si>
  <si>
    <t>43.32 kg/m2 (8.87 lb/sq ft)</t>
  </si>
  <si>
    <t>ATA Cruiser</t>
  </si>
  <si>
    <t>The Adams-Toman Cruiser was a US-built civil utility aircraft of the 1920s. It was a three-seat, high-wing monoplane with an enclosed cabin, and possibly a variant of the Grays Harbor Activian. General characteristics Performance       This article on an aircraft of the 1920s is a stub. You can help Wikipedia by expanding it.</t>
  </si>
  <si>
    <t>Adams-Toman</t>
  </si>
  <si>
    <t>38 ft 3 in (11.66 m)</t>
  </si>
  <si>
    <t>299 sq ft (27.8 m2)</t>
  </si>
  <si>
    <t>1,200 lb (544 kg)</t>
  </si>
  <si>
    <t>2,000 lb (907 kg)</t>
  </si>
  <si>
    <t>25 ft 0 in (7.62 m)</t>
  </si>
  <si>
    <t>1 × Warner Scarab 7-cyl. air-cooled radial piston engine, 110 hp (82 kW)</t>
  </si>
  <si>
    <t>Mann Egerton Type H</t>
  </si>
  <si>
    <t>The Mann Egerton Type H, also known as the Mann Egerton H.2, was a British ship-borne fighter aircraft of the 1910s. The Type H was the first original design by Mann Egerton, and was designed by J W Carr to Air Ministry specification N.1a in 1916. Its 2-bay biplane wings could be folded manually (a feature first introduced in 1913 on the Short Folder), due to its intended use as a naval fighter. Other features were the use of flotation chambers and a float attached to the underside of the fuselage for extra buoyancy. An innovation was that the undercarriage could be jettisoned if the aircraft needed to land on water. However, in autumn 1917, the aircraft failed flotation tests, and a new aircraft prototype, the Type H Mk I with single bay wings was drawn up. The Mark II version had inflatable flotation bags in place of the large float on the Mk I, a more conventional undercarriage and a horn-balanced rudder. This aircraft was tested in December 1917, however it was deemed as unfit for use in the Fleet Air Arm and further development was discontinued. Data from British Aeroplanes 1914–18[1]General characteristics Performance Armament</t>
  </si>
  <si>
    <t>Shipboard fighter</t>
  </si>
  <si>
    <t>Mann Egerton</t>
  </si>
  <si>
    <t>https://en.wikipedia.org/Mann Egerton</t>
  </si>
  <si>
    <t>30 ft 9 in (9.37 m)</t>
  </si>
  <si>
    <t>310 sq ft (28.80 m2)</t>
  </si>
  <si>
    <t>113 mph (182 km/h, 98 kn) [3]</t>
  </si>
  <si>
    <t>1,760 lb (798 kg)</t>
  </si>
  <si>
    <t>2,326 lb (1,055 kg)</t>
  </si>
  <si>
    <t>J W Carr</t>
  </si>
  <si>
    <t>Autumn 1917</t>
  </si>
  <si>
    <t>21 ft 11 in (6.68 m)</t>
  </si>
  <si>
    <t>8 ft 11.5 in (2.73 m)</t>
  </si>
  <si>
    <t>1 × Hispano-Suiza 8Bd eight-cylinder water-cooled engine[2] , 200 hp (149 kW)</t>
  </si>
  <si>
    <t>16,800 ft (5,120 m)</t>
  </si>
  <si>
    <t>3 hours 15 minutes</t>
  </si>
  <si>
    <t>1,013 ft/min (5.1 m/s) [4]</t>
  </si>
  <si>
    <t>Yakovlev Yak-43</t>
  </si>
  <si>
    <t>The Yakovlev Yak-43 was a Soviet VTOL (vertical takeoff and landing) fighter designed as the ground-based version of the ill-fated Yakovlev Yak-141, which failed to reach production. Like the Yak-141, the Yak-43 did not reach production.[1] The Yak-43 would have been the third-generation VTOL/STOL fighter, to follow and eventually replace the Yak-141.[1][2] Like the Yak-141, the Yak-43 would have had only a single main engine, as well as two dedicated vertical-lift engines. The main engine would have been based on the Samara NK-321 three-shaft augmented turbofan with a takeoff rating of 24,980 kg (55,077 lb). This same engine is used to power the Tupolev Tu-160 Blackjack bomber. The engine would have had a large air bleed leading to an auxiliary combustion chamber located in the nose, though a separate lift jet would have been retained.[1] After the Yak-43 project was unsuccessful, another attempt was made for a supersonic VTOL aircraft. But also the successor, the Yak-201 never left the drawing board.  Related development Aircraft of comparable role, configuration, and era</t>
  </si>
  <si>
    <t>VSTOL fighter</t>
  </si>
  <si>
    <t>https://en.wikipedia.org/VSTOL fighter</t>
  </si>
  <si>
    <t>Yakovlev</t>
  </si>
  <si>
    <t>https://en.wikipedia.org/Yakovlev</t>
  </si>
  <si>
    <t>Project only</t>
  </si>
  <si>
    <t>//upload.wikimedia.org/wikipedia/commons/thumb/5/5a/Yakovlev_Yak-43.png/300px-Yakovlev_Yak-43.png</t>
  </si>
  <si>
    <t>Mitsubishi Ki-33</t>
  </si>
  <si>
    <t>The Mitsubishi Ki-33 (キ33, Ki-sanjūsan) was an experimental monoplane fighter aircraft designed for the Japanese Imperial Army. Two prototypes flew in 1936 but the design never entered production. The Ki-33 was initially produced by Mitsubishi in response to Japanese army specifications for a fighter to replace the existing Kawasaki Ki-10 biplane. In mid 1935 Kawasaki, Mitsubishi and Nakajima were instructed to build competitive prototypes. Mitsubishi, preoccupied with refining the Ka-14 into the A5M fighter and adapting the G3M bomber for series production for the Imperial Japanese Navy, lacked sufficient design capacity to develop another fighter from scratch, and therefore submitted its earlier and unsuccessful Ki-18 design, with comparatively minor changes, as the Ki-18 had proven to be a good fighter aircraft and the reasons for its rejection were based on principles rather than quality.[1]  Labeled the Mitsubishi Ki-33, the modified design was powered by a Nakajima Ha-1-Ko engine rated at 555 kW (744 hp) at 3,700 m (12,140 ft). An aft-sliding canopy was added, the aft fuselage decking was raised and the vertical tail surfaces were modified. The prototypes were completed during the early summer of 1936. Service trials from November 1936 until the spring of 1937 proved that the Kawasaki Ki-28 was the fastest of the three contenders,[2] but the Nakajima Ki-27 was by far the most maneuverable, and on this basis was selected by the Imperial Japanese Army Air Force.[3][4]  Data from Famous Airplanes of the World #76: Army Experimental Fighters[5]General characteristics Performance Armament  Related development   Related lists</t>
  </si>
  <si>
    <t>Experimental Fighter Aircraft</t>
  </si>
  <si>
    <t>474 km/h (295 mph, 256 kn) at 3,000 m (9,843 ft)</t>
  </si>
  <si>
    <t>1,132 kg (2,496 lb)</t>
  </si>
  <si>
    <t>Jiro Horikoshi</t>
  </si>
  <si>
    <t>7.54 m (24 ft 9 in)</t>
  </si>
  <si>
    <t>3.19 m (10 ft 6 in)</t>
  </si>
  <si>
    <t>1 × Nakajima Ha1-Ko 9-cylinder air-cooled radial piston engine, 556 kW (746 hp)</t>
  </si>
  <si>
    <t>2-bladed variable-pitch propeller</t>
  </si>
  <si>
    <t>//upload.wikimedia.org/wikipedia/commons/thumb/b/b6/Mitsubishi_Ki-33.jpg/300px-Mitsubishi_Ki-33.jpg</t>
  </si>
  <si>
    <t>1,462 kg (3,223 lb)</t>
  </si>
  <si>
    <t>0.3653 kW/kg (0.2222 hp/lb)</t>
  </si>
  <si>
    <t>14.04 m/s (2,764 ft/min)</t>
  </si>
  <si>
    <t>https://en.wikipedia.org/Jiro Horikoshi</t>
  </si>
  <si>
    <t>2× fixed, forward-firing 7.7 mm (0.303 in) Type 89 machine guns</t>
  </si>
  <si>
    <t>Morane-Saulnier AN</t>
  </si>
  <si>
    <t>The Morane-Saulnier AN or MoS.31 C.2 was a French two seat fighter prototype of the 1910s that resulted in the development of several other unsuccessful Morane-Saulnier prototypes. Completed in late 1918, the AN was a two-seat fighter designed to use an unorthodox Bugatti U-16 engine. Large and with equal span wings, it was a two-bay biplane with a monocoque fuselage. First tested in late October 1918, the AN was bested by the SEA 4 and Breguet 17 it was competing against particularly in terms of rate of climb, however it showed sufficient promise that a number of variants were developed. It was ordered into production but never entered service as the SEA and Breguet were already entering service and the end of the First World War curtained production requirements. General characteristics Performance Armament</t>
  </si>
  <si>
    <t>11.73 m (38 ft 6 in)</t>
  </si>
  <si>
    <t>41.00 m2 (441.33 sq ft)</t>
  </si>
  <si>
    <t>225 km/h (140 mph, 120 kn)</t>
  </si>
  <si>
    <t>{'Morane-Saulnier AN': ' prototype with 450\xa0hp ', 'Morane-Saulnier ANB': ' modification of prototype with Lamblin radiator.', 'Morane-Saulnier ANL': ' First flown in 1919, the ANL had a 400\xa0hp ', 'Morane-Saulnier ANR': ' Also flown in 1919, the ANR had a 450\xa0hp ', 'Morane-Saulnier ANS': ' Again making its début in 1919, the ANS was the final incarnation of the AN series. Equipped with a 530\xa0hp ', 'MoS.31 C.2': 'ilitary designation for AN and ANB.', 'MoS.32 C.2': 'ilitary designation for ANL.', 'MoS.33 C.2': 'ilitary designation for ANR.', 'MoS.34 C.2': 'ilitary designation for ANS.'}</t>
  </si>
  <si>
    <t>1,770 kg (3,902 lb)</t>
  </si>
  <si>
    <t>8.34 m (27 ft 5 in)</t>
  </si>
  <si>
    <t>2.77 m (9 ft 1 in)</t>
  </si>
  <si>
    <t>1 × Bugatti U-16 16-cylinder water-cooled , 336 kW (450 hp)</t>
  </si>
  <si>
    <t>//upload.wikimedia.org/wikipedia/commons/thumb/5/52/Morane-Saulnier_ANL_French_First_World_War_two_seat_fighter_prototype_with_Liberty_400hp_engine_%28front%29.jpg/300px-Morane-Saulnier_ANL_French_First_World_War_two_seat_fighter_prototype_with_Liberty_400hp_engine_%28front%29.jpg</t>
  </si>
  <si>
    <t>ANBO VI</t>
  </si>
  <si>
    <t>The ANBO VI was a parasol-wing monoplane designed for the Lithuanian Army as a trainer in 1933, based on the ANBO III. It featured revised landing gear and a more powerful engine. General characteristics Performance</t>
  </si>
  <si>
    <t>Karo Aviacijos Tiekimo Skyrius</t>
  </si>
  <si>
    <t>https://en.wikipedia.org/Karo Aviacijos Tiekimo Skyrius</t>
  </si>
  <si>
    <t>two, pilot and instructor</t>
  </si>
  <si>
    <t>11.35 m (37 ft 3 in)</t>
  </si>
  <si>
    <t>18.3 m2 (197 sq ft)</t>
  </si>
  <si>
    <t>205 km/h (128 mph, 111 kn)</t>
  </si>
  <si>
    <t>Antanas Gustaitis</t>
  </si>
  <si>
    <t>7.25 m (23 ft 9 in)</t>
  </si>
  <si>
    <t>1 × Curtiss Challenger , 138 kW (185 hp)</t>
  </si>
  <si>
    <t>//upload.wikimedia.org/wikipedia/commons/thumb/d/d6/Anbo6.jpg/300px-Anbo6.jpg</t>
  </si>
  <si>
    <t>4,500 m (14,800 ft)</t>
  </si>
  <si>
    <t>https://en.wikipedia.org/Antanas Gustaitis</t>
  </si>
  <si>
    <t>ANEC III</t>
  </si>
  <si>
    <t>The ANEC III was a 1920s British six-seat passenger and mail carrier aircraft built by Air Navigation and Engineering Company Limited at Addlestone, Surrey. Following a requirement for a passenger and mail carrier for the Australian company Larkin Aircraft Supply Company Limited an order was placed for a monoplane airliner designed by George H. Handasyde known as the Handasyde H.2. Handasyde, having no factory of their own, contracted Air Navigation and Engineering to build the aircraft on their behalf. Larkin had decided that the H.2 monoplane could not operate in the heat of Australia, and transferred the contract to supply a new airliner to A.N.E.C. Three ANEC III aircraft were built.  The new design was an unequal-span biplane with a Rolls Royce Eagle IX engine. The pilot sat in the open above the mail compartment, with space for six passengers or cargo inside the fuselage. The first aircraft flew at Brooklands on 23 March 1926 with the Australian registration G-AUEZ. All three aircraft were crated and shipped to Australia and were operated by Larkin's operating subsidiary Australian Aerial Services. The aircraft were named Diamond Bird, Satin Bird and Love Bird. The three aircraft gave sterling service for a number of years and made a number of important flights in the Australian outback. First registered on 21 May 1927, Satin Bird was used by the wealthy sheepowner William Oliver and his party to tour central Australia that same year, stopping at Oodnadatta, Alice Springs, Farina, Maree, Charlotte Waters, and Simpsons Gap.  Satin Bird crashed at Hay on 27 December 1927 and remained inactive until 1929, when it was officially struck from the aircraft registry. In 1928 the two remaining aircraft were withdrawn from service. Both aircraft were rebuilt as 11-seaters (two pilots plus nine passengers, or the equivalent weight of fuel and cargo) with a lengthened fuselage and a more powerful 485 hp (362 kW) Armstrong Siddeley Jaguar 14-cylinder engine.[1] The re-engined aircraft had an operating range of about 700 kilometres at 140 km/hour.[2] The converted aircraft were known as the Lasco Lascowl. Both aircraft, still retaining their original names Diamond Bird and Love Bird, were chartered by an aerial survey expedition led by Australian explorer Donald Mackay. The expedition set off on 23 May 1930 to carry out a 67,000-square-mile (170,000 km2) survey of central Australia. Both aircraft returned to Melbourne in July 1930 without a mishap, each having flown more than 300 hours. The two aircraft were then used on a service between Melbourne and Sydney. Love Bird crashed on 14 July 1931 at Temora and was destroyed in the fire which resulted. The last aircraft Diamond Bird was retired in June 1932 and later scrapped. Data from Les Ailes, April 1926.[3] Performance calculated.General characteristics Performance</t>
  </si>
  <si>
    <t>biplane airliner</t>
  </si>
  <si>
    <t>732.8 sq ft (68.08 m2)</t>
  </si>
  <si>
    <t>105 mph (169 km/h, 91 kn)</t>
  </si>
  <si>
    <t>{'ANEC III': ' three built', 'Lasco Lascowl': ' lengthened and re-engined version, two conversions'}</t>
  </si>
  <si>
    <t>3,466 lb (1,572 kg)</t>
  </si>
  <si>
    <t>5,591 lb (2,536 kg)</t>
  </si>
  <si>
    <t>90 mph (145 km/h, 78 kn) at 915 m (3,002 ft)</t>
  </si>
  <si>
    <t>49 mph (79 km/h, 43 kn) minimum speed</t>
  </si>
  <si>
    <t>John Bewsher</t>
  </si>
  <si>
    <t>45 ft 0 in (13.72 m)</t>
  </si>
  <si>
    <t>12 ft 10 in (3.90 m)</t>
  </si>
  <si>
    <t>1 × Rolls-Royce Eagle IX water-cooled V12, 380 hp (280 kW)</t>
  </si>
  <si>
    <t>5.25 min to 915 m (3,002 ft)</t>
  </si>
  <si>
    <t>//upload.wikimedia.org/wikipedia/commons/thumb/9/9d/ANEC_III_Les_Ailes_April_29%2C_1926.jpg/300px-ANEC_III_Les_Ailes_April_29%2C_1926.jpg</t>
  </si>
  <si>
    <t>60 ft 0 in (18.30 m)</t>
  </si>
  <si>
    <t>52 ft 0 in (15.86 m)</t>
  </si>
  <si>
    <t>450 mi (724 km, 391 nmi)</t>
  </si>
  <si>
    <t>14,508 ft (4,422 m)</t>
  </si>
  <si>
    <t>90 imp gal; 110 US gal (410 l)</t>
  </si>
  <si>
    <t>Australian Aerial Services</t>
  </si>
  <si>
    <t>The APEV Pouchel II (English: Ladder Flea Two) is a French amateur-built aircraft, designed by Daniel Dalby and produced by APEV of Peynier. The aircraft was supplied as plans or as a kit for amateur construction, but is no longer available. It has been replaced in production by the APEV Pouchel Light[1][2] The Pouchel II replaced the original APEV Pouchel in production. The original Pouchel was constructed using three commercially available aluminium ladders, hence APEV is the Association pour la Promotion des Echelles Volantes, or in English, Association for the Promotion of Flying Ladders. Later the ladder manufacturer grew concerned about liability and refused to supply any more ladders. The Pouchel was then re-designed to use aeronautical rectangular aluminium tubing in place of the original ladders and the new aircraft was designated the Pouchel II. The Pouchel series are all derivatives of the classic 1930s Henri Mignet-designed Mignet Pou-du-Ciel (Flying Flea).[1][2] The Pouchel II features a cantilever rear wing with a strut-braced parasol front wing, a single-seat open cockpit without a windshield, fixed conventional landing gear and a single engine in tractor configuration. The aircraft is made from bolted-together aluminium tubing, with its flying surfaces covered in Dacron sailcloth. Its 6 m (19.7 ft) span front wing and 4 m (13.1 ft) span rear have a combined area of 12 m2 (130 sq ft) and both employ NACA 23112 airfoils. The prototype used a 40 hp (30 kW) Rotax 447 two-stroke powerplant, but the  35 hp (26 kW) Rotax 377 is also recommended. The 28 hp (21 kW) Hirth F-33 has also been fitted.[1][2] Data from Bertrand and APEV[1][2]General characteristics Performance</t>
  </si>
  <si>
    <t>APEV Pouchel ClassicAPEV Pouchel Light</t>
  </si>
  <si>
    <t>1 × Hirth F-33 single cylinder, air-cooled, two stroke aircraft engine, 21 kW (28 hp)</t>
  </si>
  <si>
    <t>//upload.wikimedia.org/wikipedia/commons/thumb/6/64/Pouchel_sol.JPG/300px-Pouchel_sol.JPG</t>
  </si>
  <si>
    <t>12 litres (2.6 imp gal; 3.2 US gal)</t>
  </si>
  <si>
    <t>APEV Pouchel</t>
  </si>
  <si>
    <t>2.5 m/s (490 ft/min)</t>
  </si>
  <si>
    <t>https://en.wikipedia.org/APEV Pouchel</t>
  </si>
  <si>
    <t>https://en.wikipedia.org/APEV Pouchel ClassicAPEV Pouchel Light</t>
  </si>
  <si>
    <t>Bréguet 25</t>
  </si>
  <si>
    <t>The Bréguet 25 or XXV was a French two seat fighter (military category C.2) from 1925. It was heavily armed, carrying seven machine guns. The Bréguet 25 was a single bay sesquiplane with a lower wing area only 28% that of the upper. The dominant upper wing was straight-edged and swept, its chord increasing outboard because the long, wide ailerons broadened towards angled tips. The sweep was 5.25° and dihedral about 1°. The lower wing had the same sweep but no dihedral. Its wings were braced together by a single, strongly outward-leaning, faired interplane strut on each side. A short cabane held the upper wing closely above the fuselage. The wing spars and ribs were metal but the wings were fabric covered.[1] The engine mountings of the Breguet 25 could accommodate a Lorraine 12E Courlis W12, a Renault V12, a Hispano-Suiza 12G W12 or a Hispano-Suiza 12H V12, all with power in the range 340–360 kW (450–480 hp). A photo and drawing of the aircraft in June 1925 show it with a V12, rather than a W12 engine and with its retractable radiator mounted below the engine. Behind the engine the fuselage had a structure of steel tubes held together by moulded connections.[2] The engine mounting and forward fuselage, including the cockpit area, were covered in light metal. The pilot's open cockpit was under the trailing edge of the upper wing, which had a large cutout to allow him to see upwards; his forward view was between the wing and the fuselage. He controlled four fixed machine guns, a pair of Vickers guns firing through the propeller and a pair of Darnes on the wings. The gunner's post had three machine guns, with a pair of Lewis guns on a flexible mount and a third firing downwards and rearwards.[1] The rear part of the fuselage had an ovoid cross section, formed around the steel tube structure with stringers and fabric covered. The Type 25 used the same tail unit as the Breguet 19, with a triangular fin and straight-edged rudder. A triangular tailplane was mounted on top of the fuselage and carried balanced elevators.[1] The landing gear was conventional and fixed. On each side a tapered metal leg,  narrow near the ground and broadening upwards, angled slightly outwards. It was attached to the engine mounting and carried each end of a single axle. The shock absorbers were contained within the wheels. At the tail the free end of a short strut, hinged to the fuselage, was fixed to a vertical shock absorber within the rudder post, with the tailskid rubber mounted from it.[1] There are no reports of the first flight of the Breguet 25 in the French press, nor of further developments.  Data from Les Ailes, June 1925[1]General characteristics Performance Armament</t>
  </si>
  <si>
    <t>Two seat fighter aircraft</t>
  </si>
  <si>
    <t>https://en.wikipedia.org/Two seat fighter aircraft</t>
  </si>
  <si>
    <t>Bréguet</t>
  </si>
  <si>
    <t>https://en.wikipedia.org/Bréguet</t>
  </si>
  <si>
    <t>43.86 m2 (472.1 sq ft) (upper wing area 34.35 m2 (369.7 sq ft))</t>
  </si>
  <si>
    <t>235 km/h (146 mph, 127 kn) at 2,000 m (6,600 ft)</t>
  </si>
  <si>
    <t>1,093 kg (2,410 lb)</t>
  </si>
  <si>
    <t>1,843 kg (4,063 lb)</t>
  </si>
  <si>
    <t>1925 if flown</t>
  </si>
  <si>
    <t>9.34 m (30 ft 8 in)</t>
  </si>
  <si>
    <t>3.34 m (10 ft 11 in)</t>
  </si>
  <si>
    <t>1 × Lorraine 12E Courlis , 340 kW (450 hp)</t>
  </si>
  <si>
    <t>20 min 30 sec to 5,000 m (16,000 ft)[2]</t>
  </si>
  <si>
    <t>//upload.wikimedia.org/wikipedia/commons/thumb/6/68/Breguet_XXV_side_view_L%27A%C3%A9ronautique_January%2C1926.png/300px-Breguet_XXV_side_view_L%27A%C3%A9ronautique_January%2C1926.png</t>
  </si>
  <si>
    <t>14.83 m (48 ft 8 in)</t>
  </si>
  <si>
    <t>7.67 m (25 ft 2 in)</t>
  </si>
  <si>
    <t>7,500 m (24,600 ft)</t>
  </si>
  <si>
    <t>365 l (80 imp gal; 96 US gal)</t>
  </si>
  <si>
    <t>80 km/h (50 mph; 43 kn)</t>
  </si>
  <si>
    <t>Dewoitine D.14</t>
  </si>
  <si>
    <t>The Dewoitine 14 was a mid-1920s French civil transport, capable of carrying mixture of passengers and freight. The sole example was used in commercial trials. Dewoitine aircraft, gliders and ultralights apart, had generally been metal-framed but the all-wood  D.14  was an exception. Designed as a civil transport, it could carry up to six passengers or a mixture of passengers and freight.[1] It was a high wing monoplane with a two part, straight-edged, unswept wing of constant chord out to angled tips. Each half-wing was built around two spars and was fabric covered. On each side a pair of faired struts braced the spars to the lower fuselage longerons. Its overhung  ailerons were aerodynamically balanced.[1] The D.14 was powered by a 340 kW (450 hp) Lorraine 12E Courlis W12 engine, water-cooled with a pair of Lamblin radiators. Part of the fuel was in wing tanks and part in the fuselage.  The engine was enclosed under a closely fitted cowling which followed the three banks of cylinders. Behind the engine the fuselage had a rectangular cross-section defined by four longerons. The pilot's open cockpit, offset to port, was in the wing leading edge. The central, windowed part of the fuselage contained passengers and freight and was divided into three compartments. The forward one, under the wing, could either be given over to freight or contain two passenger seats. A central compartment provided four seats and the rearmost contained a toilet and had separate entry doors to the cabin and a baggage hold.[1][2]   The empennage was conventional with a swept, straight-edged tailplane mounted on top of the fuselage and a triangular fin. Both rudder and elevator were balanced, the latter with overhung tips like those of the ailerons.[1] The D.14 had conventional, fixed landing gear. A pair of V-struts, splayed slightly outwards, were attached to the lower fuselage longerons and supported a rigid axle, with the mainwheels 2.50 m (8 ft 2 in) apart. The forward components of the V-struts were telescopic, with shock absorbers and coil springs inside their streamlined fairings.[1] The D.14 first appeared in public, still unflown, at the Paris Aero Salon held in December 1924.[2] In January it was at Villacoublay, with trials scheduled to begin in the week starting 20 January.[3] It had flown by 4 February 1925.[4] In December 1925 the D.14 was about to start commercial trials  with CIDNA, fitted with a 340 kW (450 hp) Farman 12We W-12 engine.[5] The following May it was tested at Toussus-le-Noble, its performance reported as "much improved" because the geared-down Farman engine had allowed a larger diameter propeller to be fitted.[6] In August 1926 it was at Villacoublay, still with this engine, now reported as delivering 370 kW (500 hp).[7] Data from Flight, December 1924[2]General characteristics Performance</t>
  </si>
  <si>
    <t>Six passenger airliner or commercial transport</t>
  </si>
  <si>
    <t>https://en.wikipedia.org/Six passenger airliner or commercial transport</t>
  </si>
  <si>
    <t>Dewoitine</t>
  </si>
  <si>
    <t>https://en.wikipedia.org/Dewoitine</t>
  </si>
  <si>
    <t>18.80 m (61 ft 8 in)</t>
  </si>
  <si>
    <t>45.5 m2 (490 sq ft)</t>
  </si>
  <si>
    <t>180 km/h (110 mph, 97 kn) at 2,000 m (6,600 ft)</t>
  </si>
  <si>
    <t>1,850 kg (4,079 lb)</t>
  </si>
  <si>
    <t>late January - early February 1925</t>
  </si>
  <si>
    <t>12.20 m (40 ft 0 in)</t>
  </si>
  <si>
    <t>3.35 m (11 ft 0 in)</t>
  </si>
  <si>
    <t>1 × Lorraine 12E Courlis water-cooled W12 engine, 340 kW (450 hp)</t>
  </si>
  <si>
    <t>2-bladed wooden[1]</t>
  </si>
  <si>
    <t>//upload.wikimedia.org/wikipedia/commons/thumb/1/1c/Dewoitine_D.14_L%27A%C3%A9ronautique_January%2C1926.jpg/300px-Dewoitine_D.14_L%27A%C3%A9ronautique_January%2C1926.jpg</t>
  </si>
  <si>
    <t>2,800 kg (6,173 lb)</t>
  </si>
  <si>
    <t>350 kg (770 lb) including oil</t>
  </si>
  <si>
    <t>4 hr</t>
  </si>
  <si>
    <t>78 km/h (48 mph)</t>
  </si>
  <si>
    <t>CIDNA</t>
  </si>
  <si>
    <t>https://en.wikipedia.org/CIDNA</t>
  </si>
  <si>
    <t>Sikorsky S-15</t>
  </si>
  <si>
    <t>The Sikorsky S-15 was a single engine light bomber floatplane built in 1913 at the  Russian Baltic Railroad Car Works while Igor Sikorsky was the chief engineer of the aircraft manufacturing division. Similar in design to the Sikorsky S-10, only one example of this biplane was produced.[1][2]</t>
  </si>
  <si>
    <t>Light bomber</t>
  </si>
  <si>
    <t>Sikorsky S-17</t>
  </si>
  <si>
    <t>The Sikorsky S-17 was a Russian single engine aircraft built at the Russian Baltic Railroad Car Works in Petrograd while Igor Sikorsky was the chief engineer of the aircraft manufacturing division.  The S-17 was a two seat reconnaissance biplane based on the S-10 and powered by a Sunbeam Crusader V-8 water-cooled engine rated at 150 hp (112 kW).[1][2] Data from Russian Aviation Museum[1] General characteristics Performance</t>
  </si>
  <si>
    <t>Reconnaissance</t>
  </si>
  <si>
    <t>https://en.wikipedia.org/Reconnaissance</t>
  </si>
  <si>
    <t>468 sq ft (43.5 m2)</t>
  </si>
  <si>
    <t>1,863 lb (845 kg)</t>
  </si>
  <si>
    <t>2,624 lb (1,190 kg)</t>
  </si>
  <si>
    <t>1 × Sunbeam Crusader V-8, side-valve, water-cooled, piston engine, 150 hp (110 kW)</t>
  </si>
  <si>
    <t>//upload.wikimedia.org/wikipedia/commons/thumb/8/8e/Sikorsky_S-17_aircraft_circa_1916.jpg/300px-Sikorsky_S-17_aircraft_circa_1916.jpg</t>
  </si>
  <si>
    <t>45 ft 3 in (13.8 m)</t>
  </si>
  <si>
    <t>41 ft 0 in (12.5 m)</t>
  </si>
  <si>
    <t>5.6 lb/sq ft (27.4 kg/m2) max load</t>
  </si>
  <si>
    <t>Turkish regional jet project</t>
  </si>
  <si>
    <t>The Turkish Regional Jet (TRJ) was a project to produce Turkey's first regional airplane. The project would use a modified version of the Dornier 328, the TRJ-328 and TRJ-628.[1][2] The project was cancelled in 2017 because it was “economically unfeasible”.[3] The TRJ-328 was to be used as a test bed for the TRJ-628. Capacity was to be limited to 32 seats. The  aircraft would fill direct and frequent flights to and from small cities in Turkey which were not then possible with larger aircraft.[1] The TRJ-628 was to feature 60 to 70 seats and would be an overall larger airplane.[1]  This aircraft-related article is a stub. You can help Wikipedia by expanding it.</t>
  </si>
  <si>
    <t>Regional jet</t>
  </si>
  <si>
    <t>https://en.wikipedia.org/Regional jet</t>
  </si>
  <si>
    <t>Sierra Nevada Corporation</t>
  </si>
  <si>
    <t>https://en.wikipedia.org/Sierra Nevada Corporation</t>
  </si>
  <si>
    <t>Cancelled in 2017</t>
  </si>
  <si>
    <t>//upload.wikimedia.org/wikipedia/commons/thumb/3/3b/TRJ-628.jpg/300px-TRJ-628.jpg</t>
  </si>
  <si>
    <t>VRT 300</t>
  </si>
  <si>
    <t>The VRT 300 (Russian: ВРТ 300) — is an unmanned helicopter, that was introduced on MAKS airshow in 2017.[1] It was constructed for arctic ice patrols in support of safe maritime navigation. Another version of the VRT300, Opticvision, boasts an increased range of flight for monitoring and remote probing.[citation needed]  This aircraft-related article is a stub. You can help Wikipedia by expanding it.This article on an unmanned aerial vehicle is a stub. You can help Wikipedia by expanding it.</t>
  </si>
  <si>
    <t>Unmanned Aerial Vehicle (UAV)</t>
  </si>
  <si>
    <t>https://en.wikipedia.org/Unmanned Aerial Vehicle (UAV)</t>
  </si>
  <si>
    <t>Russian Helicopters</t>
  </si>
  <si>
    <t>https://en.wikipedia.org/Russian Helicopters</t>
  </si>
  <si>
    <t>//upload.wikimedia.org/wikipedia/commons/thumb/f/f5/VRT_300_on_MAKS_2017.jpg/300px-VRT_300_on_MAKS_2017.jpg</t>
  </si>
  <si>
    <t>Celier Xenon 4</t>
  </si>
  <si>
    <t>The Celier Xenon 4 (also referred to by the manufacturer as the Xenon IV) is a Maltese autogyro designed by Raphael Celier and produced by Celier Aviation of Safi, Malta. The aircraft is supplied complete and ready-to-fly.[1] The Xenon 4 is a development of the Celier Xenon 2 and Celier Xenon 3, with a newly designed fuselage and longer tailboom. It features a single main rotor, a two-seats-in side-by-side configuration enclosed cockpit, with some models offering a third seat. It has tricycle landing gear and a modified four cylinder, liquid and air-cooled, four stroke 135 hp (101 kW) turbocharged Rotax 912 engine in pusher configuration.[1][2] The fuselage is a monocoque made from carbon fiber reinforced polymer and features a cabin internal width of 130 cm (51 in). The two-bladed rotor has a diameter of 8.8 m (28.9 ft) and a chord of 20 cm (7.9 in). The aircraft has a typical empty weight of 295 kg (650 lb) and a maximum gross weight of 560 kg (1,235 lb), giving a useful load of 265 kg (584 lb). With full fuel of 85 litres (19 imp gal; 22 US gal) the payload for the pilot, passengers and baggage is 205 kg (452 lb).[1] Data from Tacke[1]General characteristics Performance</t>
  </si>
  <si>
    <t>Autogyro</t>
  </si>
  <si>
    <t>https://en.wikipedia.org/Autogyro</t>
  </si>
  <si>
    <t>Malta</t>
  </si>
  <si>
    <t>https://en.wikipedia.org/Malta</t>
  </si>
  <si>
    <t>Celier Aviation</t>
  </si>
  <si>
    <t>https://en.wikipedia.org/Celier Aviation</t>
  </si>
  <si>
    <t>In production (2017)</t>
  </si>
  <si>
    <t>195 km/h (121 mph, 105 kn)</t>
  </si>
  <si>
    <t>295 kg (650 lb)</t>
  </si>
  <si>
    <t>560 kg (1,235 lb)</t>
  </si>
  <si>
    <t>Raphael Celier</t>
  </si>
  <si>
    <t>1 × Rotax 912ULS-T modified four cylinder, liquid and air-cooled, four stroke aircraft engine, 101 kW (135 hp)</t>
  </si>
  <si>
    <t>//upload.wikimedia.org/wikipedia/commons/thumb/b/bd/Celier_Aviation_Xenon_4_D-MFGP_%2826323656344%29.jpg/300px-Celier_Aviation_Xenon_4_D-MFGP_%2826323656344%29.jpg</t>
  </si>
  <si>
    <t>two passengers</t>
  </si>
  <si>
    <t>85 litres (19 imp gal; 22 US gal)</t>
  </si>
  <si>
    <t>Celier Xenon 2</t>
  </si>
  <si>
    <t>https://en.wikipedia.org/Celier Xenon 2</t>
  </si>
  <si>
    <t>8.8 m (28 ft 10 in)</t>
  </si>
  <si>
    <t>61 m2 (660 sq ft)</t>
  </si>
  <si>
    <t>9.1 kg/m2 (1.9 lb/sq ft)</t>
  </si>
  <si>
    <t>Titanium Explorer</t>
  </si>
  <si>
    <t>The Titanium Explorer is an Australian autogyro designed by Neil Sheather and Andrew Pepper and produced by Titanium Auto Gyro (TAG Aviation Pty Limited) of Attunga, New South Wales. The aircraft is supplied complete and ready-to-fly, although development of a kit for amateur construction was underway in 2015.[1] Development of the design was started in 2009 as a result of noted deficiencies in imported autogyro designs for Australian conditions.[2] The Explorer features a single main rotor, a two-seats-in tandem open cockpit, each with a windshield, tricycle landing gear with wheel pants, plus a tail caster and a four-cylinder, liquid and air-cooled, four stroke 100 hp (75 kW) Rotax 912 or 115 hp (86 kW) turbocharged Rotax 914 engine in pusher configuration.[1] The aircraft fuselage box-section frame is made from titanium, while the cockpit fairing is made from carbon fiber reinforced polymer and fibreglass composites. Its two-bladed rotor has a diameter of 8.38 m (27.5 ft) and a chord of 22 cm (8.7 in). The design is noted for its rugged suspension, designed for Australian outback conditions.[1] The aircraft has a typical empty weight of 240 kg (529 lb) and a gross weight of 575 kg (1,268 lb), giving a useful load of 335 kg (739 lb). With full fuel of 85 litres (19 imp gal; 22 US gal) the payload for the pilot, passenger and baggage is 274 kg (604 lb).[1] Data from Tacke[1]General characteristics Performance</t>
  </si>
  <si>
    <t>Australia</t>
  </si>
  <si>
    <t>https://en.wikipedia.org/Australia</t>
  </si>
  <si>
    <t>Titanium Auto Gyro</t>
  </si>
  <si>
    <t>https://en.wikipedia.org/Titanium Auto Gyro</t>
  </si>
  <si>
    <t>185 km/h (115 mph, 100 kn)</t>
  </si>
  <si>
    <t>240 kg (529 lb)</t>
  </si>
  <si>
    <t>575 kg (1,268 lb)</t>
  </si>
  <si>
    <t>Neil Sheather and Andrew Pepper</t>
  </si>
  <si>
    <t>1 × Rotax 914 four cylinder, liquid and air-cooled, four stroke turbocharged aircraft engine, 86 kW (115 hp)</t>
  </si>
  <si>
    <t>3-bladed compsite</t>
  </si>
  <si>
    <t>8 m/s (1,600 ft/min)</t>
  </si>
  <si>
    <t>8.38 m (27 ft 6 in)</t>
  </si>
  <si>
    <t>55 m2 (590 sq ft)</t>
  </si>
  <si>
    <t>10.5 kg/m2 (2.2 lb/sq ft)</t>
  </si>
  <si>
    <t>Peyret-Le Prieur seaplane</t>
  </si>
  <si>
    <t>The Peyret-le Prieur seaplane was a low power, two seat biplane floatplane trainer flown in France in 1924. It did not reach production. Yves Le Prieur had identified a need for a simple, economical training aircraft on which pupils could master the behaviour of seaplanes and approached the designer and constructer Louis Peyret for a suitable aircraft. The outcome was the Peyret-Le Prieur seaplane.[1][2] It was a single bay biplane, with rectangular plan wings mounted without stagger and braced by two pairs of parallel, vertical interplane struts and bracing wires, with a large interplane gap of 1.90 m (6 ft 3 in). The wings were wooden, two-spar, two-part structures, with spruce leading edges. Broad, full-span ailerons on upper and lower wings were externally connected.[1] The seaplane had a rectangular section fuselage, built around four longerons and plywood covered. It was widest under the wing leading edge, where on each side a vertical cabane strut joined the upper longeron to the forward spar, and where pupil and tutor sat side-by-side in an open cockpit. The short nose ahead of them remained wide and the engine, unusually, was mounted off-set to port. Initially a 12 kW (16 hp) four-cylinder inline Sergant A was used, its radiator mounted midway up the portside cabane strut. At the rear the large area empennage was conventional, with a large span, rectangular plan all-moving tail mounted on top of the fuselage. Its triangular fin carried a roughly rhomboidal rudder which reached down to the keel through an elevator cut-out.[1] The seaplane had simple, rectangular cross-section floats. The flat undersides curved up towards the nose, reaching just beyond the propeller and the aft ends were under the ailerons. There was no step. Each float was attached with four aluminium tube struts, two leaning inwards to the lower fuselage longeron and two outwards to the wing spars. They were constructed of wood, with ash frames and mahogany plywood covering.  The tail was protected with a cylindrical float of the same construction, attached longitudinally under the fin.[1] Fitted with the Sergant engine, the seaplane began tests on Lake Annecy in the summer of 1924 but it was unable to reach water speeds fast enough to unstick. In response a 34 kW (45 hp) Anzani 6 radial engine was substituted,[2] again mounted off-set.[3] With this, the seaplane left the water easily on its first flight on 24 August 1924.[4] Further tests showed that about 19 kW (25 hp) was required for take-off, though once in the air, 11–15 kW (15–20 hp) was enough.[2] By mid-September nineteen flights had been made, some lasting about 30 minutes, and a passenger had been carried.  The seaplane then returned to Paris, where it was fitted with a wheeled undercarriage for further tests,[3] though by January 1925 it was flying from water again, at Pecq.[5] By September 1924 the aircraft was judged a success and a second was under construction. Le Prieur had plans for a floatplane flying school at Annecy.[3] It is not known if the second machine was completed or the school set up. Data from Les Ailes, August 1924[1]General characteristics Performance</t>
  </si>
  <si>
    <t>floatplane trainer</t>
  </si>
  <si>
    <t>https://en.wikipedia.org/floatplane trainer</t>
  </si>
  <si>
    <t>Louis Peyret</t>
  </si>
  <si>
    <t>https://en.wikipedia.org/Louis Peyret</t>
  </si>
  <si>
    <t>One tutor, one student</t>
  </si>
  <si>
    <t>10.50 m (34 ft 5 in)</t>
  </si>
  <si>
    <t>37.70 m2 (405.8 sq ft)</t>
  </si>
  <si>
    <t>255 kg (562 lb)</t>
  </si>
  <si>
    <t>340 kg (750 lb)</t>
  </si>
  <si>
    <t>55–60 km/h (34–37 mph, 30–32 kn)</t>
  </si>
  <si>
    <t>6.96 m (22 ft 10 in)</t>
  </si>
  <si>
    <t>Göttingen 358</t>
  </si>
  <si>
    <t>1 × Sergant A 4-cylinder inline engine, geared down 1</t>
  </si>
  <si>
    <t>2-bladed, 1.95 m (6 ft 5 in) diameter</t>
  </si>
  <si>
    <t>1,500–2,000 m (4,900–6,600 ft) absolute</t>
  </si>
  <si>
    <t>15 l (3.3 imp gal; 4.0 US gal)</t>
  </si>
  <si>
    <t>3 hr</t>
  </si>
  <si>
    <t>Spencer-Stirling biplane</t>
  </si>
  <si>
    <t>The Spencer-Stirling biplane was a 1910s British pusher configuration biplane designed and built by Herbert Spencer. It was sometimes referred to as a Spencer-Farman in reference to the design similarity to Henry Farman's designs.[a] Mainly based at Brooklands Aerodrome it was also flown around the country by Spencer on demonstration and training flights.[1][2] Initially powered by an RH 4-cylinder in-line engine rated at 40–70 hp (30–52 kW), the Spencer-Stirling biplane was re-engined in July 1911 with a 50 hp (37 kW) Gnome Gamma rotary engine.[3][2] On 29 August 1911 Spencer obtained his Aviator's Certificate at Brooklands flying the biplane he built.[4][2] After initial straight hops, the Spencer-Stirling was successfully tested by Henri Pecquet in June 1911 shortly before the Gnome engine was fitted. After passing his aviators certificate, Spencer used the Spencer-Stirling for competition and demonstration flights until the aircraft was crashed on 25 February 1912.[2]</t>
  </si>
  <si>
    <t>Pusher Biplane</t>
  </si>
  <si>
    <t>Herbert Spencer</t>
  </si>
  <si>
    <t>Royal Naval Air Service</t>
  </si>
  <si>
    <t>https://en.wikipedia.org/Royal Naval Air Service</t>
  </si>
  <si>
    <t>Aerial Engineering Corporation Standard 6W-3</t>
  </si>
  <si>
    <t>The Aerial Engineering Corporation Standard 6W-3 was a commercial transport modification of the US Standard J-1 biplane military trainer aircraft, with new wings, engine and accommodation for four passengers. First flown in 1925, it was built in small numbers. The Standard J-1 military trainer had been built in large numbers at the end of World War I. With many surplus after the war, it was a natural choice for adaptation by several manufacturers. Ariel Service, with the experienced designer Harvey Mummert who was an early collaborator with Glenn Curtiss, produced the Mercury Standard 6W-3 by combining a completely new wing with a Standard J fuselage and empennage, modified to accommodate four passengers rather than a student and with a new and more powerful engine.[2] The Standard 6W-3 was a single bay biplane with constant chord, straight-edged wings swept at 5° and with a more modern, thicker airfoil than most of those used during WWI. Its upper wing was flat but the lower one had 1.5° of dihedral. There were balanced ailerons on the upper wing. Both wings were wooden structures based on twin spruce box spars with the lower wing attached to the lower fuselage longerons and the upper wing braced to it. without stagger, by a pair of vertical interplane struts on each side between the spars.  The narrow centre section, where the chord was reduced to improve the pilot's upward field of view, was supported over the fuselage with pairs of N-form cabane struts.[2] Its modified Standard fuselage, with new longerons and covering, now housed a 120 kW (160 hp)  six-cylinder, water-cooled inline Curtiss C-6 engine with a honeycomb radiator in front of it and a fuel tank in the upper wing. Immediately behind it a new, large, under-wing cockpit with seats for four passengers, two in aft-facing side-by-side seats  and two more opposite them.  The seats were easily replaceable, allowing the 6W-3 to act as a mailplane. The pilot was in a separate cockpit behind the passengers with a large fairing behind his head.[2] The empennage was conventional, with a low aspect ratio tailplane and generous elevators mounted on top of the fuselage.  The fin was triangular, with a rounded rudder.  The 6W-3 had conventional, fixed, tailskid landing gear with wheels on a single axle held by twin V-struts to the lower fuselage longerons. Rubber cord shock absorbers were fitted.[2] The first flight was in 1925. Fewer than ten were built.[1] Data from Les Ailes, February 1926[2]General characteristics Performance</t>
  </si>
  <si>
    <t>Commercial transport aircraft</t>
  </si>
  <si>
    <t>https://en.wikipedia.org/Commercial transport aircraft</t>
  </si>
  <si>
    <t>Aerial Engineering Corporation[1]</t>
  </si>
  <si>
    <t>10.57 m (34 ft 8 in)</t>
  </si>
  <si>
    <t>33.85 m2 (364.4 sq ft)</t>
  </si>
  <si>
    <t>169 km/h (105 mph, 91 kn)</t>
  </si>
  <si>
    <t>713 kg (1,572 lb)</t>
  </si>
  <si>
    <t>1,198 kg (2,641 lb)</t>
  </si>
  <si>
    <t>145 km/h (90 mph, 78 kn)</t>
  </si>
  <si>
    <t>73 km/h (45 mph, 39 kn) minimum speed</t>
  </si>
  <si>
    <t>Harvey C. Mummert</t>
  </si>
  <si>
    <t>&lt;10</t>
  </si>
  <si>
    <t>8.20 m (26 ft 11 in)</t>
  </si>
  <si>
    <t>3.33 m (10 ft 11 in)</t>
  </si>
  <si>
    <t>Clark Y</t>
  </si>
  <si>
    <t>1 × Curtiss C-6 water-cooled 6-cylinder inline, 120 kW (160 hp)</t>
  </si>
  <si>
    <t>2-bladed, 2.60 m (8 ft 6 in) diameter</t>
  </si>
  <si>
    <t>//upload.wikimedia.org/wikipedia/commons/thumb/3/33/Mercury_Standard_6W-3_Les_Ailes_February_18%2C1926.jpg/300px-Mercury_Standard_6W-3_Les_Ailes_February_18%2C1926.jpg</t>
  </si>
  <si>
    <t>four passengers</t>
  </si>
  <si>
    <t>580 km (360 mi, 310 nmi)</t>
  </si>
  <si>
    <t>200 l (44 imp gal; 53 US gal)</t>
  </si>
  <si>
    <t>https://en.wikipedia.org/Harvey C. Mummert</t>
  </si>
  <si>
    <t>Aerial Service Mercury Senior</t>
  </si>
  <si>
    <t>The Aerial Service Mercury Senior, Aerial Mercury Senior or just Mercury Senior was a US biplane mailplane designed to operate at night between New York City and Chicago. A different, smaller, lower wing improved its performance for daytime flights. One was built and used by the America Post Office Department. The Mercury Senior was a single bay biplane without stagger and with dihedral only on the lower wing. Both wings were rectangular in plan out to blunted tips and had constant, thick sections; they were built around twin spruce and plywood spars and fabric covered.  The upper wing was held over the fuselage by a pair of N-form cabane struts. The interplane struts were in parallel pairs, assisted by the usual wire cross-bracing.  There were externally interconnected ailerons on both upper and lower wings.[1] The novel feature of the Senior was the choice of lower wing: two were available, one with a shorter span than the upper wing and one with a longer span. The latter increased the total wing area by about 27% and decreased the wing loading by 19%. Lower wing loadings decrease aircraft speeds, so the longer span set provided lower night landing speeds at the price of reduced cruising speed.[1] The fuselage of the Senior was a welded steel tube frame, its forward part covered with light metal and the rear with plywood. Externally it was flat-sided with rounded upper decking. A 400 hp (300 kW) Liberty L-12 water-cooled V12 engine in the nose drove a two-bladed, steel Curtiss propeller. Its honeycomb radiator was ahead of the engine, which had long exhaust pipes on both sides of the fuselage to take the emissions past the pilot. His open cockpit was well behind the trailing edge of the wing.[1] Up to 1,000 lb (450 kg)[2] of mail was stored in the space between engine and cockpit.[1] The rear surfaces of the Senior were large, with a rectangular, strut-braced tailplane mounted on top of the fuselage carrying elevators hinged at the end of it. Its wire-braced, tall, broad, rounded fin had a straight-edged unbalanced rudder which, like the elevators, overhung the extreme tail.[1] The Senior's landing gear was fixed and conventional with wheels, well apart, on a single axle held on two V-struts; the forward struts of the Vs contained shock absorbers. An angled, flexible tailskid, with another small shock absorber between its ends, projected beyond the extreme tail.  For night landings a pair of searchlights in streamlined housings were attached below the lower wings, under the feet of the interplane struts.[1] The sole Senior flew for the first time in 1925 and was used by the Post Office until 1928.[2] Data from Les Ailes, July 1925[1]General characteristics Performance</t>
  </si>
  <si>
    <t>Mailplane</t>
  </si>
  <si>
    <t>https://en.wikipedia.org/Mailplane</t>
  </si>
  <si>
    <t>Aerial Service</t>
  </si>
  <si>
    <t>https://en.wikipedia.org/Aerial Service</t>
  </si>
  <si>
    <t>597.4 sq ft (55.50 m2) (467.2 sq ft (43.40 m2) in day configuration)</t>
  </si>
  <si>
    <t>126 mph (202 km/h, 109 kn) (135 mph; 118 kn (218 km/h) in day configuration)</t>
  </si>
  <si>
    <t>3,638 lb (1,650 kg) (3,494 lb (1,585 kg) in day configuration</t>
  </si>
  <si>
    <t>5,512 lb (2,500 kg) (5,360 lb (2,430 kg) in day configuration)</t>
  </si>
  <si>
    <t>110 mph (177 km/h, 96 kn) (115 mph; 100 kn (185 km/h)) in day configuration)</t>
  </si>
  <si>
    <t>28 ft 7 in (8.70 m)</t>
  </si>
  <si>
    <t>11 ft 4 in (3.46 m)</t>
  </si>
  <si>
    <t>1 × Liberty L-12 water-cooled V12, 400 hp (300 kW)</t>
  </si>
  <si>
    <t>2-bladed metal Curtiss</t>
  </si>
  <si>
    <t>43 ft 0 in (13.10 m)</t>
  </si>
  <si>
    <t>48 ft 0 in (14.64 m) (33 ft 4 in (10.17 m) in day configuration)</t>
  </si>
  <si>
    <t>500 mi (800 km, 430 nmi) at cruising speed (560 mi (900 km) in day configuration)</t>
  </si>
  <si>
    <t>16,000 ft (5,000 m) (14,960 ft (4,560 m) in day configuration)</t>
  </si>
  <si>
    <t>9.3 lb/sq ft (45.4 kg/m2) (11.5 lb/sqft (56 kg/m2)) in day configuration)</t>
  </si>
  <si>
    <t>America Post Office Department</t>
  </si>
  <si>
    <t>https://en.wikipedia.org/America Post Office Department</t>
  </si>
  <si>
    <t>52 mph; 45 kn (84 km/h) (57 mph; 50 kn (92 km/h) in day configuration)</t>
  </si>
  <si>
    <t>Aurora D8</t>
  </si>
  <si>
    <t>The Aurora D8, also known as the D8 Airliner, is an airliner concept under development as of mid 2017.[2] The project was initiated in 2008 by Aurora Flight Sciences, the Massachusetts Institute of Technology (MIT) and Pratt &amp; Whitney under NASA's sponsorship of $2.9 million (£2.19 million).[3] Aurora is refining the fuel-efficient D8 designed for NASA by MIT, hoping to fly a half-scale demonstrator in 2022.[4] The 180-seat, 3,000 nmi (5,600 km; 3,500 mi)-range airliner is designed to fly at 582 mph (937 km/h; 506 kn) within the capabilities of the Boeing 737 or Airbus A320 and could be in test service by 2027 at the earliest and 2035 at the latest.[5] Aurora Flight Sciences was purchased by Boeing on November 8, 2017 for their drone developments. The subsidiary is intended to accelerate Boeing's development of autonomous technology.[6] The side-by-side "double bubble" fuselage provides additional lift along the nose section as well as faster turnaround owing to its wider fuselage. As a result, smaller wings can be used to generate lift which reduces drag. The mounting of the engines at the rear end of the D8 instead of below the wings used in conventional aircraft design allows reduction of thrust requirements by minimizing inefficiency from Boundary Layer Ingestion (BLI). This results in the ability to use smaller and lighter high bypass ratio engines.[2] However, the chassis features less radical than competing blended wing body concepts without modifying existing airport infrastructure, and BLI. The original goal was to reduce fuel burn by 70% and noise by 71 dB by flying at Mach 0.74, but a more traditional Mach 0.82 wing and fuselage growth resulted in a more-conservative 49% fuel burn reduction and 40 EPNdB noise reduction against a Boeing 737-800.[7] Clustering the engines together atop the wide tail of a flattened fuselage enables them to reenergize the slow-moving boundary layer over the fuselage to increase efficiency, and allow a clean, low drag, high aspect ratio wing. Starting with slower flow, the reduction in exhaust velocity increases the propulsive efficiency with a similar specific thrust. By ingesting and reenergizing the boundary layer flow, BLI reduces by 40% in the D8 the wasted kinetic energy in the combined high-velocity jet exhaust and slow-speed wake behind the fuselage. Large-scale wind-tunnel testing with NASA showed a power-saving from BLI from 8.4% with the same jet nozzle area to 10.4% with the same mass flow. The BLI benefit is an order of magnitude more than the loss from ingesting distorted boundary-layer flow.[8] A large fan size is needed to exceed a 20:1 bypass ratio. Developed by United Technologies Research Center, a distortion-tolerant fan was scale tested at NASA and coped with flow distortion from ingesting the boundary layer close to the upper fuselage surface. As a compact core limits blade tip clearances issues due to bending but cannot house the fan to low-pressure turbine driveshaft, Pratt &amp; Whitney turned the core backwards, similar to PT6 arrangement, with hot gas discharged forward through a low-pressure power turbine connected to the fan via a short shaft and a gearbox. To avoid the risk of an uncontained engine failure causing the second engine to fail, the cores are angled by 50° since they are no longer mechanically linked to the fan, with low pressure losses since only the core flow is turned. Not connected to the power section, the core can be disassembled for maintenance.[8]</t>
  </si>
  <si>
    <t>Wide-body jet airliner concept</t>
  </si>
  <si>
    <t>https://en.wikipedia.org/Wide-body jet airliner concept</t>
  </si>
  <si>
    <t>Aurora Flight Sciences</t>
  </si>
  <si>
    <t>https://en.wikipedia.org/Aurora Flight Sciences</t>
  </si>
  <si>
    <t>Development and testing</t>
  </si>
  <si>
    <t>Mark Drela[1]</t>
  </si>
  <si>
    <t>//upload.wikimedia.org/wikipedia/commons/thumb/9/96/MIT_and_Aurora_D8_wide_body_passenger_aircraft_concept_2010_%28cropped%29.jpg/300px-MIT_and_Aurora_D8_wide_body_passenger_aircraft_concept_2010_%28cropped%29.jpg</t>
  </si>
  <si>
    <t>https://en.wikipedia.org/Mark Drela[1]</t>
  </si>
  <si>
    <t>Grulich S.1</t>
  </si>
  <si>
    <t>The Grulich S.1 was a German parasol monoplane with a cantilever wing, built in the mid 1920s. It seated two and offered a choice between two engines. The Grulich S.1 was designed by Dr. Ing. Karl Grulich, an engineer associated with Gothaer Waggonfabrik, the company which had produced the Gotha series of bombers in World War I.[1] Before the war he had designed and flown the Harlan monoplane and post-war was also associated with Deutsche Aero-Lloyd,[2] a German airline that by January 1926 had merged with Junkers Luftverkehr into  Deutsche Luft Hansa.[3] Its cantilever wing was straight-tapered, with no sweep on the leading edges, and with long, curved tips. It was built around two spars and was very thick centrally but thinned outwards; there was no dihedral on the upper surface but the thinning produced significant overall dihedral.  Tapered ailerons filled about half the span. The wing was mounted over the fuselage on a cabane of four sloping metal struts to the front spar and another six to the rear.[1] The S.1 was designed to be powered by one of two Siemens-Halske radial engines, a seven-cylinder 60 kW (80 hp) Sh 5 or a nine-cylinder 75 kW (100 hp) Sh 6, mounted in the nose under a cowling which left the cylinders exposed for cooling. Its fuel tank was in the wing.[1] Behind the engine the fuselage had a tapering, rectangular section. There were two open cockpits in tandem, fitted with dual controls. Both were under the wing, though there was a small cut-out in the trailing edge over the rear position. The empennage was conventional, with a slightly rounded fin and deep rectangular rudder. A large area tailplane was mounted on top of the fuselage, with split elevators to allow rudder movement. The S.1 had conventional, fixed landing gear. Metal V-form landing legs from each side of the lower fuselage, strut-reinforced laterally, carried a single axle attached via rubber chord shock absorbers.  The mainwheels were well outboard of the V-struts, giving a track of 1.50 m (4 ft 11 in).[1] The exact date of the S.1's first flight is not known; it was complete by mid-1925 but may have flown earlier.[1] It was registered as D-584 in that year, given the name Hessen and owned initially by Deutsche Aero-Lloyd. Later used by Hessiche Flugbetriebs from Darmstadt, its registration was cancelled in 1932.[4] Data from Les Ailes. June 1926[1]General characteristics Performance</t>
  </si>
  <si>
    <t>Training and sports aircraft</t>
  </si>
  <si>
    <t>https://en.wikipedia.org/Training and sports aircraft</t>
  </si>
  <si>
    <t>12.0 m (39 ft 4 in)</t>
  </si>
  <si>
    <t>19 m2 (200 sq ft)</t>
  </si>
  <si>
    <t>550 kg (1,213 lb)</t>
  </si>
  <si>
    <t>800 kg (1,764 lb)</t>
  </si>
  <si>
    <t>70 km/h (43 mph, 38 kn) minimum speed</t>
  </si>
  <si>
    <t>Karl Grulich</t>
  </si>
  <si>
    <t>7.75 m (25 ft 5 in)</t>
  </si>
  <si>
    <t>2.46 m (8 ft 1 in)</t>
  </si>
  <si>
    <t>1 × Siemens-Halske Sh 5 7-cylinder radial, 60 kW (80 hp)   at 1,500 rpm</t>
  </si>
  <si>
    <t>12 min to 1,000 m (3,300 ft)</t>
  </si>
  <si>
    <t>//upload.wikimedia.org/wikipedia/commons/thumb/8/89/Grulich_S.1_L%27A%C3%A9ronautique_February%2C1927.jpg/300px-Grulich_S.1_L%27A%C3%A9ronautique_February%2C1927.jpg</t>
  </si>
  <si>
    <t>3,000 m (9,800 ft)</t>
  </si>
  <si>
    <t>Deutche Aero-Lloyd</t>
  </si>
  <si>
    <t>https://en.wikipedia.org/Deutche Aero-Lloyd</t>
  </si>
  <si>
    <t>135 m (443 ft)</t>
  </si>
  <si>
    <t>100 m (330 ft)</t>
  </si>
  <si>
    <t>Magni Vittoria</t>
  </si>
  <si>
    <t>The Magni PM.2 Vittoria was an Italian experimental, single seat, parasol wing aircraft built in the mid-1920s.  It had a large area aerofoil on each of its single wing bracing struts which could be rotated together or independently to give lift or drag. One contemporary report described the Magni Vittoria as a sesquiplane, although it is more correctly called a lifting strut. It evolved, by progressive reduction of the lifting strut, into a conventionally braced parasol wing monoplane. The strut was mounted at a single point on the lower fuselage and a second on the upper wing leading edge at about 70% of the span and could be rotated about this axis to act as an auxiliary lift surface at low angles of incidence or as an air brake at high angles. Magni had begun to study this idea as early as 1919, when he displayed a scale model of an aircraft, designed around a 37 kW (50 hp) Gnome rotary engine, which was displayed at the first post-war Paris Salon. He also tested models in the Eiffel wind-tunnel.[1] The Vittoria 1924 was his first full-scale aircraft. Its thin wing was unswept and had constant chord out to quadrantal tips. There was a deep and wide curved cutout over the cockpit to increase the pilot's field of upward view and broad-chord, long ailerons. The entirely wooden wing was in two parts, each with five spars, ten ribs and plywood covering. The forward four spars were curved near the tip, converging on the aft spar. The wings were mounted low over the fuselage on a short, steel frame cabane and braced by the axes of the lower wings.[1][2] Each lower wing, also wooden, had a single box spar as its axis with ribs and a strip around the leading edge and its lower rounded end. This end was pivoted to a triangular, transverse steel frame within the fuselage which also carried the cabane at its upper vertex. The ply-covered wing was straight-tapered to a squared-off upper end, where it pivoted in a short, inward-angled mounting with a broadly faired foot on the upper wing underside. The angle of incidence of each lower wing was adjustable between -3° and 90° with a lever at the pilot's side; the wings could be moved together by moving just the lefthand lever.[1][2] The Vittoria was powered by a 37 kW (50 hp), six cylinder Anzani 6A.20 radial engine. The metal engine frame, engine,   aluminium cowling, aluminium spinner and  two blade propeller could easily be detached from the fuselage behind it, a ply-covered semi-monocoque with wooden hoops, frames and longerons. The large, open cockpit was under the wing cutout, with an effective Triplex windscreen and a prominent, faired headrest which also enclosed a parachute.[1][2] The tail surfaces of the Vittoria were constructed, like the wings, with ply covering. The horizontal surfaces were mounted at mid-fuselage, though the tailplane was vestigial, more like a long fillet which carried large, balanced elevators with curved leading edges. The fin was broad and noticeably upswept, bearing a very broad, rounded rudder. Its undercarriage was fixed and conventional, with a pair of faired-in, wood and ply inverted L-struts on either side carrying a rubber cord sprung steel single axle, fitted with large diameter wheels. The steel-shod tailskid was mounted on a laminated ash spring.[1][2] The Vittoria was flown for the first time on 22 October 1924. A second example, designated model Vittoria 1925-A, was nearing completion in September 1925, differing from the 1924 model "in details only."[1][3] A year later, Magni had systematically investigated a series of six variations based on it, designated in pairs by letters A and B, C and D and E and F. The upper wing was unchanged throughout but the area of the lower wings was reduced between successive pairs; types E and F had only streamlined, rotatable bracing struts. The first member of each pair had larger ailerons than the second. Though some performance figures for the A configuration had been released, little had been said about the original objective of reducing landing speeds.[3] Magni continued to experiment with rotating bracing struts to the start of World War II. The Magni Vale of 1935 had a faired V-strut bracing the wing on each side. The leading members of these were fixed but the rear ones could be rotated as airbrakes as they could on the Vittoria.[4]  Data from Les Ailes, September 1925[2]  Performance figures for Vittoria 1925-A from Les Ailes. September 1926[3]General characteristics</t>
  </si>
  <si>
    <t>Single-seat sports aircraft</t>
  </si>
  <si>
    <t>https://en.wikipedia.org/Single-seat sports aircraft</t>
  </si>
  <si>
    <t>Piero Magni-Aviazione</t>
  </si>
  <si>
    <t>https://en.wikipedia.org/Piero Magni-Aviazione</t>
  </si>
  <si>
    <t>8 m (26 ft 3 in)</t>
  </si>
  <si>
    <t>10 m2 (110 sq ft) (11 m2 (120 sq ft) gross)</t>
  </si>
  <si>
    <t>282 kg (622 lb)</t>
  </si>
  <si>
    <t>Piero Magni</t>
  </si>
  <si>
    <t>2+</t>
  </si>
  <si>
    <t>5.56 m (18 ft 3 in)</t>
  </si>
  <si>
    <t>2.23 m (7 ft 4 in)</t>
  </si>
  <si>
    <t>P.M.14</t>
  </si>
  <si>
    <t>1 × Anzani 6A.20 6-cylinder radial, 37 kW (50 hp)   at 1,525 rpm[3]</t>
  </si>
  <si>
    <t>2-bladed Piero Magni 5, 2 m (6 ft 7 in) diameter on 1925-A</t>
  </si>
  <si>
    <t>14 min 27 s to 2,000 m (6,600 ft)</t>
  </si>
  <si>
    <t>//upload.wikimedia.org/wikipedia/commons/thumb/0/06/Magni_Vittoria.png/300px-Magni_Vittoria.png</t>
  </si>
  <si>
    <t>411 kg (906 lb)</t>
  </si>
  <si>
    <t>https://en.wikipedia.org/Piero Magni</t>
  </si>
  <si>
    <t>Sikorsky S-28</t>
  </si>
  <si>
    <t>The Sikorsky S-28 was a proposed four engine biplane bomber aircraft designed by Igor Sikorsky to be built in France during World War I. Sikorsky moved to France in March 1918 and soon met with officers of the Armée de l'Air who asked him to design an aircraft capable of carrying a new 1,000 kg (2,200 lb) bomb. Although the aircraft was initially designed to be powered by two Liberty L-12 engines, the technical section of the Armée de l'Air suggested using four Hispano-Suiza 8 engines instead.[1][2] By early August 1918 Sikorsky's plans were completed and the project was approved. The French ordered five examples and preparations were made to start construction, but the order was cancelled when World War I ended and no S-28s were completed.[1][2]</t>
  </si>
  <si>
    <t>Proposed Biplane Bomber</t>
  </si>
  <si>
    <t>https://en.wikipedia.org/Proposed Biplane Bomber</t>
  </si>
  <si>
    <t>None built order cancelled</t>
  </si>
  <si>
    <t>Lockheed Martin F-35 Lightning II development</t>
  </si>
  <si>
    <t>Stealth multirole fighter</t>
  </si>
  <si>
    <t>https://en.wikipedia.org/Stealth multirole fighter</t>
  </si>
  <si>
    <t>Lockheed Martin Aeronautics</t>
  </si>
  <si>
    <t>https://en.wikipedia.org/Lockheed Martin Aeronautics</t>
  </si>
  <si>
    <t>F-35B: 31 July 2015 (USMC)[1][2][3] F-35A: 2 August 2016 (USAF)[4] F-35C: 2018 (USN)[5]</t>
  </si>
  <si>
    <t>15 December 2006 (F-35A)</t>
  </si>
  <si>
    <t>//upload.wikimedia.org/wikipedia/commons/thumb/6/61/F-35A_flight_%28cropped%29.jpg/300px-F-35A_flight_%28cropped%29.jpg</t>
  </si>
  <si>
    <t>Lockheed Martin X-35</t>
  </si>
  <si>
    <t>https://en.wikipedia.org/Lockheed Martin X-35</t>
  </si>
  <si>
    <t>https://en.wikipedia.org/F-35B: 31 July 2015 (USMC)[1][2][3] F-35A: 2 August 2016 (USAF)[4] F-35C: 2018 (USN)[5]</t>
  </si>
  <si>
    <t>Radioplane OQ-17</t>
  </si>
  <si>
    <t>The Radioplane OQ-17 was a target drone produced by the Radioplane Company for the America Army Air Forces and, as the TD4D/KDR Quail, the America Navy. Suffering from an unreliable engine, the OQ-17 production run was cut short in favor of the OQ-19.  As the end of World War II approached, the U.S. Army Air Forces issued a requirement for a new target drone to replace the Radioplane OQ-2 family of drones, with higher performance to better simulate the improved capabilities of combat aircraft.[1] The RP-18, designed by Radioplane's Reginald Denny in response,[2] was of all-metal construction, with a high-mounted wing and conventional empennage. Power was supplied by a Righter O-45 four-cylinder horizontially-opposed engine, and launch was via catapult.[1] Control was maintained through conventional radio control, while if the drone was not shot down by the gunners using it for training, it could be recovered via an onboard parachute.[3] It was claimed that the OQ-17 could perform any maneuver that an ordinary fighter aircraft could.[3] Evaluation of the RP-18 began in March 1945; following trials, the U.S. Army Air Forces ordered the drone into production in February 1946, designating it OQ-17. The U.S. Navy also ordered the drone; it had been evaluated as the XTD4D-1, but before entering service the production TD4D-1 was given the new designation of KDR-1 Quail.[1] Production of the OQ-17 and KDR was terminated after 430 aircraft had been completed, as persistent reliability issues with the O-45 engine could not be overcome; the Radioplane OQ-19 was ordered as a replacement.[1] Data from Parsch 2003[1]General characteristics Performance  Related development Aircraft of comparable role, configuration, and era  Related lists</t>
  </si>
  <si>
    <t>Target drone</t>
  </si>
  <si>
    <t>https://en.wikipedia.org/Target drone</t>
  </si>
  <si>
    <t>Radioplane Company</t>
  </si>
  <si>
    <t>https://en.wikipedia.org/Radioplane Company</t>
  </si>
  <si>
    <t>10 ft 2 in (3.10 m)</t>
  </si>
  <si>
    <t>190 mph (310 km/h, 170 kn)</t>
  </si>
  <si>
    <t>143 lb (65 kg)</t>
  </si>
  <si>
    <t>Reginald Denny</t>
  </si>
  <si>
    <t>8 ft 4.9 in (2.563 m)</t>
  </si>
  <si>
    <t>1 × Righter O-45-35 , 35 hp (26 kW)</t>
  </si>
  <si>
    <t>//upload.wikimedia.org/wikipedia/commons/thumb/f/f7/160629-F-DW547-014.jpg/300px-160629-F-DW547-014.jpg</t>
  </si>
  <si>
    <t>60 minutes</t>
  </si>
  <si>
    <t>https://en.wikipedia.org/Reginald Denny</t>
  </si>
  <si>
    <t>Radioplane OQ-19</t>
  </si>
  <si>
    <t>https://en.wikipedia.org/Radioplane OQ-19</t>
  </si>
  <si>
    <t>America Army Air ForcesAmerica Navy</t>
  </si>
  <si>
    <t>https://en.wikipedia.org/America Army Air ForcesAmerica Navy</t>
  </si>
  <si>
    <t>Trixy Trixformer</t>
  </si>
  <si>
    <t>The Trixy Trixformer is an Austrian roadable aircraft autogyro/electric motorcycle designed and produced by Trixy Aviation Products of Dornbirn, introduced in 2014. The vehicle is supplied complete and ready-to-fly.[1] The Trixformer is based upon a two-wheeled electric motorcycle chassis as a land vehicle and is designed to add modular flying components. It can be equipped and flown as an autogyro, with the plug-in gyro module. Helicopter or fixed wing aircraft modules were under development in 2015.[1] As an autogyro, the Trixformer features a single main rotor, a two-seats-in tandem open cockpit with a windshield, tricycle landing gear, plus a tail caster and a four-cylinder, liquid and air-cooled, four stroke 130 hp (97 kW) Trixy 912 Ti engine in pusher configuration.[1] The aircraft fuselage is made from metal tubing and composites. Its two-bladed rotor has a diameter of 8.6 m (28.2 ft). The aircraft has a typical empty weight of 350 kg (772 lb) and a gross weight of 560 kg (1,235 lb), giving a useful load of 210 kg (463 lb). With full fuel of 80 litres (18 imp gal; 21 US gal) the payload for the pilot, passenger and baggage is 153 kg (337 lb).[1] Unlike many other autogyro builders Trixy Aviation uses a swash plate in its rotor head designs, rather than a tilt head. This makes the design more sensitive to fly and requires special type training.[1] Data from Tacke[1]General characteristics Performance</t>
  </si>
  <si>
    <t>Austria</t>
  </si>
  <si>
    <t>https://en.wikipedia.org/Austria</t>
  </si>
  <si>
    <t>Trixy Aviation Products</t>
  </si>
  <si>
    <t>https://en.wikipedia.org/Trixy Aviation Products</t>
  </si>
  <si>
    <t>350 kg (772 lb)</t>
  </si>
  <si>
    <t>1 × Trixy 912 Ti four cylinder, liquid and air-cooled, four stroke aircraft engine, 97 kW (130 hp)</t>
  </si>
  <si>
    <t>80 litres (18 imp gal; 21 US gal)</t>
  </si>
  <si>
    <t>5.6 m/s (1,100 ft/min)</t>
  </si>
  <si>
    <t>8.6 m (28 ft 3 in)</t>
  </si>
  <si>
    <t>58 m2 (620 sq ft)</t>
  </si>
  <si>
    <t>9.7 kg/m2 (2.0 lb/sq ft)</t>
  </si>
  <si>
    <t>Marais avionette</t>
  </si>
  <si>
    <t>The Marais avionette[Notes 1] was a single seat, low-powered cantilever monoplane built in France in 1923 to compete in a newspaper-sponsored tour contest. Engine selection problems prevented it from taking part. It was modified into a glider for a later competition but crashed during qualification. It was one of the first aircraft to have a retractable undercarriage. The Marais was a mid wing cantilever monoplane with wing of rectangular plan out to blunted tips, thick in section with a maximum thickness to chord ratio of 17% and mounted without dihedral. It was built around two spruce box spars, with its leading edges and tips covered in plywood and the rest with fabric. 3 m (9 ft 10 in) long broad ailerons were mounted on the rear spar.[1] Its fuselage was very simple and based on four longerons, rectangular in section and ply-covered, tapering strongly in profile from the square section over the fuselage to a horizontal knife-edge at the tail. The corresponding taper in plan was only slight. The Marais was initially powered by a small Anzani 5.2–7.5 kW (7–10 hp) flat twin mounted uncowled in the nose and the open, wide cockpit was just ahead of the wing trailing edge.  Its high aspect ratio, rectangular plan tailplane was mounted at the top of the fuselage with the hinge line of its rectangular elevators over the knife-edge. The elevators had a cut-out for movement of a rhombodedral rudder. There was no fixed fin.[1] The Marais had retractable landing gear, most unusual in its day for any aircraft but particularly so for a lightplane; Marais was aware that the drag of a fixed undercarriage would be particularly detrimental to the performance of a very low-powered aircraft.  Each mainwheel was mounted on a single duralumin box-tube leg which slid on rollers inside another box-tube fixed inside the fuselage on two dural strengthening plates.  The legs could be raised or lowered by the pilot via a crank-driven chain and an automatic locking device fixed the gear up or down. When raised, the wheels were completely enclosed under shaped fairings. The legs had no shock absorbers; instead, large pneumatic tyres softened landing shocks.[1] Charles Marais designed and built his avionette to compete in the July 1923 Grand-Prix du "Petit Parisien", a contest for low-powered aircraft organised by the French newspaper of that name. The date of its first flight is not known exactly but the aircraft was being refined at Buc during June 1923.[2] Rather late in the day, Marais realised that the Anzani engine did not meet the competition's all-French requirement and he was unable to find a French aircraft engine supplier with an available replacement.[1] He was a registered contestant in the Grand-Prix and was reported before it began to be using a French motor-cycle engine,[3] but there was no further mention of him at the event. Instead, he modified the aircraft into a glider, with some adjustment of the pilot's position to return the centre of gravity to its proper position after removing the engine. It then went to the Congrès de Vauville in August, a contest including both gliders and low-powered aircraft. His usual pilot, Collangettes, had been seriously hurt in an accident while flying another aircraft, so Marais had to fly it himself.[1]  He took off on 24 August 1923, the last day of qualification, but almost immediately the wind caught him and the glider stalled and crashed. Happily he walked away and his aircraft was not too badly damaged but it failed to qualify.[4]  At the end of the contest the jury presented him with two special awards for his efforts.[1] Data from Les Ailes, January 1924[1]General characteristics</t>
  </si>
  <si>
    <t>10.40 m (34 ft 1 in)</t>
  </si>
  <si>
    <t>135 kg (298 lb)</t>
  </si>
  <si>
    <t>230 kg (507 lb)</t>
  </si>
  <si>
    <t>Charles Marais</t>
  </si>
  <si>
    <t>First semester 1923</t>
  </si>
  <si>
    <t>1.30 m (4 ft 3 in)</t>
  </si>
  <si>
    <t>1 × Anzani flat twin, 7.5 kW (10 hp)</t>
  </si>
  <si>
    <t>Sergant A</t>
  </si>
  <si>
    <t>The Sergant A was a French 4-cylinder, air-cooled, upright inline piston engine with a maximum output of 7.5 kW (10 hp), designed to meet the needs of the very small and light single seat sports aircraft of the early 1920s. It was used by at least ten different types. In both the UK and France in the early 1920s there was a wish to make civilian flying more affordable, both in capital outlay and in running costs.  This led to a need for low power engines. In Britain there were suitable engines like the Bristol Cherub but French designers were largely forced to import engines, either from the UK or Italy. The Sergant A was intended to provide a native product. It was on display at the November 1923 Paris Salon and struck Flight's reporter as "extremely interesting" and car-engine like in its four cylinder inline arrangement, a little heavy but reliable.  It was unusual in its high maximum crankshaft speed of 3,200 rpm and the availability of a choice of reduction gear ratios.[1] The date of first running is not known but it appeared, and was widely used by a variety of aircraft and in several contests during 1923, with more in 1924. Data from Les Ailes, August 1923;[2] Flight, February 1924[1]</t>
  </si>
  <si>
    <t>Sergant</t>
  </si>
  <si>
    <t>776 mm (30.6 in)</t>
  </si>
  <si>
    <t>565 mm (22.2 in)</t>
  </si>
  <si>
    <t>4-cylinder, air-cooled, upright inline piston engine</t>
  </si>
  <si>
    <t>https://en.wikipedia.org/4-cylinder, air-cooled, upright inline piston engine</t>
  </si>
  <si>
    <t>55.5 mm (2.19 in)</t>
  </si>
  <si>
    <t>80 mm (3.1 in)</t>
  </si>
  <si>
    <t>750 cm3 (46 cu in)</t>
  </si>
  <si>
    <t>46 kg (101 lb) including carburettor and magneto[3]</t>
  </si>
  <si>
    <t>Zenith carburettor, single Scintilla magneto</t>
  </si>
  <si>
    <t>petrol</t>
  </si>
  <si>
    <t>5 hrs oil in aluminium crankcase, delivered by pressure pump</t>
  </si>
  <si>
    <t>air, directed from a forward scoop around cylinders and vertical fins</t>
  </si>
  <si>
    <t>12 kW (16 hp) at 3,200 rpm crankshaft speed</t>
  </si>
  <si>
    <t>340 mm (13 in)</t>
  </si>
  <si>
    <t>cylinder head valves operated by rocker arms driven via pushrods from  a camshaft in aluminium crankcase</t>
  </si>
  <si>
    <t>Choice of three reduction gear  ratios</t>
  </si>
  <si>
    <t>3-bearing, silicon-manganese steel forging</t>
  </si>
  <si>
    <t>0.26 kW/kg (0.16 hp/lb)</t>
  </si>
  <si>
    <t>Sikorsky S-4</t>
  </si>
  <si>
    <t>The Sikorsky S-4 was a Russian aircraft built by Igor Sikorsky using many components of the S-3 including the 40 hp (30 kW) Anzani three-cylinder engine. Construction of the biplane began in late December 1910 and was completed early in the spring of 1911. The machine appeared in a static display at an aeronautical exhibition at Kharkov in the spring of 1911, but was never flown. Some time afterward it was disassembled.[1][2] Data from Russian Aviation Museum[3]General characteristics Performance</t>
  </si>
  <si>
    <t>disambled</t>
  </si>
  <si>
    <t>300 sq ft (28 m2)</t>
  </si>
  <si>
    <t>794 lb (360 kg)</t>
  </si>
  <si>
    <t>1 × Anzani 3 -cylinder air-cooled fan piston engine, 40 hp (30 kW)</t>
  </si>
  <si>
    <t>//upload.wikimedia.org/wikipedia/commons/thumb/3/38/Sikorsky_S-4_aircraft_circa_1911.jpg/300px-Sikorsky_S-4_aircraft_circa_1911.jpg</t>
  </si>
  <si>
    <t>29 ft 6 in (9 m)</t>
  </si>
  <si>
    <t>Caspar C 17</t>
  </si>
  <si>
    <t>The Caspar C 17 was a mid-1920s German, low power, two seat ultralight aircraft with a cantilever wing of unusually high aspect ratio, flexibly attached to the fuselage to moderate gust effects. The chief aim of Ernst Ritter von Loessel, the C 17's designer, was to produce a light two-seater with just enough power to be useful as a touring, sports or training aircraft whilst being economical to fly. Fuel economy further was enhanced by its clean, low wing, cantilever monoplane layout.[1] Each wing had an unswept inner part with constant chord and a constant, thick section. The outer panels, which carried the ailerons, were slightly tapered in plan and strongly thinned outwards to angled tips. The aspect ratio  of 9.2 was high for the time,[1] lowering the low speed induced drag.[2] Each was built around two box section spars, longitudinally cross-braced with steel tubes and plywood-skinned. The most unusual feature was that the wing root mounting allowed spring-restrained variations of the angle of attack. The wings could pivot around a horizontal, span-wise axis just behind the forward spar, with a spring-loaded bolt at the rear spar.[1][3][4] This was intended to make the lightweight C 17 less sensitive to gusts and also to exploit the Knoller-Betz[5] effect by which some gust energy is converted into thrust and lift by a plunging wing. Von Loessel had earlier designed a glider incorporating flexible wings to use this effect but the C 17 developed the idea with an elevator-wing cross-connection to maintain trim.[1] The fuselage was based on a steel tube, rectangular section inner structure, covered by plywood fastened to stringers. Its ABC Scorpion flat twin, simply cowled with its cylinder heads exposed for cooling, produced a maximum power of 22 kW (30 hp) at 3,200 rpm. Behind the engine there were two cockpits in tandem, one near the wing leading edge and the other just aft of the trailing edge. The empennage was unusual, as both horizontal and vertical surfaces were all-moving. Both were polygonal in plan, with the elevator mounted at mid-fuselage height and the rudder tall and narrow above it.[1] The C 17 had a fixed, tailskid undercarriage with the mainwheels 1.0 m (3 ft 3 in) apart on a faired axle. The axle was mounted on V-struts from the outer, lower tubes of the fuselage frame, one transversely to its centre and two longitudinal pairs to its ends.[3] The exact date of the C 17's first flight is not known but it was reported in November 1924 that the aircraft was completed "some while ago" and that it "flew quite well with its small British engine". Level flight could be maintained at an engine speed of 2,200 rpm which produced 12 kW (16 hp).[1] Despite this, little more was heard about it and it was not one of the several Caspar aircraft to take part in the 1925 Round-Germany Flight.[6]  Data from Les Ailes, January 1925[3]General characteristics Performance</t>
  </si>
  <si>
    <t>Caspar-Travermünde Flugzeugerke</t>
  </si>
  <si>
    <t>15.60 m2 (167.9 sq ft)</t>
  </si>
  <si>
    <t>110–120 km/h (68–75 mph, 59–65 kn)</t>
  </si>
  <si>
    <t>145 kg (320 lb)</t>
  </si>
  <si>
    <t>325 kg (717 lb)</t>
  </si>
  <si>
    <t>Ernst Ritter von Loessel</t>
  </si>
  <si>
    <t>5.10 m (16 ft 9 in)</t>
  </si>
  <si>
    <t>1.90 m (6 ft 3 in) [3]</t>
  </si>
  <si>
    <t>Göttingen 348[1]</t>
  </si>
  <si>
    <t>1 × ABC Scorpion air-cooled flat twin, 22 kW (30 hp)   maximum, at 3,200 rpm</t>
  </si>
  <si>
    <t>2-bladed Bork, 1.2 m (3 ft 11 in) diameter</t>
  </si>
  <si>
    <t>//upload.wikimedia.org/wikipedia/commons/thumb/1/12/Caspar_C_17_NACA-TM-370.jpg/300px-Caspar_C_17_NACA-TM-370.jpg</t>
  </si>
  <si>
    <t>200–250 km (120–160 mi, 110–130 nmi) [4]</t>
  </si>
  <si>
    <t>2.0-2.5 hrs</t>
  </si>
  <si>
    <t>60 km/h (37 mph)[4]</t>
  </si>
  <si>
    <t>40–60 m (130–200 ft)[4]</t>
  </si>
  <si>
    <t>Dyn'Aéro R180</t>
  </si>
  <si>
    <t>The Dyn'Aéro R180 is a France amateur-built aircraft that was designed and produced by Dyn'Aéro of Darois. When it was available the aircraft was supplied as plans and as a kit for amateur construction.[1] As of March 2017 the design is no longer advertised as available by the company.[2] The R180 was designed for competition aerobatics and also as a military trainer. It features a cantilever low-wing, low-mounted tailplane, a two-seats-in-side-by-side configuration enclosed cockpit under a bubble canopy, fixed conventional landing gear with wheel pants and a single engine in tractor configuration. A tricycle landing gear version was also designed.[1] The aircraft is made from wood and carbon fibre. Its 8.72 m (28.6 ft) span wing has an area of 8.31 m2 (89.4 sq ft), mounts full-span ailerons and lacks flaps and winglets. The standard engine specified is the 180 hp (134 kW) Lycoming O-360 four-stroke aircraft engine.[1] Reviewers Roy Beisswenger and Marino Boric described the design in a 2015 review as having better control harmony than the Mudry CAP 10.[1] Data from Tacke[1]General characteristics Performance</t>
  </si>
  <si>
    <t>Dyn'Aéro</t>
  </si>
  <si>
    <t>https://en.wikipedia.org/Dyn'Aéro</t>
  </si>
  <si>
    <t>Production completed (2017)</t>
  </si>
  <si>
    <t>8.72 m (28 ft 7 in)</t>
  </si>
  <si>
    <t>8.31 m2 (89.4 sq ft)</t>
  </si>
  <si>
    <t>342 km/h (213 mph, 185 kn)</t>
  </si>
  <si>
    <t>470 kg (1,036 lb)</t>
  </si>
  <si>
    <t>301 km/h (187 mph, 163 kn)</t>
  </si>
  <si>
    <t>1 × Lycoming O-360 four cylinder, air-cooled, four stroke aircraft engine, 130 kW (180 hp)</t>
  </si>
  <si>
    <t>90.3 kg/m2 (18.5 lb/sq ft)</t>
  </si>
  <si>
    <t>Sikorsky S-13 and S-14</t>
  </si>
  <si>
    <t>The Sikorsky S-13 and S-14 were proposed aircraft designs that would have been built at the Russian Baltic Railroad Car Works while Igor Sikorsky was the chief engineer of the aircraft manufacturing division. Due to engine availability problems the machines were never completed.[1]</t>
  </si>
  <si>
    <t>Sikorsky S-50</t>
  </si>
  <si>
    <t>The Sikorsky S-50 was a smaller lighter version of the Sikorsky R-6 designed for the America Army Air Corps as an observation helicopter with dual controls in 1943. The design emphasized minimal weight and was to be powered by a 150 hp (112 kW) Franklin 6ACV-298 engine turning a three blade main rotor constructed of metal and plywood covered by 2 layers of fabric. The tail rotor also had three blades made from laminated wood. Further weight savings of the design included the rejection of a conventional oleo strut tail wheel in favor of a tail skid on a pivot cushioned by three rubber doughnuts. One full scale wooden mock-up was built but no flying examples were ever produced.[1] Data from Sikorsky Archives[1]General characteristics Performance</t>
  </si>
  <si>
    <t>Light observation helicopter</t>
  </si>
  <si>
    <t>https://en.wikipedia.org/Light observation helicopter</t>
  </si>
  <si>
    <t>https://en.wikipedia.org/Sikorsky</t>
  </si>
  <si>
    <t>119 mph (191 km/h, 103 kn)</t>
  </si>
  <si>
    <t>1,050 lb (476 kg)</t>
  </si>
  <si>
    <t>40 ft 4 in (12.3 m)</t>
  </si>
  <si>
    <t>1 × Franklin 6ACV-298 6-cyl. vertically mounted air-cooled horizontally-opposed piston engine, 150 shp (110 kW)</t>
  </si>
  <si>
    <t>1 pax or 400 lb (180 kg) max payload</t>
  </si>
  <si>
    <t>250 mi (400 km, 220 nmi)</t>
  </si>
  <si>
    <t>16,000 ft (4,900 m)</t>
  </si>
  <si>
    <t>3,197 lb (1,450 kg)</t>
  </si>
  <si>
    <t>Sikorsky R-6</t>
  </si>
  <si>
    <t>1,400 ft/min (7.1 m/s)</t>
  </si>
  <si>
    <t>https://en.wikipedia.org/Sikorsky R-6</t>
  </si>
  <si>
    <t>29 ft 10 in (9.1 m)</t>
  </si>
  <si>
    <t>2,801 sq ft (260.2 m2) 3-bladed NACA 0012 composite wood/metal construction with fabric covering</t>
  </si>
  <si>
    <t>LMS-9/19</t>
  </si>
  <si>
    <t>The LMS-9 and LMS-19 (Russian: Легкие многоцелевые самолеты - ЛМС, Lightweight multifunctional airplanes) are light airliners projected by Austrian Diamond Aircraft and Russian Rostec via Oboronprom subsidiary Ural Works of Civil Aviation based in Yekaterinburg.[3] At the June 2013 Paris Air Show, they agreed to develop a 19 seater composite airframe.[2] At the August 2013 MAKS Air Show, it was priced at Rb120 million ($3.62 million) along a Rb80 million ($2.41 million) nine-seater, with scale models on display.[4] In November, first flight was planned for 2015.[1] Aircraft design process should be completed in 2014, to proceed to aircraft testing before production in 2017-2018. With a 9.4 billion rubles cost estimate, Rostec is committing 383 million rubles within 2 bln secured, leaving a 8 bln need. In 2013-2016, 5 billion rubles will be leveraged from the Russian National Wealth Fund for research and development, transfer of technologies, new factory creation and type certification. In 2016-2017, 3 billion rubles from the federal budget of Russia will fund certification completion, initial required equipment acquisition and aircraft maintenance and repair system creation. In 2016-2018 900 million rubles will be needed to achieve the design capacity. Rostec plan to sell for 51.4 billion rubles by 2025 (excluding VAT) for a 16.235 billion rubles accumulated profit - a 32% return on sales, and to supply 800 aircraft by 2030, after the 10.39 years discounted payback period.[5] The aircraft should be powered by efficient, turbocharged  diesel aircraft engines burning jet fuel to be introduced in 2016. In Russia, a modern and affordable light airplane is lacking: more than 200 are needed to replace the obsolete fleet and Rostec plans to create an aircraft lease program. Initially the aircraft and engines will be assembled in Austria, then components will be produced in Russia before all the airplane components and engines.[2] In service An-2 and L-410 have low fuel efficiency and high operating costs.[6] The new aircraft family could operate in arctic conditions, attach skids landing gear for snow or pontoons for water.[4] Both will benefit from 80% commonality.[7] They will employ cabin pressurization.[8] Russian Prime Minister Dmitry Medvedev mentioned its pivotal use of composite materials. Fuselage length differs through extension plugs with the longer variant having a large aft door, and both share a common wing, nose and empennage. Also involved are RT-Khimkomposit (Chemical Composites) and TsAGI (the Central Aerohydrodynamics Institute), having tested MC-21 wing boxes. Similar out of autoclave infusion methods will reduce costs of monocoque structures over a large production run. Limited ground handling is needed and low-pressure tires enable operations from unpaved soil/ or grass runways.</t>
  </si>
  <si>
    <t>light regional airliner</t>
  </si>
  <si>
    <t>https://en.wikipedia.org/light regional airliner</t>
  </si>
  <si>
    <t>Austrian and Russian</t>
  </si>
  <si>
    <t>Diamond Aircraft / Rostec via Oboronprom</t>
  </si>
  <si>
    <t>https://en.wikipedia.org/Diamond Aircraft / Rostec via Oboronprom</t>
  </si>
  <si>
    <t>was to be introduced in 2016[2]</t>
  </si>
  <si>
    <t>was planned for 2015[1]</t>
  </si>
  <si>
    <t>//upload.wikimedia.org/wikipedia/en/thumb/b/b8/LMS-19_rendering.png/300px-LMS-19_rendering.png</t>
  </si>
  <si>
    <t>Beechcraft RC-12 Guardrail</t>
  </si>
  <si>
    <t>The Beechcraft RC-12 Guardrail is an airborne signals intelligence (SIGINT) collection platform based on the Beechcraft King Air and Super King Air. While the US military and specifically the America Army have numerous personnel transport variants of the King Air platforms referred to with the general C-12 designation, the RC-12 specification refers to a heavily modified platform that collects SIGINT through various sensors and onboard processors. The US Army Guardrail platform has been in service since 1971.[1] Prior to the early 1980s the early Guardrail variants were based on the U-21. After adopting the C-12 platform over the U-21, the Guardrail platform has mostly evolved beneath its skin through structural, power plant, and equipment upgrades as noted by the various models described below. Initially, the US Army had 13 RC-12Ds converted from C-12Ds, with deliveries starting in mid-1983. One aircraft was assigned to US Army Forces Command (FORSCOM) at Fort McPherson, Georgia, and the remainder to 1st Military Intelligence Battalion at Wiesbaden, Germany, and 2nd Military Intelligence Battalion at Stuttgart, Germany. The German-based aircraft were reassigned late 1991 to 3rd, 15th and 304th Military Intelligence Battalions at Camp Humphreys (South Korea), Fort Hood (Texas) and Fort Huachuca (Arizona) respectively. One was converted back to an earlier configuration as C-12D-1.[2] The next subsequent model was the RC-12G. Three RC-12G were delivered in 1985 after conversion from C-12D airframes. These aircraft served in Latin America and then with the 138th Military Intelligence Company (Aerial Exploitation) in Orlando, Florida, before being moved into storage at Fort Sill, Oklahoma.[2] The next subsequent model was the RC-12H. The initial system contractor ESL Inc. delivered 6 RC-12H in 1988 for the 3rd Military Intelligence Battalion at Camp Humphreys in Pyongtaek, South Korea.[2] The next subsequent model was the RC-12K. The US Army ordered nine RC-12K in October 1985, of which eight replaced RC-12Ds in 1st Military Intelligence Battalion in May 1991. One of these was subsequently lost in an accident. The ninth US Army aircraft was retained by the contractor, Raytheon, for conversion to the planned RC-12N configuration. An additional 2 RC-12K aircraft were delivered to Israel in May–June 1991.[2] The prototype RC-12N was converted from an RC-12K. A total of 15 were converted by E-Systems and delivered 1992-93 to the 224th Military Intelligence Battalion at Hunter Army Airfield, Georgia and 304th Military Intelligence Battalion at Libby Army Airfield, Fort Huachuca, Arizona. One of these was lost in accident.[2] The next subsequent model was the RC-12P. A total of 9 RC-12P aircraft were delivered to ESL/TRW at Moffett Federal Airfield in late 1994 and 1995, and these airframes remained there in 1999.[2] Three RC-12Ps were then modified by Raytheon and TRW to become RC-12Q. They were transferred to TRW in 1996 for outfitting, where they remained in 1999. The aircraft featured a prominent dorsal radome housing a satellite communications antenna.[2] The RC-12 in various versions to include the newest RC-12X and RC-12X+ have seen deployments to OEF and OIF. As of July 2012, Northrop Grumman announced that its RC-12X Guardrails had completed over 1,000 missions since going into theater[where?] in 2011.[3] Recent upgrades and force realignments have seen these newest models replace older variants in Korea. A $462 million RC-12X program currently underway at Northrop Grumman is expected to bring the different aircraft to introduce common standards throughout the RC-12 Guardrail fleet by upgrading all aircraft in the Army's RC-12 fleet to the RC-12X standard, thereby replacing or upgrading all older variants. The Guardrail Modernization program extends the life of the aircraft through 2025 and introduces new payloads to the system with enhanced capabilities. The program also enhances the sustainability of the RC-12X through commonality, a new glass cockpit, structural upgrades, and significant hardware and software improvements.[4] Per the US Army's Acquisition Support Center's Portfolio description of the newest Guardrail variant, the Guardrail Common Sensor (GR/CS) also  referenced as the RC-12X or RC-12X+ is a "fixed-wing, airborne, SIGINT-collection and precision targeting location system. It collects low-, mid- and high-band radio signals and ELINT signals; identifies and classifies them; determines source location; and provides near-real-time reporting. GR/CS uses a Guardrail Mission Operations Facility (MOF) for the control, data processing and message center for the system.”[5] On 16 April 1997, the 224th Military Intelligence Battalion lost an RC-12N and 2 crew members in a fatal training accident. The following year on 6 November 1998, the 1st Military Intelligence Battalion lost a RC-12K and 2 crew members in a similar training accident.  In both accidents, the America Army Safety Center Accident Boards listed in their recommendations to TRADOC to 'Reevaluate the ATM Tasks for stalls, slow flight and VMC.' In February 1999, Commanding General, USAIC and FH, Major General John D. Thomas, sent a senior standardization instructor pilot and the 305th Military Intelligence Battalion Safety Officer to USAAVNC to review the RC-12K Accident Board findings to determine if training was a contributing factor. They recommended to Major General Thomas that the TC 1-219, Tasks for Slow Flight, Stalls and VMC, be rewritten.[2]  Related development</t>
  </si>
  <si>
    <t>Signals intelligence  aircraft</t>
  </si>
  <si>
    <t>https://en.wikipedia.org/Signals intelligence  aircraft</t>
  </si>
  <si>
    <t>Beechcraft</t>
  </si>
  <si>
    <t>https://en.wikipedia.org/Beechcraft</t>
  </si>
  <si>
    <t>Active service</t>
  </si>
  <si>
    <t>{'RC-12D': "ircraft used in the Improved Guardrail V system were based on the King Air Model A200CT. This US Army Special Electronic Mission version carried the AN/USD-9 Improved Guardrail V remote-controlled communications intercept and direction-finding system. Associated ground equipment included the AN/TSQ-105(V)4 integrated processing facility, AN/ARM-63(V)4 AGE flightline van and AN/TSC-87 tactical commander's terminal. Five new-build RC-12D-like aircraft were sold to Israel for ", 'RC-12G': 'used for the Crazy Horse system, was a US Army Special Electronic Mission aircraft based on the King Air A200CT. Generally similar to RC-12D, the maximum takeoff weight was increased to 6,800 kilograms (15,000 pounds).', 'RC-12H': 'ircraft used for Guardrail/Common Sensor System 3 (Minus) was a US Army Special Electronic Mission aircraft that was generally similar to the RC-12D, though with the maximum takeoff weight increased to 6,800 kilograms (15,000 pounds).', 'RC-12K': 'ircraft used for Guardrail/Common Sensor System 4 was similar to RC-12H, but with a more powerful 1,100 shp PT6A-67 turboprop engine and a maximum takeoff weight increased to 7,250 kilograms (16,000 pounds).', 'RC-12N': 'ircraft used in Guardrail/Common Sensor System 1 was generally similar to the RC-12K, though with a 7,350 kilogram (16,200 pound) maximum takeoff weight, and equipped with dual EFIS and aircraft survivability equipment/avionics control system (ASE/ACS). The prototype RC-12N was converted from an RC-12K.', 'RC-12P': 'ircraft used in Guardrail/Common Sensor System 2 had the same avionics and power plant as the RC-12N, though with different mission equipment (including datalink capability), fibre optic cabling, and smaller and lighter wing pods. The maximum takeoff weight was increased to 7,480 kilograms (16,500 pounds).', 'RC-12Q': "ircraft, referred to as the Direct Air Satellite Relay, consisted of 3 RC-12Ps modified by Raytheon and TRW to act as 'mother ships' to expand the RC-12P's operational area outside satellite 'footprints.' The airframes were transferred to TRW in 1996 for outfitting, where they remained in 1999. The aircraft featured a prominent dorsal radome housing a satellite communications antenna.", 'RC-12X': 'ircraft was a further improved RC-12 for use with the GRCS, which included expanded frequency ranges, a capability to locate signals in both stand-off and stand-in modes, and an adaptive beam-forming antenna array that is capable of locating emitters in the dense signal environments.', 'RC-12X+': 'as a further improvement on the RC-12X and represents the latest variant of the system currently fielded as of 2016.'}</t>
  </si>
  <si>
    <t>//upload.wikimedia.org/wikipedia/commons/thumb/9/96/Beechcraft_RC-12N_Huron_in_flight.jpg/300px-Beechcraft_RC-12N_Huron_in_flight.jpg</t>
  </si>
  <si>
    <t>Beechcraft C-12 Huron</t>
  </si>
  <si>
    <t>https://en.wikipedia.org/Beechcraft C-12 Huron</t>
  </si>
  <si>
    <t>Marc Parrot</t>
  </si>
  <si>
    <t>The Marc Parrot, named after  the  Punta Parrot peak in the Monte Rosa Massif, was specifically designed to fly into unprepared fields and mountain landing strips. The prototype first flew in 2013 but no more had been completed by about 2015. The Parrot is  Marc-Ingegno's first aircraft.  Before it they specialized in designing and building aircraft brakes for five or more major aircraft companies. To access the targeted rough and mountain fields, the Parrot needed to provide the pilot with excellent all-round vision, to be able to climb quickly, fly slowly and have an energy absorbing undercarriage with strong brakes.[1][2][3] The Parrot has a high, all-metal, rectangular plan wing fitted with Junkers style flaperons in two sections, the inner ones set slightly down. It is braced to the lower fuselage by a V-form strut on each side. Steel tube extensions of the fuselage frame support the wing centre section which is completely transparent, the spars continuing through it.[1][2] The standard engine in the nose of the Parrot is a Rotax 912 UL, uprated from 59.6 kW (79.9 hp) to 89.5 kW (120.0 hp) by the addition of a Marc-Ingegno 0.8 bar (80 kPa; 12 lb/sq in) compressor. The unmodified Rotax is an option. These engines drive propellers with three, scimitar shaped curved blades.  There are two 60 l (13 imp gal; 16 US gal) fuel tanks in the wings and a 8 l (1.8 imp gal; 2.1 US gal) reserve tank.[1][3] The fuselage has a welded tube steel structure which, aft of the curved, composite surfaces of the cowling and the upper fuselage between engine and cockpit, defines a flat sided form. Between the cockpit and the tail the cross-section is an irregular hexagon. The cockpit seats two in close tandem.  It is extensively glazed, with only frame tubes to block the view, and is entered via a starboard side, upward hinged door. On the port side the window is upward hinged; both door and window can be opened in flight.  There is a baggage space behind the rear seat and a pannier can be attached to the fuselage underside below the cockpit to increase storage space.[1][2] The Parrot's wire-braced empennage is conventional.  The vertical surfaces are large, angular and slightly swept.  Its horizontal surfaces are rectangular in plan, with a small tailplane carrying a much larger, one-piece elevator hinged well behind the rudder trailing edge.  Both rudder and elevator are horn balanced.[1][2] The Parrot has conventional landing gear. One each side a sturdy, fixed, forward-raked leg from the fuselage lower longeron has a hinged lower section, normally at about 90° to the upper part, with an axle at its end. A nitrogen/oil shock absorber links the axle to a joint on the lower part of the upper leg.  The wheels have large 29 in (740 mm) tyres and caliper hydraulic brakes. The tailwheel is also large, mounted well behind the extreme fuselage in an inverted U frame on a long spring.  Skis can be fitted in place of wheels.[1][2]  A Galaxy ballistic recovery parachute is an option.[1] The Parrot first flew on 4 April 2013 and was first seen in public at the Friedrichshafen airshow at the end of April. It was registered in June 2013[1][3] and was active at airshows and fly-ins as recently as June 2015 but remains the only example. Data from Jane's All the World's Aircraft 2016/7[1]General characteristics Performance</t>
  </si>
  <si>
    <t>Two-seat ultralight aircraft</t>
  </si>
  <si>
    <t>https://en.wikipedia.org/Two-seat ultralight aircraft</t>
  </si>
  <si>
    <t>Marc-Ingegno di Alberto Marchini Sas</t>
  </si>
  <si>
    <t>9.13 m (29 ft 11 in)</t>
  </si>
  <si>
    <t>12.43 m2 (133.8 sq ft)</t>
  </si>
  <si>
    <t>198 km/h (123 mph, 107 kn)</t>
  </si>
  <si>
    <t>312 kg (688 lb)</t>
  </si>
  <si>
    <t>165 km/h (103 mph, 89 kn) 75% power</t>
  </si>
  <si>
    <t>50 km/h (31 mph, 27 kn) flaps up, power off.  With flaps down 40 km/h (25 mph; 22 kn)</t>
  </si>
  <si>
    <t>2.58 m (8 ft 6 in)</t>
  </si>
  <si>
    <t>1 × Rotax 912UL supercharged liquid-cooled flat-four, 89.5 kW (120.0 hp)</t>
  </si>
  <si>
    <t>3, carbon fibre 'scimitar' form blades-bladed</t>
  </si>
  <si>
    <t>5,000 m (16,000 ft) service</t>
  </si>
  <si>
    <t>475 kg (1,047 lb) maximum MTOW 560 kg (1,230 lb)</t>
  </si>
  <si>
    <t>total including reserve 128 l (28 imp gal; 34 US gal)</t>
  </si>
  <si>
    <t>7 hr</t>
  </si>
  <si>
    <t>9.15 m/s (1,801 ft/min) at sea level</t>
  </si>
  <si>
    <t>50 m (160 ft)</t>
  </si>
  <si>
    <t>Tupolev '102'</t>
  </si>
  <si>
    <t>The Tupolev '102' and Tupolev '101' were 1950s projects for a turboprop airliner and assault transport by the Tupolev Design Bureau. The aircraft designs were almost identical but the '101' had a rear loading ramp and tail barbette for two Nudelman-Rikhter NR-23 cannon. The internal arrangement also differed with the '101' cabin being unpressurised apart from the flightdeck and a small cabin for ten passengers, whilst the '102's pressurised cabin was in one section, configured for 40 passengers.  Similar requirement s were also issued to OKB-23 (V.M. Myasischchev) and OKB-473 (Oleg K. Antonov), resulting in the Antonov An-8 which formed the design root of all Antonov's turboprop transports up to the An-22.[1] Data from OKB Tupolev : a history of the design bureau and its aircraft[1]General characteristics Performance Armament</t>
  </si>
  <si>
    <t>Airliner</t>
  </si>
  <si>
    <t>https://en.wikipedia.org/Airliner</t>
  </si>
  <si>
    <t>Tupolev</t>
  </si>
  <si>
    <t>https://en.wikipedia.org/Tupolev</t>
  </si>
  <si>
    <t>40 m (131 ft 3 in)</t>
  </si>
  <si>
    <t>140 m2 (1,500 sq ft)</t>
  </si>
  <si>
    <t>650 km/h (400 mph, 350 kn) to 700 km/h (430 mph; 380 kn) at 8,000 m (26,000 ft)</t>
  </si>
  <si>
    <t>36,000 kg (79,366 lb)</t>
  </si>
  <si>
    <t>Andrei Tupolev</t>
  </si>
  <si>
    <t>40 m (131 ft 3 in) / 36 m (118 ft)</t>
  </si>
  <si>
    <t>2 × Kuznetsov TV-2F turboprop engines, 5,200 kW (7,000 shp)  each</t>
  </si>
  <si>
    <t>40 pax / 4,000–5,000 kg (8,800–11,000 lb)</t>
  </si>
  <si>
    <t>3,000 km (1,900 mi, 1,600 nmi) to 4,000 km (2,500 mi; 2,200 nmi)</t>
  </si>
  <si>
    <t>1,000 m (3,300 ft) - 12,000 m (39,000 ft)</t>
  </si>
  <si>
    <t>Tupolev Tu-101</t>
  </si>
  <si>
    <t>https://en.wikipedia.org/Tupolev Tu-101</t>
  </si>
  <si>
    <t>https://en.wikipedia.org/Andrei Tupolev</t>
  </si>
  <si>
    <t>500–600 m (1,600–2,000 ft)</t>
  </si>
  <si>
    <t>3.8 m (12 ft 6 in) fuselage</t>
  </si>
  <si>
    <t>('101' 2 x 23 mm (0.91 in) Nudelman-Rikhter NR-23 cannon)</t>
  </si>
  <si>
    <t>600–750 m (1,970–2,460 ft)Landing run '101'</t>
  </si>
  <si>
    <t>350–400 m (1,150–1,310 ft) with reverse pitch</t>
  </si>
  <si>
    <t>Sikorsky S-6</t>
  </si>
  <si>
    <t>The Sikorsky S-6 was a Russian single engine experimental aircraft similar to the S-5, built in 1911 by Igor Sikorsky.  Construction of the first S-6 was started in August 1911. The three bay biplane was powered by an Argus 4-cylinder water-cooled engine producing 100 hp (75 kW). Initial flight tests in late November were disappointing, revealing a long take-off run and poor climb performance. Sikorsky disassembled the aircraft and took it home where substantial modifications were undertaken, including lengthening the wingspan and reducing aerodynamic drag by enclosing the fuselage with wood veneer. Ailerons on the lower wing were removed and strut bracing wires were arranged in pairs with wooden spacers between them, further reducing drag.[1][2][3] Sikorsky now called the machine the S-6-A and it exhibited remarkable improvement. During one flight with three men on board the aircraft registered a speed of 113 kilometres per hour (70 mph), exceeding the world record at that time and in February 1912 the S-6-A earned the highest award at the 1912 Moscow Aviation Exhibition.[1] In late spring 1912 Sikorsky began working at the Russian Baltic Railroad Car Works as chief engineer of the aircraft manufacturing division. Work was started on a refined version of the S-6-A called the S-6-B with strengthened landing gear and a mechanism to permit starting the engine from the cockpit. Completed in July, the S-6-B was entered in the international military competition at Saint Petersburg in August and flown by Sikorsky. The S-6-B reached a speed of 113 km/h (61 kn; 70 mph) while carrying a 327 kg (721 lb) load, climbed to 1,500 m (4,900 ft) in fifteen minutes and displayed an endurance of greater than 90 minutes. At the end of the competition on 30 September the S-6-B was announced the winner leading to "an order for a few" more of the type.[1][3] Data from Russian Aviation Museum[3]General characteristics Performance</t>
  </si>
  <si>
    <t>381 sq ft (35.4 m2)</t>
  </si>
  <si>
    <t>111 mph (179 km/h, 96 kn)</t>
  </si>
  <si>
    <t>1,433 lb (650 kg)</t>
  </si>
  <si>
    <t>1,984 lb (900 kg)</t>
  </si>
  <si>
    <t>28 ft 10 in (8.8 m)</t>
  </si>
  <si>
    <t>1 × Argus 1908 4-cylinder 4-cyl. inline water-cooled piston engine, 100 hp (75 kW)</t>
  </si>
  <si>
    <t>//upload.wikimedia.org/wikipedia/commons/thumb/d/d7/Sikorsky_S-6_aircraft_circa_1911.jpg/300px-Sikorsky_S-6_aircraft_circa_1911.jpg</t>
  </si>
  <si>
    <t>Two passengers</t>
  </si>
  <si>
    <t>38 ft 9 in (11.8 m)</t>
  </si>
  <si>
    <t>Sikorsky S-5</t>
  </si>
  <si>
    <t>https://en.wikipedia.org/Sikorsky S-5</t>
  </si>
  <si>
    <t>Sikorsky S-6A and S- 6B</t>
  </si>
  <si>
    <t>The Sikorsky S-3 was an early Russian single seat biplane design by Igor Sikorsky. Work on the machine started in July 1910 and was completed in late November. The S-3 was a larger improved version of the S-2 with a more powerful 40 hp (30 kW) Anzani three-cylinder engine. The main wings were manufactured in a more uniform manner with the ribs held to a closer tolerance and the fabric covering was of better quality. Other refinements included larger ailerons and faster-responding flight control surfaces.[1] The S-3 exhibited performance superior to the S-2, and Sikorsky made a dozen successful flights starting early in December. The S-3 made its last flight on December 13, 1910 when at an altitude of 90 feet the engines distributor shifted to a retarded position and lost power. The aircraft landed hard on a frozen pond, broke through the ice and sank causing serious damage. The S-3 was salvaged and some parts including the engine were used in the construction of the S-4.[2] Data from Russian Aviation Museum[3]General characteristics Performance</t>
  </si>
  <si>
    <t>damaged with parts reused in Sikorsky S-4</t>
  </si>
  <si>
    <t>485 lb (220 kg)</t>
  </si>
  <si>
    <t>683 lb (310 kg)</t>
  </si>
  <si>
    <t>1 × Anzani 3 -cyl. air-cooled fan piston engine, 40 hp (30 kW)</t>
  </si>
  <si>
    <t>//upload.wikimedia.org/wikipedia/commons/thumb/2/2d/Sikorsky_S-3_aircraft_circa_19010.jpg/300px-Sikorsky_S-3_aircraft_circa_19010.jpg</t>
  </si>
  <si>
    <t>98 ft (30 m)</t>
  </si>
  <si>
    <t>https://en.wikipedia.org/Sikorsky S-4</t>
  </si>
  <si>
    <t>https://en.wikipedia.org/damaged with parts reused in Sikorsky S-4</t>
  </si>
  <si>
    <t>Sikorsky S-73</t>
  </si>
  <si>
    <t>The Sikorsky S-73[1] was a proposed aircraft design to meet the America Army requirement in 1970 for a Heavy Lift Helicopter (HLH) capable of carrying 45,000 lb (20,000 kg; 20 t), a lifting capacity more than twice that of Sikorsky's most powerful helicopter at that time. The Sikorsky's S-73 design was an enlarged version of the successful CH-54/S-64 with a simplified and improved single main rotor powered by three General Electric TF34-58 turboshaft engines rated at a combined 21,000 hp (15,660 kW). A crew of five would operate the aircraft from the forward cockpit with pushbuttons replacing the traditional cyclic stick and collective lever. Behind the cockpit an aft cabin provided capacity for 12 combat troops.[2][3] Sikorsky submitted their design in February 1971, then in May the Army declared the Boeing Vertol XCH-62 winner of the contract, ending the Sikorsky S-73 program.[2] Data from Sikorsky Archives[2]General characteristics Related development Aircraft of comparable role, configuration, and era  Related lists</t>
  </si>
  <si>
    <t>Heavy-lift cargo helicopter</t>
  </si>
  <si>
    <t>https://en.wikipedia.org/Heavy-lift cargo helicopter</t>
  </si>
  <si>
    <t>Sikorsky Aircraft</t>
  </si>
  <si>
    <t>https://en.wikipedia.org/Sikorsky Aircraft</t>
  </si>
  <si>
    <t>five</t>
  </si>
  <si>
    <t>59,000 lb (26,762 kg)</t>
  </si>
  <si>
    <t>110 ft 0 in (33.54 m)</t>
  </si>
  <si>
    <t>31 ft (9.4 m)</t>
  </si>
  <si>
    <t>3 × General Electric TF34-58 turboshaft, 7,000 shp (5,200 kW)  each</t>
  </si>
  <si>
    <t>12 combat troops or 45,000 lb (20,000 kg) max payload</t>
  </si>
  <si>
    <t>118,000 lb (53,524 kg)</t>
  </si>
  <si>
    <t>CH-54 Tarhe</t>
  </si>
  <si>
    <t>https://en.wikipedia.org/CH-54 Tarhe</t>
  </si>
  <si>
    <t>124 ft 0 in (37.8 m)</t>
  </si>
  <si>
    <t>2,801 sq ft (260.2 m2) 4-bladed composite construction</t>
  </si>
  <si>
    <t>Denhaut Hy.479</t>
  </si>
  <si>
    <t>The Denhaut Hy.479 was a French flying boat flown in 1926 and intended to be suitable for commercial or military applications. Only one, in military configuration, was built and was sometimes known as the France-Aviation Denhaut. The Hy.479 was an unequal span, single bay biplane with thick section wings. The longer upper wing was in three parts, with a short, almost rectangular centre section and trapezoidal outer panels. The lower wings were attached to the upper hull and were swept with constant chord, then straight-tapered to the squared tips. The top surface of the upper wing was flat but deceasing thickness provided some dihedral; the lower wing carried dihedral on both surfaces. Ailerons, which covered over half the span. were only fitted on the upper wing.[1] Structurally the wings were wooden, with two spars and plywood-covered leading edges; elsewhere the covering was fabric. The wings were braced together on each side by a pair of parallel, outward-leaning interplane struts. Below these, steeply angled stabilizing floats were attached close to the lower wing underside with short struts.  To minimise hangar space, the outer wings could be folded back alongside the hull.[1] The Hy.479 was powered by a pair of 280 kW (380 hp) Gnome &amp; Rhône 9A Jupiter nine-cylinder radial engines strut-mounted midway between the wings immediately below the end of the upper centre-section, placing them as close together as the propellers allowed. The engines were uncowled, though their accessories were placed behind them under conical fairings.[1] Its hull was deep, with steep sides and a shallow V-section bottom without steps. It was compartmented, double- and triple-planked below the waterline and plywood covered above. The pilots sat side by side in an open cockpit ahead of the propellers, protected by a generous windscreen. In the military configured first and only prototype there were machine gunners positions in the rounded nose and midway between the wings and tail. The Denhaut had a large, triangular fin, with a deep, curved, balanced rudder. Its delta plan tailplane was mounted halfway up the fin, braced on each side with a single strut to the lower hull, and carried balanced elevators with a cut-out for rudder movement.[1] The Hy.479 could be easily configured as an amphibian, with mainwheels on V-struts hinged on extensions of the engine struts and inner V-struts braced to the lower hull. With the inner struts disconnected, the wheels could be raised outwards to the wing underside.[1] The date of the Hy.479's first flight is not known but trials were under way in early December 1926, flown from Étang de Berre. Flight characteristics, including single-engined performance, were reported to be good;[2] allowing the aircraft to go to Saint Raphaël for official tests in January 1927.[3] After a minor accident when a crane cable failed, development was stopped as Denhaut withdrew from the project, possibly due to Aeronavale's preference for tandem engines (reducing problems of asymmetric thrust during engine failure / differential throttle settings). The proposed passenger version with an internal cabin[1] was not built. Data from Les Ailes, December 1926[1]General characteristics Performance</t>
  </si>
  <si>
    <t>Military or commercial amphibian flying boat</t>
  </si>
  <si>
    <t>https://en.wikipedia.org/Military or commercial amphibian flying boat</t>
  </si>
  <si>
    <t>France-Aviation</t>
  </si>
  <si>
    <t>https://en.wikipedia.org/France-Aviation</t>
  </si>
  <si>
    <t>116 m2 (1,250 sq ft)</t>
  </si>
  <si>
    <t>170 km/h (110 mph, 92 kn) at ground level</t>
  </si>
  <si>
    <t>3,220 kg (7,099 lb)</t>
  </si>
  <si>
    <t>5,220 kg (11,508 lb) with wheels[4]</t>
  </si>
  <si>
    <t>85 km/h (53 mph, 46 kn) minimum speed</t>
  </si>
  <si>
    <t>François Denhaut</t>
  </si>
  <si>
    <t>late 1926</t>
  </si>
  <si>
    <t>17.20 m (56 ft 5 in)</t>
  </si>
  <si>
    <t>2 × Gnome &amp; Rhône 9A Jupiter 9-cylinder radial, 280 kW (380 hp)  each</t>
  </si>
  <si>
    <t>6 min to 1,000 m (3,300 ft)</t>
  </si>
  <si>
    <t>//upload.wikimedia.org/wikipedia/commons/thumb/9/94/France-Aviation_Denhaut_Les_Ailes_December_9%2C_1926.jpg/300px-France-Aviation_Denhaut_Les_Ailes_December_9%2C_1926.jpg</t>
  </si>
  <si>
    <t>24 m (78 ft 9 in)</t>
  </si>
  <si>
    <t>19.30 m (63 ft 4 in)</t>
  </si>
  <si>
    <t>https://en.wikipedia.org/François Denhaut</t>
  </si>
  <si>
    <t>30 s</t>
  </si>
  <si>
    <t>Couzinet 10</t>
  </si>
  <si>
    <t>The Couzinet 10 Arc-en-Ciel ('Rainbow') was built as a first example of the three-engined, aerodynamically refined, cantilever low wing monoplane designer René Couzinet thought offered the safest long range passenger transport, for example on the South Atlantic route. Only one was completed, though other, similar aircraft of different sizes and powers followed. The Couzinet 10 was the first of his designs to be built, though it was the result of his design study number 27. It led to the smaller Couzinet 20 and 30 series and the larger Couzinet 40 and 70.[1] The one-piece wing of the Couzinet 10 was 900 mm (35.4 in) thick at the root, a thickness to chord ratio of 18%,[2] and thinned continuously out to the tip. In plan each wing was trapezoidal, though long tips produced an approximately elliptical form. Long, narrow-chord ailerons filled most of the straight part of the trailing edges. It was entirely wooden, built around two box spars and plywood covered.[3] The Arc-en-Ciel was powered by three 170 kW (230 hp) Hispano-Suiza 8Ac water-cooled upright V8 engines. One was in the nose and the other two ahead of the wing leading edge, all within cowlings that followed the V8's cylinder heads and cooled with Lamblin radiators. Seven wing fuel tanks held a total of 6,200 l (1,400 imp gal; 1,600 US gal).[3] The thickness of the wing at its root allowed crew to reach the engines in flight via a corridor 700 mm (27.6 in) high.[4] Behind the central engine the fuselage had a largely circular section, built up from frames with a maximum diameter of 2.4 m (7 ft 10 in) linked by stringers and ply-covered into a semi-monocoque structure.  The enclosed cockpit was over the wing leading edge and behind it there was a windowed cabin with access through a starboard-side door.[3] This contained two berths forward and, towards the back, tables for radio-operator and navigator, with a toilet further aft.[2][4]   The fin was integral with the body, rising slowly from it (a characteristic feature of Couzinet's designs) and carrying a pointed, curved, deep and narrow rudder. The Arc-en-Ciel's triangular plan tailplane, mounted near mid-fuselage, had a tapered elevator with a curved cut-out for rudder movement.[3] The Couzinet 10 had fixed, conventional landing gear, with mainwheels below the outer engines on V-struts from the wing spars and with rubber cord shock absorbers. Enclosed within fairings that reached back to the trailing edges, its track was 5.4 m (17 ft 9 in). A small tailskid was fitted on the fuselage below the tailplane's leading edge.[2][3] The Couzinet 10 was flown for the first time on 7 May 1928 by Maurice Drouhin.[5] Further flights demonstrated well-coordinated controls and the ability to maintain altitude with the outer engine speeds reduced to 500 rpm and the central one at 1,500 rpm, compared with a maximum 1,900 rpm.[5] The ability to fly safely on one central engine provided, Couzinet thought, safety if an outer engine failed.[2] By July 1928[6] it had been converted into the Couzinet 11 with a central 450 kW (600 hp) Hispano 12Lb V12 engine.[1]  The Couzinet 11 is sometimes called the Couzinet 27, using the design study number as the type number, but the Couzinet 20 series were much smaller aircraft. The new engine installation raised the empty weight by 700 kg (1,500 lb) and slightly increased speed, ceiling and useful load.[6] The Type 11 crashed at Orly on 8 August 1928 following intense aileron flutter at speed, killing both Drouhin and engineer André Lanet.[7] A second airframe, intended to have three Hispano 12Lb engines, was barely started when it was destroyed with the first Couzinet 20 in the hangar fire at the workshops of the Société d'Aviation Letord at Meudon, France, on 17 February 1930.[8] From Faix[1] Data from Les Ailes, March 1928[3]General characteristics Performance</t>
  </si>
  <si>
    <t>Long range civil aircraft</t>
  </si>
  <si>
    <t>Société des Avions Couzinet</t>
  </si>
  <si>
    <t>Four</t>
  </si>
  <si>
    <t>27 m (88 ft 7 in)</t>
  </si>
  <si>
    <t>92.75 m2 (998.4 sq ft)</t>
  </si>
  <si>
    <t>{'Couzinet 10': 'c-en-Ciel 1, first Couzinet built.', 'Couzinet 11': 'c-en-Ciel 1bis, Couzinet 10 with a 450\xa0kW (600\xa0hp) Hispano 12Lb central engine.', 'Couzinet 12?': 'c-en-Ciel 2, three Hispano 12Lb, burned uncompleted in hangar fire.'}</t>
  </si>
  <si>
    <t>3,900 kg (8,598 lb)</t>
  </si>
  <si>
    <t>9,000 kg (19,842 lb)</t>
  </si>
  <si>
    <t>René Couzinet</t>
  </si>
  <si>
    <t>7 May 1928.</t>
  </si>
  <si>
    <t>15.45 m (50 ft 8 in)</t>
  </si>
  <si>
    <t>3.90 m (12 ft 10 in)</t>
  </si>
  <si>
    <t>3 × Hispano-Suiza 8Ac water-cooled V8, 130 kW (180 hp)  each nominal, 170 kW (230 hp)</t>
  </si>
  <si>
    <t>2-bladed Chauvière, 2.60 m (8 ft 6 in) diameter wooden</t>
  </si>
  <si>
    <t>//upload.wikimedia.org/wikipedia/commons/thumb/2/27/Couzinet_10_photo_NACA_Aircraft_Circular_No.77.jpg/300px-Couzinet_10_photo_NACA_Aircraft_Circular_No.77.jpg</t>
  </si>
  <si>
    <t>3,000 km (1,900 mi, 1,600 nmi) [6]</t>
  </si>
  <si>
    <t>6,000 m (20,000 ft) [6]</t>
  </si>
  <si>
    <t>6,200 l (1,400 imp gal; 1,600 US gal)</t>
  </si>
  <si>
    <t>https://en.wikipedia.org/René Couzinet</t>
  </si>
  <si>
    <t>Testbed aircraft</t>
  </si>
  <si>
    <t>A testbed aircraft is an aeroplane, helicopter or other kind of aircraft intended for flight research or testing the aircraft concepts or on-board equipment. These could be specially designed or modified from serial production aircraft.[1][2] For example, in development of new aircraft engines, these are fitted to a testbed aircraft for flight testing, before certification. For this adaptation it is required, among other changes, that new instrumentation wiring and equipment, fuel system and piping, as well as structural modifications of wing.[3][4] The Folland Fo.108 (nicknamed the "Folland Frightful") was a dedicated engine testbed aircraft of the 1940s. The aircraft had a mid fuselage cabin for test instrumentation and observers. Twelve were built and provided to British aero-engine companies. A large number of aircraft-testbeds have been produced and tested since 1941 in the Russia and Russia by the Gromov Flight Research Institute.[2][5] AlliedSignal,[6] Honeywell Aerospace[7] and Pratt &amp; Whitney[8] and other aerospace companies used Boeing jetliners as flying testbed aircraft.[9]  This aircraft-related article is a stub. You can help Wikipedia by expanding it.</t>
  </si>
  <si>
    <t>Sonaca 200</t>
  </si>
  <si>
    <t>The Sonaca 200 is a Belgian two-seat training aircraft designed and built by Sonaca Aircraft. The Sonaca 200 is a low-wing cantilever monoplane made from aluminium alloy, it has an enclosed cabin with two side-by-side seats. It is powered by a 115 hp Rotax 914 and has a fixed tricycle landing gear. In late 2015, the Sonaca group announced the creation of the subsidiary “Sonaca Aircraft” dedicated to the development, certification and market launch of a new training aircraft based on TAF's Sling 2. Later the aircraft was renamed as Sonaca 200. The single-engine two-seater, specifically designed for pilots' training and leisure flights, was certified in June 2018.[1] Sonaca 200 is EASA-certified for a maximum take-off weight of 750 kg and a cruise speed of 115 knots. In addition to the obtention of the type certification, Sonaca Aircraft has obtained a Design Organisation Approval  (DOA) and Production Organisations Approvals (POA) certification.[1] An initial demonstrator was assembled in April 2015, at Johannesburg by The Airplane Factory. In April 2017, Sonaca Aircraft unveiled the new version of the Sonaca 200 in which 80% of the structure has been redesigned compared to the initial "Amateur Construction" prototype version.[citation needed] In 2018, after obtaining the Type Certification of the S200, Sonaca Aircraft announced the development of a Glass Cockpit variant, named the S201.[1] Data from TCDS[2]General characteristics Performance</t>
  </si>
  <si>
    <t>Very Light Aircraft</t>
  </si>
  <si>
    <t>https://en.wikipedia.org/Very Light Aircraft</t>
  </si>
  <si>
    <t>Sonaca Aircraft</t>
  </si>
  <si>
    <t>https://en.wikipedia.org/Sonaca Aircraft</t>
  </si>
  <si>
    <t>1 pilot</t>
  </si>
  <si>
    <t>9.24 m (30 ft 4 in)</t>
  </si>
  <si>
    <t>11.85 m2 (127.6 sq ft)</t>
  </si>
  <si>
    <t>213 km/h (132 mph, 115 kn)</t>
  </si>
  <si>
    <t>38 (1 Prototype)[citation needed]</t>
  </si>
  <si>
    <t>6.74 m (22 ft 1 in)</t>
  </si>
  <si>
    <t>2.56 m (8 ft 5 in)</t>
  </si>
  <si>
    <t>1 × Rotax 914F four-stroke piston engine, 86 kW (115 hp)</t>
  </si>
  <si>
    <t>3-bladed DUC Helices FLASH-R, 1.75 m (5 ft 9 in) diameter Clockwise rotation (pilot;s view)</t>
  </si>
  <si>
    <t>//upload.wikimedia.org/wikipedia/commons/thumb/e/eb/Sonaca_200%E2%80%99s_initial_prototype_assembled_by_The_Airplane_Factory_in_2015.jpg/300px-Sonaca_200%E2%80%99s_initial_prototype_assembled_by_The_Airplane_Factory_in_2015.jpg</t>
  </si>
  <si>
    <t>1 passenger or trainee</t>
  </si>
  <si>
    <t>140 L</t>
  </si>
  <si>
    <t>250 km/h (155 mph, 135 kn)</t>
  </si>
  <si>
    <t>The Airplane Factory Sling 2</t>
  </si>
  <si>
    <t>3.8 m/s (750 ft/min)</t>
  </si>
  <si>
    <t>https://en.wikipedia.org/The Airplane Factory Sling 2</t>
  </si>
  <si>
    <t>https://en.wikipedia.org/38 (1 Prototype)[citation needed]</t>
  </si>
  <si>
    <t>Hanriot H.25</t>
  </si>
  <si>
    <t>The Hanriot H.25 was a French, single-engined, six passenger airliner built in 1926. Only one was flown. The Hanriot H.25 was a braced, high wing monoplane.  It had an all-metal structure, covered everywhere with fabric. Its wing was built in three parts, a central section fixed to the upper fuselage longerons and a pair of outer panels which were braced on each side by two sets of parallel paired, interconnected struts which ran from two well-separated positions on the wing spars to meet on the undercarriage structure. The wing was essentially rectangular in plan apart from slightly angled tops and had constant thickness. Narrow-chord ailerons filled well over half the trailing edge.[1] It was powered by a 370 kW (500 hp), eighteen cylinder Salmson 18 Cm. This was one of the last, and the most powerful, of Salmson's water-cooled radial engines, with two in-line rows of nine cylinders. It was enclosed in a rounded cowling with caps over the cylinder-heads. Fuel was held in the wing centre-section and two Lamblin radiators  were mounted on the undercarriage legs.  Behind the engine the fuselage was rectangular in section, defined by light-metal, U-section longerons and cross-frames. The open cockpit was at the wing leading edge, with small side-windows for a better view downwards.  Behind the cockpit the cabin seated six passengers, each with their own window. Entry was via a port-side door and there was a disposable emergency ceiling hatch to allow passengers to escape by parachute.[1] The horizontal tail was  mounted on top of the fuselage, braced from the lower fuselage longerons on each side with a pair of parallel struts. Its plan was similar to the wing and the elevators were split, with a cut-out for the deep, broad rudder. The tailplane angle of incidence could be trimmed in flight. The low area fin was broad but unusually low; its angle of incidence could only be adjusted on the ground. The H.28 had conventional, fixed, tailskid landing gear. Its mainwheels, half enclosed by individual semi-circular fairings, were on a single axle and rubber cord shock absorbers enclosed within a streamlined fairing mounted on the lower fuselage longerons by N-form struts and reinforced by the wing bracing struts. The undercarriage track was 3 m (9 ft 10 in).[1] The date of the H.28's first flight is not known but by mid-May 1926 its development programme was underway at Villacoublay.[1] No more independent reports on the type appear in the French journals and there is no evidence of a second example. Data from Les Ailes, May 1926[1]General characteristics Performance</t>
  </si>
  <si>
    <t>Six passenger airliner</t>
  </si>
  <si>
    <t>https://en.wikipedia.org/Six passenger airliner</t>
  </si>
  <si>
    <t>Aéroplanes Hanriot et Cie</t>
  </si>
  <si>
    <t>https://en.wikipedia.org/Aéroplanes Hanriot et Cie</t>
  </si>
  <si>
    <t>17.0 m (55 ft 9 in)</t>
  </si>
  <si>
    <t>51 m2 (550 sq ft)</t>
  </si>
  <si>
    <t>195 km/h (121 mph, 105 kn) at ground level</t>
  </si>
  <si>
    <t>1,700 kg (3,748 lb)</t>
  </si>
  <si>
    <t>2,600 kg (5,732 lb)</t>
  </si>
  <si>
    <t>Early 1926</t>
  </si>
  <si>
    <t>12.50 m (41 ft 0 in)</t>
  </si>
  <si>
    <t>3.80 m (12 ft 6 in)</t>
  </si>
  <si>
    <t>1 × Salmson 18 Cm water-cooled, two row inline radial, 370 kW (500 hp)</t>
  </si>
  <si>
    <t>//upload.wikimedia.org/wikipedia/commons/thumb/9/9c/Hanriot_H.25_Les_Ailes_May_20%2C_1926.jpg/300px-Hanriot_H.25_Les_Ailes_May_20%2C_1926.jpg</t>
  </si>
  <si>
    <t>six passengers</t>
  </si>
  <si>
    <t>Fuel and oil 300 kg (660 lb)</t>
  </si>
  <si>
    <t>Hanriot H.34</t>
  </si>
  <si>
    <t>The Hanriot H.34 was a basic trainer designed in France in 1924 which did not reach production. It was a parasol wing aircraft, seating two in tandem. The parasol winged Hanriot H.34 was intended to complement the very successful biplane HD.14. It was designed to be easy to fly and, with a low wing loading, to have low stalling and landing speeds. Both types placed instructor and pupil in tandem, with dual controls.[1] The wing of the H.34 was in three parts. The two outer sections had parallel, straight and unswept leading and trailing edges and straight, angled tips. They were also cut away at their inner ends, where they met a rectangular, reduced chord centre section, producing a cut-out out over the rear seat. Narrow chord ailerons filled most of the trailing edge. The  wings were of mixed construction with pairs of duralumin spars and wooden ribs but the ailerons were all-metal. Pairs of parallel, rearward-leaning struts linked the lower fuselage and the outer wing spars and four vertical struts from the upper fuselage to the centre section formed a cabane.[1] The H.34 was powered initially by a 60 kW (80 hp) Le Rhône 9C rotary engine, but could also be powered by 67 kW (90 hp) Anzani 10C or 89 kW (120 hp) Salmson 9Ac radial engines. Its neat cowling merged into the circular section, aluminium-covered front fuselage which extended back to the forward cockpit.  The cockpit section and rear fuselage had a rectangular section defined by four spruce longerons and was fabric covered. The instructor sat in the forward seat, with the pupil behind in a cockpit wide enough to accept two sitting side-by-side if necessary.[1] Aft, the fuselage tapered in plan to a conventional empennage. Its tailplane, with a similar plan to the wing, was mounted on top of the fuselage at an angle of incidence that could be adjusted in flight. It was braced by parallel pairs of struts from the lower longerons and carried angular elevators. The fin was rounded, bearing a full, curved rudder which reached down to the keel and operated in an elevator cut-out.[1] The H.34 had fixed, tailskid landing gear, with its mainwheels 1.80 m (5 ft 11 in) apart on an axle articulated in the centre. The outer ends of the axle were rubber sprung on V-struts from the lower longerons and its centre supported from a false axle.[1] The first flight was made in 1924; though the date is unknown, it was flying by mid-September, taking part in the Auvergne aero-club national rally.[2] By November it was under test at Villacoublay.[1] The H.34 was developed into the Hanriot H.35 advanced trainer which had the same layout and appearance and a wing of the same construction and dimensions, but with a much more powerful 130 kW (180 hp) Hispano-Suiza 8Ab and an dural-framed fuselage. It was longer, heavier and faster.[3] Data from Les Ailes, November 1924[1]General characteristics Performance</t>
  </si>
  <si>
    <t>Training aircraft</t>
  </si>
  <si>
    <t>https://en.wikipedia.org/Training aircraft</t>
  </si>
  <si>
    <t>Avions Hanriot</t>
  </si>
  <si>
    <t>https://en.wikipedia.org/Avions Hanriot</t>
  </si>
  <si>
    <t>Two, instructor and pupil</t>
  </si>
  <si>
    <t>11.40 m (37 ft 5 in)</t>
  </si>
  <si>
    <t>22 m2 (240 sq ft)</t>
  </si>
  <si>
    <t>135 km/h (84 mph, 73 kn)</t>
  </si>
  <si>
    <t>396 kg (873 lb)</t>
  </si>
  <si>
    <t>646 kg (1,424 lb)</t>
  </si>
  <si>
    <t>1 (possibly 3)</t>
  </si>
  <si>
    <t>1 × le Rhône 9C air-cooled rotary piston engine, 60 kW (80 hp)</t>
  </si>
  <si>
    <t>//upload.wikimedia.org/wikipedia/commons/thumb/f/f8/Historique-meeting-1931-Lurcy.jpg/300px-Historique-meeting-1931-Lurcy.jpg</t>
  </si>
  <si>
    <t>Hanriot H.35, Hanriot H.36</t>
  </si>
  <si>
    <t>https://en.wikipedia.org/Hanriot H.35, Hanriot H.36</t>
  </si>
  <si>
    <t>Sikorsky S-9</t>
  </si>
  <si>
    <t>The Sikorsky S-9 Kruglyj (Rounded One) was a Russian single engine prototype aircraft completed in the spring of 1913 by the Russian Baltic Railroad Car Works while Igor Sikorsky was the chief engineer of the aircraft manufacturing division. The S-9 was a three-seat mid-wing monoplane with constant-chord wire-braced wings originally powered by a Gnome air-cooled rotary engine rated at 100 hp (75 kW). It was the first monocoque monoplane built in Russia and the cylindrical tapered fuselage was constructed of plywood 5 mm thick in the forward section and 3mm thick aft. Construction was completed in the spring of 1913.[1][2] Upon completion the S-9 was found to be substantially heavier than anticipated and the engine only delivered 80% of its rated horsepower. Initial flight tests revealed very poor performance. The engine was replaced by a 100 hp (75 kW) Gnome Monosoupape and further flights showed only a nominal increase in speed. The machine was eventually scrapped.[1][3] Data from Russian Aviation Museum[2] General characteristics Performance</t>
  </si>
  <si>
    <t>Experimental Monoplane</t>
  </si>
  <si>
    <t>320 sq ft (30 m2)</t>
  </si>
  <si>
    <t>56 mph (90 km/h, 49 kn)</t>
  </si>
  <si>
    <t>1,521 lb (690 kg)</t>
  </si>
  <si>
    <t>2,183 lb (990 kg)</t>
  </si>
  <si>
    <t>1 × Gnome Monosoupape 7-cylinder air-cooled rotary piston engine, 100 hp (75 kW)</t>
  </si>
  <si>
    <t>//upload.wikimedia.org/wikipedia/commons/thumb/3/37/Sikorsky_S-9_aircraft_side_view_circa_1913.jpg/300px-Sikorsky_S-9_aircraft_side_view_circa_1913.jpg</t>
  </si>
  <si>
    <t>Two passenger</t>
  </si>
  <si>
    <t>6.8 lb/sq ft (33 kg/m2) max load</t>
  </si>
  <si>
    <t>Peyret-Nessler Libellule</t>
  </si>
  <si>
    <t>The Peyret-Nessler Libellule (Dragonfly) was a French two-seat, low-powered (9 kW (12 hp)) parasol wing light aircraft built in 1927 to provide practical but economical flying. It was one of the first of these French avionettes. Eric Nessler was well known as a French glider pilot and builder in the inter-war period[1][2] and Louis Peyret was an experienced aircraft designer and constructor. Peyret had designed and built the tandem wing Peyret Alérion glider which won the first British gliding contest in 1922 and had also frequently collaborated with others, the Peyret-Le Prieur seaplane being one example. When Nessler began to consider the design of a very low-powered two-seat lightplane, Peyret was a natural choice of partner. The intention was to produce a practical aircraft with costs no greater than those of a car.[3] The three part parasol wing of the Libellule was rectangular in plan and without dihedral. Built around two box spars, its centre section was held high above the fuselage by pairs of parallel, outward-leaning struts from the spars at its  extremities to the upper fuselage longerons and the outer panels were braced with duraluminum V-struts from the lower longerons out to the spars at about 60% span. The wing position had the advantage of keeping it largely clear of the prop wash and, by lowering the centre of gravity, increasing lateral stability. The centre section was entirely covered with Rhodoïd, a transparent material used to provide an uninterrupted upward view from the cockpits, and the outer panels covered with fabric.[4]  The Libellule's unusual ailerons, designed by Peyret,[5] ran from the tips to about mid-span; mounted on the rear spar, they were divided span-wise into two roughly equal chord parts, hinged together and interconnected so that the rear surface had a greater deflection than the forward one, particularly in the case of upward deflections. The intention was to retain lateral control down to the lowest speeds.[4] The Libellule was powered by a 8.9 kW (12 hp) Salmson AD.3 three-cylinder radial engine within an aluminium cowling through which the cylinder heads projected for cooling. Behind the engine the wooden fuselage had a rectangular section, formed by four longerons with a series of frames. It was covered with 6 mm (0.24 in) thick  plywood in the cockpit area under the wing but only 1 mm (0.04 in) thick further aft. Below the wing there was a single cockpit, 800 mm (31.5 in) long, with tandem seats for the pilot and his passenger behind. The passenger had a headrest which formed the start of an upper fuselage fairing, fabric-covered and running back to the tail. The vertical tail was rhomboidal in profile, with an unbalanced rudder. The horizontal tail was rectangular in plan and, like the ailerons, split spanwise into two moving sections with greater deflections at the rear.[4][6] The Libellule's landing gear was fixed and conventional with a track of 1.20 m (47.2 in). Its mainwheels were on a single axle, connected to the central and lower fuselage with a lateral, inverted, W-strut of profiled steel tubes, with rubber cord shock absorbers. Drag loads were countered with fore-and-aft wire bracing.[4][6] The sole Libellule was first flown in mid-December 1927[7] and in June 1928 gained its certificate of airworthiness.[8] At the end of June it was displayed at Orly by Nessler[9] and it returned there again in September for the light plane meeting.[10] There were frequent discussions in France about the merits of low-power aircraft (avionettes in French) which cited the Libellue as an exemplar of the type.[3][6][11] In 1930 it was offered for sale at a price of 35,000 francs[12] and it remained active until at least late 1934.[6] Data from Les Ailes, May 1928[4]General characteristics Performance</t>
  </si>
  <si>
    <t>Sports aircraft</t>
  </si>
  <si>
    <t>https://en.wikipedia.org/Sports aircraft</t>
  </si>
  <si>
    <t>One pilot</t>
  </si>
  <si>
    <t>20 m2 (220 sq ft)</t>
  </si>
  <si>
    <t>95 km/h (59 mph, 51 kn) at ground level</t>
  </si>
  <si>
    <t>142 kg (313 lb)</t>
  </si>
  <si>
    <t>277 kg (611 lb)</t>
  </si>
  <si>
    <t>40 km/h (25 mph, 22 kn) minimum speed</t>
  </si>
  <si>
    <t>Eric Nessler and Peyret</t>
  </si>
  <si>
    <t>mid-December 1927</t>
  </si>
  <si>
    <t>1.93 m (6 ft 4 in)</t>
  </si>
  <si>
    <t>1 × Salmson AD.3 3-cylinder radial, 8.9 kW (12 hp)   at 1,800 rpm continuous</t>
  </si>
  <si>
    <t>2-bladed Levasseur, wooden, 1.60 m (5 ft 3 in) diameter</t>
  </si>
  <si>
    <t>25 min 32 s to 1,500 m (4,900 ft)[6]</t>
  </si>
  <si>
    <t>//upload.wikimedia.org/wikipedia/commons/thumb/d/d2/Peyret-Nessler_Libellule_photo_L%27Aerophile-Salon_1934.jpg/300px-Peyret-Nessler_Libellule_photo_L%27Aerophile-Salon_1934.jpg</t>
  </si>
  <si>
    <t>3,500 m (11,500 ft) absolute, pilot only. 2,500 m (8,200 ft)</t>
  </si>
  <si>
    <t>18 l (4.0 imp gal; 4.8 US gal)</t>
  </si>
  <si>
    <t>35 km/h (22 mph; 19 kn)</t>
  </si>
  <si>
    <t>about 30 m (100 ft)</t>
  </si>
  <si>
    <t>Azalea Saberwing</t>
  </si>
  <si>
    <t>The Azalea Saberwing, named for the species of hummingbird, is an American amateur-built aircraft, designed and produced by Azalea Aviation of Adel, Georgia, introduced at Sun 'n Fun in 2015. The aircraft is supplied as a kit for amateur construction.[1] The Saberwing features a cantilever low-wing, a two-seats-in-side-by-side configuration enclosed cockpit under a bubble canopy, fixed conventional landing gear or optionally tricycle landing gear, with wheel pants and a single engine in tractor configuration.[1] The aircraft is made from a composite-foam sandwich with the wing spars and wing ribs made from a wood-composite sandwich. The design has been optimized for a low parts-count to simplify construction. Its 26 ft (7.9 m) span wing, has an area of 92 sq ft (8.5 m2) and mounts flaps. The cabin is 43 in (109 cm) in width. The standard engine used is the in-house developed 100 hp (75 kW) Spyder Corvair automotive conversion four-stroke powerplant.[1][2] The manufacturer estimates that building the aircraft from the supplied kit requires 500-1,000 hours of labor at a total completion cost of US$40,000-50,000.[1][3][4] Reviewers Roy Beisswenger and Marino Boric described the design in a 2015 review as "sleek" and "elegant".[1] By September 2020, four examples had been registered in the America with the Federal Aviation Administration.[5] Data from Tacke and manufacturer[1][2]General characteristics Performance</t>
  </si>
  <si>
    <t>Azalea Aviation</t>
  </si>
  <si>
    <t>https://en.wikipedia.org/Azalea Aviation</t>
  </si>
  <si>
    <t>In production (2020)</t>
  </si>
  <si>
    <t>26 ft (7.9 m)</t>
  </si>
  <si>
    <t>92 sq ft (8.5 m2)</t>
  </si>
  <si>
    <t>750 lb (340 kg)</t>
  </si>
  <si>
    <t>1,500 lb (680 kg)</t>
  </si>
  <si>
    <t>45 mph (72 km/h, 39 kn) flaps down</t>
  </si>
  <si>
    <t>four (2020)</t>
  </si>
  <si>
    <t>20 ft (6.1 m)</t>
  </si>
  <si>
    <t>1 × Spyder Corvair automotive conversion six cylinder, air-cooled, four stroke automotive engine, 100 hp (75 kW)</t>
  </si>
  <si>
    <t>2-bladed fixed pitch</t>
  </si>
  <si>
    <t>//upload.wikimedia.org/wikipedia/commons/thumb/f/f6/Azalea_Saberwing_N120SW.jpg/300px-Azalea_Saberwing_N120SW.jpg</t>
  </si>
  <si>
    <t>40 U.S. gallons (150 L; 33 imp gal)</t>
  </si>
  <si>
    <t>16.3 lb/sq ft (80 kg/m2)</t>
  </si>
  <si>
    <t>200 mph (320 km/h, 170 kn)</t>
  </si>
  <si>
    <t>Sikorsky S-30</t>
  </si>
  <si>
    <t>The Sikorsky S-30 was a proposed aircraft design by Igor Sikorsky to be built by the Sikorsky Manufacturing Corporation at Roosevelt, New York in 1925. The twin engine biplane was to have been used on mail routes or configured as a commercial passenger airliner. No examples of the S-30 were ever manufactured.[1][2] Data from Aerofiles[3]General characteristics Performance</t>
  </si>
  <si>
    <t>Light transport</t>
  </si>
  <si>
    <t>Sikorsky Manufacturing Corporation</t>
  </si>
  <si>
    <t>https://en.wikipedia.org/Sikorsky Manufacturing Corporation</t>
  </si>
  <si>
    <t>100 mph (160 km/h, 87 kn)</t>
  </si>
  <si>
    <t>2 × Wright R-790 Whirlwind Air-cooled 9-cylinder radial engines, 200 hp (150 kW)  each</t>
  </si>
  <si>
    <t>10 passengers or 1,800 pounds (820 kg)</t>
  </si>
  <si>
    <t>500 mi (800 km, 430 nmi)</t>
  </si>
  <si>
    <t>Sikorsky S-45</t>
  </si>
  <si>
    <t>The Sikorsky S-45 was a proposed double-deck  transoceanic flying boat originally designed in 1938 by Sikorsky Aircraft for Pan Am. The high wing monoplane featured a single-step hull with a triple-tail and was to be powered by six Wright R-3350 Duplex-Cyclone engines which were being developed at the time. The aircraft would have competed with the Boeing 314 but no examples of the S-45 were ever manufactured.[1][2][3]  Data from Global Security[1]General characteristics Performance</t>
  </si>
  <si>
    <t>Proposed flying boat airliner</t>
  </si>
  <si>
    <t>https://en.wikipedia.org/Proposed flying boat airliner</t>
  </si>
  <si>
    <t>236 ft (72 m)</t>
  </si>
  <si>
    <t>4,670 sq ft (434 m2) [3]</t>
  </si>
  <si>
    <t>34,930 lb (15,844 kg)</t>
  </si>
  <si>
    <t>87,000 lb (39,463 kg)</t>
  </si>
  <si>
    <t>155.5 ft (47.4 m)</t>
  </si>
  <si>
    <t>25.75 ft (7.85 m)</t>
  </si>
  <si>
    <t>6 × Wright R-3350 Duplex-Cyclone Air-cooled 18-cylinder radial engines, 2,500 hp (1,900 kW)  each [3]</t>
  </si>
  <si>
    <t>100 passengers</t>
  </si>
  <si>
    <t>5,000 mi (8,000 km, 4,300 nmi)</t>
  </si>
  <si>
    <t>Youngcopter Neo</t>
  </si>
  <si>
    <t>The Youngcopter Neo (transl. New) is a German NOTAR helicopter that was designed by Björn Jung and is under development by his company, Youngcopter of Mainz. It was first publicly introduced at the ILA Berlin Air Show in 2008. The aircraft is intended to be supplied as a kit for amateur construction.[1][2][3] No projected date has been announced for kit deliveries and no pricing has been set as of January 2018.[4] The Neo was designed to comply with the amateur-built aircraft construction rules. The first prototype was completed in 2008 and ground run. By 2010 ground testing had been completed, including rotor system tracking and balancing. The prototype first flew in hovering flight on 31 October 2011 and developmental hover flight testing continued through 2015.[1][5] The Neo design features a single main rotor, with no tail rotor, a two-seats-in side-by-side configuration enclosed cockpit with a windshield, skid landing gear and a twin-rotor 180 hp (134 kW) Neosis Wankel engine.[1] The aircraft fuselage is composite material monocoque design. Its three-bladed rotor has a diameter of 7.7 m (25.3 ft) and can be folded for hangar storage. The aircraft has a typical empty weight of 385 kg (849 lb) and a gross weight of 640 kg (1,411 lb), giving a useful load of 255 kg (562 lb). With full fuel of 120 litres (26 imp gal; 32 US gal) the payload for the pilot, passenger and baggage is 168 kg (370 lb).[1] The Neo kit under development is intended to be constructed by a person with average mechanical skills. It will not require any welding or composite materials lamination work. The proposed kit will include all sub-assemblies, engine and instruments.[4] Data from Tacke and manufacturfer[1][6]General characteristics Performance</t>
  </si>
  <si>
    <t>Helicopter</t>
  </si>
  <si>
    <t>https://en.wikipedia.org/Helicopter</t>
  </si>
  <si>
    <t>Youngcopter</t>
  </si>
  <si>
    <t>https://en.wikipedia.org/Youngcopter</t>
  </si>
  <si>
    <t>Under development (2018)</t>
  </si>
  <si>
    <t>385 kg (849 lb)</t>
  </si>
  <si>
    <t>Björn Jung</t>
  </si>
  <si>
    <t>one prototype</t>
  </si>
  <si>
    <t>6.230 m (20 ft 5 in)</t>
  </si>
  <si>
    <t>2.450 m (8 ft 0 in)</t>
  </si>
  <si>
    <t>1 × Neosis twin-rotor, Wankel engine, 130 kW (180 hp)</t>
  </si>
  <si>
    <t>//upload.wikimedia.org/wikipedia/commons/thumb/6/66/ILA_2008_PD_898.JPG/300px-ILA_2008_PD_898.JPG</t>
  </si>
  <si>
    <t>7.7 m (25 ft 3 in)</t>
  </si>
  <si>
    <t>46.5 m2 (501 sq ft)</t>
  </si>
  <si>
    <t>13.8 kg/m2 (2.8 lb/sq ft)</t>
  </si>
  <si>
    <t>1.930 m (6 ft 4 in)</t>
  </si>
  <si>
    <t>Naval Aircraft Modification Unit KDN Gorgon</t>
  </si>
  <si>
    <t>The Naval Aircraft Modification Unit KDN Gorgon, originally designated TD2N, was an early jet-powered target drone developed by the Bureau of Aeronautics and constructed by the Naval Aircraft Modification Unit for use by the America Navy. First flown near the end of World War II, it was cancelled due to problems with its engine in 1946. The TD2N-1 was a development of the Gorgon IIIB missile, designed in 1943 by the U.S. Navy Bureau of Aeronautics for use against heavy bomber aircraft and ground targets using optical guidance.[2] The Gorgon IIIB was cancelled due to its engine proving unsatisfactory;[3] however, a version simplified for use as a target drone was developed starting in November 1944.[4] Built by the Navy's Naval Aircraft Modification Unit, located in the former Brewster Aeronautical Corporation factory in Johnsville, Pennsylvania,[5] the TD2N-1 was of conventional design, with a monoplane wing and twin-tail configuration; to reduce cost and pressure on strategic materials, it was constructed primarily of wood with some portions of the fuselage being fabric-covered.[6] The aircraft was powered by a Westinghouse 9.5 – later redesignated J32 – turbojet engine mounted beneath the airframe.[2] The drone was controlled by a combination of preset navigation and radio command guidance, and was equipped with a parachute recovery system to allow the aircraft to be reused if it was not shot down.[6] The first drop tests of the TD2N-1 took place in June 1945;[2] on June 27, the first powered flight was attempted, but the aircraft crashed following  a failure of the radio command system.[3] On August 17, the TD2N-1 completed its first successful powered flight.[3] Testing at Naval Air Engineering Station Lakehurst continued following the end of World War II;[6] in early 1946, the aircraft was redesignated KDN-1 as the Navy rationalized its designation system,[2] however in March of that year the program was cancelled because of continuing development issues with the Westinghouse engine.[3] One KDN-1 survives, having been donated by the America Navy to the National Air and Space Museum in 1965; it remains in storage awaiting restoration.[6] Data from NASM[6]General characteristics Performance  Related development Aircraft of comparable role, configuration, and era  Related lists</t>
  </si>
  <si>
    <t>Naval Aircraft Modification Unit</t>
  </si>
  <si>
    <t>https://en.wikipedia.org/Naval Aircraft Modification Unit</t>
  </si>
  <si>
    <t>10 ft 9 in (3.28 m)</t>
  </si>
  <si>
    <t>27.8 sq ft (2.58 m2)</t>
  </si>
  <si>
    <t>500 mph (800 km/h, 430 kn)</t>
  </si>
  <si>
    <t>19[1]</t>
  </si>
  <si>
    <t>16 ft 3 in (4.95 m)</t>
  </si>
  <si>
    <t>4 ft 2 in (1.27 m)</t>
  </si>
  <si>
    <t>1 × Westinghouse J32 turbojet, 260 lbf (1.2 kN) thrust</t>
  </si>
  <si>
    <t>//upload.wikimedia.org/wikipedia/commons/thumb/f/f9/US_Navy_TD2N-1_target_drone_in_1947.jpg/300px-US_Navy_TD2N-1_target_drone_in_1947.jpg</t>
  </si>
  <si>
    <t>Gorgon IIIB missile</t>
  </si>
  <si>
    <t>https://en.wikipedia.org/Gorgon IIIB missile</t>
  </si>
  <si>
    <t>America Navy</t>
  </si>
  <si>
    <t>https://en.wikipedia.org/America Navy</t>
  </si>
  <si>
    <t>Potez 24</t>
  </si>
  <si>
    <t>The Potez 24 A.2 was a mid-1920s French biplane intended to replace the Potez 15 as an army observation aircraft. The further improved and larger Potez 25 was preferred for production. The Potez 24 was designed to fill the same two seat army co-operation role (French military category A.2) as the Potez 15 but with performance improved by extra power and a new, wing design.[1] Both upper and lower wings were rectangular in plan, with the lower one both shorter in span and smaller in chord. Each was built around a pair of spars and was wood-framed and fabric covered. The upper wing was in three parts; the centre section, held over the fuselage with four vertical cabane struts, had a trailing edge cut-out to improve the crew's field of view. The lower wing was in two parts, joined to the lower fuselage longerons. The Potez 24 was a single bay biplane with pairs of parallel, outward-leaning dural interplane struts between the spars, aided by wire bracing. It had only 100 mm (3.94 in) of stagger and, compared with the Potez 15, the 1.80 m (5 ft 11 in) interplane gap was larger. There were long, broad ailerons on the upper wing alone.[1] The engine mounting of the Potez 24 drew contemporary interest because it allowed for the installation of several different motors, for example the W12, water-cooled 340 kW (450 hp) Lorraine 12E Courlis and the similar Hispano-Suiza 12Ga. Engine and frame swaps involved only disconnection of supply and control lines and the removal of four bolts. The radiator was in the nose ahead of the engine, its segmental shape allowing a neat, rounded upper cowling.[2] Aft, the fuselage was flat-sided apart from rounded decking. The pilot's cockpit was below the upper wing cut-out, with the observer/machine gunner close behind. The empennage of the Potez 24 was conventional, with a rectangular plan tailplane on top of the fuselage carrying wider, balanced elevators. A broad fin carried the generous rudder.[1] The Potez 24 had a fixed, tailskid undercarriage with a 2.0 m (6 ft 7 in) track. Its single axle, enclosed in a fairing, was joined to the lower fuselage longerons by near-vertical, telescopic shock absorbing legs and faired, rearward drag struts. Instead of the usual cross-wires the structure had a single diagonal cross-bracing tube.[2]  The tailskid was rubber-sprung.[1] The date of the first flight of the Potez 24 is not known but had taken place shortly before the beginning of September 1924.[1] Towards the end of 1924 Potez flew the rather similar but larger type 25, which shared amongst other things a biplane layout and the quick-change engine mountings. After comparative tests of the two types at Villacoublay test centre in the spring of 1925 the Army preferred the later model, awarding it a contract, and development of the Potez 24 ceased.[3] Data from L'Aéronautique, October 1924[2]General characteristics Performance</t>
  </si>
  <si>
    <t>Observation aircraft</t>
  </si>
  <si>
    <t>https://en.wikipedia.org/Observation aircraft</t>
  </si>
  <si>
    <t>Aéroplanes Henry Potez</t>
  </si>
  <si>
    <t>https://en.wikipedia.org/Aéroplanes Henry Potez</t>
  </si>
  <si>
    <t>44 m2 (470 sq ft)</t>
  </si>
  <si>
    <t>224 km/h (139 mph, 121 kn) at ground level</t>
  </si>
  <si>
    <t>1,188 kg (2,619 lb)</t>
  </si>
  <si>
    <t>1,848 kg (4,074 lb)</t>
  </si>
  <si>
    <t>late summer 1924</t>
  </si>
  <si>
    <t>3.42 m (11 ft 3 in)</t>
  </si>
  <si>
    <t>1 × Lorraine 12E Courlis liquid-cooled W12 engine, 340 kW (450 hp)</t>
  </si>
  <si>
    <t>12.94 m (42 ft 5 in)</t>
  </si>
  <si>
    <t>9 m (29 ft 6 in)</t>
  </si>
  <si>
    <t>7,300 m (24,000 ft)</t>
  </si>
  <si>
    <t>320 l (70 imp gal; 85 US gal)</t>
  </si>
  <si>
    <t>Blohm &amp; Voss P 215</t>
  </si>
  <si>
    <t>The Blohm &amp; Voss P215 was an advanced jet night fighter project by Blohm &amp; Voss during the Second World War. With a crew of three and twin jet engines, it featured a tailless swept-wing layout and heavy armament. An order for three prototypes was received just weeks before the war ended. During 1944-45, under its chief designer Richard Vogt, Blohm &amp; Voss evolved a tailless wing layout through a series of studies. The Škoda-Kauba SK SL6 was the straight-winged SK V6 modified with twin tailbooms on the wing tips, each with a separate fin and outboard horizontal stabilizer. It was built to verify the control characteristics of the configuration.[1] The first B&amp;V project to feature the outboard tail was the P 208, a single-engined fighter with pusher propeller, swept wings allowing much shortened tail booms and with downturned outer stabilizers in place of tail fins. The next study, the P 209.01, used the same wings and was jet powered. The P 212 saw further evolution of the design through three iterations, with the wing being more steeply swept, the tailbooms eventually eliminated altogether and small fins with rudders placed at the junction of wing and stabilizer. In January 1945 a requirement for a night fighter with crew of three was issued. B&amp;V developed a twinjet variant of what had to date been a single-engined single-seater. The resulting P 215 design was heavily armed and would have been a formidable opponent.[2] An order for three prototypes was awarded on 17 March 1945, but the war ended just a few weeks later, before any significant detail design work could be begun.[3] The P 215 featured a main wing of constant chord and moderate sweep, with small landing flaps forming rear root fillets. Stub tailbooms at the wing tips supported tapered outboard tail surfaces. The horizontal stabilisers and attached elevators were angled downwards both in incidence and, more sharply, in anhedral. The neutral or negative angle of incidence provided longitudinal stability and, in conjunction with the anhedral, contributed to directional stability. Small vertical fins added to the directional stability and supported rudders. The thin, high-speed wing was unsuited to Vogt's trademark single tubular main spar, which in these designs was replaced by a broad wing box which shared the tubular construction's use of steel and doubling-up as fuel tankage. The short fuselage carried twin Heinkel HeS 011 jet engines set low to the rear, with the large cockpit located at the front of the main wing junction. The pilot and navigator sat side by side, with the radio/radar operator immediately behind them and facing rearward. A single engine air intake at the nose fed a steel duct which formed the structural spine of the craft. It passed beneath the cockpit and between the main undercarriage wells, before running under the main wing box and dividing to feed the two engines. This structural system allowed large removable panels to be cut in the duralumin skinning, allowing easy maintenance. A single nosewheel retracted beneath the front of the duct.[3] Several armament options were proposed, with the main armament clustered around the nose intake and comprising a mix of heavy 30 mm or cannon with or without rockets. An unusual feature was a further pair of 30 mm cannon set either side of the rear fuselage and pivoting more than 90° to fire either rearwards or upwards. Provision was also made behind the cockpit for a single rearward-facing 20 mm gun with up to 50° elevation, and for two 500 kg bombs beneath the fuselage.[4][2] Avionics included a comprehensive all-weather radio navigation suite and the advanced FuG 244 target acquisition and gun-laying radar.[4] The first iteration of the design, the P 215.01, formed the basis of the brochure which accompanied the proposal. Following an initial assessment of competing designs, a revised specification was issued, with greater focus on a three-man crew, better armament and greater endurance. The revised P215.02 was therefore significantly larger and incorporated a number of refinements, including a higher aspect ratio and revised cockpit canopy.[2][5] Data from Chronik Eines Flugzeugwerkes 1932-1945[3]General characteristics Performance Armament Avionics All-weather radio navigation aids, FuG 244 radar.[4]   Aircraft of comparable role, configuration, and era  Related lists</t>
  </si>
  <si>
    <t>Night fighter</t>
  </si>
  <si>
    <t>https://en.wikipedia.org/Night fighter</t>
  </si>
  <si>
    <t>Blohm &amp; Voss</t>
  </si>
  <si>
    <t>https://en.wikipedia.org/Blohm &amp; Voss</t>
  </si>
  <si>
    <t>Terminated by end of war</t>
  </si>
  <si>
    <t>3, pilot, navigator, radar/radio operator</t>
  </si>
  <si>
    <t>18.8 m (61 ft 8 in)</t>
  </si>
  <si>
    <t>55.0 m2 (592 sq ft)</t>
  </si>
  <si>
    <t>860 km/h (530 mph, 460 kn) at 6,000 m</t>
  </si>
  <si>
    <t>7,400 kg (16,314 lb)</t>
  </si>
  <si>
    <t>14,800 kg (32,628 lb)</t>
  </si>
  <si>
    <t>None completed</t>
  </si>
  <si>
    <t>11.6 m (38 ft 1 in)</t>
  </si>
  <si>
    <t>2 × Heinkel HeS 011 turbojet engine, 12.75 kN (2,870 lbf) thrust  each</t>
  </si>
  <si>
    <t>2,200 km (1,400 mi, 1,200 nmi)</t>
  </si>
  <si>
    <t>11,000 m (36,000 ft)</t>
  </si>
  <si>
    <t>270 kg/m2 (55 lb/sq ft)</t>
  </si>
  <si>
    <t>Blohm &amp; Voss P 212</t>
  </si>
  <si>
    <t>https://en.wikipedia.org/Blohm &amp; Voss P 212</t>
  </si>
  <si>
    <t>Luftwaffe</t>
  </si>
  <si>
    <t>https://en.wikipedia.org/Luftwaffe</t>
  </si>
  <si>
    <t>5 × 30 mm MK 108 cannon or 2 x 50 mm MK 112 cannon or 56 x R4M rockets,</t>
  </si>
  <si>
    <t>2 × 30 mm MK 108 cannon plus provision for a single central rearward-firing 20 mm FHL-151 gun,[4]</t>
  </si>
  <si>
    <t>provision for 2 x 500 kilograms (1,100 lb) bombs.[2]</t>
  </si>
  <si>
    <t>Hanriot H.38</t>
  </si>
  <si>
    <t>The Hanriot H.38 was a French twin-engined sesquiplane flying boat built in the mid-1920s.[1] Though the sole prototype was fitted with two defensive machine gun posts. the H.38 was described at the time as a utility aircraft.[2] The upper wing of the H.38 was mounted high above the water, with the smaller lower wing attached to the upper hull.  Both wings had low aspect ratio and were essentially rectangular in plan, with constant thickness.  Each was built around two steel spars and they were braced together with pairs of parallel steel interplane struts. There were three sets of these on each side, one pair outwards from the lower wing, another from the same points inwards to the engine mountings on the upper wing and another between the engines and the lower wing root.[1] The H.38 was powered by two 130 kW (180 hp) Hispano-Suiza 8Ab water-cooled V8 engines with front-mounted radiators, placed as close together as their propellers diameters allowed  in order to minimise asymmetric thrust in the event of an engine failure.[1][2] Its hull was wooden, with a concave section, single step bottom, gently curved sides and a flat top. The underside was triple surfaced and the sides double.  Stability on the water was provided by a pair of floats under the lower wings beneath the interplane strut mountings, separated by about 4.7 m (15 ft 5 in). The hull contained three open crew positions. Two of them, one in the extreme nose and the other midway between the trailing edge and the tail, housed machine gunners. The cockpit, which was under the leading edge of the upper wing, had two side-by-side seats, equipped with dual controls.[1] The hull underside sloped upward aft to the tail, where a low fin served also as a step on which to mount a rectangular tailplane braced on each side with struts to the lower side of the hull. It carried angle-tipped, balanced elevators.  The roughly rhomboidal, generous rudder was also balanced.[1][2] The exact date of the first flight of the Hanriot H.38 is not known but it had flown many times before mid-March 1926.[1] It continued to fly for another ten months until, after alighting on the Marne at Bezons, it was caught by the current, capsized and lost after hitting the pier of a bridge. Neither Marcel Haegelen, Hanriot's chief test pilot, nor the flight engineer Quéro were seriously injured.[3] Data from Les Ailes, March 1926[1]General characteristics Performance</t>
  </si>
  <si>
    <t>Military utility flying boat</t>
  </si>
  <si>
    <t>https://en.wikipedia.org/Military utility flying boat</t>
  </si>
  <si>
    <t>Three/four</t>
  </si>
  <si>
    <t>160 km/h (99 mph, 86 kn) at ground level</t>
  </si>
  <si>
    <t>1,555 kg (3,428 lb)</t>
  </si>
  <si>
    <t>2,377 kg (5,240 lb)</t>
  </si>
  <si>
    <t>early 1926</t>
  </si>
  <si>
    <t>10.75 m (35 ft 3 in)</t>
  </si>
  <si>
    <t>3.50 m (11 ft 6 in)</t>
  </si>
  <si>
    <t>2 × Hispano-Suiza 8Ab water-cooled V8, 130 kW (180 hp)  each</t>
  </si>
  <si>
    <t>//upload.wikimedia.org/wikipedia/commons/thumb/2/22/Hanriot_H.38_Les_Ailes_March_18%2C_1926.jpg/300px-Hanriot_H.38_Les_Ailes_March_18%2C_1926.jpg</t>
  </si>
  <si>
    <t>14 m (45 ft 11 in)</t>
  </si>
  <si>
    <t>4,600 m (15,100 ft)</t>
  </si>
  <si>
    <t>322 kg (710 lb) fuel + oil</t>
  </si>
  <si>
    <t>Lioré et Olivier LeO H-15</t>
  </si>
  <si>
    <t>The Lioré et Olivier Leo H-15 was a French twelve-seat civil flying boat, flown in a national contest in 1926. It did not win but set two load carrying records, one a world record. In 1926 the French government offered large prizes in a contest to produce new, multi-engined commercial seaplanes.  Compared with similar landplane competitions, few manufacturers offered a candidate; at the trials, held in July and August only the Lioré et Olivier LeO H-15 and the SPCA Météore 63 took part.[1] The LeO H-15 was a three-engined biplane with high aspect ratio, thin section wings of unequal span. The shorter span lower wing, with slight dihedral, was built into the hull and the upper wing was mounted on it without stagger or dihedral. The interplane struts were in parallel pairs, two outward leaning and two vertical outboard, and an interconnected central complex which both braced the wings and mounted two of its three 310 kW (420 hp) Gnome &amp; Rhône 9Ab nine cylinder radial engines close inboard between the wings. The other was mounted on the upper wing over the hull.[2] Its hull had two steps, one under the wing trailing edge and the second further aft. The underside had a rounded, rather than V, section and was wider than its upper part. The pilot was positioned in an open cockpit just ahead of the leading edge of the wing and a "luxurious" passenger cabin, accommodating twelve, was accessed via a hatch in the nose. On each side a stabilizing float was mounted below the lower wing on extensions of the outer interplane struts, strengthened with another, inward pair.[2] The LeO H-15's fin was part of the hull and was roughly triangular in profile. It carried a vertical-edged, balanced rudder which extended to the lower fuselage.  A rectangular plan tailplane was mounted on the fin a little way above the fuselage, braced on each side with a parallel pair of struts to the lower fuselage and wires from the upper fin; like the rudder, the elevators were balanced. The LeO H-15 first flew on 10 June 1926,[3] less than six weeks before the start of the trials on July 19 at Saint-Raphaël. It was required to achieve its Certificate of Airworthiness two days before the trials to take part. Its trials pilot was Lt. de Vaisseau Benoit. The Météore out-performed the LeO in the commercial flight tests and was judged safer and more comfortable for the passengers, though its take-offs took longer, it climbed more slowly and was less seaworthy. As a result, the Météore received the first prize of 100,000 francs and the LeO the 20,000 francs second prize.[1] During the trials the LeO H-15 set two records, both for aircraft carrying a load of 500 kg (1,100 lb). The first was a world duration record of 4 h 32 min 11 s and the second a French speed record over 500 km (310 mi) at 130.86 km/h (81.31 mph; 70.66 kn).[1] Data from Les Ailes, July 1926[2]General characteristics Performance</t>
  </si>
  <si>
    <t>Transport aircraft</t>
  </si>
  <si>
    <t>https://en.wikipedia.org/Transport aircraft</t>
  </si>
  <si>
    <t>Lioré et Olivier</t>
  </si>
  <si>
    <t>https://en.wikipedia.org/Lioré et Olivier</t>
  </si>
  <si>
    <t>136.24 m2 (1,466.5 sq ft)</t>
  </si>
  <si>
    <t>3,950 kg (8,708 lb)</t>
  </si>
  <si>
    <t>6,645 kg (14,650 lb)</t>
  </si>
  <si>
    <t>16.95 m (55 ft 7 in)</t>
  </si>
  <si>
    <t>6.10 m (20 ft 0 in)</t>
  </si>
  <si>
    <t>3 × Gnome &amp; Rhône 9Ab 9-cylinder radial, 310 kW (420 hp)  each (Bristol Jupiter built under licence)</t>
  </si>
  <si>
    <t>//upload.wikimedia.org/wikipedia/commons/thumb/a/ab/Liore_et_Olivier_LeO_H-15_L%27A%C3%A9rophile_August%2C1926.jpg/300px-Liore_et_Olivier_LeO_H-15_L%27A%C3%A9rophile_August%2C1926.jpg</t>
  </si>
  <si>
    <t>twelve passengers</t>
  </si>
  <si>
    <t>28.10 m (92 ft 2 in)</t>
  </si>
  <si>
    <t>20.50 m (67 ft 3 in)</t>
  </si>
  <si>
    <t>Sikorsky S-68</t>
  </si>
  <si>
    <t>The Sikorsky S-68 was a proposed modification of the S-58T turboshaft powered helicopter by moving its engines from the nose to above the cabin similar to the S-61. Doubt about the market potential of the design led to termination of the project before any examples were produced.[1]</t>
  </si>
  <si>
    <t>Commercial Transport</t>
  </si>
  <si>
    <t>CPA 1</t>
  </si>
  <si>
    <t>The CPA 1 was a French twin-engined, parasol-winged bomber designed and built in the mid-1920s. The CPA 1 had a two part, braced wing of constant thickness and chord which was straight-edged and swept at about 7°, built around two wooden spars and fabric covered. There was no dihedral.  The trailing edges were filled with ailerons and inboard, camber-changing flaps.[1] Its fuselage was rectangular in section, with a wooden frame which was wire cross-braced internally and ply-covered forward, with fabric covering aft.  The wings were mounted over the fuselage on four vertical cabane struts and were braced with a pair of sloping parallel struts on each side between the wing spars and the engine-bearing frames. The latter were each attached to the fuselage with three more sets of struts, two to the lower fuselage and one to its upper longeron, as well as pairs of vertical struts to the wing undersides. The CAP 1 had two 340 kW (450 hp) water-cooled Hispano-Suiza 12Jb[2] V12 engines housed in long cowlings with front-mounted radiators; the fuel tanks were in the wings but oil reservoirs were placed in the engine housings.[1] Aft of the CPA 1's semi-cylindrical nose there was a cabin about 5 m (16 ft) long for the observer. It had a forward facing window and a frame that could hold forty 10 kg (22 lb) or ten 50 kg (110 lb) bombs, deployed through ventral openings. It also had an open gun position in the nose and was equipped for vertical and oblique photography. The pilot's cockpit was under the wing trailing edge with a rear-gunner's position close behind, equipped with demountable dual controls, upward-firing machine guns on a flexible mount and a ventral hatch for another gun-mounting covering the lower rear field of fire.[1] Its tailplane was unswept, with constant chord  and angled tips, and was mounted on top of the fuselage, braced from below with pairs of struts. It carried narrow-chord elevators. The fin was broad and almost triangular and mounted a vertically edged, unbalanced rudder which reached down to the keel. The incidence of both fin and tailplane could be adjusted in flight to compensate for changes in centre of gravity or throttle setting.[1] The CAP 1 had a conventional, fixed tailskid undercarriage, with independent pairs of mainwheels below the engines; each pair was mounted on two sets of V-struts, one vertical to the engine-bearing frame and the other to the lower fuselage longeron.[1] The CPA 1 was first flown on 8 January 1926,[3] beginning its development at Orly immediately afterwards.[4] On 8 March the aircraft was flown by pilot Tache to Villacoublay to continue testing overseen by the S.T.Aé (Aircraft Technical Service), a government body responsible for certification.[5] In November it was joined by a second example of the CPA 1.[6][7] Their later history is unknown. Data from Les Ailes, December 1925[1] The performance figures are calculated at a weight of 4,200 kg (9,300 lb).General characteristics Performance Armament</t>
  </si>
  <si>
    <t>Heavy bomber aircraft</t>
  </si>
  <si>
    <t>https://en.wikipedia.org/Heavy bomber aircraft</t>
  </si>
  <si>
    <t>Chantiers de Provence-Aviation (C.P.A.)</t>
  </si>
  <si>
    <t>Three</t>
  </si>
  <si>
    <t>22.80 m (74 ft 10 in)</t>
  </si>
  <si>
    <t>84 m2 (900 sq ft)</t>
  </si>
  <si>
    <t>210 km/h (130 mph, 110 kn) at ground level</t>
  </si>
  <si>
    <t>3,000 kg (6,614 lb)</t>
  </si>
  <si>
    <t>4,200 kg (9,259 lb)</t>
  </si>
  <si>
    <t>90 km/h (56 mph, 49 kn) minimum speed at ground level</t>
  </si>
  <si>
    <t>de Boysson and Desgrandschamps</t>
  </si>
  <si>
    <t>13.35 m (43 ft 10 in)</t>
  </si>
  <si>
    <t>4.32 m (14 ft 2 in)</t>
  </si>
  <si>
    <t>2 × Hispano-Suiza 12Jb[2] water-cooled V12, 340 kW (450 hp)  each</t>
  </si>
  <si>
    <t>//upload.wikimedia.org/wikipedia/commons/thumb/5/5a/CPA_1_L%27A%C3%A9ronautique_May%2C1926.jpg/300px-CPA_1_L%27A%C3%A9ronautique_May%2C1926.jpg</t>
  </si>
  <si>
    <t>4,960 kg (10,935 lb)</t>
  </si>
  <si>
    <t>900 l (200 imp gal; 240 US gal)</t>
  </si>
  <si>
    <t>6× Lewis guns in total, a pair in the nose and a pair each in of the upper and lower rear positions.</t>
  </si>
  <si>
    <t>10×50 kg (110 lb) or 40×10 kg (22 lb) with 2 flares.</t>
  </si>
  <si>
    <t>Yakovlev Ya-19</t>
  </si>
  <si>
    <t>The Yakovlev Ya-19, (aka S-19 or AIR-19), was a 5-seat light transport aircraft developed directly from the  Yakovlev UT-3 during the late 1930s. The Ya-19 did not enter production, despite positive results from flight trials, due to the lack of development of the UT-3 and cancellation of the Voronezh MV-6 engine program, which were the result of changing priorities in the face of the Great Patriotic War. A derivative of the Yakovlev UT-3, the Ya-19was developed as a five-seat light transport by lead designer Oleg K. Antonov. The Ya-19 mated the wings undercarriage, tail unit and engines of the UT-3 with a new fuselage seating five with a single pilot. Access to the cabin and cockpit was by a door on the port side adjacent to the trailing edge. Four passengers sat in the cabin, two a side and the fifth sat next to the right of the pilot in the cockpit.[1] In 1940 Aeroflot requested that the Ya-19 should be produced for use on short haul routes, but the increasing pace of rearmament in the Soviet Union meant that only a single prototype was built. Production was curtailed when the UT-3 failed to achieve large scale production.[1] An ambulance version capable of carrying two stretchers, one walking wounded and a medical assistant was proposed to the VVS. A mock-up review commission approved the design but production relied on continued development of the UT-3 and Ya-19, which was curtailed due to war requirements.[1] Use of the AIR-19 designation would have been very brief, if used at all, as AIR was dropped as a designation when A.I. Rykov was purged in one of Stalin's pogroms.[1] The sole prototype completed manufacturer's testing in October 1939 and was then passed to the NII GVF (Nauchno-Issledovatel'skiy Institut Grazdahnskovo Vozdooshnovo Flota - civil air fleet scientific test institute), for state acceptance trials which it passed with good results. Fate of the prototype is unknown.[1] Data from OKB Yakovlev,[2] Yakovlev aircraft since 1924[1]General characteristics Performance</t>
  </si>
  <si>
    <t>https://en.wikipedia.org/Russia</t>
  </si>
  <si>
    <t>OKB Yakovlev</t>
  </si>
  <si>
    <t>https://en.wikipedia.org/OKB Yakovlev</t>
  </si>
  <si>
    <t>15 m (49 ft 3 in)</t>
  </si>
  <si>
    <t>33.42 m2 (359.7 sq ft)</t>
  </si>
  <si>
    <t>271 km/h (168 mph, 146 kn) *Landing speed</t>
  </si>
  <si>
    <t>2,134 kg (4,705 lb)</t>
  </si>
  <si>
    <t>235 km/h (146 mph, 127 kn)</t>
  </si>
  <si>
    <t>Oleg K. Antonov</t>
  </si>
  <si>
    <t>10.02 m (32 ft 10 in)</t>
  </si>
  <si>
    <t>2 × Voronezh MV-6 6-cylinder inverted in-line air-cooled piston engines, 160 kW (220 hp)  each</t>
  </si>
  <si>
    <t>2-bladed wooden fixed pitch propellers</t>
  </si>
  <si>
    <t>1,000 m (3,300 ft) in 5.3 minutes, 3,000 m (9,800 ft) in 17 minutes</t>
  </si>
  <si>
    <t>5 passengers</t>
  </si>
  <si>
    <t>783 km (487 mi, 423 nmi)</t>
  </si>
  <si>
    <t>2,950 kg (6,504 lb)</t>
  </si>
  <si>
    <t>280 kg (620 lb) fuel, 26 kg (57 lb) oil</t>
  </si>
  <si>
    <t>Yakovlev UT-3</t>
  </si>
  <si>
    <t>https://en.wikipedia.org/Yakovlev UT-3</t>
  </si>
  <si>
    <t>https://en.wikipedia.org/Oleg K. Antonov</t>
  </si>
  <si>
    <t>410 m (1,350 ft)</t>
  </si>
  <si>
    <t>365 m (1,198 ft)</t>
  </si>
  <si>
    <t>Airborne XT</t>
  </si>
  <si>
    <t>The Airborne XT is an Australian series of two-seat flying wing ultralight trikes designed and produced by Airborne Windsports and introduced in 2003.[1] The XT series features an XT carriage and a cable-braced hang glider-style high-wing, weight-shift controls, a two-seats-in-tandem open cockpit, tricycle landing gear and a single engine in pusher configuration.[1] The wing is made from bolted-together aluminium tubing, with its double surface wing covered in Dacron sailcloth. Its 9.9 m (32.5 ft) span wing is supported by a single tube-type kingpost and uses an "A" frame control bar. A number of different wings are available for the series. The XT was the first carriage used by Airborne that incorporated landing gear shock absorbers. It also uses a gas strut to lower and raise the wing for rigging it. Powerplants include the 80 hp (60 kW) Rotax 912 four cylinder, four stroke, horizontally-opposed aircraft engine and the 64 hp (48 kW) Rotax 582 twin cylinder, two stroke, inline engine.[1] Data from Betrand[1]General characteristics Performance</t>
  </si>
  <si>
    <t>Airborne Windsports</t>
  </si>
  <si>
    <t>https://en.wikipedia.org/Airborne Windsports</t>
  </si>
  <si>
    <t>9.9 m (32 ft 6 in)</t>
  </si>
  <si>
    <t>15 m2 (160 sq ft)</t>
  </si>
  <si>
    <t>216 kg (476 lb)</t>
  </si>
  <si>
    <t>56 km/h (35 mph, 30 kn)</t>
  </si>
  <si>
    <t>1 × Rotax 912 four cylinder, four stroke, horizontally-opposed aircraft engine, 60 kW (80 hp)</t>
  </si>
  <si>
    <t>//upload.wikimedia.org/wikipedia/commons/thumb/c/cf/AirBorne_XT912_Tourer_microlight.jpg/300px-AirBorne_XT912_Tourer_microlight.jpg</t>
  </si>
  <si>
    <t>62 litres (14 imp gal; 16 US gal)</t>
  </si>
  <si>
    <t>Airborne Outback</t>
  </si>
  <si>
    <t>https://en.wikipedia.org/Airborne Outback</t>
  </si>
  <si>
    <t>Airdrome Dream Fantasy Twin</t>
  </si>
  <si>
    <t>The Airdrome Dream Fantasy Twin is an American ultralight trainer and amateur-built aircraft, designed and produced by Airdrome Aeroplanes, of Holden, Missouri. The aircraft was derived from the single seat Airdrome Dream Classic and is supplied as a kit for amateur construction.[1] The Airdrome Dream Fantasy Twin features a cable-braced biplane layout, a two-seats-in-side-by-side configuration open cockpit, fixed conventional landing gear and a single engine in tractor configuration mounted above the cockpit on the keel tube.[1] The aircraft is made from bolted-together aluminum tubing, with its flying surfaces covered in doped aircraft fabric. The Airdrome Dream Fantasy Twin has a wingspan of 30 ft (9.1 m) and a wing area of 150 sq ft (14 m2). It can be equipped with engines ranging from 35 to 65 hp (26 to 48 kW). The standard engine used is the 50 hp (37 kW) two stroke Rotax 503, with 64 hp (48 kW) Rotax 582, 40 hp (30 kW) Rotax 447, 35 hp (26 kW) Rotax 377 or a 60 hp (45 kW) Volkswagen air-cooled engine optional. Building time from the factory-supplied kit is estimated at 200 hours by the manufacturer.[1][2] Four examples had been completed by December 2011.[1] Data from Kitplanes and Airdrome Aeroplanes[1][2]General characteristics Performance</t>
  </si>
  <si>
    <t>Amateur-built aircraft and ultralight trainer</t>
  </si>
  <si>
    <t>https://en.wikipedia.org/Amateur-built aircraft and ultralight trainer</t>
  </si>
  <si>
    <t>Airdrome Aeroplanes</t>
  </si>
  <si>
    <t>https://en.wikipedia.org/Airdrome Aeroplanes</t>
  </si>
  <si>
    <t>150 sq ft (14 m2)</t>
  </si>
  <si>
    <t>312 lb (142 kg)</t>
  </si>
  <si>
    <t>630 lb (286 kg)</t>
  </si>
  <si>
    <t>45 mph (72 km/h, 39 kn)</t>
  </si>
  <si>
    <t>27 mph (43 km/h, 23 kn)</t>
  </si>
  <si>
    <t>4 (2011)</t>
  </si>
  <si>
    <t>15 ft (4.6 m)</t>
  </si>
  <si>
    <t>1 × Rotax 377 twin cylinder, air-cooled, two stroke radial engine, 35 hp (26 kW)</t>
  </si>
  <si>
    <t>79 mi (127 km, 69 nmi)</t>
  </si>
  <si>
    <t>5 U.S. gallons (19 L; 4.2 imp gal)</t>
  </si>
  <si>
    <t>4.2 lb/sq ft (21 kg/m2)</t>
  </si>
  <si>
    <t>Airdrome Dream Classic</t>
  </si>
  <si>
    <t>550 ft/min (2.8 m/s)</t>
  </si>
  <si>
    <t>https://en.wikipedia.org/Airdrome Dream Classic</t>
  </si>
  <si>
    <t>Airsport Sonet</t>
  </si>
  <si>
    <t>The Airsport Sonet (English: Sonnet) is a Czech ultralight aircraft, designed and produced by Airsport of Zbraslavice. The aircraft is supplied in complete, ready-to-fly form.[1][2] The aircraft was derived from the Airsport Sonata motor glider and designed to comply with the Fédération Aéronautique Internationale microlight rules. It features a cantilever low-wing, a T-tail, a two-seats-in-side-by-side configuration enclosed cockpit, fixed tricycle landing gear and a single engine in tractor configuration.[1][2] The Sonet is made from composites. Its polyhedral wing comes in three optional spans: 10.2 m (33.5 ft), 11.4 m (37.4 ft) and 15 m (49.2 ft). It requires an engine of about 65 hp (48 kW) and no more than 60 kg (132 lb). Standard engines available are the 64 hp (48 kW) Rotax 582 two-stroke and the 60 hp (45 kW) HKS 700E four-stroke powerplant.[1][2][3] Data from Bayerl and Tacke[1][2]General characteristics Performance</t>
  </si>
  <si>
    <t>Airsport</t>
  </si>
  <si>
    <t>https://en.wikipedia.org/Airsport</t>
  </si>
  <si>
    <t>In production (2015)</t>
  </si>
  <si>
    <t>10.5 m2 (113 sq ft)</t>
  </si>
  <si>
    <t>201 km/h (125 mph, 109 kn)</t>
  </si>
  <si>
    <t>1 × Rotax 582 twin cylinder, liquid air-cooled, two stroke, 48 kW (64 hp)</t>
  </si>
  <si>
    <t>60 litres (13 imp gal; 16 US gal) in two tanks</t>
  </si>
  <si>
    <t>42.9 kg/m2 (8.8 lb/sq ft)</t>
  </si>
  <si>
    <t>Airsport Sonata</t>
  </si>
  <si>
    <t>4 m/s (790 ft/min)</t>
  </si>
  <si>
    <t>https://en.wikipedia.org/Airsport Sonata</t>
  </si>
  <si>
    <t>Nakajima Ki-8</t>
  </si>
  <si>
    <t>The Nakajima Ki-8 (キ8, Ki-hachi) was an unsuccessful attempt by the Nakajima Aircraft Company to interest the  Imperial Japanese Army Air Force in a two-seat modern monoplane fighter.[1] Development of the Ki-8, (a.k.a. Nakajima DF), began in 1933, based on an all-metal two-seat aircraft, featuring low inverted gull wings, with fixed and spatted landing gear, powered by a single 410 kW (550 hp) Nakajima Kotobuki Ha-1-3 radial engine. Proposed armament consisted of twin 7.7 mm (.303 in) machine guns firing from between the engine cylinders and a third 7.7 mm (.303 in) machine gun on a flexible mount on the back of the rear cockpit. In initial testing, the aircraft proved unpopular with test pilots, who raised concerns about the design's aerodynamic stability . The initial prototypes were also plagued with a variety of manufacturing defects and malfunctions. Though corrections were made to improve initial design and stability problems, the performance of the aircraft was considered no better than the existing Nakajima Type 91 fighter, and as the Japanese Army Air Force had no use for two-seat fighters,[2] the project was cancelled in 1934, after five prototype aircraft had been produced, and before the start of full production. Data from Famous Airplanes of the World, first series, #76: Army Experimental Fighters (1)[3]General characteristics Performance Armament</t>
  </si>
  <si>
    <t>Nakajima Aircraft Company</t>
  </si>
  <si>
    <t>https://en.wikipedia.org/Nakajima Aircraft Company</t>
  </si>
  <si>
    <t>two</t>
  </si>
  <si>
    <t>12.88 m (42 ft 3.1 in)</t>
  </si>
  <si>
    <t>28.5 m2 (306.78 sq ft)</t>
  </si>
  <si>
    <t>328 km/h (204 mph, 177 kn)</t>
  </si>
  <si>
    <t>{'Nakajima Ki-8': ' initial prototype (five built)'}</t>
  </si>
  <si>
    <t>1,525 kg (3,362 lb)</t>
  </si>
  <si>
    <t>2,111 kg (4,654 lb)</t>
  </si>
  <si>
    <t>8.17 m (26 ft 9.6 in)</t>
  </si>
  <si>
    <t>3.57 m (11 ft 8.5 in)</t>
  </si>
  <si>
    <t>1 × Nakajima Ha-1 Kotobuki air-cooled radial engine , 410 kW (550 hp)</t>
  </si>
  <si>
    <t>//upload.wikimedia.org/wikipedia/commons/thumb/1/17/Nakajima_Ki-8.jpg/300px-Nakajima_Ki-8.jpg</t>
  </si>
  <si>
    <t>1,000 km (621 mi, 540 nmi)</t>
  </si>
  <si>
    <t>8,760 m (28,740 ft)</t>
  </si>
  <si>
    <t>Imperial Japanese Army Air Force</t>
  </si>
  <si>
    <t>https://en.wikipedia.org/Imperial Japanese Army Air Force</t>
  </si>
  <si>
    <t>All American Ensign</t>
  </si>
  <si>
    <t>The All American 10A Ensign was a two-seat light plane built in the America shortly after World War II.  It was a low-wing, all-metal cantilever monoplane with fixed tricycle undercarriage and which seated its pilot and passenger side by side under an expansive bubble canopy.  Due to the glut of military surplus aircraft on the civil market after the war, All American was unable to attract buyers and no production ensued. Data from Mass Output Set for New Ensign,[1] Jane's all the World's Aircraft 1947[2]General characteristics Performance</t>
  </si>
  <si>
    <t>Utility aircraft</t>
  </si>
  <si>
    <t>All American</t>
  </si>
  <si>
    <t>https://en.wikipedia.org/All American</t>
  </si>
  <si>
    <t>33 ft (10 m)</t>
  </si>
  <si>
    <t>140 sq ft (13 m2)</t>
  </si>
  <si>
    <t>125 mph (201 km/h, 109 kn)</t>
  </si>
  <si>
    <t>{'10A': '', '10D': ' proposed development with retractable undercarriage and 125\xa0hp (93\xa0kW) '}</t>
  </si>
  <si>
    <t>900 lb (408 kg)</t>
  </si>
  <si>
    <t>1,450 lb (658 kg)</t>
  </si>
  <si>
    <t>112 mph (180 km/h, 97 kn) *Landing speed 50 mph (43 kn; 80 km/h)</t>
  </si>
  <si>
    <t>Ernest Adler</t>
  </si>
  <si>
    <t>~4</t>
  </si>
  <si>
    <t>22 ft (6.7 m)</t>
  </si>
  <si>
    <t>8 ft 6 in (2.59 m)</t>
  </si>
  <si>
    <t>1 × Continental C85 air-cooled flat four, 85 hp (63 kW)   (up to 125 hp (93 kW))</t>
  </si>
  <si>
    <t>2-bladed Sensenich wooden fixed pitch propeller</t>
  </si>
  <si>
    <t>//upload.wikimedia.org/wikipedia/commons/thumb/4/44/All_American_Ensign.jpg/300px-All_American_Ensign.jpg</t>
  </si>
  <si>
    <t>13,500 ft (4,100 m)</t>
  </si>
  <si>
    <t>25 US gal (21 imp gal; 95 l) in a single fuselage tank</t>
  </si>
  <si>
    <t>10.35 lb/sq ft (50.5 kg/m2)</t>
  </si>
  <si>
    <t>17 lb/hp (10.33 kg/kW)</t>
  </si>
  <si>
    <t>700 ft/min (3.6 m/s)</t>
  </si>
  <si>
    <t>https://en.wikipedia.org/Ernest Adler</t>
  </si>
  <si>
    <t>Air Command Tandem</t>
  </si>
  <si>
    <t>The Air Command Tandem is an American autogyro designed and produced by Air Command International of Caddo Mills, Texas.  The aircraft is supplied as a kit for amateur construction or as a ready-to-fly aircraft.[1] The Tandem kit was designed to comply with the US Experimental - Amateur-built rules. It features a single main rotor, a two-place tandem seating open cockpit with a fairing and a windshield, tricycle landing gear and a four-cylinder, air-cooled, four-stroke, 115 hp (86 kW) Subaru EJ22 automotive conversion or 100 hp (75 kW) Rotax 912ULS four-stroke aircraft engine in pusher configuration.[1] The aircraft's 28 ft (8.5 m) diameter Rotordyne rotor has a chord of 8 in (20.3 cm). The Tandem has an empty weight of 489 lb (222 kg) and a gross weight of 908 lb (412 kg), giving a useful load of 418 lb (190 kg).[1] Data from Bayerl[1]General characteristics Performance  This article on an aircraft of the 1990s is a stub. You can help Wikipedia by expanding it.</t>
  </si>
  <si>
    <t>Air Command International</t>
  </si>
  <si>
    <t>https://en.wikipedia.org/Air Command International</t>
  </si>
  <si>
    <t>109 mph (176 km/h, 95 kn)</t>
  </si>
  <si>
    <t>489 lb (222 kg)</t>
  </si>
  <si>
    <t>908 lb (412 kg)</t>
  </si>
  <si>
    <t>84 mph (135 km/h, 73 kn)</t>
  </si>
  <si>
    <t>1 × Rotax 912ULS four cylinder, air and liquid-cooled, four stroke aircraft engine, 100 hp (75 kW)</t>
  </si>
  <si>
    <t>9 U.S. gallons (34 L; 7.5 imp gal)</t>
  </si>
  <si>
    <t>Air Command CommanderAir Command Commander Tandem</t>
  </si>
  <si>
    <t>https://en.wikipedia.org/Air Command CommanderAir Command Commander Tandem</t>
  </si>
  <si>
    <t>28 ft 0 in (8.53 m)</t>
  </si>
  <si>
    <t>Airborne Sting</t>
  </si>
  <si>
    <t>The Airborne Sting is a series of Australian high-wing, single-seat hang gliders, designed and produced by Airborne Windsports of Redhead, New South Wales and introduced in the early 2000s.[1] The Stings are intended to be intermediate hang gliders used for recreational flying. They all feature ease of handling with good performance[1] The Sting 2 154 XC model is made from 7075 aluminum tubing, with the semi-double-surface wing covered in Dacron sailcloth. Its 9.09 m (29.8 ft) span wing is cable braced with a single kingpost supporting the ground wires. The nose angle is 121° and the aspect ratio is 5.7:1. The aircraft is certified as DHV 1-2.[1] Data from Bertrand[1]General characteristics</t>
  </si>
  <si>
    <t>9.8 m (32 ft 2 in)</t>
  </si>
  <si>
    <t>16.3 m2 (175 sq ft)</t>
  </si>
  <si>
    <t>Aircraft of the Battle of Britain</t>
  </si>
  <si>
    <t>The Battle of Britain (German: Luftschlacht um England) was an effort by the German Air Force (Luftwaffe) during the summer and autumn of 1940 to gain air superiority over the Royal Air Force (RAF) of the United Kingdom in preparation for the planned amphibious and airborne forces invasion of Britain by Operation Sea Lion. Neither the German leader Adolf Hitler nor his High Command of the Armed Forces (Oberkommando der Wehrmacht, or OKW) believed it was possible to carry out a successful amphibious assault on Britain until the RAF had been neutralised. Secondary objectives were to destroy aircraft production and ground infrastructure, to attack areas of political significance, and to terrorise the British people into seeking an armistice or surrender. The British date the battle from 10 July to 31 October 1940, which represented the most intense period of daylight bombing. German historians usually place the beginning of the battle in mid-August 1940 and end it in May 1941, on the withdrawal of the German bomber units in preparation for Operation Barbarossa, the campaign against the Soviet Union. The Battle of Britain was the first major campaign to be fought entirely by air forces; the British in the defensive were mainly using fighter aircraft, the Germans used a mixture of bombers with fighter protection. It was the largest and most sustained bombing campaign attempted up until that date. The failure of Nazi Germany to destroy Britain's air defence or to break British morale is considered its first major setback.[2] The most famous fighter aircraft used in the Battle of Britain were the British Hawker Hurricane and Supermarine Spitfire Mk I, and the German Messerschmitt Bf 109 E variant (Emil) single-engined fighters. Although the Spitfire had attracted more attention from the public,[3] the Hurricanes were more numerous and were responsible for most of the German losses, especially in the early part of the battle. The turn-around time (re-arm and refuel) for the Spitfire was 26 minutes, while the Hurricane's was 9 minutes, which increased its effectiveness.[citation needed] Many of the Spitfires used in the battle were purchased privately. Money raised by towns, companies, clubs or individuals was used to buy Spitfires for £5,000 each with the purchaser having naming rights. Queen Wilhelmina of the Netherlands donated £215,000 to purchase 43 Spitfires.[citation needed] The Spitfire and Bf 109E were well-matched in speed and agility, and both were somewhat faster than the Hurricane.[4] However, the slightly larger Hurricane was regarded as an easier aircraft to fly and was effective against Luftwaffe bombers.[5]  The Royal Air Force's preferred tactic was to deploy the Hurricanes against formations of bombers and to use the Spitfires against the fighter escorts. The view from the "blown" clear cockpit hood of the Spitfire was considered fair, while upwards good; view to the rear was considered fair for a covered cockpit. The curved plexiglass windscreen however was very bad optically and caused considerable distortion, which made long-distance visual scanning difficult. Spitfire pilot Jeffrey Quill made recommendations for the installation of "optically true" glass into the side panels to solve the problem.[6]  The Hurricane had a higher seating position, which gave the pilot a better view over the nose than the Spitfire.  The upper canopy panels of the Bf 109 through its E-3 subtype were curved, while the E-4 and later Emil subtypes were modified for better visibility with flat panels and the new design was often retrofitted to earlier 109s. Each of the three main fighters had advantages and disadvantages in their control characteristics; much of the air combat during the battle occurred at about 20,000 feet or lower. Due to its sensitive elevators, if the stick was pulled back too far on the Spitfire in a tight turn: stalling incidence may be reached and a high speed stall induced. When this occurs,  there is a violent shudder and clattering noise throughout the aeroplane which tends to flick over laterally and, unless the control column is put forward instantly a rapid roll and spin will result.[7]During tight turns the "twist" or washout designed into the wing by Reginald Mitchell meant that the wing root would stall before the wingtips, creating the shuddering and clattering referred to. This noise was a form of stall warning, reminding the pilot to ease up on the turn.[8] British testing in September 1940 revealed that some Bf 109 pilots succeeded in keeping on the tail of the Spitfire, despite the latter aircraft's superior turning performance, because a number of the Spitfire pilots failed to tighten up the turn sufficiently.[9] The gentle stall and good control under "g" of the Bf 109 were of some importance, as they enabled the Luftwaffe' pilot to get the most out of the aircraft in a circling dog-fight by flying very near the stall. The Bf 109 used leading edge slats which automatically deployed prior to stalling, but also made it much more difficult to continue chasing either a Hurricane or Spitfire  with a tight turn in aerial combat manoeuvres, from the slats intermittently opening in tight turns (on the wing to the "inside" of a turn) during dogfights, even causing problems during a takeoff if they opened unevenly.[10] The Rolls-Royce Merlin engine of the British fighters had the drawback of being equipped with a float-type carburettor which cut out under negative "g" forces. The direct-fuel injected Daimler-Benz DB 601 engine gave the 109 an advantage over the carburettor-equipped engine; when an RAF fighter attempted to "bunt" (the diving entry into an outside loop) and dive away from an opponent as the 109 could, their engines would temporarily cut out for the duration of the negative-g forces. This ability to perform negative-g manoeuvres without the engine cutting out gave a 109 pilot better ability to disengage at will.[11] On the question of comparative turning circles in combat, Spitfires and Hurricanes benefited from their lower wing loading compared with the Bf 109: the Royal Aircraft Establishment estimated the Spitfire's turning circle – without height loss – as 212 m (700 ft) in radius (the Hurricane's would be slightly tighter) while the 109E's was estimated as 270 m (890 ft) radius at 3,657 m (12,000 ft).[9] Other sources variously list a turn radius of between 125 m (410 ft) and 170 m (558 ft)at ground level and 230 m (754 ft) at 6,000 m (19,690 ft) for the 109E.[12][13] The Emil was smaller than either RAF fighter, and it was more difficult to land and take off than the Spitfire and Hurricane.[14] At high speeds controls tightened considerably, and the Bf 109E needed more strength to manoeuvre than either of its main opponents. Of all three fighters, the Bf 109E would possess the highest roll rate, with the aileron controls being brisk and responsive; the Spitfire had the highest aileron forces, but both the Spitfire and the Messerschmitt's rate of roll suffered at high speed.[citation needed] Overall the differences in performance between the Bf 109 and Spitfire were marginal and in combat they were surmounted by tactical considerations such as which side had seen the other first, which side had the advantage of altitude, numbers, pilot ability etc. with the main difference between the two aircraft being the Spitfire's tighter turning ability and the Bf 109's faster climb rate.[4] Both RAF fighters were armed with eight .303 Browning machine guns in the wings, harmonised by the squadrons to allow the bullets to converge at a distance. The Brownings had a high rate of fire and even a short burst from the eight machine guns sent out a large number of bullets. Although efficient against many aircraft, the small calibre bullets were often unable to penetrate the armour plating which was being increasingly used in Luftwaffe aircraft to protect crew and vital areas. An incendiary round, called the "De Wilde" was available, and this could do more damage than the standard "ball" rounds.[15] During the battle at least one Hurricane was experimentally armed with a single Hispano 20 mm cannon in a pod under each wing although it proved to be too slow and sluggish on the controls to be effective.[16] Several Spitfires, designated Spitfire Mk. IBs, were also modified to carry a Hispano cannon in each wing panel. 19 Squadron was equipped with this version in June 1940. On entering combat in August this first cannon armed Spitfire failed to create an impact, with the guns often jamming and unable to fire. When it did work, however, the Hispano was an effective weapon, with its shells easily able to penetrate the armour plating and self-sealing fuel tanks of Luftwaffe aircraft.[17] The Emil's main armament depended on the subtype. The E-1 was armed with four MG 17 7.92mm machine guns; two cowl guns above the engine with 1,000 rounds per gun, and two in the wings with 500 rounds per gun. The E-3, E-4 and E-7s retained the fuselage armament of the E-1 but replaced the MG 17 wing guns with two 20 mm cannons, one in each wing with 60 rpg; either MG FFs (E-3) or the more advanced MG FF/M (E-4 and E-7) that could fire the new German steel-cartridge Minengeschoß mine shell ammunition. Although the explosive shells had greater destructive power than the bullets of the Brownings, these cannon's low muzzle velocity and the limited ammunition capacity of their sixty-round drum magazines meant that the armament was not markedly superior to the RAF fighter's eight machine guns.[citation needed] Three or four hits from the cannons were usually enough to bring down an enemy fighter and, even if the fighter was able to return to base, it would often be written off.[18] For example, on 18 August a brand new Spitfire of 602 Squadron was hit by 20 mm shells which exploded in the structure of the rear fuselage. Although the crippled aircraft was successfully landed back at its airfield it was subsequently deemed to be unrepairable.[19] The MG FF/M, used in the Bf 109E-4, was modified to fire the more destructive, high-capacity mine-shells propelling the lighter shells at greater velocities than the MG FF.[20][21] The early shells of this type had contact fusing, detonating on contact with the skin of the airframe rather than penetrating, then exploding.[22] The more streamlined Bf 109 F-1, issued in small numbers starting in October, carried two cowl MG-17s and a single 20mm MG FF/M in the fuselage as an engine-mounted Motorkanone, firing through the propeller hub. A drawback of the Hurricane was the presence of a fuel tank just behind the engine firewall, which could catch fire and within a few seconds severely burn the pilot before he managed to bail out. This was later partly solved by fitting a layer of "Linatex" fire-resistant material to the tank, and an armoured panel forward of the instrument panel. Another hazard was presented by the main wing root mounted fuel tanks of the Hurricane, which were vulnerable to bullets fired from behind.[23] The main fuel tanks of the Spitfire, which were mounted in the fuselage forward of the cockpit, were better protected than that of the Hurricane; the lower tank was self-sealing and a panel of 3 mm thick aluminium, sufficient to deflect small calibre bullets, was wrapped externally over the top tanks. Internally they were coated with layers of "Linatex" and the cockpit bulkhead was fireproofed with a thick panel of asbestos.[23][24] On all the German fighters and bombers, the fuel tanks were self-sealing, and although capable of sealing leaks from enemy rounds, this could not prevent possibly fatal damage being inflicted by the "De Wilde" incendiary round which was being used by the RAF.[citation needed] A much more serious issue for the Luftwaffe's single-engined fighter force during the Battle was the Bf 109E's limited fuel capacity as originally designed. The Bf 109E escorts had a limited fuel capacity resulting in only a 660 km (410 mile) maximum range solely on internal fuel,[25] and when they arrived over a British target, had only 10 minutes of flying time before turning for home, leaving the bombers undefended by fighter escorts. Its eventual stablemate, the Focke-Wulf Fw 190A, was only flying in prototype form in the summer of 1940; the first 28 Fw 190A-0 service test examples were not delivered until November 1940.  The Fw 190A-1 had a maximum range of 940 km (584 miles) on internal fuel, 40% greater than the Bf 109E.[26] The Messerschmitt Bf 109E-7 corrected this deficiency by adding a ventral center-line ordnance rack to take either an SC 250 bomb for Jabo duties, or a standard 300 litre (66 Imp. gal/80 US gallon) capacity Luftwaffe drop tank to double the range to  1,325 km (820 mi). The ordnance rack was not retrofitted to earlier Bf 109Es until October 1940. The Spitfire, from about mid-1940, had 73 pounds (33 kg) of armoured steel plating in the form of head (of 6.5 mm thickness) and back protection on the seat bulkhead (4.5 mm), and covering the forward face of the glycol header tank.[24] The Hurricane had a similar armour layout to the Spitfire, and was the toughest and most durable of the three. Serviceability rates of Hawker's fighter were always higher than the complex and advanced Spitfire.[citation needed] The Messerschmitt Bf 109 E-3 received extra armour in late 1939, and this was supplemented with a 10 mm thick armoured plate behind the pilot's head during and after the Battle of France. Behind the fuel tank, an 8 mm armoured plate was placed in the fuselage protecting the tank and the pilot from attacks from behind.[citation needed] By July 1940, more efficient de Havilland and Rotol constant speed propellers had begun replacing two-pitch propellers on front line RAF fighters. The new units allowed the Merlin to perform more smoothly at all altitudes and reduced the takeoff and landing runs.  The majority of the front line RAF fighters were equipped with these propellers by mid-August.[24] The Bf 109E also used a constant speed Vereinigte Deutsche Metallwerke (VDM) three-blade unit with automatic pitch control. As early as 1938 Roy Fedden, who designed most of the Bristol Engine Company's most successful aero engines, pressed for the introduction of 100 octane aviation fuel from the US, and later that year the British aero engine manufacturers Bristol and Rolls-Royce demonstrated variants of their 'Mercury' and 'Merlin' engines rated for 100 octane fuel.[27][28] A memorandum by the "Department of Defence Co-Ordination", 'Proposals for securing adequate supplies of 100 octane fuel to meet war requirements', 23 December 1938, noted that there was a need to increase supplies of 100 octane fuel and discussed ways in which this could be achieved.[29] A meeting was held on 16 March 1939 to consider the question of when the 100 octane fuel should be introduced to general use for all RAF aircraft, and what squadrons, number and type, were to be supplied. The decision taken was that there would be an initial delivery to 16 fighter and two twin-engined bomber squadrons by September 1940.[30] However, this was based on a pre-war assumption that US supplies would be denied to Britain in wartime, which would limit the numbers of front-line units able to use the fuel.[31] On the outbreak of war this problem disappeared; production of the new fuel in the US, and in other parts of the world, increased more quickly than expected with the adoption of new refining techniques.[32][33] As a result, 100 octane fuel was able to be issued to all front-line Fighter Command aircraft starting in the spring of 1940.[34] [N 1] Although U-boats and surface raiders had begun to take a heavy toll of tankers, in the summer of 1940 there was a surplus of these ships because of the incorporation into the British merchant marine of tanker fleets from countries overrun by Germany.[36][33] The combination of CS propellers and 100 octane fuel put the British fighters on par with the Luftwaffe.[30][37][38] Throughout 1940 the supply situation and distribution of the fuel to the front line services was discussed by the "Co-ordination of Oil Policy Committee".[39] With 100 octane fuel the supercharger of the Merlin III engine could be "boosted" to +12 lbs/sq.in., producing 1,310 hp (977 kW) at 3,000 rpm at 9,000 feet (2,743 m) with a time limit of five minutes.[40] This increased power substantially improved the rate of climb, especially at low to medium altitudes, and increased the top speed by 25–34 mph up to 10,000 feet.[33][24][N 2] During the Battle of France and over Dunkirk RAF Hurricanes and Spitfires were able to use the emergency boost.[41][42] "In the first half of 1940 the RAF transferred all Hurricane and Spitfire squadrons to 100 octane fuel."[43] In the opinion of a pre-war paper by the British Air Ministry, Germany, as a large producer of synthetic fuel, was thought to be in a favourable position to produce 100 octane fuel in large quantities.[44] The German supply of aviation fuels was largely based on the hydrogenation of coal, due to their limited supplies of natural crude oil. At the outbreak of the war, Germany already had seven destructive hydrogenation plants in operation, with a total installed capacity of 1,400,000 t/year of oil.[45] At the start of the war the Luftwaffe standardized on 87 octane aviation gasoline, called "B4", made from leaded hydro-petrol extracted from brown coal.[46] In 1940 an improved fuel, designated "C2" was introduced having a higher aromatic content of 35–38% and giving performance equivalent to Allied 100 octane grade of that time.[46] C2 was used in small quantities by aircraft such as the Messerschmitt Bf 109E-4/N and E-7/N and the Messerschmitt Bf 110C when equipped with the DB 601N engine, that entered series production in October 1939.[47] The power was increased by 20% over that of the DB 601A, to 1,260 hp at 6,900 feet (2,100 m) at 1.35 atm boost pressure and 2,400 rpm.[47][48] By July, nine Bf 110 and three Bf 109 fighter Staffeln (squadrons) were equipped with the new engines,[48] By the end of October around 1,200 DB 601N engines had been delivered.[49] and the number of aircraft equipped with the improved engine gradually increased through the second half of the year.[50] However, due to leaking valves[clarification needed] there was relatively high wear on the 601N-engines, which had a life of about 40 hours.[51][52] In addition to the Hurricane, Spitfire, and the Bf 109, several other fighter aircraft — mostly twin-engined heavy fighters — took part in the Battle of Britain. At the start of the battle, the twin-engine Messerschmitt Bf 110 long range "destroyer" (German: Zerstörer) was expected to engage in air-to-air combat while escorting the Luftwaffe bomber fleet. Although the aircraft was well designed and the best of its class, being reasonably fast (Bf 110C-3 about 340 mph [547 km/h]) and possessing a respectable combat radius, the concept that the Bf 110 could defend bombers against a concerted attack by a force of fast single-seat, single-engined fighters was flawed. When pitted against the Hurricane and Spitfire the Bf 110s began to experience heavy losses through being only slightly more manoeuvrable than the bombers they were meant to escort and suffering from poor acceleration.[53] A variant of the 110 was the Bf 110D-1, nicknamed "Dachshund-belly" (Dackelbauch) because of the fixed, wooden, 1,050 litre (277 U.S. gal) fuel tank fitted under the fuselage.[N 3] I./ZG 76, based in Norway, was equipped with this version in order to provide air cover for convoys sailing along the Norwegian coast. On 15 August, in the belief that all of the RAF fighter units were concentrated far to the south, Luftflotte 5 launched its first and only bomber attack against North Eastern England. Seven out of the 21 I.ZG 76 aircraft being used as bomber escorts were destroyed, including that of the Gruppenkommandeur ("Group Commander").[54] The casualty rates for all of the Zerstörergeschwader wings using the Bf 110Cs were extremely high throughout the battle, and they were unable to fulfill the high aspirations of Hermann Göring, who had referred to them as his "Ironsides" (Eisenseiten)."[55] The most successful role of the Bf 110 during the Battle was as a "fast bomber" (Schnellbomber), the same role that the Junkers Ju 88A had been designed for in the mid-1930s. One unit, Test Group 210" (Erprobungsgruppe 210) — originally meant to service test the Bf 110's intended (but ill-fated) replacement, the Messerschmitt Me 210 — proved it could carry a greater bomb load over a greater range than a Ju 87 and deliver it with similar accuracy, while its much higher maximum speed, especially at lower altitudes, meant it was far more capable of evading RAF fighters.[55][56] The Bf 110 possessed a heavy armament of two 20 mm MG FF/M cannon and four 7.92 mm MG 17s concentrated in the forward fuselage, along with a single 7.92 mm MG 15 for rear defence in the rear cockpit. For the British, the most disappointing fighter was the Boulton-Paul Defiant. This aircraft was intended to be used as a "bomber destroyer" because it was thought: The speed of modern bombers is so great that it is only worthwhile to attack them under conditions which allow no relative motion between the fighter and its target. The fixed-gun fighter with guns firing ahead can only realise these conditions by attacking the bomber from dead astern...( Air Staff memorandum, June 1938)[57]  However, between the medium bomber types used by the Luftwaffe — the Do 17Z, the He 111P &amp; H, and the Ju 88A, none of these had a manned tail-gunner's position in the rear fuselage as part of their designs, as used during the Battle. By 1940, it was clear to both the RAF and the Luftwaffe that the deadliest opponents of bombers were single-engine, single-seat fighters with fixed, forward firing armament. Apart from the extra weight and drag imposed by the four-gun turret and second crew member, the Defiant lacked any directly forward-firing armament. Should the gunner need to escape from the turret in an emergency, the only way he could do this was to traverse the turret to one side and bail out through the escape hatch — but if the aircraft's electric system was disabled, immobilizing the all-electric turret  due to its power source being knocked out, there was no escape. After the strong intervention of Dowding, who realised the Defiant was designed to an unworkable concept, there were only two units equipped with this aircraft, 141 and 264 squadrons. On 19 July, after encountering Bf 109s of III./JG 51, 141 Sqn had four Defiants shot down, one written off and one damaged, with 10 crew members killed or missing.[58] Just over a month later, on 24 August 264 Sqn suffered the loss of four Defiants shot down and three badly damaged with seven crew members killed.[59] Both units were withdrawn from 11 Group, reequipped, and took no further part in daytime operations.[60][61] However, the Defiant was found to be more effective as a night fighter. It equipped four squadrons and during the winter Blitz on London of 1940–41, Defiants shot down more enemy aircraft than any other type.[62] The Fiat CR.42 Falco was a biplane fighter used by the Italian Air Corps (Corpo Aereo Italiano). They only made one mission during the battle itself when on 29 October they provided a bomber escort on a raid on Ramsgate.[63] Following the end of the battle, the Italian force continued to carry out limited raids on England, and on 11 November 1940, four CR.42s acting as escorts were destroyed by RAF Hurricanes with no loss to the RAF. German Luftwaffe aircraft had difficulty flying in formation with the biplanes, which also proved to be poor match for the more modern British fighters, and the CR.42s were transferred back to the Mediterranean theatre.[64] The Italians also fielded a small number of Fiat G.50 Freccia monoplane fighters.  Similar to the Luftwaffe's Bf 109E, this fighter was restricted by its short range of barely 400 miles (640 km), likely due to limited internal fuel, but unlike the German mainstay fighter, the lack of a radio unit in most participating aircraft also challenged its usability.[citation needed] The Bristol Blenheim was used by both Bomber and Fighter Commands. Some 200 Mk. I bombers were modified into Mk. IF long-range fighters with 600 (Auxiliary Air Force) Squadron based at Hendon, the first squadron to take delivery of these variants in September 1938. By 1939, at least seven squadrons were operating these twin-engined fighters and within a few months some 60 squadrons had transitioned to the type.[citation needed] The Mk. IF proved to be slower and less nimble than expected and by June 1940, daylight Blenheim losses were to cause concern for Fighter Command. It was then decided that the IF would be relegated mainly to night fighter duties where No. 23 Squadron RAF who had already operated the type under night time conditions had better success.[citation needed]  In the German night bombing raid on London, 18 June 1940, Blenheim night fighters accounted for five German bombers thus proving they were better suited in the nocturnal role. In July, No. 600 Squadron, by then based at RAF Manston, had some of its IFs equipped with Airborne Interception (AI) Mk. III radar. With this radar equipment, a Blenheim from the Fighter Interception Unit (FIU) at RAF Ford achieved the first success on the night of 2/3 July 1940, accounting for a Dornier Do 17 bomber. More successes came and, before long, the Blenheim was to prove invaluable in the night fighter role. Gradually, with the introduction of the Bristol Beaufighter in 1940–41, its role was supplanted by its faster, better armed progeny.[65] The first Beaufighters entered service in early September 1940, at first delivered in standard day fighter camouflage schemes although the type was intended for a night fighting role. The first night operations took place in September and October 1940 and on the night of 19/20 November 1940, a Beaufighter IF, equipped with AI radar downed a Ju 88. The aircraft from 604 Squadron was flown by Flt Lt. John Cunningham, scoring the first of his 20 victories.[66] The only British biplane fighter in operational service was the Gloster Gladiator which equipped No. 247 Squadron RAF, stationed in RAF Robourgh, Devon. Although no combat sorties took place at the height of the aerial battles, No. 247 Gladiators intercepted a He 111 in late October 1940, without result. No. 239 Squadron RAF using Gladiators in an army cooperation role and No. 804 Squadron, Fleet Air Arm outfitted with Sea Gladiators were also operational during the Battle of Britain.[67] The British had a cannon-armed fighter coming into service, the twin-engined Westland Whirlwind, but problems with its engines and slow production meant it did not enter service until December 1940.[citation needed] The majority of the bomber aircraft involved in the Battle of Britain were German although the Italians fielded a small number. The Luftwaffe in 1940 primarily relied on three twin-engined medium bombers: the Dornier Do 17, the Heinkel He 111 and the Junkers Ju 88. Despite the Luftwaffe being in the possession of advanced gyroscopic bomb sights, the Lotfernrohr 7 for daylight bombing and electronic navigational aids like the Knickebein, X-Gerät and Y-Gerät for nocturnal bombing, there were some very fundamental limitations to the accuracy of bombing from level flight, and there was no guarantee that such attacks could achieve success on small or difficult targets such as radar stations.[68] For precision attack emphasis was placed on the development of aircraft which could utilise the technique of dive bombing for which the Junkers Ju 87 Stuka was specifically designed. The Junkers Ju 88 was fitted with external dive brakes and a control system, similar to those of the Ju 87 and could carry out a dive bombing role, although it was primarily used as a level bomber. The light bomb loads carried by the Ju 87 had been used to great effect during the Battle of France. However, the Ju 87 was slow and possessed an inadequate degree of defensive weaponry, with only a single, 7.92mm calibre MG 15 machine gun at the rear of the cockpit for rearward defense. Furthermore, it could not be effectively protected by fighters, because of its low speed and the very low altitudes at which it ended its dive bomb attacks. The Stuka depended on air superiority, the very thing being contested over Britain. It was therefore withdrawn from attacks on Britain in August after prohibitive losses, leaving the Luftwaffe short of precision ground-attack aircraft.[68] Another constraint was imposed by the light armament carried by the Luftwaffe bombers. At the start of the battle they were still armed with an average of three hand held MG 15 light machine guns, which were supplied by 75 round "saddle drum" magazines. When faced with concentrated attacks by modern fighters such as the Hurricane and Spitfire this proved totally inadequate. Although many of the Luftwaffe gunners were well trained and capable of hitting a fast moving fighter the damage done was seldom enough to stop the attack in time to prevent heavy damage being done to the bomber. The high rate of fire of the MG 15 meant that the small magazines emptied quickly; the time taken to reload often gave a fighter the time it needed to make a successful attack. Efforts had been made to increase the number of defensive weapons, but this also meant that because the weapons were hand-held either more crew members were needed in each aircraft, or the existing crew members could be overworked. It was a problem which was never to be fully resolved and the Luftwaffe bombers had to rely on the ability of their fighters to protect their formations.[68] The bombers did enjoy some advantages. As more armour plate was added in vital areas, crew members became less vulnerable. Their fuel tanks were also well protected by layers of self-sealing rubber, although the incendiary and tracer ammunition which was carried by RAF fighters could sometimes ignite fuel vapour in empty tanks. The He 111 was nearly 100 mph slower than the Spitfire and didn't present much of a challenge to catch, although the heavy armour for the crew stations, self-sealing fuel tanks and progressively uprated defensive armament meant that it was still a challenge to shoot down. It was the most numerous German bomber type during the Battle, and was capable of delivering 2000 kg of bombs to the target, carried in an internal bomb bay – usually eight 250 kg bombs, stored vertically. Subsequent variants allowed further increase in the bomb load and the maximum size of bombs carried, with external bomb racks. The state-of-the art Lotfernrohr 7 gyroscoping bomb sight fitted to the Heinkel allowed for reasonable accuracy, for a level bomber. The main versions of the He 111 in use were the Jumo engined H-1, H-2 and H-3 and the DB 601 powered P-2 and P-4. Small numbers of the aircraft, called H-1x and H-3x, were equipped with Knickebein and X-Gerät and were used by Kampfgruppe 100 (KGr. 100) at night during the closing stages of the battle. Y-Gerät equipped H-5y of III. Gruppe Kampfgeschwader 26 began to take part in the Blitz of the winter of 1940–1941.[69] The Do 17Z was an older type of German bomber that was no longer in production by the start of the Battle. Still, many Kampfgeschwadern still operated the Dornier, known as "the flying pencil" due to its sleek fuselage. Its air-cooled radial BMW engines meant that many of these aircraft were able to survive fighter attack because there was no vulnerable cooling system to disable.[70] The Dornier was also manoeuvrable, and as a result was popular in the Luftwaffe. The main problem with the Dornier was its limited 200 mile combat range, when fully loaded with bombs. Its bomb carrying capacity was also limited to 2,205 lbs.[71] Older versions of the Do 17, mainly the E-1, were still used for weather reconnaissance duties. Of the four types of bomber used by the Luftwaffe the Ju 88 (the original Schnellbomber) was considered to be the most difficult to shoot down. As a bomber it was relatively manoeuvrable and, especially at low altitudes with no bomb load, it was fast enough to ensure that a Spitfire engaged in a tail-chase would be hard pressed to catch up. It could carry up to 3,000 kg of bombs. However, only small sized 50 and 70 kg bombs, up to a total weight of 1,400 kg, could be carried internally, while larger bombs had to be carried on external racks, causing considerable drag. The Ju 88 was also extremely versatile, being fitted with both the Lotfernrohr 7 gyroscopic bomb sight and Stuvi dive sight as well as retractable dive brakes. The front MG 15 machine gun could be locked with an ingenious retracting clamp just forward of the windscreen to lock it for forwards firing, and could be used for strafing runs. Thus the Ju 88, dubbed as the "Big Stuka", was equally at home when it came to level or dive bombing or low-level attacks. The versions of the Ju 88 used during the battle were the small-wingtipped A-1 and the A-5; the latter incorporated several improvements, including the A-4's increased 20.08 meter wingspan and uprated armament.[72] The Ju 88 C-1 heavy fighter version, with a sheet metal nose replacing the bombers' "beetle's-eye" faceted glazing, was also used in small numbers. In reality, the Ju 88, although operating in smaller numbers than the Do 17 and He 111, suffered the highest losses of the three German bomber types. Losses of Do 17 and He 111s amounted to 132 and 252 machines destroyed respectively, while 313 Ju 88s were lost.[73][74] I./KG 40 was equipped with a small number of the four-engined Focke-Wulf Fw 200 converted airliners, which were used to attack shipping and to provide long-range reconnaissance around the British Isles and out into the Atlantic Ocean.[75] The Corpo Aereo Italiano (CAI) was an expeditionary force of the Regia Aeronautica that participated in the very late stages of the Battle of Britain. The bomber element consisted of some 70 Fiat BR.20 twin engined bombers of 13° Stormo and 43° Stormo. based in Belgium. The Italian BR.20 was a  bomber capable of carrying 1600 kg (3,528 lb) of bombs. Supporting aircraft included five CANT Z.1007 used for reconnaissance duties and several Caproni Ca.133 transports. The Italian bomber force flew limited operations, undertaken towards the end of the battle. The CAI's bombers flew about 102 sorties, only one of which attained any notable success— severe damage being caused to a canning factory in Lowestoft by a raid on 29 November 1940, which killed three people.[76] The first mission on 25 October,[63] a night attack of 16 aircraft on Harwich led to three bombers being lost, with one crashing on takeoff and two becoming lost on their return. On 11 November a formation of 10 BR.20s escorted by Fiat CR.42 biplane fighters on a daylight raid on Harwich, was intercepted by RAF Hurricanes. Three bombers were downed and three CR.42s destroyed with four damaged, with no loss to the Hurricanes.[64] In early January 1941 all of the bombers were redeployed. Only the squadrons listed as Battle of Britain RAF squadrons were counted as being part of the Battle of Britain for the award of a campaign medal</t>
  </si>
  <si>
    <t>//upload.wikimedia.org/wikipedia/commons/thumb/2/2b/Hurricane.r4118.arp.jpg/300px-Hurricane.r4118.arp.jpg</t>
  </si>
  <si>
    <t>Aircraft Research BT-11</t>
  </si>
  <si>
    <t>The Aircraft Research XBT-11 was to have been a basic trainer constructed by the Aircraft Research Corporation (formerly the Vidal Research Corporation) of Bendix, New Jersey, by molding "Weldwood", a "plastic" plywood composite material made of heat and pressure-processed phenol phenol-formaldehyde resins and wood similar to the Duramold process. The Duramold and Haskelite processes were first developed in 1937, followed by Eugene L. Vidal's Weldwood in 1938.[1] A production contract, proposed in 1940, was cancelled before any were built.[2] Data from [3]General characteristics Performance</t>
  </si>
  <si>
    <t>Aircraft Research Corp</t>
  </si>
  <si>
    <t>https://en.wikipedia.org/Aircraft Research Corp</t>
  </si>
  <si>
    <t>42 ft (13 m)</t>
  </si>
  <si>
    <t>169 mph (272 km/h, 147 kn)</t>
  </si>
  <si>
    <t>4,431 lb (2,010 kg)</t>
  </si>
  <si>
    <t>27 ft 6 in (8.38 m)</t>
  </si>
  <si>
    <t>1 × Pratt &amp; Whitney R-985-25 radial engine, 450 hp (340 kW)</t>
  </si>
  <si>
    <t>America Army Air Corps</t>
  </si>
  <si>
    <t>https://en.wikipedia.org/America Army Air Corps</t>
  </si>
  <si>
    <t>The Airdrome Dream Classic is a minimalist, high wing, single seat, single engine ultralight aircraft inspired by the 1908 Santos-Dumont Demoiselle and produced in kit form by Airdrome Aeroplanes of Holden, Missouri.[1][2][3][4][5][6] The aircraft is intended for the US FAR 103 Ultralight Vehicles category.[1] The Dream Classic was designed as a low-cost and very basic ultralight. The fuselage is open and constructed from pop-riveted aluminum tubing. The wing is covered with aircraft fabric and is wire-braced utilizing a kingpost to support the ground loads or optionally strut-braced. The wings can be removed in 20 minutes for trailering. Controls are conventional three-axis, with the elevator and ailerons operated by a side stick.[1][3][5] Two different wings are available, a standard wing of 30.5 ft (9.3 m) span and 122 sq ft (11.35 sq m) area and a speed wing of 21.5 ft (6.6 m) span and 86 sq ft (8.00 sq m) area. The speed wing restricts the aircraft's useful load to 170 lb (77 kg),  while the standard wing allows 250 lb (113 kg).[1][5] The standard engine is the 40 hp (30 kW) Rotax 447, although engines of 28 to 52 hp (21 to 39 kW) can be used. The manufacturer estimates that a builder will take 100–120 hours to complete this aircraft from the kit. In 2009 the airframe-only kit for the wire-braced version cost US$3495 and US$3995 for the strut-braced version. A completed airframe is also available for an additional US$2000.[1][5][7] By the fall of 2007, 48 wired braced and one strut-braced Dream Classics were flying.[4] Data from Airdrome Aeroplanes[5] &amp; Kitplanes[3][4]General characteristics Performance   Aircraft of comparable role, configuration, and era</t>
  </si>
  <si>
    <t>21 ft 6 in (6.6 m)</t>
  </si>
  <si>
    <t>86 sq ft (8.00 m2)</t>
  </si>
  <si>
    <t>76 mph (123 km/h, 66 kn)</t>
  </si>
  <si>
    <t>223 lb (101 kg)</t>
  </si>
  <si>
    <t>68 mph (110 km/h, 59 kn)</t>
  </si>
  <si>
    <t>31 mph (50 km/h, 27 kn)</t>
  </si>
  <si>
    <t>Robert Baslee</t>
  </si>
  <si>
    <t>56 (2011)</t>
  </si>
  <si>
    <t>14 ft 0 in (4.27 m)</t>
  </si>
  <si>
    <t>6 ft 0 in (1.83 m)</t>
  </si>
  <si>
    <t>1 × Rotax 447 fixed pitch, 40 hp (30 kW)</t>
  </si>
  <si>
    <t>170 lb (77 kg); no passengers</t>
  </si>
  <si>
    <t>393 lb (178 kg)</t>
  </si>
  <si>
    <t>4.57 lb/sq ft (22.25 kg/m2)</t>
  </si>
  <si>
    <t>9.3 lb/hp (0.16 kW/kg)</t>
  </si>
  <si>
    <t>Santos-Dumont Demoiselle</t>
  </si>
  <si>
    <t>670 ft/min (3.4 m/s)</t>
  </si>
  <si>
    <t>https://en.wikipedia.org/Santos-Dumont Demoiselle</t>
  </si>
  <si>
    <t>Air Command Commander Side-By-Side</t>
  </si>
  <si>
    <t>The Air Command Commander  Side-By-Side is an American autogyro designed and produced by Air Command International of Caddo Mills, Texas.  The aircraft is supplied as a kit for amateur construction.[1] The Commander Side-By-Side provides an unusual gyroplane design in that it has side-by-side configuration seating. The gyroplane was designed to comply with the US Experimental - Amateur-built rules. It features a single main rotor, a two-seat open cockpit without a windshield, tricycle landing gear and a four-cylinder, air-cooled, four-stroke, 115 hp (86 kW) Subaru EJ22 automotive conversion engine in pusher configuration driving the propeller though a Gilmer belt reduction drive.[1] The aircraft's 29 ft (8.8 m) diameter Rotordyne rotor has a chord of 8 in (20.3 cm). The Side-By-Side has an empty weight of 485 lb (220 kg) and a gross weight of 926 lb (420 kg), giving a useful load of 441 lb (200 kg). Optional equipment available includes a folding mast, hydraulic wheel brakes and an electric trim system.[1] Data from Bayerl[1]General characteristics Performance</t>
  </si>
  <si>
    <t>99 mph (160 km/h, 86 kn)</t>
  </si>
  <si>
    <t>926 lb (420 kg)</t>
  </si>
  <si>
    <t>75 mph (120 km/h, 65 kn)</t>
  </si>
  <si>
    <t>1 × Subaru EJ22 four cylinder, air-cooled, four stroke automotive conversion, 115 hp (86 kW)</t>
  </si>
  <si>
    <t>10 U.S. gallons (38 L; 8.3 imp gal)</t>
  </si>
  <si>
    <t>Air Command Commander</t>
  </si>
  <si>
    <t>https://en.wikipedia.org/Air Command Commander</t>
  </si>
  <si>
    <t>29 ft 0 in (8.85 m)</t>
  </si>
  <si>
    <t>Airdale Backcountry</t>
  </si>
  <si>
    <t>The Airdale Backcountry is an American amateur-built aircraft that was designed by Brett McKinney and based upon John Larsen's Avid Mk IV design. It was produced by Airdale Flyer Company, of Rhinelander, Wisconsin, but the company went out of business in 2017 and production ended. When it was available the aircraft was supplied as a kit for amateur construction.[1][2][3][4] The Backcountry features a strut-braced high-wing, a two-seats-in-side-by-side configuration enclosed cockpit with doors for access, fixed conventional landing gear and a single engine in tractor configuration.[1][2][3] The aircraft fuselage is made from welded 4130 steel tubing, while the wing is of aluminum construction, with all surfaces covered in doped aircraft fabric. Its 30 ft (9.1 m) span wing has an area of 123 sq ft (11.4 m2) and flaperons. The Backcountry was designed to use the 100 hp (75 kW) Stratus EA 81 automotive conversion four-stroke powerplant.[1][2][3] The improvements over the Avid design include redesigning the aircraft to comply with the European Joint Aviation Requirements at a gross weight of 1,400 lb (635 kg), including stretching the fuselage by 16 in (41 cm), changing the main landing gear legs to aluminum gear with a track of 74 in (1.9 m), increasing the angle of the windshield, simplifying the control system and designing a differential flaperon system, redesigning the structure in the cockpit area to improve baggage access, adding new seats, increasing cockpit headroom and legroom, introducing wider cockpit doors and more cockpit width, modifying the tailwheel spring for more strength and designing a new engine cowling to accommodate the Subaru engine and other engine designs.[3][5] The company also offered a conversion kit for existing Mk IVs.[1][3] Data from Bayerl and Kitplanes[1][2]General characteristics Performance</t>
  </si>
  <si>
    <t>Airdale Flyer Company</t>
  </si>
  <si>
    <t>https://en.wikipedia.org/Airdale Flyer Company</t>
  </si>
  <si>
    <t>30 ft 0 in (9.14 m)</t>
  </si>
  <si>
    <t>122.7 sq ft (11.40 m2)</t>
  </si>
  <si>
    <t>120 mph (190 km/h, 100 kn)</t>
  </si>
  <si>
    <t>700 lb (318 kg)</t>
  </si>
  <si>
    <t>1,400 lb (635 kg)</t>
  </si>
  <si>
    <t>107 mph (173 km/h, 93 kn)</t>
  </si>
  <si>
    <t>37 mph (59 km/h, 32 kn)</t>
  </si>
  <si>
    <t>Brett McKinney</t>
  </si>
  <si>
    <t>18 ft 10 in (5.74 m)</t>
  </si>
  <si>
    <t>1 × Subaru EA-81 four cylinder, air-cooled, four stroke automotive engine, 100 hp (75 kW)</t>
  </si>
  <si>
    <t>28 U.S. gallons (110 L; 23 imp gal)</t>
  </si>
  <si>
    <t>11.4 lb/sq ft (55.6 kg/m2)</t>
  </si>
  <si>
    <t>Avid Mk IV</t>
  </si>
  <si>
    <t>https://en.wikipedia.org/Avid Mk IV</t>
  </si>
  <si>
    <t>Airflow Twinbee</t>
  </si>
  <si>
    <t>The Airflow Twinbee is a Belgian ultralight aircraft, designed and produced by Airflow S.P.R.L., of Brussels and introduced at the Aero show held in Friedrichshafen in 2010. The aircraft is supplied as a kit for amateur construction or as a complete ready-to-fly-aircraft.[1][2] The aircraft was designed to comply with the Fédération Aéronautique Internationale microlight rules. It features a strut-braced high-wing, a two-seats-in-side-by-side configuration enclosed cockpit, fixed tricycle landing gear and a single engine in tractor configuration.[1][2] The aircraft fuselage is made from welded stainless steel tubing covered with a composite skin. The tail boom is a single aluminium tube. The 9.33 m (30.6 ft) span wing is made from aluminum sheet and features Junkers-style ailerons. The wings can be folded for ground transportation or storage. Standard engines available are the 85 hp (63 kW) Verner 133M and the 80 hp (60 kW) Rotax 912UL four-stroke powerplant.[1][2] Data from Bayerl and manufacturer[1][3]General characteristics Performance</t>
  </si>
  <si>
    <t>Belgium</t>
  </si>
  <si>
    <t>https://en.wikipedia.org/Belgium</t>
  </si>
  <si>
    <t>Airflow S.P.R.L.</t>
  </si>
  <si>
    <t>https://en.wikipedia.org/Airflow S.P.R.L.</t>
  </si>
  <si>
    <t>9.33 m (30 ft 7 in)</t>
  </si>
  <si>
    <t>14.2 m2 (153 sq ft)</t>
  </si>
  <si>
    <t>153 km/h (95 mph, 83 kn)</t>
  </si>
  <si>
    <t>260 kg (573 lb)</t>
  </si>
  <si>
    <t>132 km/h (82 mph, 71 kn)</t>
  </si>
  <si>
    <t>6.4 m (21 ft)</t>
  </si>
  <si>
    <t>2.20 m (7.21 ft)</t>
  </si>
  <si>
    <t>1 × Verner 133M twin cylinder, horizontally-opposed  air-cooled, four stroke, 63 kW (85 hp)</t>
  </si>
  <si>
    <t>31.7 kg/m2 (6.5 lb/sq ft)</t>
  </si>
  <si>
    <t>180 km/h (112 mph, 97 kn)</t>
  </si>
  <si>
    <t>Airframes Unlimited T-103</t>
  </si>
  <si>
    <t>The Airframes Unlimited T-103 is an American powered parachute designed and produced by Airframes Unlimited of Athens, Texas.[1][2] The aircraft was originally offered as plans only by Powered Parachute Plans, also of Athens, Texas. When parts for complete aircraft were made available these were supplied by Airframes Unlimited and gradually the two enterprises were unified under the latter name.[1][2] The aircraft was designed to comply with the US FAR 103 Ultralight Vehicles rules, including the category's maximum empty weight of 254 lb (115 kg). The manufacturer says "The T-103 can be built to be part 103 compliant without any trouble." It features a parachute-style high-wing, two-seats-in-tandem, tricycle landing gear and accepts a wide variety of two stroke and four stroke engines mounted in pusher configuration.[1][3] The aircraft is built from welded 4130 steel tubing, with a 6061-T6 aluminum engine mount plate. In flight steering is accomplished via levers that actuate the canopy brakes, creating roll and yaw. On the ground the aircraft has lever-controlled nosewheel steering. The main landing gear incorporates spring rod suspension. The design uses an overhead adjustable canopy hang point, called a "cg spreader bar" to establish the correct canopy attachment point and hence the aircraft's flight attitude and torque offset.[1] The aircraft was originally supplied only in the form of illustrated plans provided on a CD-ROM in Microsoft Word .doc format. Later parts and sub-assemblies were made available and then complete carriages, less canopy, propeller and engine.[1][3]</t>
  </si>
  <si>
    <t>Powered parachute</t>
  </si>
  <si>
    <t>https://en.wikipedia.org/Powered parachute</t>
  </si>
  <si>
    <t>Airframes Unlimited</t>
  </si>
  <si>
    <t>https://en.wikipedia.org/Airframes Unlimited</t>
  </si>
  <si>
    <t>Airframes Unlimited T-2</t>
  </si>
  <si>
    <t>The Airframes Unlimited T-2 is an American powered parachute designed and produced by Airframes Unlimited of Athens, Texas.[1][2] The aircraft was originally offered as plans only by Powered Parachute Plans, also of Athens, Texas. When parts for complete aircraft were made available these were supplied by Airframes Unlimited and gradually the two enterprises were unified under the latter name.[1][2] The aircraft was designed to comply with the US Experimental - Amateur Built rules. It features a parachute-style high-wing, two-seats-in-tandem, tricycle landing gear and accepts a wide variety of two stroke and four stroke engines mounted in pusher configuration.[1] The aircraft is built from welded 4130 steel tubing, with a 6061-T6 aluminum engine mount plate. In flight steering is accomplished via levers that actuate the canopy brakes, creating roll and yaw. On the ground the aircraft has lever-controlled nosewheel steering. The main landing gear incorporates spring rod suspension. The design uses an overhead adjustable canopy hang point, called a "cg spreader bar" to establish the correct canopy attachment point and hence the aircraft's flight attitude and torque offset.[1] The aircraft was originally supplied only in the form of illustrated plans provided on a CD-ROM in Microsoft Word .doc format. Later parts and sub-assemblies were made available and then complete carriages, less canopy, propeller and engine.[1][3]</t>
  </si>
  <si>
    <t>Allstar SZD-54 Perkoz</t>
  </si>
  <si>
    <t>The Allstar SZD-54 Perkoz (English: Grebe) is a Polish two-seat, glider, designed and produced by Allstar PZL Glider of Bielsko-Biała.[1] The SZD-54  was designed in 1991, but company and political upheaval in Poland resulted in the glider not being put into production until 2011.[1] The aircraft is type certified to European Aviation Safety Agency CS22 standards. It features a cantilever mid-wing, a two-seats-in-tandem enclosed cockpit under a large bubble canopy and fixed monowheel gear with a small nosewheel and a tail caster.[1] The aircraft is made predominantly from fibreglass. Its 20 m (65.6 ft) span wing has an area of 17.82 m2 (191.8 sq ft) and mounts air brakes, as well as winglets. Optional wing tips are available for 17.5 m (57.4 ft) with winglets in the utility category and without winglets for aerobatics. All controls are automatically connected upon assembly. Despite its fixed landing gear, the SZD-54 has a best glide ratio of 42:1 with the 20 m (65.6 ft) span wing.[1] The SZD-54 has a design airframe life of 15,000 flight hours, but is approved for 3,000 hours and comes from the factory with a two-year warranty.[2] By November 2012 two examples had been registered in the America with the Federal Aviation Administration.[3] In December 2017, the Colombian Air Force had received two SZD-54-2 gliders for training purposes.[4] Data from Bayerl and Allstar[1][5]General characteristics Performance     Related lists</t>
  </si>
  <si>
    <t>Glider</t>
  </si>
  <si>
    <t>https://en.wikipedia.org/Glider</t>
  </si>
  <si>
    <t>Allstar PZL Glider</t>
  </si>
  <si>
    <t>https://en.wikipedia.org/Allstar PZL Glider</t>
  </si>
  <si>
    <t>2011-present</t>
  </si>
  <si>
    <t>20 m (65 ft 7 in)</t>
  </si>
  <si>
    <t>17.82 m2 (191.8 sq ft)</t>
  </si>
  <si>
    <t>0.58 m/s (114 ft/min) at 78 km/h (48 mph)</t>
  </si>
  <si>
    <t>379 kg (836 lb)</t>
  </si>
  <si>
    <t>600 kg (1,323 lb)</t>
  </si>
  <si>
    <t>8.25 m (27 ft 1 in)</t>
  </si>
  <si>
    <t>2.05 m (6 ft 9 in)</t>
  </si>
  <si>
    <t>//upload.wikimedia.org/wikipedia/commons/thumb/b/b0/Szybowiec_SZ-54_Perkoz_nad_Tatrami.jpg/300px-Szybowiec_SZ-54_Perkoz_nad_Tatrami.jpg</t>
  </si>
  <si>
    <t>33.7 kg/m2 (6.9 lb/sq ft)</t>
  </si>
  <si>
    <t>+5.3/-2.65</t>
  </si>
  <si>
    <t>American Airmotive NA-75</t>
  </si>
  <si>
    <t>The American Airmotive NA-75 was an agricultural aircraft marketed in the America in the 1960s, created by remanufacturing military surplus Boeing Stearman trainers.  The aircraft were fitted with completely new, high-lift wings, and one of the cockpits was replaced by a chemical hopper. As of 1980, over 200 Stearmans had been modified in this way, either by American Airmotive directly, or via conversion kits that the company sold. Data from Jane's All The World's Aircraft 1965-66[1]General characteristics Performance</t>
  </si>
  <si>
    <t>Agricultural aircraft</t>
  </si>
  <si>
    <t>American Airmotive</t>
  </si>
  <si>
    <t>https://en.wikipedia.org/American Airmotive</t>
  </si>
  <si>
    <t>338.26 sq ft (31.425 m2)</t>
  </si>
  <si>
    <t>55 mph (89 km/h, 48 kn) with 1,250 lb (570 kg) payload</t>
  </si>
  <si>
    <t>&gt;200</t>
  </si>
  <si>
    <t>24 ft 9 in (7.54 m)</t>
  </si>
  <si>
    <t>Gottingen 398</t>
  </si>
  <si>
    <t>1 × Pratt &amp; Whitney R-985 radial engine, 450 hp (340 kW)</t>
  </si>
  <si>
    <t>31.7 cu ft (0.90 m3) hopper&gt;2,000 lb (910 kg) payload</t>
  </si>
  <si>
    <t>33 ft 0+1⁄2 in (10.071 m)</t>
  </si>
  <si>
    <t>29 ft 5 in (8.97 m)</t>
  </si>
  <si>
    <t>4,612 lb (2,092 kg)</t>
  </si>
  <si>
    <t>Air Sports AIRector 120</t>
  </si>
  <si>
    <t>The Air Sports AIRector 120 is a German ultralight aircraft, designed and produced by Air Sports Aircrafts  [sic] of Dassel. It was introduced at the Aero show held in Friedrichshafen in 2010.[1] The aircraft was designed to comply with the Fédération Aéronautique Internationale microlight rules. It features a cantilever low-wing, a single-seat, enclosed cockpit, fixed conventional landing gear and a single engine in tractor configuration.[1] The aircraft is made from composites and has a very low empty weight of 120 kg (264.6 lb). The initial standard engine is the 50 hp (37 kW) Hirth F23 two-stroke powerplant, but it is expected that an all-electric drive train will be available soon.[1] Data from Bayerl[1]General characteristics Performance</t>
  </si>
  <si>
    <t>Air Sports Aircrafts  [sic]</t>
  </si>
  <si>
    <t>https://en.wikipedia.org/Air Sports Aircrafts  [sic]</t>
  </si>
  <si>
    <t>8.02 m (26 ft 4 in)</t>
  </si>
  <si>
    <t>120 kg (265 lb)</t>
  </si>
  <si>
    <t>242 kg (534 lb)</t>
  </si>
  <si>
    <t>1 × Hirth F23 two cylinder, air-cooled, two stroke, 37 kW (50 hp)</t>
  </si>
  <si>
    <t>Airdrome Fokker DR-1</t>
  </si>
  <si>
    <t>The Airdrome Fokker DR-1 is an American amateur-built aircraft, designed and produced by Airdrome Aeroplanes, of Holden, Missouri. The aircraft is supplied as a kit for amateur construction and is available in two versions, a full-sized and a 3/4 scale replica.[1][2][3] The aircraft is a replica of the First World War German Fokker Dr.I Triplane, built from modern materials and powered with modern engines.[1][3] The Airdrome Fokker DR-1 features a strut-braced triplane layout, a single-seat open cockpit, fixed conventional landing gear and a single engine in tractor configuration.[1][3] The aircraft is made from bolted-together aluminum tubing, with its flying surfaces covered in doped aircraft fabric. Both aircraft kits are made up of twelve sub-kits. The dimensions and the engines recommended vary depending on which variant is being constructed. Building time for either version is estimated at 400 hours by the manufacturer.[1][4][5] Data from Bayerl, Kitplanes and Airdrome Aeroplanes[1][2][5]General characteristics Performance</t>
  </si>
  <si>
    <t>17 ft 11 in (5.41 m)</t>
  </si>
  <si>
    <t>341 lb (155 kg)</t>
  </si>
  <si>
    <t>583 lb (264 kg)</t>
  </si>
  <si>
    <t>64 mph (103 km/h, 56 kn)</t>
  </si>
  <si>
    <t>34 mph (55 km/h, 30 kn)</t>
  </si>
  <si>
    <t>27 (3/4 scale, 2011)5 (full scale, 2011)</t>
  </si>
  <si>
    <t>1 × Rotax 582 twin cylinder, liquid-cooled, two stroke aircraft engine, 64 hp (48 kW)</t>
  </si>
  <si>
    <t>70 mi (110 km, 61 nmi)</t>
  </si>
  <si>
    <t>3.9 lb/sq ft (18.9 kg/m2)</t>
  </si>
  <si>
    <t>Fokker Dr.I</t>
  </si>
  <si>
    <t>950 ft/min (4.8 m/s)</t>
  </si>
  <si>
    <t>https://en.wikipedia.org/Fokker Dr.I</t>
  </si>
  <si>
    <t>AirLony Skylane</t>
  </si>
  <si>
    <t>The AirLony Skylane UL is a Czech two-seat, microlight, cabin monoplane manufactured by AirLony of Štětí.[1][2][3] The AirLony Skylane design was inspired by the much larger four-seat Cessna 182 Skylane, which it greatly resembles. The manufacturer calls it a  "small Cessna".[4] The Skylane is a high-wing monoplane with a fixed nose-wheel landing gear and powered by a Rotax 912 piston engine.[1] The enclosed cabin has side-by-side seating for two and dual yoke-style controls.[1][2][3][4] The aircraft is built from a combination  of wood and composites. The fuselage is of composite construction, while the strut-braced wing is of wooden structure with a semi-laminar MS (1)-313 airfoil and features a D-cell. The wing is fabric-covered and has two integral 42 l (11 US gal) fuel tanks. The wooden structure, fabric-covered and electrically operated flaps cover 39% of the wing chord and can be lowered to fixed positions of 13°, 29° and 37°.[2][3][4] The tail fin is of wood construction and features a NACA 0012 symmetrical airfoil. The main landing gear legs are made from fibreglass laminates and mount wheels with hydraulically operated toe-brakes. The nose wheel is of a fully castering design and can rotate 360°, allowing the aircraft to be pushed backwards while ground handling.[4] The Skylane can use engines from 50 to 100 hp (37 to 75 kW) with engine weights of 50 to 100 kg (110 to 220 lb), including the Rotax 912ULS, Jabiru 2200 and Volkswagen air-cooled engines.[2][3][4] Data from The World Directory of Leisure Aviation[1]General characteristics Performance</t>
  </si>
  <si>
    <t>Microlight cabin monoplane</t>
  </si>
  <si>
    <t>https://en.wikipedia.org/Microlight cabin monoplane</t>
  </si>
  <si>
    <t>AirLony</t>
  </si>
  <si>
    <t>https://en.wikipedia.org/AirLony</t>
  </si>
  <si>
    <t>8.95 m (29 ft 4 in)</t>
  </si>
  <si>
    <t>10.57 m2 (114 sq ft)</t>
  </si>
  <si>
    <t>207 km/h (129 mph, 112 kn)</t>
  </si>
  <si>
    <t>1 × Rotax 912 or similar , 37 to 75 kW (50 to 100 hp)</t>
  </si>
  <si>
    <t>//upload.wikimedia.org/wikipedia/commons/thumb/6/68/AirLony_Skylane_912_AN1628996.jpg/300px-AirLony_Skylane_912_AN1628996.jpg</t>
  </si>
  <si>
    <t>6.0 m/s (1,181 ft/min)</t>
  </si>
  <si>
    <t>Akaflieg Darmstadt D-30 Cirrus</t>
  </si>
  <si>
    <t>The Akaflieg Darmstadt D-30 Cirrus was an aerodynamically advanced single seat sailplane with a very high aspect ratio  wing and a pod and boom fuselage.  Built in Germany just before World War II, it was intended as a record breaker and duly set a new world out-and-return distance record in 1938. The Akademische Fliegergruppe of the Technical University of Darmstadt (Akaflieg Darmstadt) was first formed in 1921. It was, and is, a group of aeronautical students who design and construct aircraft as part of their studies and with the help and encouragement of their University. Before the Cirrus their sailplanes designs, whilst often advanced, had all been constructed from wood and fabric.  It was well known that high performance required large lift to drag ratios, and that these were obtained by using high aspect ratio wings.  The 20 m (65 ft 7 in) span wings of the Cirrus had an aspect ratio of 33.6, the highest of any aircraft built at the time, and such slender structures could not be built entirely from wood. Instead, a single, wide, tapering duralumin spar was built up out of corrugated sheets, with upper and lower skins that formed about one third of each wing surface at the root and more at the tip. Ahead and aft of the spar the wing profile was shaped with wooden ribs and plywood skinned.  It was straight tapered in plan, constructed from an inner 10 m (32 ft 10 in) centre section and two outer panels each 5 m (16 ft 5 in) long, with a high taper ratio of 4 and with squared off tips.  Strongly tapered wings have a lift distribution which falls rapidly along the span,[2] so the angle of incidence of the wings of the Cirrus initially increased along the span (wash-in), then decreased towards the tips (wash-out), producing a better approximation of the lift distribution to that of the aerodynamically ideal elliptical wing.  The outer panels had ailerons along the whole of their trailing edges, and the inner section similarly carried flaps. The ailerons were of the differential type and were interconnected to the rudder to simplify yaw correction. Mid-chord spoilers were fitted on the centre section.[1][3] Apart from its span and aspect ratio, the wing had two other unusual features. A combination of the then new NACA profiles used gave the wing more camber at the tip.  Since higher camber airfoils stall at greater angles of attack measured from the zero-lift line, the combination of higher camber and washout means that the stall develops inboard and that the ailerons, on the unstalled outer wing, retain lateral control and can prevent entry into a spin.  This is now a standard sailplane design feature but was new in the 1930s. The other unusual and possibly unique wing feature was that the dihedral of the outer panels (there was none inboard) could be varied in flight though large angles (+8.5/-4.4).  The intention was to investigate the effects of outer wing dihedral on handling.[1][3] The wing was set on top of the forward fuselage or pod, which ended just aft of the trailing edge.  The pilot's seat was ahead of the leading edge, with a canopy that ran back into the wing. The canopy and part of the surrounding upper fuselage was removed for access.  There was a shallow landing skid under most of the pod. Take-offs were made from a four-wheeled dolly, left behind after launch. A slender, light magnesium alloy (electron metal) tube ran aft from the top of the pod, carrying the empennage, which had ply covered fixed surfaces and fabric covered control surfaces.  The horizontal surfaces, set forward of the fin were straight tapered with rounded tips; the fin, which extended above and below the boom carried a large, almost semi-circular rudder.[1][3] The Cirrus, flown by Bernard Flinsch, set a new world record out and return distance in 1938, flying 306 km (190 mi) from Bremen to Lübeck and back.  Damaged in a launch accident, it was rebuilt with a revised pod and redesignated the D-30B.  In June 1939 Flinsch flew it 406 km (252 mi).[3] The Cirrus did not survive World War II.[3] Data from Flugzeug-Typenbuch. Handbuch der deutschen Luftfahrt- und Zubehör-Industrie 1944[5]General characteristics Performance</t>
  </si>
  <si>
    <t>Single seat high performance sailplane</t>
  </si>
  <si>
    <t>https://en.wikipedia.org/Single seat high performance sailplane</t>
  </si>
  <si>
    <t>Akaflieg Darmstadt</t>
  </si>
  <si>
    <t>https://en.wikipedia.org/Akaflieg Darmstadt</t>
  </si>
  <si>
    <t>20 m (65 ft 7 in) [N 1]</t>
  </si>
  <si>
    <t>0.52 m/s (102 ft/min) at 62 km/h (39 mph; 33 kn)</t>
  </si>
  <si>
    <t>175 kg (386 lb)</t>
  </si>
  <si>
    <t>H. Alt and H. J. Puffert[1]</t>
  </si>
  <si>
    <t>6.62 m (21 ft 9 in)</t>
  </si>
  <si>
    <t>1.75 m (5 ft 9 in)</t>
  </si>
  <si>
    <t>22.1 kg/m2 (4.5 lb/sq ft)</t>
  </si>
  <si>
    <t>+8 (ultimate)</t>
  </si>
  <si>
    <t>10.05 m (33 ft)</t>
  </si>
  <si>
    <t>1.8 m (5 ft 11 in)</t>
  </si>
  <si>
    <t>1 m (3 ft 3 in)</t>
  </si>
  <si>
    <t>Alpaero Sirius</t>
  </si>
  <si>
    <t>The Alpaero Sirius, also called the Noin Sirius, is a French high-wing, strut-braced, pod-and-boom, cruciform tail, single-seat motor glider that was designed by Claude Noin and produced by his company, Alpaero of Châteauvieux, Hautes-Alpes. It was available as plans for amateur construction and also as a kit, but has been discontinued.[1][2] Named for the star, the prototype Sirius was made from wood, tube and aircraft fabric and first flew in August 1984. The prototype had an 11 m (36.1 ft) wingspan.[2] The production Sirius fuselage is predominately made from fibreglass, with wooden bulkheads. The 13.4 m (44.0 ft) span tapered wing has a wooden spar and Styrofoam wing ribs reinforced with fibreglass and features air brakes on the top surface for glidepath control. The wing's leading edge is fabricated from  hot-wire cut foam, laminated with fibreglass. The wing and rudder are fabric covered. The fixed landing gear is a centre-line bicycle gear, with auxiliary wing tip and tail wheels. The main wheel has a drum brake. The 18 kW (24 hp) König SC 430 engine, or alternatively the 13.5 kW (18 hp) JPX D-320 engine, is mounted behind the cockpit and beneath the tail boom in pusher configuration and features a propeller guard plate just behind the main wheel. The propeller is a fixed pitch two-bladed design with small diameter. The cockpit width is 53 cm (21 in) and the best glide ratio is 23:1.[1][2] In 1998 the design was available as plans for US$220 or as a kit for US$7900. Building time from the kit was estimated as 700 hours.[1] Data from Purdy and company website[1][2]General characteristics Performance  Aircraft of comparable role, configuration, and era</t>
  </si>
  <si>
    <t>Motor glider</t>
  </si>
  <si>
    <t>https://en.wikipedia.org/Motor glider</t>
  </si>
  <si>
    <t>Alpaero</t>
  </si>
  <si>
    <t>https://en.wikipedia.org/Alpaero</t>
  </si>
  <si>
    <t>13.4 m (44 ft 0 in)</t>
  </si>
  <si>
    <t>14.30 m2 (153.9 sq ft)</t>
  </si>
  <si>
    <t>0.90 m/s (177 ft/min)</t>
  </si>
  <si>
    <t>87 km/h (54 mph, 47 kn)</t>
  </si>
  <si>
    <t>Claude Noin</t>
  </si>
  <si>
    <t>20 (1998)</t>
  </si>
  <si>
    <t>5.9 m (19.4 ft)</t>
  </si>
  <si>
    <t>1 × König SC 430 three cylinder, two-stroke, radial engine, 18 kW (24 hp)</t>
  </si>
  <si>
    <t>2-bladed fixed pitch wooden</t>
  </si>
  <si>
    <t>240 km (150 mi, 130 nmi)</t>
  </si>
  <si>
    <t>19 litres (4.2 imp gal; 5.0 US gal)</t>
  </si>
  <si>
    <t>+4.4/-2.2</t>
  </si>
  <si>
    <t>2.0 m/s (390 ft/min)</t>
  </si>
  <si>
    <t>https://en.wikipedia.org/Claude Noin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</si>
</sst>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m yyyy"/>
    <numFmt numFmtId="165" formatCode="mmmm yyyy"/>
    <numFmt numFmtId="166" formatCode="mmmm d, yyyy"/>
  </numFmts>
  <fonts count="5">
    <font>
      <sz val="10.0"/>
      <color rgb="FF000000"/>
      <name val="Arial"/>
      <scheme val="minor"/>
    </font>
    <font>
      <color theme="1"/>
      <name val="Arial"/>
      <scheme val="minor"/>
    </font>
    <font>
      <sz val="11.0"/>
      <color rgb="FF000000"/>
      <name val="Inconsolata"/>
    </font>
    <font>
      <u/>
      <color rgb="FF0000FF"/>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Paraglider" TargetMode="External"/><Relationship Id="rId190" Type="http://schemas.openxmlformats.org/officeDocument/2006/relationships/hyperlink" Target="https://en.wikipedia.org/AirLony" TargetMode="External"/><Relationship Id="rId42" Type="http://schemas.openxmlformats.org/officeDocument/2006/relationships/hyperlink" Target="https://en.wikipedia.org/Paraglider" TargetMode="External"/><Relationship Id="rId41" Type="http://schemas.openxmlformats.org/officeDocument/2006/relationships/hyperlink" Target="https://en.wikipedia.org/Brazil" TargetMode="External"/><Relationship Id="rId44" Type="http://schemas.openxmlformats.org/officeDocument/2006/relationships/hyperlink" Target="https://en.wikipedia.org/America" TargetMode="External"/><Relationship Id="rId194" Type="http://schemas.openxmlformats.org/officeDocument/2006/relationships/drawing" Target="../drawings/drawing1.xml"/><Relationship Id="rId43" Type="http://schemas.openxmlformats.org/officeDocument/2006/relationships/hyperlink" Target="https://en.wikipedia.org/US" TargetMode="External"/><Relationship Id="rId193" Type="http://schemas.openxmlformats.org/officeDocument/2006/relationships/hyperlink" Target="https://en.wikipedia.org/Alpaero" TargetMode="External"/><Relationship Id="rId46" Type="http://schemas.openxmlformats.org/officeDocument/2006/relationships/hyperlink" Target="https://en.wikipedia.org/Paraglider" TargetMode="External"/><Relationship Id="rId192" Type="http://schemas.openxmlformats.org/officeDocument/2006/relationships/hyperlink" Target="https://en.wikipedia.org/France" TargetMode="External"/><Relationship Id="rId45" Type="http://schemas.openxmlformats.org/officeDocument/2006/relationships/hyperlink" Target="https://en.wikipedia.org/America" TargetMode="External"/><Relationship Id="rId191" Type="http://schemas.openxmlformats.org/officeDocument/2006/relationships/hyperlink" Target="https://en.wikipedia.org/Germany" TargetMode="External"/><Relationship Id="rId48" Type="http://schemas.openxmlformats.org/officeDocument/2006/relationships/hyperlink" Target="https://en.wikipedia.org/Paraglider" TargetMode="External"/><Relationship Id="rId187" Type="http://schemas.openxmlformats.org/officeDocument/2006/relationships/hyperlink" Target="https://en.wikipedia.org/Poland" TargetMode="External"/><Relationship Id="rId47" Type="http://schemas.openxmlformats.org/officeDocument/2006/relationships/hyperlink" Target="https://en.wikipedia.org/Switzerland" TargetMode="External"/><Relationship Id="rId186" Type="http://schemas.openxmlformats.org/officeDocument/2006/relationships/hyperlink" Target="https://en.wikipedia.org/Glider" TargetMode="External"/><Relationship Id="rId185" Type="http://schemas.openxmlformats.org/officeDocument/2006/relationships/hyperlink" Target="https://en.wikipedia.org/America" TargetMode="External"/><Relationship Id="rId49" Type="http://schemas.openxmlformats.org/officeDocument/2006/relationships/hyperlink" Target="https://en.wikipedia.org/Switzerland" TargetMode="External"/><Relationship Id="rId184" Type="http://schemas.openxmlformats.org/officeDocument/2006/relationships/hyperlink" Target="https://en.wikipedia.org/America" TargetMode="External"/><Relationship Id="rId189" Type="http://schemas.openxmlformats.org/officeDocument/2006/relationships/hyperlink" Target="https://en.wikipedia.org/America" TargetMode="External"/><Relationship Id="rId188" Type="http://schemas.openxmlformats.org/officeDocument/2006/relationships/hyperlink" Target="https://en.wikipedia.org/Germany" TargetMode="External"/><Relationship Id="rId31" Type="http://schemas.openxmlformats.org/officeDocument/2006/relationships/hyperlink" Target="https://en.wikipedia.org/Boeing" TargetMode="External"/><Relationship Id="rId30" Type="http://schemas.openxmlformats.org/officeDocument/2006/relationships/hyperlink" Target="https://en.wikipedia.org/Spain" TargetMode="External"/><Relationship Id="rId33" Type="http://schemas.openxmlformats.org/officeDocument/2006/relationships/hyperlink" Target="https://en.wikipedia.org/Switzerland" TargetMode="External"/><Relationship Id="rId183" Type="http://schemas.openxmlformats.org/officeDocument/2006/relationships/hyperlink" Target="https://en.wikipedia.org/Belgium" TargetMode="External"/><Relationship Id="rId32" Type="http://schemas.openxmlformats.org/officeDocument/2006/relationships/hyperlink" Target="https://en.wikipedia.org/Paraglider" TargetMode="External"/><Relationship Id="rId182" Type="http://schemas.openxmlformats.org/officeDocument/2006/relationships/hyperlink" Target="https://en.wikipedia.org/America" TargetMode="External"/><Relationship Id="rId35" Type="http://schemas.openxmlformats.org/officeDocument/2006/relationships/hyperlink" Target="https://en.wikipedia.org/Paraglider" TargetMode="External"/><Relationship Id="rId181" Type="http://schemas.openxmlformats.org/officeDocument/2006/relationships/hyperlink" Target="https://en.wikipedia.org/America" TargetMode="External"/><Relationship Id="rId34" Type="http://schemas.openxmlformats.org/officeDocument/2006/relationships/hyperlink" Target="https://en.wikipedia.org/Paratech" TargetMode="External"/><Relationship Id="rId180" Type="http://schemas.openxmlformats.org/officeDocument/2006/relationships/hyperlink" Target="https://en.wikipedia.org/Autogyro" TargetMode="External"/><Relationship Id="rId37" Type="http://schemas.openxmlformats.org/officeDocument/2006/relationships/hyperlink" Target="https://en.wikipedia.org/Paraglider" TargetMode="External"/><Relationship Id="rId176" Type="http://schemas.openxmlformats.org/officeDocument/2006/relationships/hyperlink" Target="https://en.wikipedia.org/Autogyro" TargetMode="External"/><Relationship Id="rId36" Type="http://schemas.openxmlformats.org/officeDocument/2006/relationships/hyperlink" Target="https://en.wikipedia.org/Slovenia" TargetMode="External"/><Relationship Id="rId175" Type="http://schemas.openxmlformats.org/officeDocument/2006/relationships/hyperlink" Target="https://en.wikipedia.org/Airsport" TargetMode="External"/><Relationship Id="rId39" Type="http://schemas.openxmlformats.org/officeDocument/2006/relationships/hyperlink" Target="https://en.wikipedia.org/America" TargetMode="External"/><Relationship Id="rId174" Type="http://schemas.openxmlformats.org/officeDocument/2006/relationships/hyperlink" Target="https://en.wikipedia.org/America" TargetMode="External"/><Relationship Id="rId38" Type="http://schemas.openxmlformats.org/officeDocument/2006/relationships/hyperlink" Target="https://en.wikipedia.org/Paraglider" TargetMode="External"/><Relationship Id="rId173" Type="http://schemas.openxmlformats.org/officeDocument/2006/relationships/hyperlink" Target="https://en.wikipedia.org/USSR" TargetMode="External"/><Relationship Id="rId179" Type="http://schemas.openxmlformats.org/officeDocument/2006/relationships/hyperlink" Target="https://en.wikipedia.org/America" TargetMode="External"/><Relationship Id="rId178" Type="http://schemas.openxmlformats.org/officeDocument/2006/relationships/hyperlink" Target="https://en.wikipedia.org/Australia" TargetMode="External"/><Relationship Id="rId177" Type="http://schemas.openxmlformats.org/officeDocument/2006/relationships/hyperlink" Target="https://en.wikipedia.org/America" TargetMode="External"/><Relationship Id="rId20" Type="http://schemas.openxmlformats.org/officeDocument/2006/relationships/hyperlink" Target="https://en.wikipedia.org/Spain" TargetMode="External"/><Relationship Id="rId22" Type="http://schemas.openxmlformats.org/officeDocument/2006/relationships/hyperlink" Target="https://en.wikipedia.org/Switzerland" TargetMode="External"/><Relationship Id="rId21" Type="http://schemas.openxmlformats.org/officeDocument/2006/relationships/hyperlink" Target="https://en.wikipedia.org/Paraglider" TargetMode="External"/><Relationship Id="rId24" Type="http://schemas.openxmlformats.org/officeDocument/2006/relationships/hyperlink" Target="https://en.wikipedia.org/Paraglider" TargetMode="External"/><Relationship Id="rId23" Type="http://schemas.openxmlformats.org/officeDocument/2006/relationships/hyperlink" Target="https://en.wikipedia.org/Paraglider" TargetMode="External"/><Relationship Id="rId26" Type="http://schemas.openxmlformats.org/officeDocument/2006/relationships/hyperlink" Target="https://en.wikipedia.org/Paraglider" TargetMode="External"/><Relationship Id="rId25" Type="http://schemas.openxmlformats.org/officeDocument/2006/relationships/hyperlink" Target="https://en.wikipedia.org/Paraglider" TargetMode="External"/><Relationship Id="rId28" Type="http://schemas.openxmlformats.org/officeDocument/2006/relationships/hyperlink" Target="https://en.wikipedia.org/Spain" TargetMode="External"/><Relationship Id="rId27" Type="http://schemas.openxmlformats.org/officeDocument/2006/relationships/hyperlink" Target="https://en.wikipedia.org/Paraglider" TargetMode="External"/><Relationship Id="rId29" Type="http://schemas.openxmlformats.org/officeDocument/2006/relationships/hyperlink" Target="https://en.wikipedia.org/Paraglider" TargetMode="External"/><Relationship Id="rId11" Type="http://schemas.openxmlformats.org/officeDocument/2006/relationships/hyperlink" Target="https://en.wikipedia.org/France" TargetMode="External"/><Relationship Id="rId10" Type="http://schemas.openxmlformats.org/officeDocument/2006/relationships/hyperlink" Target="https://en.wikipedia.org/Switzerland" TargetMode="External"/><Relationship Id="rId13" Type="http://schemas.openxmlformats.org/officeDocument/2006/relationships/hyperlink" Target="https://en.wikipedia.org/Paraglider" TargetMode="External"/><Relationship Id="rId12" Type="http://schemas.openxmlformats.org/officeDocument/2006/relationships/hyperlink" Target="https://en.wikipedia.org/America" TargetMode="External"/><Relationship Id="rId15" Type="http://schemas.openxmlformats.org/officeDocument/2006/relationships/hyperlink" Target="https://en.wikipedia.org/Paraglider" TargetMode="External"/><Relationship Id="rId14" Type="http://schemas.openxmlformats.org/officeDocument/2006/relationships/hyperlink" Target="https://en.wikipedia.org/Paraglider" TargetMode="External"/><Relationship Id="rId17" Type="http://schemas.openxmlformats.org/officeDocument/2006/relationships/hyperlink" Target="https://en.wikipedia.org/Paraglider" TargetMode="External"/><Relationship Id="rId16" Type="http://schemas.openxmlformats.org/officeDocument/2006/relationships/hyperlink" Target="https://en.wikipedia.org/America" TargetMode="External"/><Relationship Id="rId19" Type="http://schemas.openxmlformats.org/officeDocument/2006/relationships/hyperlink" Target="https://en.wikipedia.org/Paraglider" TargetMode="External"/><Relationship Id="rId18" Type="http://schemas.openxmlformats.org/officeDocument/2006/relationships/hyperlink" Target="https://en.wikipedia.org/Spain" TargetMode="External"/><Relationship Id="rId84" Type="http://schemas.openxmlformats.org/officeDocument/2006/relationships/hyperlink" Target="https://en.wikipedia.org/Aeros" TargetMode="External"/><Relationship Id="rId83" Type="http://schemas.openxmlformats.org/officeDocument/2006/relationships/hyperlink" Target="https://en.wikipedia.org/Ukraine" TargetMode="External"/><Relationship Id="rId86" Type="http://schemas.openxmlformats.org/officeDocument/2006/relationships/hyperlink" Target="https://en.wikipedia.org/Ukraine" TargetMode="External"/><Relationship Id="rId85" Type="http://schemas.openxmlformats.org/officeDocument/2006/relationships/hyperlink" Target="https://en.wikipedia.org/Poland" TargetMode="External"/><Relationship Id="rId88" Type="http://schemas.openxmlformats.org/officeDocument/2006/relationships/hyperlink" Target="https://en.wikipedia.org/Colombia" TargetMode="External"/><Relationship Id="rId150" Type="http://schemas.openxmlformats.org/officeDocument/2006/relationships/hyperlink" Target="https://en.wikipedia.org/France" TargetMode="External"/><Relationship Id="rId87" Type="http://schemas.openxmlformats.org/officeDocument/2006/relationships/hyperlink" Target="https://en.wikipedia.org/Aeroprakt" TargetMode="External"/><Relationship Id="rId89" Type="http://schemas.openxmlformats.org/officeDocument/2006/relationships/hyperlink" Target="https://en.wikipedia.org/AeroAndina" TargetMode="External"/><Relationship Id="rId80" Type="http://schemas.openxmlformats.org/officeDocument/2006/relationships/hyperlink" Target="https://en.wikipedia.org/Aeros" TargetMode="External"/><Relationship Id="rId82" Type="http://schemas.openxmlformats.org/officeDocument/2006/relationships/hyperlink" Target="https://en.wikipedia.org/Aeros" TargetMode="External"/><Relationship Id="rId81" Type="http://schemas.openxmlformats.org/officeDocument/2006/relationships/hyperlink" Target="https://en.wikipedia.org/Ukraine" TargetMode="External"/><Relationship Id="rId1" Type="http://schemas.openxmlformats.org/officeDocument/2006/relationships/hyperlink" Target="https://en.wikipedia.org/Paraglider" TargetMode="External"/><Relationship Id="rId2" Type="http://schemas.openxmlformats.org/officeDocument/2006/relationships/hyperlink" Target="https://en.wikipedia.org/Brazil" TargetMode="External"/><Relationship Id="rId3" Type="http://schemas.openxmlformats.org/officeDocument/2006/relationships/hyperlink" Target="https://en.wikipedia.org/Paraglider" TargetMode="External"/><Relationship Id="rId149" Type="http://schemas.openxmlformats.org/officeDocument/2006/relationships/hyperlink" Target="https://en.wikipedia.org/France" TargetMode="External"/><Relationship Id="rId4" Type="http://schemas.openxmlformats.org/officeDocument/2006/relationships/hyperlink" Target="https://en.wikipedia.org/Brazil" TargetMode="External"/><Relationship Id="rId148" Type="http://schemas.openxmlformats.org/officeDocument/2006/relationships/hyperlink" Target="https://en.wikipedia.org/Austria" TargetMode="External"/><Relationship Id="rId9" Type="http://schemas.openxmlformats.org/officeDocument/2006/relationships/hyperlink" Target="https://en.wikipedia.org/Paraglider" TargetMode="External"/><Relationship Id="rId143" Type="http://schemas.openxmlformats.org/officeDocument/2006/relationships/hyperlink" Target="https://en.wikipedia.org/America" TargetMode="External"/><Relationship Id="rId142" Type="http://schemas.openxmlformats.org/officeDocument/2006/relationships/hyperlink" Target="https://en.wikipedia.org/US" TargetMode="External"/><Relationship Id="rId141" Type="http://schemas.openxmlformats.org/officeDocument/2006/relationships/hyperlink" Target="https://en.wikipedia.org/Mailplane" TargetMode="External"/><Relationship Id="rId140" Type="http://schemas.openxmlformats.org/officeDocument/2006/relationships/hyperlink" Target="https://en.wikipedia.org/America" TargetMode="External"/><Relationship Id="rId5" Type="http://schemas.openxmlformats.org/officeDocument/2006/relationships/hyperlink" Target="https://en.wikipedia.org/Paraglider" TargetMode="External"/><Relationship Id="rId147" Type="http://schemas.openxmlformats.org/officeDocument/2006/relationships/hyperlink" Target="https://en.wikipedia.org/Autogyro" TargetMode="External"/><Relationship Id="rId6" Type="http://schemas.openxmlformats.org/officeDocument/2006/relationships/hyperlink" Target="https://en.wikipedia.org/Spain" TargetMode="External"/><Relationship Id="rId146" Type="http://schemas.openxmlformats.org/officeDocument/2006/relationships/hyperlink" Target="https://en.wikipedia.org/France" TargetMode="External"/><Relationship Id="rId7" Type="http://schemas.openxmlformats.org/officeDocument/2006/relationships/hyperlink" Target="https://en.wikipedia.org/Paraglider" TargetMode="External"/><Relationship Id="rId145" Type="http://schemas.openxmlformats.org/officeDocument/2006/relationships/hyperlink" Target="https://en.wikipedia.org/Italy" TargetMode="External"/><Relationship Id="rId8" Type="http://schemas.openxmlformats.org/officeDocument/2006/relationships/hyperlink" Target="https://en.wikipedia.org/Switzerland" TargetMode="External"/><Relationship Id="rId144" Type="http://schemas.openxmlformats.org/officeDocument/2006/relationships/hyperlink" Target="https://en.wikipedia.org/Germany" TargetMode="External"/><Relationship Id="rId73" Type="http://schemas.openxmlformats.org/officeDocument/2006/relationships/hyperlink" Target="https://en.wikipedia.org/France" TargetMode="External"/><Relationship Id="rId72" Type="http://schemas.openxmlformats.org/officeDocument/2006/relationships/hyperlink" Target="https://en.wikipedia.org/MKEK" TargetMode="External"/><Relationship Id="rId75" Type="http://schemas.openxmlformats.org/officeDocument/2006/relationships/hyperlink" Target="https://en.wikipedia.org/AeroCad" TargetMode="External"/><Relationship Id="rId74" Type="http://schemas.openxmlformats.org/officeDocument/2006/relationships/hyperlink" Target="https://en.wikipedia.org/America" TargetMode="External"/><Relationship Id="rId77" Type="http://schemas.openxmlformats.org/officeDocument/2006/relationships/hyperlink" Target="https://en.wikipedia.org/Aeros" TargetMode="External"/><Relationship Id="rId76" Type="http://schemas.openxmlformats.org/officeDocument/2006/relationships/hyperlink" Target="https://en.wikipedia.org/Ukraine" TargetMode="External"/><Relationship Id="rId79" Type="http://schemas.openxmlformats.org/officeDocument/2006/relationships/hyperlink" Target="https://en.wikipedia.org/Ukraine" TargetMode="External"/><Relationship Id="rId78" Type="http://schemas.openxmlformats.org/officeDocument/2006/relationships/hyperlink" Target="https://en.wikipedia.org/France" TargetMode="External"/><Relationship Id="rId71" Type="http://schemas.openxmlformats.org/officeDocument/2006/relationships/hyperlink" Target="https://en.wikipedia.org/Turkey" TargetMode="External"/><Relationship Id="rId70" Type="http://schemas.openxmlformats.org/officeDocument/2006/relationships/hyperlink" Target="https://en.wikipedia.org/Indonesia" TargetMode="External"/><Relationship Id="rId139" Type="http://schemas.openxmlformats.org/officeDocument/2006/relationships/hyperlink" Target="https://en.wikipedia.org/France" TargetMode="External"/><Relationship Id="rId138" Type="http://schemas.openxmlformats.org/officeDocument/2006/relationships/hyperlink" Target="https://en.wikipedia.org/Australia" TargetMode="External"/><Relationship Id="rId137" Type="http://schemas.openxmlformats.org/officeDocument/2006/relationships/hyperlink" Target="https://en.wikipedia.org/Autogyro" TargetMode="External"/><Relationship Id="rId132" Type="http://schemas.openxmlformats.org/officeDocument/2006/relationships/hyperlink" Target="https://en.wikipedia.org/CIDNA" TargetMode="External"/><Relationship Id="rId131" Type="http://schemas.openxmlformats.org/officeDocument/2006/relationships/hyperlink" Target="https://en.wikipedia.org/Dewoitine" TargetMode="External"/><Relationship Id="rId130" Type="http://schemas.openxmlformats.org/officeDocument/2006/relationships/hyperlink" Target="https://en.wikipedia.org/France" TargetMode="External"/><Relationship Id="rId136" Type="http://schemas.openxmlformats.org/officeDocument/2006/relationships/hyperlink" Target="https://en.wikipedia.org/Malta" TargetMode="External"/><Relationship Id="rId135" Type="http://schemas.openxmlformats.org/officeDocument/2006/relationships/hyperlink" Target="https://en.wikipedia.org/Autogyro" TargetMode="External"/><Relationship Id="rId134" Type="http://schemas.openxmlformats.org/officeDocument/2006/relationships/hyperlink" Target="https://en.wikipedia.org/Turkey" TargetMode="External"/><Relationship Id="rId133" Type="http://schemas.openxmlformats.org/officeDocument/2006/relationships/hyperlink" Target="https://en.wikipedia.org/Reconnaissance" TargetMode="External"/><Relationship Id="rId62" Type="http://schemas.openxmlformats.org/officeDocument/2006/relationships/hyperlink" Target="https://en.wikipedia.org/Israel" TargetMode="External"/><Relationship Id="rId61" Type="http://schemas.openxmlformats.org/officeDocument/2006/relationships/hyperlink" Target="https://en.wikipedia.org/WSK-Mielec" TargetMode="External"/><Relationship Id="rId64" Type="http://schemas.openxmlformats.org/officeDocument/2006/relationships/hyperlink" Target="https://en.wikipedia.org/DFW" TargetMode="External"/><Relationship Id="rId63" Type="http://schemas.openxmlformats.org/officeDocument/2006/relationships/hyperlink" Target="https://en.wikipedia.org/1918" TargetMode="External"/><Relationship Id="rId66" Type="http://schemas.openxmlformats.org/officeDocument/2006/relationships/hyperlink" Target="https://en.wikipedia.org/Saunders-Roe" TargetMode="External"/><Relationship Id="rId172" Type="http://schemas.openxmlformats.org/officeDocument/2006/relationships/hyperlink" Target="https://en.wikipedia.org/France" TargetMode="External"/><Relationship Id="rId65" Type="http://schemas.openxmlformats.org/officeDocument/2006/relationships/hyperlink" Target="https://en.wikipedia.org/1913" TargetMode="External"/><Relationship Id="rId171" Type="http://schemas.openxmlformats.org/officeDocument/2006/relationships/hyperlink" Target="https://en.wikipedia.org/France" TargetMode="External"/><Relationship Id="rId68" Type="http://schemas.openxmlformats.org/officeDocument/2006/relationships/hyperlink" Target="https://en.wikipedia.org/DWL" TargetMode="External"/><Relationship Id="rId170" Type="http://schemas.openxmlformats.org/officeDocument/2006/relationships/hyperlink" Target="https://en.wikipedia.org/France" TargetMode="External"/><Relationship Id="rId67" Type="http://schemas.openxmlformats.org/officeDocument/2006/relationships/hyperlink" Target="https://en.wikipedia.org/LWD" TargetMode="External"/><Relationship Id="rId60" Type="http://schemas.openxmlformats.org/officeDocument/2006/relationships/hyperlink" Target="https://en.wikipedia.org/France" TargetMode="External"/><Relationship Id="rId165" Type="http://schemas.openxmlformats.org/officeDocument/2006/relationships/hyperlink" Target="https://en.wikipedia.org/Helicopter" TargetMode="External"/><Relationship Id="rId69" Type="http://schemas.openxmlformats.org/officeDocument/2006/relationships/hyperlink" Target="https://en.wikipedia.org/trainer" TargetMode="External"/><Relationship Id="rId164" Type="http://schemas.openxmlformats.org/officeDocument/2006/relationships/hyperlink" Target="https://en.wikipedia.org/America" TargetMode="External"/><Relationship Id="rId163" Type="http://schemas.openxmlformats.org/officeDocument/2006/relationships/hyperlink" Target="https://en.wikipedia.org/France" TargetMode="External"/><Relationship Id="rId162" Type="http://schemas.openxmlformats.org/officeDocument/2006/relationships/hyperlink" Target="https://en.wikipedia.org/France" TargetMode="External"/><Relationship Id="rId169" Type="http://schemas.openxmlformats.org/officeDocument/2006/relationships/hyperlink" Target="https://en.wikipedia.org/Luftwaffe" TargetMode="External"/><Relationship Id="rId168" Type="http://schemas.openxmlformats.org/officeDocument/2006/relationships/hyperlink" Target="https://en.wikipedia.org/France" TargetMode="External"/><Relationship Id="rId167" Type="http://schemas.openxmlformats.org/officeDocument/2006/relationships/hyperlink" Target="https://en.wikipedia.org/Youngcopter" TargetMode="External"/><Relationship Id="rId166" Type="http://schemas.openxmlformats.org/officeDocument/2006/relationships/hyperlink" Target="https://en.wikipedia.org/Germany" TargetMode="External"/><Relationship Id="rId51" Type="http://schemas.openxmlformats.org/officeDocument/2006/relationships/hyperlink" Target="https://en.wikipedia.org/IAI" TargetMode="External"/><Relationship Id="rId50" Type="http://schemas.openxmlformats.org/officeDocument/2006/relationships/hyperlink" Target="https://en.wikipedia.org/Hungary" TargetMode="External"/><Relationship Id="rId53" Type="http://schemas.openxmlformats.org/officeDocument/2006/relationships/hyperlink" Target="https://en.wikipedia.org/Paraglider" TargetMode="External"/><Relationship Id="rId52" Type="http://schemas.openxmlformats.org/officeDocument/2006/relationships/hyperlink" Target="https://en.wikipedia.org/Paraglider" TargetMode="External"/><Relationship Id="rId55" Type="http://schemas.openxmlformats.org/officeDocument/2006/relationships/hyperlink" Target="https://en.wikipedia.org/Paraglider" TargetMode="External"/><Relationship Id="rId161" Type="http://schemas.openxmlformats.org/officeDocument/2006/relationships/hyperlink" Target="https://en.wikipedia.org/France" TargetMode="External"/><Relationship Id="rId54" Type="http://schemas.openxmlformats.org/officeDocument/2006/relationships/hyperlink" Target="https://en.wikipedia.org/Paraglider" TargetMode="External"/><Relationship Id="rId160" Type="http://schemas.openxmlformats.org/officeDocument/2006/relationships/hyperlink" Target="https://en.wikipedia.org/France" TargetMode="External"/><Relationship Id="rId57" Type="http://schemas.openxmlformats.org/officeDocument/2006/relationships/hyperlink" Target="https://en.wikipedia.org/Paraglider" TargetMode="External"/><Relationship Id="rId56" Type="http://schemas.openxmlformats.org/officeDocument/2006/relationships/hyperlink" Target="https://en.wikipedia.org/Paraglider" TargetMode="External"/><Relationship Id="rId159" Type="http://schemas.openxmlformats.org/officeDocument/2006/relationships/hyperlink" Target="https://en.wikipedia.org/France-Aviation" TargetMode="External"/><Relationship Id="rId59" Type="http://schemas.openxmlformats.org/officeDocument/2006/relationships/hyperlink" Target="https://en.wikipedia.org/Italy" TargetMode="External"/><Relationship Id="rId154" Type="http://schemas.openxmlformats.org/officeDocument/2006/relationships/hyperlink" Target="https://en.wikipedia.org/Beechcraft" TargetMode="External"/><Relationship Id="rId58" Type="http://schemas.openxmlformats.org/officeDocument/2006/relationships/hyperlink" Target="https://en.wikipedia.org/Brazil" TargetMode="External"/><Relationship Id="rId153" Type="http://schemas.openxmlformats.org/officeDocument/2006/relationships/hyperlink" Target="https://en.wikipedia.org/Sikorsky" TargetMode="External"/><Relationship Id="rId152" Type="http://schemas.openxmlformats.org/officeDocument/2006/relationships/hyperlink" Target="https://en.wikipedia.org/France" TargetMode="External"/><Relationship Id="rId151" Type="http://schemas.openxmlformats.org/officeDocument/2006/relationships/hyperlink" Target="https://en.wikipedia.org/Germany" TargetMode="External"/><Relationship Id="rId158" Type="http://schemas.openxmlformats.org/officeDocument/2006/relationships/hyperlink" Target="https://en.wikipedia.org/France" TargetMode="External"/><Relationship Id="rId157" Type="http://schemas.openxmlformats.org/officeDocument/2006/relationships/hyperlink" Target="https://en.wikipedia.org/Tupolev" TargetMode="External"/><Relationship Id="rId156" Type="http://schemas.openxmlformats.org/officeDocument/2006/relationships/hyperlink" Target="https://en.wikipedia.org/Airliner" TargetMode="External"/><Relationship Id="rId155" Type="http://schemas.openxmlformats.org/officeDocument/2006/relationships/hyperlink" Target="https://en.wikipedia.org/Italy" TargetMode="External"/><Relationship Id="rId107" Type="http://schemas.openxmlformats.org/officeDocument/2006/relationships/hyperlink" Target="https://en.wikipedia.org/America" TargetMode="External"/><Relationship Id="rId106" Type="http://schemas.openxmlformats.org/officeDocument/2006/relationships/hyperlink" Target="https://en.wikipedia.org/France" TargetMode="External"/><Relationship Id="rId105" Type="http://schemas.openxmlformats.org/officeDocument/2006/relationships/hyperlink" Target="https://en.wikipedia.org/Canada" TargetMode="External"/><Relationship Id="rId104" Type="http://schemas.openxmlformats.org/officeDocument/2006/relationships/hyperlink" Target="https://en.wikipedia.org/Aeros" TargetMode="External"/><Relationship Id="rId109" Type="http://schemas.openxmlformats.org/officeDocument/2006/relationships/hyperlink" Target="https://en.wikipedia.org/Germany" TargetMode="External"/><Relationship Id="rId108" Type="http://schemas.openxmlformats.org/officeDocument/2006/relationships/hyperlink" Target="https://en.wikipedia.org/Aeromarine" TargetMode="External"/><Relationship Id="rId103" Type="http://schemas.openxmlformats.org/officeDocument/2006/relationships/hyperlink" Target="https://en.wikipedia.org/Ukraine" TargetMode="External"/><Relationship Id="rId102" Type="http://schemas.openxmlformats.org/officeDocument/2006/relationships/hyperlink" Target="https://en.wikipedia.org/Aeroprakt" TargetMode="External"/><Relationship Id="rId101" Type="http://schemas.openxmlformats.org/officeDocument/2006/relationships/hyperlink" Target="https://en.wikipedia.org/Ukraine" TargetMode="External"/><Relationship Id="rId100" Type="http://schemas.openxmlformats.org/officeDocument/2006/relationships/hyperlink" Target="https://en.wikipedia.org/AeroJames" TargetMode="External"/><Relationship Id="rId129" Type="http://schemas.openxmlformats.org/officeDocument/2006/relationships/hyperlink" Target="https://en.wikipedia.org/France" TargetMode="External"/><Relationship Id="rId128" Type="http://schemas.openxmlformats.org/officeDocument/2006/relationships/hyperlink" Target="https://en.wikipedia.org/APEV" TargetMode="External"/><Relationship Id="rId127" Type="http://schemas.openxmlformats.org/officeDocument/2006/relationships/hyperlink" Target="https://en.wikipedia.org/France" TargetMode="External"/><Relationship Id="rId126" Type="http://schemas.openxmlformats.org/officeDocument/2006/relationships/hyperlink" Target="https://en.wikipedia.org/Morane-Saulnier" TargetMode="External"/><Relationship Id="rId121" Type="http://schemas.openxmlformats.org/officeDocument/2006/relationships/hyperlink" Target="https://en.wikipedia.org/France" TargetMode="External"/><Relationship Id="rId120" Type="http://schemas.openxmlformats.org/officeDocument/2006/relationships/hyperlink" Target="https://en.wikipedia.org/APEV" TargetMode="External"/><Relationship Id="rId125" Type="http://schemas.openxmlformats.org/officeDocument/2006/relationships/hyperlink" Target="https://en.wikipedia.org/Yakovlev" TargetMode="External"/><Relationship Id="rId124" Type="http://schemas.openxmlformats.org/officeDocument/2006/relationships/hyperlink" Target="https://en.wikipedia.org/America" TargetMode="External"/><Relationship Id="rId123" Type="http://schemas.openxmlformats.org/officeDocument/2006/relationships/hyperlink" Target="https://en.wikipedia.org/Morane-Saulnier" TargetMode="External"/><Relationship Id="rId122" Type="http://schemas.openxmlformats.org/officeDocument/2006/relationships/hyperlink" Target="https://en.wikipedia.org/APEV" TargetMode="External"/><Relationship Id="rId95" Type="http://schemas.openxmlformats.org/officeDocument/2006/relationships/hyperlink" Target="https://en.wikipedia.org/America" TargetMode="External"/><Relationship Id="rId94" Type="http://schemas.openxmlformats.org/officeDocument/2006/relationships/hyperlink" Target="https://en.wikipedia.org/Aeros-1" TargetMode="External"/><Relationship Id="rId97" Type="http://schemas.openxmlformats.org/officeDocument/2006/relationships/hyperlink" Target="https://en.wikipedia.org/America" TargetMode="External"/><Relationship Id="rId96" Type="http://schemas.openxmlformats.org/officeDocument/2006/relationships/hyperlink" Target="https://en.wikipedia.org/France" TargetMode="External"/><Relationship Id="rId99" Type="http://schemas.openxmlformats.org/officeDocument/2006/relationships/hyperlink" Target="https://en.wikipedia.org/France" TargetMode="External"/><Relationship Id="rId98" Type="http://schemas.openxmlformats.org/officeDocument/2006/relationships/hyperlink" Target="https://en.wikipedia.org/America" TargetMode="External"/><Relationship Id="rId91" Type="http://schemas.openxmlformats.org/officeDocument/2006/relationships/hyperlink" Target="https://en.wikipedia.org/Aeroprakt" TargetMode="External"/><Relationship Id="rId90" Type="http://schemas.openxmlformats.org/officeDocument/2006/relationships/hyperlink" Target="https://en.wikipedia.org/Ukraine" TargetMode="External"/><Relationship Id="rId93" Type="http://schemas.openxmlformats.org/officeDocument/2006/relationships/hyperlink" Target="https://en.wikipedia.org/Aeros" TargetMode="External"/><Relationship Id="rId92" Type="http://schemas.openxmlformats.org/officeDocument/2006/relationships/hyperlink" Target="https://en.wikipedia.org/Ukraine" TargetMode="External"/><Relationship Id="rId118" Type="http://schemas.openxmlformats.org/officeDocument/2006/relationships/hyperlink" Target="https://en.wikipedia.org/Germany" TargetMode="External"/><Relationship Id="rId117" Type="http://schemas.openxmlformats.org/officeDocument/2006/relationships/hyperlink" Target="https://en.wikipedia.org/Mitsubishi" TargetMode="External"/><Relationship Id="rId116" Type="http://schemas.openxmlformats.org/officeDocument/2006/relationships/hyperlink" Target="https://en.wikipedia.org/Japan" TargetMode="External"/><Relationship Id="rId115" Type="http://schemas.openxmlformats.org/officeDocument/2006/relationships/hyperlink" Target="https://en.wikipedia.org/APEV" TargetMode="External"/><Relationship Id="rId119" Type="http://schemas.openxmlformats.org/officeDocument/2006/relationships/hyperlink" Target="https://en.wikipedia.org/France" TargetMode="External"/><Relationship Id="rId110" Type="http://schemas.openxmlformats.org/officeDocument/2006/relationships/hyperlink" Target="https://en.wikipedia.org/Aeromarine" TargetMode="External"/><Relationship Id="rId114" Type="http://schemas.openxmlformats.org/officeDocument/2006/relationships/hyperlink" Target="https://en.wikipedia.org/France" TargetMode="External"/><Relationship Id="rId113" Type="http://schemas.openxmlformats.org/officeDocument/2006/relationships/hyperlink" Target="https://en.wikipedia.org/APEV" TargetMode="External"/><Relationship Id="rId112" Type="http://schemas.openxmlformats.org/officeDocument/2006/relationships/hyperlink" Target="https://en.wikipedia.org/France" TargetMode="External"/><Relationship Id="rId111" Type="http://schemas.openxmlformats.org/officeDocument/2006/relationships/hyperlink" Target="https://en.wikipedia.org/Americ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tr">
        <f>IFERROR(__xludf.DUMMYFUNCTION("GOOGLETRANSLATE(E:E, ""en"", ""te"")"),"పాత్ర")</f>
        <v>పాత్ర</v>
      </c>
      <c r="G1" s="1" t="s">
        <v>3</v>
      </c>
      <c r="H1" s="1" t="s">
        <v>4</v>
      </c>
      <c r="I1" s="1" t="str">
        <f>IFERROR(__xludf.DUMMYFUNCTION("GOOGLETRANSLATE(H:H, ""en"", ""te"")"),"జాతీయ మూలం")</f>
        <v>జాతీయ మూలం</v>
      </c>
      <c r="J1" s="1" t="s">
        <v>5</v>
      </c>
      <c r="K1" s="1" t="s">
        <v>6</v>
      </c>
      <c r="L1" s="2" t="str">
        <f>IFERROR(__xludf.DUMMYFUNCTION("GOOGLETRANSLATE(K:K, ""en"", ""te"")"),"తయారీదారు")</f>
        <v>తయారీదారు</v>
      </c>
      <c r="M1" s="1" t="s">
        <v>7</v>
      </c>
      <c r="N1" s="1" t="s">
        <v>8</v>
      </c>
      <c r="O1" s="1" t="str">
        <f>IFERROR(__xludf.DUMMYFUNCTION("GOOGLETRANSLATE(N:N, ""en"", ""te"")"),"స్థితి")</f>
        <v>స్థితి</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row>
    <row r="2">
      <c r="A2" s="1" t="s">
        <v>152</v>
      </c>
      <c r="B2" s="1" t="str">
        <f>IFERROR(__xludf.DUMMYFUNCTION("GOOGLETRANSLATE(A:A, ""en"", ""te"")"),"సోల్ ప్రిమస్")</f>
        <v>సోల్ ప్రిమస్</v>
      </c>
      <c r="C2" s="1" t="s">
        <v>153</v>
      </c>
      <c r="D2" s="1" t="str">
        <f>IFERROR(__xludf.DUMMYFUNCTION("GOOGLETRANSLATE(C:C, ""en"", ""te"")"),"సోల్ ప్రిమస్ (ఇంగ్లీష్: ప్రిమస్, అంటే ప్రాధమిక) అనేది బ్రెజిలియన్ సింగిల్-ప్లేస్ పారాగ్లైడర్, దీనిని 2000 ల మధ్యలో ప్రారంభించి జరాగూవ్ డో సుల్ యొక్క సోల్ పారాగ్లైడర్స్ రూపొందించారు మరియు నిర్మించారు. ఇది 2016 లో ప్రిమస్ 4 గా ఉత్పత్తిలో ఉంది. [1] [2] ప్రిమ"&amp;"స్ ఇంటర్మీడియట్ గ్లైడర్‌కు ఒక అనుభవశూన్యుడుగా రూపొందించబడింది. 2016 నాటికి డిజైన్ నాలుగు తరాల మోడళ్ల ద్వారా పురోగమించింది, ప్రిమస్ 1, 2, 3 మరియు 4, ప్రతి ఒక్కటి చివరిగా మెరుగుపడింది. మోడల్స్ వాటి సాపేక్ష పరిమాణానికి పేరు పెట్టబడ్డాయి. [1] ప్రిమస్ 4 లో WTX"&amp;" 40 - 40 g/m2 ఫాబ్రిక్ నుండి తయారైన టాప్ అండ్ బాటమ్ వింగ్ ఉపరితలం ఉంది, వింగ్ పక్కటెముకలు ప్రో NYL 42 g/m2 రిప్ స్టాప్ నుండి తయారు చేయబడినవి పోలిరేటానో మరియు బిటి టెక్నాలజీ ఉపబలాలతో కప్పబడి ఉంటాయి. పంక్తులు 1.1, 1.5 మరియు 2.1 మిమీ కజిన్ టెక్నోరా సూపారామ్,"&amp;" రైసర్లు ఫిటానేవ్ 15 x 2,0 మిమీ ఫ్లాట్ మల్టీ 1600 కిలోల స్ట్రాపింగ్. కారాబైనర్లు అన్సంగ్ ప్రెసిషన్ 4 మిమీ 800 కిలోలు మరియు పుల్లీలు సోల్ చేత తయారు చేయబడతాయి. [2] బెర్ట్రాండ్ నుండి డేటా [1] సాధారణ లక్షణాల పనితీరు")</f>
        <v>సోల్ ప్రిమస్ (ఇంగ్లీష్: ప్రిమస్, అంటే ప్రాధమిక) అనేది బ్రెజిలియన్ సింగిల్-ప్లేస్ పారాగ్లైడర్, దీనిని 2000 ల మధ్యలో ప్రారంభించి జరాగూవ్ డో సుల్ యొక్క సోల్ పారాగ్లైడర్స్ రూపొందించారు మరియు నిర్మించారు. ఇది 2016 లో ప్రిమస్ 4 గా ఉత్పత్తిలో ఉంది. [1] [2] ప్రిమస్ ఇంటర్మీడియట్ గ్లైడర్‌కు ఒక అనుభవశూన్యుడుగా రూపొందించబడింది. 2016 నాటికి డిజైన్ నాలుగు తరాల మోడళ్ల ద్వారా పురోగమించింది, ప్రిమస్ 1, 2, 3 మరియు 4, ప్రతి ఒక్కటి చివరిగా మెరుగుపడింది. మోడల్స్ వాటి సాపేక్ష పరిమాణానికి పేరు పెట్టబడ్డాయి. [1] ప్రిమస్ 4 లో WTX 40 - 40 g/m2 ఫాబ్రిక్ నుండి తయారైన టాప్ అండ్ బాటమ్ వింగ్ ఉపరితలం ఉంది, వింగ్ పక్కటెముకలు ప్రో NYL 42 g/m2 రిప్ స్టాప్ నుండి తయారు చేయబడినవి పోలిరేటానో మరియు బిటి టెక్నాలజీ ఉపబలాలతో కప్పబడి ఉంటాయి. పంక్తులు 1.1, 1.5 మరియు 2.1 మిమీ కజిన్ టెక్నోరా సూపారామ్, రైసర్లు ఫిటానేవ్ 15 x 2,0 మిమీ ఫ్లాట్ మల్టీ 1600 కిలోల స్ట్రాపింగ్. కారాబైనర్లు అన్సంగ్ ప్రెసిషన్ 4 మిమీ 800 కిలోలు మరియు పుల్లీలు సోల్ చేత తయారు చేయబడతాయి. [2] బెర్ట్రాండ్ నుండి డేటా [1] సాధారణ లక్షణాల పనితీరు</v>
      </c>
      <c r="E2" s="1" t="s">
        <v>154</v>
      </c>
      <c r="F2" s="1" t="str">
        <f>IFERROR(__xludf.DUMMYFUNCTION("GOOGLETRANSLATE(E:E, ""en"", ""te"")"),"పారాగ్లైడర్")</f>
        <v>పారాగ్లైడర్</v>
      </c>
      <c r="G2" s="3" t="s">
        <v>155</v>
      </c>
      <c r="H2" s="1" t="s">
        <v>156</v>
      </c>
      <c r="I2" s="1" t="str">
        <f>IFERROR(__xludf.DUMMYFUNCTION("GOOGLETRANSLATE(H:H, ""en"", ""te"")"),"బ్రెజిల్")</f>
        <v>బ్రెజిల్</v>
      </c>
      <c r="J2" s="3" t="s">
        <v>157</v>
      </c>
      <c r="K2" s="1" t="s">
        <v>158</v>
      </c>
      <c r="L2" s="2" t="str">
        <f>IFERROR(__xludf.DUMMYFUNCTION("GOOGLETRANSLATE(K:K, ""en"", ""te"")"),"సోల్ పారాగ్లైడర్స్")</f>
        <v>సోల్ పారాగ్లైడర్స్</v>
      </c>
      <c r="M2" s="1" t="s">
        <v>159</v>
      </c>
      <c r="N2" s="1" t="s">
        <v>160</v>
      </c>
      <c r="O2" s="1" t="str">
        <f>IFERROR(__xludf.DUMMYFUNCTION("GOOGLETRANSLATE(N:N, ""en"", ""te"")"),"ఉత్పత్తిలో (ప్రిమస్ 4, 2016)")</f>
        <v>ఉత్పత్తిలో (ప్రిమస్ 4, 2016)</v>
      </c>
      <c r="P2" s="1" t="s">
        <v>161</v>
      </c>
      <c r="Q2" s="1" t="s">
        <v>162</v>
      </c>
      <c r="R2" s="1" t="s">
        <v>163</v>
      </c>
      <c r="S2" s="1" t="s">
        <v>164</v>
      </c>
      <c r="T2" s="1">
        <v>4.74</v>
      </c>
      <c r="U2" s="1" t="s">
        <v>165</v>
      </c>
      <c r="V2" s="1" t="s">
        <v>166</v>
      </c>
    </row>
    <row r="3">
      <c r="A3" s="1" t="s">
        <v>167</v>
      </c>
      <c r="B3" s="1" t="str">
        <f>IFERROR(__xludf.DUMMYFUNCTION("GOOGLETRANSLATE(A:A, ""en"", ""te"")"),"సోల్ సినర్జీ")</f>
        <v>సోల్ సినర్జీ</v>
      </c>
      <c r="C3" s="1" t="s">
        <v>168</v>
      </c>
      <c r="D3" s="1" t="str">
        <f>IFERROR(__xludf.DUMMYFUNCTION("GOOGLETRANSLATE(C:C, ""en"", ""te"")"),"సోల్ సినర్జీ అనేది బ్రెజిలియన్ సింగిల్-ప్లేస్ పారాగ్లైడర్, దీనిని 2000 ల మధ్యలో జరాగూవ్ డో సుల్ యొక్క సోల్ పారాగ్లైడర్స్ రూపొందించారు మరియు ఉత్పత్తి చేశారు. ఇది ఇప్పుడు ఉత్పత్తికి దూరంగా ఉంది. [1] సినర్జీని ఇంటర్మీడియట్ గ్లైడర్‌గా రూపొందించారు. మోడల్స్ వా"&amp;"టి సాపేక్ష పరిమాణానికి పేరు పెట్టబడ్డాయి. [1] బెర్ట్రాండ్ నుండి డేటా [1] సాధారణ లక్షణాల పనితీరు")</f>
        <v>సోల్ సినర్జీ అనేది బ్రెజిలియన్ సింగిల్-ప్లేస్ పారాగ్లైడర్, దీనిని 2000 ల మధ్యలో జరాగూవ్ డో సుల్ యొక్క సోల్ పారాగ్లైడర్స్ రూపొందించారు మరియు ఉత్పత్తి చేశారు. ఇది ఇప్పుడు ఉత్పత్తికి దూరంగా ఉంది. [1] సినర్జీని ఇంటర్మీడియట్ గ్లైడర్‌గా రూపొందించారు. మోడల్స్ వాటి సాపేక్ష పరిమాణానికి పేరు పెట్టబడ్డాయి. [1] బెర్ట్రాండ్ నుండి డేటా [1] సాధారణ లక్షణాల పనితీరు</v>
      </c>
      <c r="E3" s="1" t="s">
        <v>154</v>
      </c>
      <c r="F3" s="1" t="str">
        <f>IFERROR(__xludf.DUMMYFUNCTION("GOOGLETRANSLATE(E:E, ""en"", ""te"")"),"పారాగ్లైడర్")</f>
        <v>పారాగ్లైడర్</v>
      </c>
      <c r="G3" s="3" t="s">
        <v>155</v>
      </c>
      <c r="H3" s="1" t="s">
        <v>156</v>
      </c>
      <c r="I3" s="1" t="str">
        <f>IFERROR(__xludf.DUMMYFUNCTION("GOOGLETRANSLATE(H:H, ""en"", ""te"")"),"బ్రెజిల్")</f>
        <v>బ్రెజిల్</v>
      </c>
      <c r="J3" s="3" t="s">
        <v>157</v>
      </c>
      <c r="K3" s="1" t="s">
        <v>169</v>
      </c>
      <c r="L3" s="2" t="str">
        <f>IFERROR(__xludf.DUMMYFUNCTION("GOOGLETRANSLATE(K:K, ""en"", ""te"")"),"సోల్ పారాగిడర్స్")</f>
        <v>సోల్ పారాగిడర్స్</v>
      </c>
      <c r="M3" s="1" t="s">
        <v>170</v>
      </c>
      <c r="N3" s="1" t="s">
        <v>171</v>
      </c>
      <c r="O3" s="1" t="str">
        <f>IFERROR(__xludf.DUMMYFUNCTION("GOOGLETRANSLATE(N:N, ""en"", ""te"")"),"ఉత్పత్తి పూర్తయింది")</f>
        <v>ఉత్పత్తి పూర్తయింది</v>
      </c>
      <c r="P3" s="1" t="s">
        <v>172</v>
      </c>
      <c r="Q3" s="1" t="s">
        <v>162</v>
      </c>
      <c r="R3" s="1" t="s">
        <v>173</v>
      </c>
      <c r="S3" s="1" t="s">
        <v>174</v>
      </c>
      <c r="T3" s="1">
        <v>5.43</v>
      </c>
      <c r="U3" s="1" t="s">
        <v>175</v>
      </c>
      <c r="V3" s="1" t="s">
        <v>176</v>
      </c>
      <c r="W3" s="1" t="s">
        <v>177</v>
      </c>
    </row>
    <row r="4">
      <c r="A4" s="1" t="s">
        <v>178</v>
      </c>
      <c r="B4" s="1" t="str">
        <f>IFERROR(__xludf.DUMMYFUNCTION("GOOGLETRANSLATE(A:A, ""en"", ""te"")"),"విండ్టెక్ పగడపు")</f>
        <v>విండ్టెక్ పగడపు</v>
      </c>
      <c r="C4" s="1" t="s">
        <v>179</v>
      </c>
      <c r="D4" s="1" t="str">
        <f>IFERROR(__xludf.DUMMYFUNCTION("GOOGLETRANSLATE(C:C, ""en"", ""te"")"),"విండ్టెక్ పగడపు స్పానిష్ సింగిల్-ప్లేస్ పారాగ్లైడర్, దీనిని గిజాన్ యొక్క విండ్టెక్ పారాపెంటెస్ రూపొందించారు మరియు నిర్మించారు. ఇది ఇప్పుడు ఉత్పత్తికి దూరంగా ఉంది. [1] ఈ విమానం పాఠశాల విమాన శిక్షణ ఉపయోగం కోసం ఒక అనుభవశూన్యుడు గ్లైడర్‌గా రూపొందించబడింది. మో"&amp;"డల్స్ ప్రతి ఒక్కటి చదరపు మీటర్లలో వారి సుమారుగా వింగ్ ప్రాంతానికి పేరు పెట్టబడ్డాయి. [1] బిగినర్స్ గ్రౌండ్ నిర్వహణను సరళీకృతం చేయడానికి ఈ డిజైన్ పిచ్ కంట్రోల్ స్థిరత్వాన్ని కలిగి ఉంది. మలుపు సమన్వయాన్ని మెరుగుపరచడానికి కణాలు రెక్క చిట్కాల వైపు వెడల్పు తగ్"&amp;"గుతాయి. [2] గ్లైడర్ వింగ్ పోర్చర్ మెరైన్ స్కైటెక్స్ 44 గ్రా/ఎం 2 నైలాన్ ఫాబ్రిక్ నుండి తయారు చేయబడింది. పక్కటెముక ఉపబలాలు 310 g/m2 డాక్రాన్, వెనుకంజలో ఉన్న అంచు ఉపబల 175 g/m2 పాలిస్టర్. పంక్తులు అన్నీ 1.1 మరియు 1.7 మిమీ వ్యాసం కలిగిన కెవ్లార్. రైసర్లు 25 "&amp;"మిమీ వెడల్పు గల పాలిస్టర్ స్ట్రాపింగ్ నుండి తయారవుతాయి. [3] బెర్ట్రాండ్ నుండి డేటా [1] మరియు తయారీదారు [3] సాధారణ లక్షణాల పనితీరు")</f>
        <v>విండ్టెక్ పగడపు స్పానిష్ సింగిల్-ప్లేస్ పారాగ్లైడర్, దీనిని గిజాన్ యొక్క విండ్టెక్ పారాపెంటెస్ రూపొందించారు మరియు నిర్మించారు. ఇది ఇప్పుడు ఉత్పత్తికి దూరంగా ఉంది. [1] ఈ విమానం పాఠశాల విమాన శిక్షణ ఉపయోగం కోసం ఒక అనుభవశూన్యుడు గ్లైడర్‌గా రూపొందించబడింది. మోడల్స్ ప్రతి ఒక్కటి చదరపు మీటర్లలో వారి సుమారుగా వింగ్ ప్రాంతానికి పేరు పెట్టబడ్డాయి. [1] బిగినర్స్ గ్రౌండ్ నిర్వహణను సరళీకృతం చేయడానికి ఈ డిజైన్ పిచ్ కంట్రోల్ స్థిరత్వాన్ని కలిగి ఉంది. మలుపు సమన్వయాన్ని మెరుగుపరచడానికి కణాలు రెక్క చిట్కాల వైపు వెడల్పు తగ్గుతాయి. [2] గ్లైడర్ వింగ్ పోర్చర్ మెరైన్ స్కైటెక్స్ 44 గ్రా/ఎం 2 నైలాన్ ఫాబ్రిక్ నుండి తయారు చేయబడింది. పక్కటెముక ఉపబలాలు 310 g/m2 డాక్రాన్, వెనుకంజలో ఉన్న అంచు ఉపబల 175 g/m2 పాలిస్టర్. పంక్తులు అన్నీ 1.1 మరియు 1.7 మిమీ వ్యాసం కలిగిన కెవ్లార్. రైసర్లు 25 మిమీ వెడల్పు గల పాలిస్టర్ స్ట్రాపింగ్ నుండి తయారవుతాయి. [3] బెర్ట్రాండ్ నుండి డేటా [1] మరియు తయారీదారు [3] సాధారణ లక్షణాల పనితీరు</v>
      </c>
      <c r="E4" s="1" t="s">
        <v>154</v>
      </c>
      <c r="F4" s="1" t="str">
        <f>IFERROR(__xludf.DUMMYFUNCTION("GOOGLETRANSLATE(E:E, ""en"", ""te"")"),"పారాగ్లైడర్")</f>
        <v>పారాగ్లైడర్</v>
      </c>
      <c r="G4" s="3" t="s">
        <v>155</v>
      </c>
      <c r="H4" s="1" t="s">
        <v>180</v>
      </c>
      <c r="I4" s="1" t="str">
        <f>IFERROR(__xludf.DUMMYFUNCTION("GOOGLETRANSLATE(H:H, ""en"", ""te"")"),"స్పెయిన్")</f>
        <v>స్పెయిన్</v>
      </c>
      <c r="J4" s="3" t="s">
        <v>181</v>
      </c>
      <c r="K4" s="1" t="s">
        <v>182</v>
      </c>
      <c r="L4" s="2" t="str">
        <f>IFERROR(__xludf.DUMMYFUNCTION("GOOGLETRANSLATE(K:K, ""en"", ""te"")"),"విండ్టెక్ పారాపెంటెస్")</f>
        <v>విండ్టెక్ పారాపెంటెస్</v>
      </c>
      <c r="M4" s="1" t="s">
        <v>183</v>
      </c>
      <c r="N4" s="1" t="s">
        <v>171</v>
      </c>
      <c r="O4" s="1" t="str">
        <f>IFERROR(__xludf.DUMMYFUNCTION("GOOGLETRANSLATE(N:N, ""en"", ""te"")"),"ఉత్పత్తి పూర్తయింది")</f>
        <v>ఉత్పత్తి పూర్తయింది</v>
      </c>
      <c r="P4" s="1" t="s">
        <v>172</v>
      </c>
      <c r="Q4" s="1" t="s">
        <v>162</v>
      </c>
      <c r="R4" s="1" t="s">
        <v>184</v>
      </c>
      <c r="S4" s="1" t="s">
        <v>185</v>
      </c>
      <c r="T4" s="1">
        <v>4.5</v>
      </c>
      <c r="U4" s="1" t="s">
        <v>165</v>
      </c>
      <c r="W4" s="1" t="s">
        <v>177</v>
      </c>
      <c r="X4" s="1" t="s">
        <v>186</v>
      </c>
      <c r="Y4" s="1" t="s">
        <v>187</v>
      </c>
      <c r="Z4" s="1" t="s">
        <v>188</v>
      </c>
      <c r="AA4" s="1" t="s">
        <v>189</v>
      </c>
    </row>
    <row r="5">
      <c r="A5" s="1" t="s">
        <v>190</v>
      </c>
      <c r="B5" s="1" t="str">
        <f>IFERROR(__xludf.DUMMYFUNCTION("GOOGLETRANSLATE(A:A, ""en"", ""te"")"),"XIX రూపం")</f>
        <v>XIX రూపం</v>
      </c>
      <c r="C5" s="1" t="s">
        <v>191</v>
      </c>
      <c r="D5" s="1" t="str">
        <f>IFERROR(__xludf.DUMMYFUNCTION("GOOGLETRANSLATE(C:C, ""en"", ""te"")"),"XIX రూపం స్విస్ సింగిల్-ప్లేస్ పారాగ్లైడర్, దీనిని మిచి కోబ్లెర్ రూపొందించారు మరియు 2000 ల మధ్యలో క్రోన్‌బోహ్ల్‌కు చెందిన XIX GMBH చేత నిర్మించబడింది. ఇది ఇప్పుడు ఉత్పత్తికి దూరంగా ఉంది. [1] ఈ రూపం ఇంటర్మీడియట్ గ్లైడర్‌గా రూపొందించబడింది. డిజైన్ అనేక తరాల"&amp;" మోడళ్ల ద్వారా అభివృద్ధి చెందింది, ప్రతి ఒక్కటి చివరిగా మెరుగుపడుతుంది. మోడల్స్ వాటి సాపేక్ష పరిమాణానికి పేరు పెట్టబడ్డాయి. [1] బెర్ట్రాండ్ నుండి డేటా [1] సాధారణ లక్షణాల పనితీరు")</f>
        <v>XIX రూపం స్విస్ సింగిల్-ప్లేస్ పారాగ్లైడర్, దీనిని మిచి కోబ్లెర్ రూపొందించారు మరియు 2000 ల మధ్యలో క్రోన్‌బోహ్ల్‌కు చెందిన XIX GMBH చేత నిర్మించబడింది. ఇది ఇప్పుడు ఉత్పత్తికి దూరంగా ఉంది. [1] ఈ రూపం ఇంటర్మీడియట్ గ్లైడర్‌గా రూపొందించబడింది. డిజైన్ అనేక తరాల మోడళ్ల ద్వారా అభివృద్ధి చెందింది, ప్రతి ఒక్కటి చివరిగా మెరుగుపడుతుంది. మోడల్స్ వాటి సాపేక్ష పరిమాణానికి పేరు పెట్టబడ్డాయి. [1] బెర్ట్రాండ్ నుండి డేటా [1] సాధారణ లక్షణాల పనితీరు</v>
      </c>
      <c r="E5" s="1" t="s">
        <v>154</v>
      </c>
      <c r="F5" s="1" t="str">
        <f>IFERROR(__xludf.DUMMYFUNCTION("GOOGLETRANSLATE(E:E, ""en"", ""te"")"),"పారాగ్లైడర్")</f>
        <v>పారాగ్లైడర్</v>
      </c>
      <c r="G5" s="3" t="s">
        <v>155</v>
      </c>
      <c r="H5" s="1" t="s">
        <v>192</v>
      </c>
      <c r="I5" s="1" t="str">
        <f>IFERROR(__xludf.DUMMYFUNCTION("GOOGLETRANSLATE(H:H, ""en"", ""te"")"),"స్విట్జర్లాండ్")</f>
        <v>స్విట్జర్లాండ్</v>
      </c>
      <c r="J5" s="3" t="s">
        <v>193</v>
      </c>
      <c r="K5" s="1" t="s">
        <v>194</v>
      </c>
      <c r="L5" s="2" t="str">
        <f>IFERROR(__xludf.DUMMYFUNCTION("GOOGLETRANSLATE(K:K, ""en"", ""te"")"),"XIX GMBH")</f>
        <v>XIX GMBH</v>
      </c>
      <c r="M5" s="1" t="s">
        <v>195</v>
      </c>
      <c r="N5" s="1" t="s">
        <v>171</v>
      </c>
      <c r="O5" s="1" t="str">
        <f>IFERROR(__xludf.DUMMYFUNCTION("GOOGLETRANSLATE(N:N, ""en"", ""te"")"),"ఉత్పత్తి పూర్తయింది")</f>
        <v>ఉత్పత్తి పూర్తయింది</v>
      </c>
      <c r="P5" s="1" t="s">
        <v>172</v>
      </c>
      <c r="Q5" s="1" t="s">
        <v>162</v>
      </c>
      <c r="R5" s="1" t="s">
        <v>196</v>
      </c>
      <c r="S5" s="1" t="s">
        <v>197</v>
      </c>
      <c r="T5" s="1">
        <v>5.35</v>
      </c>
      <c r="U5" s="1" t="s">
        <v>175</v>
      </c>
      <c r="V5" s="1" t="s">
        <v>166</v>
      </c>
      <c r="W5" s="1" t="s">
        <v>177</v>
      </c>
      <c r="AB5" s="1" t="s">
        <v>198</v>
      </c>
    </row>
    <row r="6">
      <c r="A6" s="1" t="s">
        <v>199</v>
      </c>
      <c r="B6" s="1" t="str">
        <f>IFERROR(__xludf.DUMMYFUNCTION("GOOGLETRANSLATE(A:A, ""en"", ""te"")"),"XIX ఇంటర్")</f>
        <v>XIX ఇంటర్</v>
      </c>
      <c r="C6" s="1" t="s">
        <v>200</v>
      </c>
      <c r="D6" s="1" t="str">
        <f>IFERROR(__xludf.DUMMYFUNCTION("GOOGLETRANSLATE(C:C, ""en"", ""te"")"),"XIX ఇంటర్ అనేది స్విస్ సింగిల్-ప్లేస్ పారాగ్లైడర్, దీనిని మిచి కోబ్లెర్ రూపొందించారు మరియు 2003 లో ప్రవేశపెట్టిన క్రోన్‌బోహ్ల్‌కు చెందిన XIX GMBH చేత నిర్మించబడింది. ఇది ఇప్పుడు ఉత్పత్తికి లేదు. [1] ఇంటర్ ఇంటర్మీడియట్ గ్లైడర్‌గా రూపొందించబడింది. డిజైన్ అన"&amp;"ేక తరాల మోడళ్ల ద్వారా అభివృద్ధి చెందింది, ప్రతి ఒక్కటి చివరిగా మెరుగుపడుతుంది. మోడల్స్ వాటి సాపేక్ష పరిమాణానికి పేరు పెట్టబడ్డాయి. [1] బెర్ట్రాండ్ నుండి డేటా [1] సాధారణ లక్షణాల పనితీరు")</f>
        <v>XIX ఇంటర్ అనేది స్విస్ సింగిల్-ప్లేస్ పారాగ్లైడర్, దీనిని మిచి కోబ్లెర్ రూపొందించారు మరియు 2003 లో ప్రవేశపెట్టిన క్రోన్‌బోహ్ల్‌కు చెందిన XIX GMBH చేత నిర్మించబడింది. ఇది ఇప్పుడు ఉత్పత్తికి లేదు. [1] ఇంటర్ ఇంటర్మీడియట్ గ్లైడర్‌గా రూపొందించబడింది. డిజైన్ అనేక తరాల మోడళ్ల ద్వారా అభివృద్ధి చెందింది, ప్రతి ఒక్కటి చివరిగా మెరుగుపడుతుంది. మోడల్స్ వాటి సాపేక్ష పరిమాణానికి పేరు పెట్టబడ్డాయి. [1] బెర్ట్రాండ్ నుండి డేటా [1] సాధారణ లక్షణాల పనితీరు</v>
      </c>
      <c r="E6" s="1" t="s">
        <v>154</v>
      </c>
      <c r="F6" s="1" t="str">
        <f>IFERROR(__xludf.DUMMYFUNCTION("GOOGLETRANSLATE(E:E, ""en"", ""te"")"),"పారాగ్లైడర్")</f>
        <v>పారాగ్లైడర్</v>
      </c>
      <c r="G6" s="3" t="s">
        <v>155</v>
      </c>
      <c r="H6" s="1" t="s">
        <v>192</v>
      </c>
      <c r="I6" s="1" t="str">
        <f>IFERROR(__xludf.DUMMYFUNCTION("GOOGLETRANSLATE(H:H, ""en"", ""te"")"),"స్విట్జర్లాండ్")</f>
        <v>స్విట్జర్లాండ్</v>
      </c>
      <c r="J6" s="3" t="s">
        <v>193</v>
      </c>
      <c r="K6" s="1" t="s">
        <v>194</v>
      </c>
      <c r="L6" s="2" t="str">
        <f>IFERROR(__xludf.DUMMYFUNCTION("GOOGLETRANSLATE(K:K, ""en"", ""te"")"),"XIX GMBH")</f>
        <v>XIX GMBH</v>
      </c>
      <c r="M6" s="1" t="s">
        <v>195</v>
      </c>
      <c r="N6" s="1" t="s">
        <v>171</v>
      </c>
      <c r="O6" s="1" t="str">
        <f>IFERROR(__xludf.DUMMYFUNCTION("GOOGLETRANSLATE(N:N, ""en"", ""te"")"),"ఉత్పత్తి పూర్తయింది")</f>
        <v>ఉత్పత్తి పూర్తయింది</v>
      </c>
      <c r="P6" s="1" t="s">
        <v>172</v>
      </c>
      <c r="Q6" s="1" t="s">
        <v>162</v>
      </c>
      <c r="R6" s="1" t="s">
        <v>201</v>
      </c>
      <c r="S6" s="1" t="s">
        <v>202</v>
      </c>
      <c r="T6" s="1">
        <v>5.15</v>
      </c>
      <c r="U6" s="1" t="s">
        <v>203</v>
      </c>
      <c r="V6" s="1" t="s">
        <v>166</v>
      </c>
      <c r="W6" s="1" t="s">
        <v>177</v>
      </c>
      <c r="AB6" s="1" t="s">
        <v>198</v>
      </c>
      <c r="AC6" s="1">
        <v>2003.0</v>
      </c>
    </row>
    <row r="7">
      <c r="A7" s="1" t="s">
        <v>204</v>
      </c>
      <c r="B7" s="1" t="str">
        <f>IFERROR(__xludf.DUMMYFUNCTION("GOOGLETRANSLATE(A:A, ""en"", ""te"")"),"లాథమ్ ఎల్ .1")</f>
        <v>లాథమ్ ఎల్ .1</v>
      </c>
      <c r="C7" s="1" t="s">
        <v>205</v>
      </c>
      <c r="D7" s="1" t="str">
        <f>IFERROR(__xludf.DUMMYFUNCTION("GOOGLETRANSLATE(C:C, ""en"", ""te"")"),"లాథమ్ ఎల్ .1 1923 ష్నైడర్ ట్రోఫీ రేసులో ఫ్రెంచ్ పోటీదారు. ఇది ట్విన్ ఇంజిన్, బిప్‌లేన్ ఫ్లయింగ్ బోట్, దీనిని సోషియాట్ లాథమ్ నిర్మించారు. లాథమ్ ఎల్ .1 సింగిల్ బే బిప్‌లేన్, ఇది ప్రతి వైపు ఒకే, ఫెయిర్‌డ్ ఇంటర్‌ప్లేన్ స్ట్రట్‌తో ఉంటుంది. కొంచెం అస్థిరంగా ఉంద"&amp;"ి. ఎగువ మరియు దిగువ రెక్కల మధ్య అంతరం పెద్దది, సుమారు 2.5 మీ (8.2 అడుగులు) లేదా 20% వ్యవధి. ఇది ఇంజన్లు, ఒక జత 220 kW (300 HP) లోరైన్ 12D V-12S పుష్-పుల్ కాన్ఫిగరేషన్‌లో అమర్చబడి, రెక్కల మధ్య అమర్చడానికి అనుమతించింది. నిరంతర, క్రమబద్ధీకరించిన కౌలింగ్‌లో క"&amp;"ప్పబడి, వాటిని దిగువ నుండి నాలుగు జతల రేఖాంశ V- స్ట్రట్‌లపై మరియు వారి పై వైపు నుండి మరో నాలుగు చిన్న జత విలోమ V- స్ట్రట్‌లపై స్ట్రట్-మౌంటెడ్ చేశారు, ఇది ఒక క్యాబనేను ఏర్పరుస్తుంది, ఇది ఎగువ వింగ్ సెంటర్-సెక్షన్‌ను కలుపుతుంది. ప్రతి ఫార్వర్డ్ ఇంజిన్ సపోర్"&amp;"ట్ స్ట్రట్‌లో ఇంజిన్లు స్థూపాకార లాంబ్లిన్ రేడియేటర్లతో చల్లబరుస్తాయి. దిగువ వింగ్ ఫ్యూజ్‌లేజ్ పైన అమర్చబడింది. [1] ఎగువ మరియు దిగువ రెక్కలు ప్రణాళికలో దీర్ఘచతురస్రాకారంగా ఉన్నాయి మరియు ఒకే పరిమాణంలో ఉన్నాయి, రెండూ స్వల్ప డైహెడ్రల్‌తో సెట్ చేయబడతాయి. దీర్"&amp;"ఘచతురస్రాకార ప్రణాళిక ఐలెరాన్‌లు, చిట్కాలకు విస్తరించి, రెండు రెక్కలపై అమర్చబడ్డాయి మరియు బాహ్యంగా అనుసంధానించబడ్డాయి. స్టెబిలైజింగ్ ఫ్లోట్లను నేరుగా ఇంటర్‌ప్లేన్ స్ట్రట్‌ల క్రింద దిగువ వింగ్ దిగువ భాగంలో అమర్చారు. [1] L.1 ఒకే-దశ పొట్టును కలిగి ఉంది, ఇది "&amp;"పూర్తిగా డ్యూరాలిమిన్ మరియు కొద్దిగా పుటాకార V- సెక్షన్ ప్లానింగ్ బాటమ్‌తో నిర్మించబడింది. ఫ్యూజ్‌లేజ్ వైపులా కొద్దిగా గుండ్రంగా ఉండేది, ఎగువ డెక్కింగ్ కంటే పొగిడేది. పైలట్ యొక్క ఓపెన్ కాక్‌పిట్ వింగ్ ప్రముఖ అంచుల కంటే ముందుంది కాని ఫార్వర్డ్ ఇంజిన్ క్రిం"&amp;"ద ఉంది. వెనుక భాగంలో ఎగువ ఫ్యూజ్‌లేజ్ ఫిన్‌లోకి పైకి దూసుకెళ్లింది, ఇది దాని పైభాగంలో క్షితిజ సమాంతర తోకను తీసుకువెళుతుంది. తరువాతి కోణీయ చిట్కాలతో నేరుగా అంచున ఉంది, దాని టెయిల్ ప్లేన్ ఫ్యూజ్‌లేజ్‌కు ప్రతి వైపు వెనుక వైపు-వాలుగా ఉండే స్ట్రట్‌తో కలుపుతుంద"&amp;"ి. ఎలివేటర్ల మధ్య కటౌట్లో పనిచేసిన చుక్కాని గుండ్రంగా ఉంది మరియు టెయిల్ ప్లేన్ పైన పనిచేసే కామా-స్టైల్ బ్యాలెన్స్ ఉంది. [1] 1923 ష్నైడర్ కప్ రేసు పోర్ట్స్మౌత్ నుండి కౌవ్స్ మరియు సెల్సే మధ్య సోలెంట్ మీద జరిగింది మరియు సెప్టెంబర్ 28 న సెప్టెంబర్ 28 న టాక్సీ"&amp;" మరియు మూరింగ్ పరీక్షల తరువాత రోజుకు ముందుంది. వారు ఫ్రెంచ్ జట్టుకు రెండు లాథమ్ L.1 లు ఉన్నాయి (రెండవది సమకాలీన నివేదికలలో L.2 అని పిలవబడలేదు, [2] [3] కొన్ని ఆధునిక వనరులలో ఖాతాలు ఉన్నప్పటికీ), ఒకటి (రేస్ నం. 11, F-ESEJ) పోటీ చేయడానికి డుహామెల్‌తో పైలట్‌గ"&amp;"ా మరియు మరొకటి రిజర్వ్. [2] వారి వద్ద ఒక జత క్యామ్స్ 38 లు కూడా ఉన్నాయి. [2] లాథమ్ ఎల్ .1 నెం. ఈ రేసును వారి కర్టిస్ CR-3 ఫ్లోట్‌ప్లేన్‌లతో మొదటి మరియు రెండవ ప్రదేశాలలో యుఎస్ చేత నిర్ణయాత్మకంగా గెలిచింది. [4] లెస్ ఐల్స్, నవంబర్ 1923 నుండి డేటా [1] సాధారణ "&amp;"లక్షణాల పనితీరు")</f>
        <v>లాథమ్ ఎల్ .1 1923 ష్నైడర్ ట్రోఫీ రేసులో ఫ్రెంచ్ పోటీదారు. ఇది ట్విన్ ఇంజిన్, బిప్‌లేన్ ఫ్లయింగ్ బోట్, దీనిని సోషియాట్ లాథమ్ నిర్మించారు. లాథమ్ ఎల్ .1 సింగిల్ బే బిప్‌లేన్, ఇది ప్రతి వైపు ఒకే, ఫెయిర్‌డ్ ఇంటర్‌ప్లేన్ స్ట్రట్‌తో ఉంటుంది. కొంచెం అస్థిరంగా ఉంది. ఎగువ మరియు దిగువ రెక్కల మధ్య అంతరం పెద్దది, సుమారు 2.5 మీ (8.2 అడుగులు) లేదా 20% వ్యవధి. ఇది ఇంజన్లు, ఒక జత 220 kW (300 HP) లోరైన్ 12D V-12S పుష్-పుల్ కాన్ఫిగరేషన్‌లో అమర్చబడి, రెక్కల మధ్య అమర్చడానికి అనుమతించింది. నిరంతర, క్రమబద్ధీకరించిన కౌలింగ్‌లో కప్పబడి, వాటిని దిగువ నుండి నాలుగు జతల రేఖాంశ V- స్ట్రట్‌లపై మరియు వారి పై వైపు నుండి మరో నాలుగు చిన్న జత విలోమ V- స్ట్రట్‌లపై స్ట్రట్-మౌంటెడ్ చేశారు, ఇది ఒక క్యాబనేను ఏర్పరుస్తుంది, ఇది ఎగువ వింగ్ సెంటర్-సెక్షన్‌ను కలుపుతుంది. ప్రతి ఫార్వర్డ్ ఇంజిన్ సపోర్ట్ స్ట్రట్‌లో ఇంజిన్లు స్థూపాకార లాంబ్లిన్ రేడియేటర్లతో చల్లబరుస్తాయి. దిగువ వింగ్ ఫ్యూజ్‌లేజ్ పైన అమర్చబడింది. [1] ఎగువ మరియు దిగువ రెక్కలు ప్రణాళికలో దీర్ఘచతురస్రాకారంగా ఉన్నాయి మరియు ఒకే పరిమాణంలో ఉన్నాయి, రెండూ స్వల్ప డైహెడ్రల్‌తో సెట్ చేయబడతాయి. దీర్ఘచతురస్రాకార ప్రణాళిక ఐలెరాన్‌లు, చిట్కాలకు విస్తరించి, రెండు రెక్కలపై అమర్చబడ్డాయి మరియు బాహ్యంగా అనుసంధానించబడ్డాయి. స్టెబిలైజింగ్ ఫ్లోట్లను నేరుగా ఇంటర్‌ప్లేన్ స్ట్రట్‌ల క్రింద దిగువ వింగ్ దిగువ భాగంలో అమర్చారు. [1] L.1 ఒకే-దశ పొట్టును కలిగి ఉంది, ఇది పూర్తిగా డ్యూరాలిమిన్ మరియు కొద్దిగా పుటాకార V- సెక్షన్ ప్లానింగ్ బాటమ్‌తో నిర్మించబడింది. ఫ్యూజ్‌లేజ్ వైపులా కొద్దిగా గుండ్రంగా ఉండేది, ఎగువ డెక్కింగ్ కంటే పొగిడేది. పైలట్ యొక్క ఓపెన్ కాక్‌పిట్ వింగ్ ప్రముఖ అంచుల కంటే ముందుంది కాని ఫార్వర్డ్ ఇంజిన్ క్రింద ఉంది. వెనుక భాగంలో ఎగువ ఫ్యూజ్‌లేజ్ ఫిన్‌లోకి పైకి దూసుకెళ్లింది, ఇది దాని పైభాగంలో క్షితిజ సమాంతర తోకను తీసుకువెళుతుంది. తరువాతి కోణీయ చిట్కాలతో నేరుగా అంచున ఉంది, దాని టెయిల్ ప్లేన్ ఫ్యూజ్‌లేజ్‌కు ప్రతి వైపు వెనుక వైపు-వాలుగా ఉండే స్ట్రట్‌తో కలుపుతుంది. ఎలివేటర్ల మధ్య కటౌట్లో పనిచేసిన చుక్కాని గుండ్రంగా ఉంది మరియు టెయిల్ ప్లేన్ పైన పనిచేసే కామా-స్టైల్ బ్యాలెన్స్ ఉంది. [1] 1923 ష్నైడర్ కప్ రేసు పోర్ట్స్మౌత్ నుండి కౌవ్స్ మరియు సెల్సే మధ్య సోలెంట్ మీద జరిగింది మరియు సెప్టెంబర్ 28 న సెప్టెంబర్ 28 న టాక్సీ మరియు మూరింగ్ పరీక్షల తరువాత రోజుకు ముందుంది. వారు ఫ్రెంచ్ జట్టుకు రెండు లాథమ్ L.1 లు ఉన్నాయి (రెండవది సమకాలీన నివేదికలలో L.2 అని పిలవబడలేదు, [2] [3] కొన్ని ఆధునిక వనరులలో ఖాతాలు ఉన్నప్పటికీ), ఒకటి (రేస్ నం. 11, F-ESEJ) పోటీ చేయడానికి డుహామెల్‌తో పైలట్‌గా మరియు మరొకటి రిజర్వ్. [2] వారి వద్ద ఒక జత క్యామ్స్ 38 లు కూడా ఉన్నాయి. [2] లాథమ్ ఎల్ .1 నెం. ఈ రేసును వారి కర్టిస్ CR-3 ఫ్లోట్‌ప్లేన్‌లతో మొదటి మరియు రెండవ ప్రదేశాలలో యుఎస్ చేత నిర్ణయాత్మకంగా గెలిచింది. [4] లెస్ ఐల్స్, నవంబర్ 1923 నుండి డేటా [1] సాధారణ లక్షణాల పనితీరు</v>
      </c>
      <c r="E7" s="1" t="s">
        <v>206</v>
      </c>
      <c r="F7" s="1" t="str">
        <f>IFERROR(__xludf.DUMMYFUNCTION("GOOGLETRANSLATE(E:E, ""en"", ""te"")"),"ష్నైడర్ ట్రోఫీ రేసింగ్ విమానం")</f>
        <v>ష్నైడర్ ట్రోఫీ రేసింగ్ విమానం</v>
      </c>
      <c r="G7" s="1" t="s">
        <v>207</v>
      </c>
      <c r="H7" s="1" t="s">
        <v>208</v>
      </c>
      <c r="I7" s="1" t="str">
        <f>IFERROR(__xludf.DUMMYFUNCTION("GOOGLETRANSLATE(H:H, ""en"", ""te"")"),"ఫ్రాన్స్")</f>
        <v>ఫ్రాన్స్</v>
      </c>
      <c r="J7" s="3" t="s">
        <v>209</v>
      </c>
      <c r="K7" s="1" t="s">
        <v>210</v>
      </c>
      <c r="L7" s="2" t="str">
        <f>IFERROR(__xludf.DUMMYFUNCTION("GOOGLETRANSLATE(K:K, ""en"", ""te"")"),"Société latham")</f>
        <v>Société latham</v>
      </c>
      <c r="M7" s="1" t="s">
        <v>211</v>
      </c>
      <c r="Q7" s="1" t="s">
        <v>212</v>
      </c>
      <c r="R7" s="1" t="s">
        <v>213</v>
      </c>
      <c r="S7" s="1" t="s">
        <v>214</v>
      </c>
      <c r="U7" s="1" t="s">
        <v>215</v>
      </c>
      <c r="X7" s="1" t="s">
        <v>216</v>
      </c>
      <c r="Y7" s="1" t="s">
        <v>217</v>
      </c>
      <c r="AD7" s="1">
        <v>1923.0</v>
      </c>
      <c r="AE7" s="1">
        <v>2.0</v>
      </c>
      <c r="AF7" s="1" t="s">
        <v>218</v>
      </c>
      <c r="AG7" s="1" t="s">
        <v>219</v>
      </c>
      <c r="AH7" s="1" t="s">
        <v>220</v>
      </c>
      <c r="AI7" s="1" t="s">
        <v>221</v>
      </c>
      <c r="AJ7" s="1" t="s">
        <v>222</v>
      </c>
      <c r="AK7" s="1" t="s">
        <v>223</v>
      </c>
    </row>
    <row r="8">
      <c r="A8" s="1" t="s">
        <v>224</v>
      </c>
      <c r="B8" s="1" t="str">
        <f>IFERROR(__xludf.DUMMYFUNCTION("GOOGLETRANSLATE(A:A, ""en"", ""te"")"),"సికోర్స్కీ ఎస్ -33 మెసెంజర్")</f>
        <v>సికోర్స్కీ ఎస్ -33 మెసెంజర్</v>
      </c>
      <c r="C8" s="1" t="s">
        <v>225</v>
      </c>
      <c r="D8" s="1" t="str">
        <f>IFERROR(__xludf.DUMMYFUNCTION("GOOGLETRANSLATE(C:C, ""en"", ""te"")"),"సికోర్స్కీ ఎస్ -33 మెసెంజర్ 1925 లో సికోర్స్కీ మాన్యుఫ్యాక్చరింగ్ కార్పొరేషన్ రూపొందించిన మరియు నిర్మించిన ఒక అమెరికన్ రెండు-సీట్ల సెస్కిప్లేన్. 1925 మరియు సికోర్స్కీ ఉద్యోగి అల్ క్రాపిష్ చేత పైలట్ చేయబడింది. [1] మొదటి విమానం 60 హెచ్‌పి (45 కిలోవాట్) యొక్"&amp;"క రైట్ గేల్ మరియు రెండవది 60 హెచ్‌పి (45 కిలోవాట్ల) లారెన్స్ ఎల్ -3 చేత శక్తిని కలిగి ఉన్నట్లు నివేదించబడింది. ఇవి తప్పనిసరిగా అదే ఇంజిన్ రకం, లారెన్స్ ఏరో ఇంజిన్ కంపెనీని వరుసగా రైట్ ఏరోనాటికల్ కార్పొరేషన్ యొక్క పోస్ట్- మరియు ముందస్తుగా పొందడం. ఈ విమానం "&amp;"అంజాని ఇంజిన్ చేత శక్తిని పొందిందని కొన్ని వర్గాలు నొక్కిచెప్పాయి, [2] కానీ ఇది చాలావరకు తప్పుగా గుర్తించే అవకాశం ఉంది. [అసలు పరిశోధన?] ఏరోఫైల్స్ నుండి డేటా [2] సాధారణ లక్షణాల పనితీరు 1920 ల విమానంలో ఈ వ్యాసం ఒక స్టబ్. వికీపీడియా విస్తరించడం ద్వారా మీరు స"&amp;"హాయపడవచ్చు.")</f>
        <v>సికోర్స్కీ ఎస్ -33 మెసెంజర్ 1925 లో సికోర్స్కీ మాన్యుఫ్యాక్చరింగ్ కార్పొరేషన్ రూపొందించిన మరియు నిర్మించిన ఒక అమెరికన్ రెండు-సీట్ల సెస్కిప్లేన్. 1925 మరియు సికోర్స్కీ ఉద్యోగి అల్ క్రాపిష్ చేత పైలట్ చేయబడింది. [1] మొదటి విమానం 60 హెచ్‌పి (45 కిలోవాట్) యొక్క రైట్ గేల్ మరియు రెండవది 60 హెచ్‌పి (45 కిలోవాట్ల) లారెన్స్ ఎల్ -3 చేత శక్తిని కలిగి ఉన్నట్లు నివేదించబడింది. ఇవి తప్పనిసరిగా అదే ఇంజిన్ రకం, లారెన్స్ ఏరో ఇంజిన్ కంపెనీని వరుసగా రైట్ ఏరోనాటికల్ కార్పొరేషన్ యొక్క పోస్ట్- మరియు ముందస్తుగా పొందడం. ఈ విమానం అంజాని ఇంజిన్ చేత శక్తిని పొందిందని కొన్ని వర్గాలు నొక్కిచెప్పాయి, [2] కానీ ఇది చాలావరకు తప్పుగా గుర్తించే అవకాశం ఉంది. [అసలు పరిశోధన?] ఏరోఫైల్స్ నుండి డేటా [2] సాధారణ లక్షణాల పనితీరు 1920 ల విమానంలో ఈ వ్యాసం ఒక స్టబ్. వికీపీడియా విస్తరించడం ద్వారా మీరు సహాయపడవచ్చు.</v>
      </c>
      <c r="E8" s="1" t="s">
        <v>226</v>
      </c>
      <c r="F8" s="1" t="str">
        <f>IFERROR(__xludf.DUMMYFUNCTION("GOOGLETRANSLATE(E:E, ""en"", ""te"")"),"రేసర్/యుటిలిటీ")</f>
        <v>రేసర్/యుటిలిటీ</v>
      </c>
      <c r="H8" s="1" t="s">
        <v>227</v>
      </c>
      <c r="I8" s="1" t="str">
        <f>IFERROR(__xludf.DUMMYFUNCTION("GOOGLETRANSLATE(H:H, ""en"", ""te"")"),"అమెరికా")</f>
        <v>అమెరికా</v>
      </c>
      <c r="J8" s="3" t="s">
        <v>228</v>
      </c>
      <c r="K8" s="1" t="s">
        <v>229</v>
      </c>
      <c r="L8" s="2" t="str">
        <f>IFERROR(__xludf.DUMMYFUNCTION("GOOGLETRANSLATE(K:K, ""en"", ""te"")"),"సికోర్స్కీ")</f>
        <v>సికోర్స్కీ</v>
      </c>
      <c r="Q8" s="1" t="s">
        <v>230</v>
      </c>
      <c r="S8" s="1" t="s">
        <v>231</v>
      </c>
      <c r="U8" s="1" t="s">
        <v>232</v>
      </c>
      <c r="X8" s="1" t="s">
        <v>233</v>
      </c>
      <c r="Y8" s="1" t="s">
        <v>234</v>
      </c>
      <c r="AA8" s="1" t="s">
        <v>235</v>
      </c>
      <c r="AD8" s="1">
        <v>1925.0</v>
      </c>
      <c r="AE8" s="1">
        <v>2.0</v>
      </c>
      <c r="AF8" s="1" t="s">
        <v>236</v>
      </c>
      <c r="AI8" s="1" t="s">
        <v>237</v>
      </c>
      <c r="AL8" s="1" t="s">
        <v>238</v>
      </c>
      <c r="AM8" s="1" t="s">
        <v>239</v>
      </c>
      <c r="AN8" s="1" t="s">
        <v>240</v>
      </c>
      <c r="AO8" s="1" t="s">
        <v>241</v>
      </c>
      <c r="AP8" s="1" t="s">
        <v>242</v>
      </c>
      <c r="AQ8" s="1" t="s">
        <v>243</v>
      </c>
    </row>
    <row r="9">
      <c r="A9" s="1" t="s">
        <v>244</v>
      </c>
      <c r="B9" s="1" t="str">
        <f>IFERROR(__xludf.DUMMYFUNCTION("GOOGLETRANSLATE(A:A, ""en"", ""te"")"),"స్కై బ్రోంటెస్")</f>
        <v>స్కై బ్రోంటెస్</v>
      </c>
      <c r="C9" s="1" t="s">
        <v>245</v>
      </c>
      <c r="D9" s="1" t="str">
        <f>IFERROR(__xludf.DUMMYFUNCTION("GOOGLETRANSLATE(C:C, ""en"", ""te"")"),"స్కై బ్రోంటెస్ ఒక చెక్ సింగిల్-ప్లేస్ పారాగ్లైడర్, ఇది ఫ్రెడ్లాంట్ నాడ్ ఓస్ట్రావిసి యొక్క స్కై పారాగ్లైడర్స్ చేత రూపొందించబడింది మరియు ఉత్పత్తి చేస్తుంది. ఇది ఇప్పుడు ఉత్పత్తికి దూరంగా ఉంది. [1] బ్రోంటెస్ ఇంటర్మీడియట్ మరియు క్రాస్ కంట్రీ గ్లైడర్‌గా రూపొంద"&amp;"ించబడింది. మోడల్స్ వాటి సాపేక్ష పరిమాణానికి పేరు పెట్టబడ్డాయి. [1] సమీక్షకుడు నోయెల్ బెర్ట్రాండ్ 2003 సమీక్షలో బ్రోంటెస్‌ను ""ఎగరడానికి ఆహ్లాదకరమైన, అధిక పనితీరు మరియు బాగా నిర్మించారు"" అని అభివర్ణించారు. [1] బెర్ట్రాండ్ నుండి డేటా [1] సాధారణ లక్షణాల పని"&amp;"తీరు")</f>
        <v>స్కై బ్రోంటెస్ ఒక చెక్ సింగిల్-ప్లేస్ పారాగ్లైడర్, ఇది ఫ్రెడ్లాంట్ నాడ్ ఓస్ట్రావిసి యొక్క స్కై పారాగ్లైడర్స్ చేత రూపొందించబడింది మరియు ఉత్పత్తి చేస్తుంది. ఇది ఇప్పుడు ఉత్పత్తికి దూరంగా ఉంది. [1] బ్రోంటెస్ ఇంటర్మీడియట్ మరియు క్రాస్ కంట్రీ గ్లైడర్‌గా రూపొందించబడింది. మోడల్స్ వాటి సాపేక్ష పరిమాణానికి పేరు పెట్టబడ్డాయి. [1] సమీక్షకుడు నోయెల్ బెర్ట్రాండ్ 2003 సమీక్షలో బ్రోంటెస్‌ను "ఎగరడానికి ఆహ్లాదకరమైన, అధిక పనితీరు మరియు బాగా నిర్మించారు" అని అభివర్ణించారు. [1] బెర్ట్రాండ్ నుండి డేటా [1] సాధారణ లక్షణాల పనితీరు</v>
      </c>
      <c r="E9" s="1" t="s">
        <v>154</v>
      </c>
      <c r="F9" s="1" t="str">
        <f>IFERROR(__xludf.DUMMYFUNCTION("GOOGLETRANSLATE(E:E, ""en"", ""te"")"),"పారాగ్లైడర్")</f>
        <v>పారాగ్లైడర్</v>
      </c>
      <c r="G9" s="3" t="s">
        <v>155</v>
      </c>
      <c r="H9" s="1" t="s">
        <v>246</v>
      </c>
      <c r="I9" s="1" t="str">
        <f>IFERROR(__xludf.DUMMYFUNCTION("GOOGLETRANSLATE(H:H, ""en"", ""te"")"),"చెక్ రిపబ్లిక్")</f>
        <v>చెక్ రిపబ్లిక్</v>
      </c>
      <c r="J9" s="1" t="s">
        <v>247</v>
      </c>
      <c r="K9" s="1" t="s">
        <v>248</v>
      </c>
      <c r="L9" s="2" t="str">
        <f>IFERROR(__xludf.DUMMYFUNCTION("GOOGLETRANSLATE(K:K, ""en"", ""te"")"),"స్కై పారాగ్లైడర్స్")</f>
        <v>స్కై పారాగ్లైడర్స్</v>
      </c>
      <c r="M9" s="1" t="s">
        <v>249</v>
      </c>
      <c r="N9" s="1" t="s">
        <v>171</v>
      </c>
      <c r="O9" s="1" t="str">
        <f>IFERROR(__xludf.DUMMYFUNCTION("GOOGLETRANSLATE(N:N, ""en"", ""te"")"),"ఉత్పత్తి పూర్తయింది")</f>
        <v>ఉత్పత్తి పూర్తయింది</v>
      </c>
      <c r="P9" s="1" t="s">
        <v>172</v>
      </c>
      <c r="Q9" s="1" t="s">
        <v>162</v>
      </c>
      <c r="R9" s="1" t="s">
        <v>250</v>
      </c>
      <c r="S9" s="1" t="s">
        <v>251</v>
      </c>
      <c r="T9" s="1">
        <v>5.3</v>
      </c>
      <c r="U9" s="1" t="s">
        <v>252</v>
      </c>
      <c r="V9" s="1" t="s">
        <v>166</v>
      </c>
      <c r="W9" s="1" t="s">
        <v>177</v>
      </c>
    </row>
    <row r="10">
      <c r="A10" s="1" t="s">
        <v>253</v>
      </c>
      <c r="B10" s="1" t="str">
        <f>IFERROR(__xludf.DUMMYFUNCTION("GOOGLETRANSLATE(A:A, ""en"", ""te"")"),"స్కై పరిహసము")</f>
        <v>స్కై పరిహసము</v>
      </c>
      <c r="C10" s="1" t="s">
        <v>254</v>
      </c>
      <c r="D10" s="1" t="str">
        <f>IFERROR(__xludf.DUMMYFUNCTION("GOOGLETRANSLATE(C:C, ""en"", ""te"")"),"స్కై పరిహయాను ఒక చెక్ సింగిల్-ప్లేస్ పారాగ్లైడర్, ఇది ఫ్రెడ్లాంట్ నాడ్ ఓస్ట్రావిసి యొక్క స్కై పారాగ్లైడర్స్ చేత రూపొందించబడింది మరియు నిర్మించింది. ఇది ఇప్పుడు ఉత్పత్తికి దూరంగా ఉంది. [1] పరిహసముచేయును అధునాతన పనితీరు గ్లైడర్‌గా రూపొందించారు. మోడల్స్ ప్రత"&amp;"ి ఒక్కటి చదరపు మీటర్లలో వారి సుమారుగా వింగ్ ప్రాంతానికి పేరు పెట్టబడ్డాయి. [1] బెర్ట్రాండ్ నుండి డేటా [1] సాధారణ లక్షణాల పనితీరు")</f>
        <v>స్కై పరిహయాను ఒక చెక్ సింగిల్-ప్లేస్ పారాగ్లైడర్, ఇది ఫ్రెడ్లాంట్ నాడ్ ఓస్ట్రావిసి యొక్క స్కై పారాగ్లైడర్స్ చేత రూపొందించబడింది మరియు నిర్మించింది. ఇది ఇప్పుడు ఉత్పత్తికి దూరంగా ఉంది. [1] పరిహసముచేయును అధునాతన పనితీరు గ్లైడర్‌గా రూపొందించారు. మోడల్స్ ప్రతి ఒక్కటి చదరపు మీటర్లలో వారి సుమారుగా వింగ్ ప్రాంతానికి పేరు పెట్టబడ్డాయి. [1] బెర్ట్రాండ్ నుండి డేటా [1] సాధారణ లక్షణాల పనితీరు</v>
      </c>
      <c r="E10" s="1" t="s">
        <v>154</v>
      </c>
      <c r="F10" s="1" t="str">
        <f>IFERROR(__xludf.DUMMYFUNCTION("GOOGLETRANSLATE(E:E, ""en"", ""te"")"),"పారాగ్లైడర్")</f>
        <v>పారాగ్లైడర్</v>
      </c>
      <c r="G10" s="3" t="s">
        <v>155</v>
      </c>
      <c r="H10" s="1" t="s">
        <v>246</v>
      </c>
      <c r="I10" s="1" t="str">
        <f>IFERROR(__xludf.DUMMYFUNCTION("GOOGLETRANSLATE(H:H, ""en"", ""te"")"),"చెక్ రిపబ్లిక్")</f>
        <v>చెక్ రిపబ్లిక్</v>
      </c>
      <c r="J10" s="1" t="s">
        <v>247</v>
      </c>
      <c r="K10" s="1" t="s">
        <v>248</v>
      </c>
      <c r="L10" s="2" t="str">
        <f>IFERROR(__xludf.DUMMYFUNCTION("GOOGLETRANSLATE(K:K, ""en"", ""te"")"),"స్కై పారాగ్లైడర్స్")</f>
        <v>స్కై పారాగ్లైడర్స్</v>
      </c>
      <c r="M10" s="1" t="s">
        <v>249</v>
      </c>
      <c r="N10" s="1" t="s">
        <v>171</v>
      </c>
      <c r="O10" s="1" t="str">
        <f>IFERROR(__xludf.DUMMYFUNCTION("GOOGLETRANSLATE(N:N, ""en"", ""te"")"),"ఉత్పత్తి పూర్తయింది")</f>
        <v>ఉత్పత్తి పూర్తయింది</v>
      </c>
      <c r="P10" s="1" t="s">
        <v>172</v>
      </c>
      <c r="Q10" s="1" t="s">
        <v>162</v>
      </c>
      <c r="R10" s="1" t="s">
        <v>255</v>
      </c>
      <c r="S10" s="1" t="s">
        <v>256</v>
      </c>
      <c r="T10" s="1">
        <v>5.74</v>
      </c>
      <c r="U10" s="1" t="s">
        <v>175</v>
      </c>
      <c r="W10" s="1" t="s">
        <v>177</v>
      </c>
    </row>
    <row r="11">
      <c r="A11" s="1" t="s">
        <v>257</v>
      </c>
      <c r="B11" s="1" t="str">
        <f>IFERROR(__xludf.DUMMYFUNCTION("GOOGLETRANSLATE(A:A, ""en"", ""te"")"),"స్కై పారాగ్లైడర్స్ లిఫ్ట్")</f>
        <v>స్కై పారాగ్లైడర్స్ లిఫ్ట్</v>
      </c>
      <c r="C11" s="1" t="s">
        <v>258</v>
      </c>
      <c r="D11" s="1" t="str">
        <f>IFERROR(__xludf.DUMMYFUNCTION("GOOGLETRANSLATE(C:C, ""en"", ""te"")"),"స్కై పారాగ్లిడర్స్ లిఫ్ట్ ఒక చెక్ సింగిల్-ప్లేస్ పారాగ్లైడర్, ఇది ఫ్రేడ్లాంట్ నాడ్ ఓస్ట్రావిసి యొక్క స్కై పారాగ్లైడర్స్ చేత రూపొందించబడింది మరియు నిర్మించింది. 2000 ల మధ్యలో లభిస్తుంది, ఇది ఇప్పుడు ఉత్పత్తికి దూరంగా ఉంది. [1] లిఫ్ట్ ఇంటర్మీడియట్ గ్లైడర్‌గ"&amp;"ా రూపొందించబడింది. మోడల్స్ ప్రతి ఒక్కటి చదరపు మీటర్లలో వారి సుమారుగా వింగ్ ప్రాంతానికి పేరు పెట్టబడ్డాయి. [1] బెర్ట్రాండ్ నుండి డేటా [1] సాధారణ లక్షణాల పనితీరు")</f>
        <v>స్కై పారాగ్లిడర్స్ లిఫ్ట్ ఒక చెక్ సింగిల్-ప్లేస్ పారాగ్లైడర్, ఇది ఫ్రేడ్లాంట్ నాడ్ ఓస్ట్రావిసి యొక్క స్కై పారాగ్లైడర్స్ చేత రూపొందించబడింది మరియు నిర్మించింది. 2000 ల మధ్యలో లభిస్తుంది, ఇది ఇప్పుడు ఉత్పత్తికి దూరంగా ఉంది. [1] లిఫ్ట్ ఇంటర్మీడియట్ గ్లైడర్‌గా రూపొందించబడింది. మోడల్స్ ప్రతి ఒక్కటి చదరపు మీటర్లలో వారి సుమారుగా వింగ్ ప్రాంతానికి పేరు పెట్టబడ్డాయి. [1] బెర్ట్రాండ్ నుండి డేటా [1] సాధారణ లక్షణాల పనితీరు</v>
      </c>
      <c r="E11" s="1" t="s">
        <v>154</v>
      </c>
      <c r="F11" s="1" t="str">
        <f>IFERROR(__xludf.DUMMYFUNCTION("GOOGLETRANSLATE(E:E, ""en"", ""te"")"),"పారాగ్లైడర్")</f>
        <v>పారాగ్లైడర్</v>
      </c>
      <c r="G11" s="3" t="s">
        <v>155</v>
      </c>
      <c r="H11" s="1" t="s">
        <v>246</v>
      </c>
      <c r="I11" s="1" t="str">
        <f>IFERROR(__xludf.DUMMYFUNCTION("GOOGLETRANSLATE(H:H, ""en"", ""te"")"),"చెక్ రిపబ్లిక్")</f>
        <v>చెక్ రిపబ్లిక్</v>
      </c>
      <c r="J11" s="1" t="s">
        <v>247</v>
      </c>
      <c r="K11" s="1" t="s">
        <v>248</v>
      </c>
      <c r="L11" s="2" t="str">
        <f>IFERROR(__xludf.DUMMYFUNCTION("GOOGLETRANSLATE(K:K, ""en"", ""te"")"),"స్కై పారాగ్లైడర్స్")</f>
        <v>స్కై పారాగ్లైడర్స్</v>
      </c>
      <c r="M11" s="1" t="s">
        <v>249</v>
      </c>
      <c r="N11" s="1" t="s">
        <v>171</v>
      </c>
      <c r="O11" s="1" t="str">
        <f>IFERROR(__xludf.DUMMYFUNCTION("GOOGLETRANSLATE(N:N, ""en"", ""te"")"),"ఉత్పత్తి పూర్తయింది")</f>
        <v>ఉత్పత్తి పూర్తయింది</v>
      </c>
      <c r="P11" s="1" t="s">
        <v>172</v>
      </c>
      <c r="Q11" s="1" t="s">
        <v>162</v>
      </c>
      <c r="R11" s="1" t="s">
        <v>259</v>
      </c>
      <c r="S11" s="1" t="s">
        <v>260</v>
      </c>
      <c r="T11" s="1">
        <v>5.0</v>
      </c>
      <c r="U11" s="1" t="s">
        <v>165</v>
      </c>
      <c r="V11" s="1" t="s">
        <v>261</v>
      </c>
      <c r="W11" s="1" t="s">
        <v>177</v>
      </c>
    </row>
    <row r="12">
      <c r="A12" s="1" t="s">
        <v>262</v>
      </c>
      <c r="B12" s="1" t="str">
        <f>IFERROR(__xludf.DUMMYFUNCTION("GOOGLETRANSLATE(A:A, ""en"", ""te"")"),"స్ట్రాటోస్ 714")</f>
        <v>స్ట్రాటోస్ 714</v>
      </c>
      <c r="C12" s="1" t="s">
        <v>263</v>
      </c>
      <c r="D12" s="1" t="str">
        <f>IFERROR(__xludf.DUMMYFUNCTION("GOOGLETRANSLATE(C:C, ""en"", ""te"")"),"స్ట్రాటోస్ 714 అనేది ఒరెగాన్‌లోని రెడ్‌మండ్ యొక్క స్ట్రాటోస్ విమానం అభివృద్ధి చెందుతున్న ఒక అమెరికన్ వెరీ లైట్ జెట్ విమానం. ఈ ప్రాజెక్ట్ జూలై 2008 లో ప్రకటించబడింది, ఒక ప్రోటోటైప్ మొదట 21 నవంబర్ 2016 న ప్రయాణించింది, అయినప్పటికీ స్ట్రాటోస్ ప్రస్తుతం రకం ధ"&amp;"ృవీకరణను పూర్తి చేయడానికి నిధులు లేవు. ప్రధానంగా కార్బన్ మిశ్రమంతో తయారు చేయబడిన సింగిల్ టర్బోఫాన్ విమానం 1,500 ఎన్ఎమ్ఐ (2,800 కిమీ) వరకు 400 కెఎన్ల (740 కిమీ/గం) వద్ద నాలుగు నుండి ఆరు వరకు కూర్చుంటుంది. చీఫ్ టెక్నాలజీ ఆఫీసర్ కార్స్టన్ సుండిన్ CEO మైఖేల్ "&amp;"లెమైర్‌తో VLJ ప్రాజెక్టును ప్రారంభించారు, పోటీదారుల కంటే అధిక వేగం మరియు పరిధిని లక్ష్యంగా చేసుకున్నారు. గ్రాడ్యుయేషన్ తరువాత సుండిన్ 1993 లో లాన్సెయిర్‌లో చేరాడు మరియు 240 kN (440 km/h) లాన్సైర్ లెగసీ 2000 లో ఇంజనీరింగ్ మేనేజర్ అయ్యాడు. 2003 లో అతను ఎపిక"&amp;"్ ఎయిర్‌క్రాఫ్ట్‌లో చేరాడు, దాని కొత్త సింగిల్ టర్బోప్రాప్‌లో ఇంజనీరింగ్ మేనేజర్‌గా నిలిచాడు మరియు గోర్డాన్ అయిన ఫర్న్‌బోరోగ్ ఎఫ్ 1 యొక్క ఏరోడైనమిస్ట్‌ను కలుసుకున్నాడు రాబిన్సన్. ఫర్న్‌బరో ఎయిర్‌క్రాఫ్ట్ మరియు ఎపిక్ FAR-23 సర్టిఫికేట్ F1 వెంట చిన్న కిట్ ఎ"&amp;"పిక్ LT ని అభివృద్ధి చేయడానికి ఒక జాయింట్ వెంచర్‌ను ఏర్పాటు చేశాయి, వారి రెక్క, ఇంజిన్ మరియు తోకను పంచుకుంటాయి మరియు సుండిన్ 2005 లో ఎపిక్‌ను విడిచిపెట్టారు. [1] ఈ ప్రాజెక్ట్ 16 జూలై 2008 న ఆవిష్కరించబడింది, ఇది యజమాని-ఫ్లౌన్ వెరీ లైట్ పర్సనల్ జెట్ గా పేర"&amp;"్కొనబడింది. [2] జూలై 2009 లో ఎయిర్‌వెంచర్‌లో క్యాబిన్ మాక్-అప్ చూపబడింది. ఆ సమయంలో జెట్ సుమారు US $ 2M కు విక్రయిస్తుందని కంపెనీ అంచనా వేసింది. సంస్థ రెండు ప్రోటోటైప్‌లను నిర్మించడానికి US $ 12M మరియు ధృవీకరణను పూర్తి చేయడానికి మరియు ఉత్పత్తిని ప్రారంభించ"&amp;"డానికి మరో US $ 100 మిలియన్లను కోరుతోంది. కంపెనీ సిఇఒ మైఖేల్ లెమైర్, 2009 లో ఈ విమానం పనితీరు సముచితాన్ని నింపుతుందని సూచించారు, ఎందుకంటే 714 యొక్క వేగం మరియు పరిధితో ఇతర నాలుగు సీట్ల విమానాలు లేవు. [3] [4] 2009 లో ఆసక్తిని కలిగించే ఎస్క్రోలో జరగడానికి కం"&amp;"పెనీ US $ 50,000 తిరిగి చెల్లించదగిన కస్టమర్ డిపాజిట్లను అంగీకరిస్తోంది. [5] మొదటి డిపాజిట్‌ను అక్టోబర్ 2009 లో ఒరెగాన్‌లోని బెండ్ యొక్క కాస్కేడ్ ఎయిర్ చార్టర్ చేసింది. [6] కాన్సెప్ట్ ఎయిర్క్రాఫ్ట్ యొక్క రుజువు యొక్క మొదటి ఫ్లైట్ 21 నవంబర్ 2016 న జూలై 201"&amp;"7 లో ఎయిర్‌వెంచర్‌లో బహిరంగ పరిచయం ముందు, ధృవీకరణ కోసం గట్టి షెడ్యూల్ లేకుండా. [7] ఇది N403KT గా నమోదు చేయబడింది. [8] ఫిబ్రవరి 2017 లో ప్రోటోటైప్ ఫ్లైట్ టెస్టింగ్ కొనసాగింది. ధృవీకరణ పూర్తి చేయడానికి కంపెనీకి నిధులు లేవు మరియు ఇకపై వినియోగదారుల నుండి డిపా"&amp;"జిట్లను అంగీకరించలేదు. Stratos CEO Michael Lemaire indicated at that time, ""we are privately funded for the prototype phase, during which we are planning to explore the full flight envelope and draw conclusions for the certification stage. We are not yet"&amp;" funded for the certification phase. At present , డెలివరీల వైపు డిపాజిట్లు తీసుకోవటానికి మాకు ప్రణాళిక లేదు, ఇవి ఇంకా చాలా సంవత్సరాలు దూరంలో ఉన్నాయి. ] స్ట్రాటోస్ అంచనా ప్రకారం రకం ధృవీకరణకు -150 మిలియన్ డాలర్లు అవసరం, కానీ ఇది మూడు రెట్లు అవసరం, మరియు టి"&amp;"బోకు కొన్ని వందల గంటల ముందు $ 200–400 వేల JT15D-5 అవసరమయ్యే విమాన వస్తు సామగ్రిని విక్రయించే ఇంటర్మీడియట్ స్టెప్ గా పరిగణిస్తుంది. , . జూలై 2018 నాటికి, 714 ప్రోటోటైప్ 185 విమాన గంటలు ఎగిరింది, ఇది 25,000 అడుగులు మరియు 370 నాట్లకు చేరుకుంది. [11] ప్రూఫ్-ఆ"&amp;"ఫ్-కాన్సెప్ట్ విమానం ఏప్రిల్ 2019 నాటికి 250 గంటలు, [12] మరియు జనవరి 2020 నాటికి 330 గంటలు లాగిన్ అయ్యింది. [13] మే 2018 లో, 170 గంటల పరీక్ష ఎగురుతున్న తరువాత, స్ట్రాటోస్ ఫ్యూజ్‌లేజ్‌ను 31 లో (77.5 సెం.మీ) విస్తరించాలని నిర్ణయించుకున్నాడు, ఆరుగురు పెద్దలన"&amp;"ు సంచులతో బాగా వసతి కల్పించారు. ఈ విమానం 2018 మూడవ త్రైమాసికంలో పేరు పెట్టబడింది మరియు ఆవిష్కరించబడింది, ఇది 2019 లో మొదటి విమానంతో ఉంటుంది. [14] సింగిల్-లివర్ కంట్రోల్‌తో 3,000 ఎల్బిఎఫ్ (13 కెఎన్) పిడబ్ల్యుసి జెటి 15 డి -5 తో నడిచే 716x జూలై 2018 EAA ఎయి"&amp;"ర్‌వెంచర్‌లో ఆవిష్కరించబడింది, నాల్గవ త్రైమాసికంలో కిట్‌గా లభిస్తుంది మరియు 2 ఇన్ (51 mM) 714 కన్నా విస్తృత ఫ్యూజ్‌లేజ్. నాలుగు నుండి ఐదు సంవత్సరాలలో ధృవీకరించబడిన సంస్కరణను ఉత్పత్తి చేయడానికి ముందు, స్ట్రాటోస్ సంవత్సరానికి మూడు కిట్‌లను విక్రయించాలని భావ"&amp;"ిస్తుంది. కిట్లు ప్రతి ఒక్కటి పురాణ ఎల్టి సింగిల్ టర్బోప్రాప్ వలె నిర్మించడానికి 2,500 గంటలు పడుతుంది. [11] ఏప్రిల్ 2019 నాటికి, స్ట్రాటోస్ మొదటి నమూనా కోసం ఫ్యూజ్‌లేజ్‌ను నిర్మిస్తోంది. జూలైలో EAA ఎయిర్‌వెంచర్ ఓష్కోష్‌లో పూర్తి స్థాయి క్యాబిన్ మాక్-అప్ ప"&amp;"్రదర్శించబడుతుంది. 3,400 ఎల్బిఎఫ్ (15 కెఎన్) పిడబ్ల్యు 535 గార్మిన్ జి 3000 లేదా జి 5000 ఏవియానిక్స్ కలిగి ఉన్న ధృవీకరించబడిన సంస్కరణను నడిపిస్తుంది. [12] జనవరి 2020 నాటికి, లోడ్ పరీక్ష పూర్తయింది, మొదటి నమూనా సమావేశమవుతోంది. రెండవ త్రైమాసికంలో హై-స్పీడ్ "&amp;"టాక్సీ పరీక్షలు నిర్వహించాలని కంపెనీ భావిస్తోంది, 2020 రెండవ భాగంలో మొదటి విమాన సూచన ఉంది. విమాన పరీక్ష జరుగుతున్న తర్వాత ఆర్డర్లు తీసుకోవడం ప్రారంభించాలని కంపెనీ భావిస్తుంది. స్ట్రాటోస్ సంవత్సరానికి 30 నుండి 50 విమానాల ఉత్పత్తి రేటును అంచనా వేస్తుంది. [1"&amp;"3] జూలై 2, 2020 న, 716 ఎక్స్ ఒరెగాన్లోని రెడ్‌మండ్ నుండి 22 నిమిషాల తొలి విమాన ప్రయాణం చేసి, 13,500 అడుగుల ఎత్తుకు ఎక్కి ఫ్లైట్-టెస్ట్ ప్రోగ్రామ్‌ను ప్రారంభించింది, అది చాలా నెలలు ఉంటుంది. [15] విమాన రూపకల్పనలో వింగ్లెట్స్, క్రూసిఫార్మ్ తోక మరియు ముడుచుకు"&amp;"నే ట్రైసైకిల్ ల్యాండింగ్ గేర్‌లతో కూడిన కాంటిలివర్ లో-వింగ్ ఉన్నాయి. అసలు నాలుగు సీటర్లలో 11.5 అడుగుల (3.5 మీ) పొడవు, 170 క్యూ అడుగులు (4.8 మీ 3) క్యాబిన్ ఉంది, అయితే తరువాత విమానాలు పెద్దవిగా ఉంటాయి, ఆరు సీట్లు ఉన్నాయి. ఎయిర్‌ఫ్రేమ్ టోరే ప్రీ-ప్రెగ్ కార్"&amp;"బన్ మిశ్రమాలు మరియు నోమెక్స్ తేనెగూడు శాండ్‌విచ్ నుండి నిర్మించబడింది, వెనుక-సెంటర్ విభాగం మినహా, ఫెయిరింగ్-కప్పబడిన మోలీ స్టీల్ కేజ్ టర్బో ( 198 చ. ), డబుల్-స్లాట్డ్ ఫ్లాప్స్ మరియు సూపర్ క్రిటికల్ ఎయిర్‌ఫాయిల్ ఎగువ ఉపరితలం యొక్క 50-55% లో లామినార్ ప్రవాహ"&amp;"ాన్ని నిర్వహిస్తాయి. థ్రస్ట్-పిచ్ కలపడం నివారించడానికి ఇంజిన్ ద్రవ్యరాశి కేంద్రంతో ఇన్-లైన్ ఉంటుంది. ఇది ఫ్యూజ్‌లేజ్-టాప్ మౌంట్‌ను ఉపయోగిస్తుంది, ఇది సరిహద్దు పొర వెలుపల దాని తీసుకోవడం. [1] ఈ విమానం లాన్సైర్ ఎయిర్క్రాఫ్ట్ లేదా సెస్నా టిటిఎక్స్ వంటి పక్కదా"&amp;"రి పట్టించేది. మొదటి నమూనాలో ప్రయోగాత్మక ఎలక్ట్రానిక్ ఇంటర్నేషనల్/గార్మిన్ ఫ్లైట్ డెక్ ఉంది, కానీ ఉత్పత్తి విమానాలలో గార్మిన్ జి 3000 కాక్‌పిట్ ఉంటుంది. 8.33 పిఎస్‌ఐ (57.4 కెపిఎ) ప్రెజరైజేషన్ దాని ఎఫ్ఎల్ 410 పైకప్పు వద్ద 8,000 అడుగుల (2,400 మీ) క్యాబిన్ ఎ"&amp;"త్తును అందిస్తుంది. ప్రముఖ ఎడ్జ్ డీసింగ్ బూట్లు ఐసింగ్ పరిస్థితులలో ఎగురుతూ ఉండటానికి అనుమతిస్తాయి. ఈ ప్రోటోటైప్ ఒక బీచ్జెట్ నుండి తీసిన 2,900 ఎల్బిఎఫ్ (13 కెఎన్) జెటి 15 డి -5 చేత శక్తినిస్తుంది, అయితే ఉత్పత్తి సంస్కరణలు 22-27% ఎక్కువ ఎత్తులో 3,360 ఎల్బి"&amp;"ఎఫ్ (14.9 కెఎన్) పిడబ్ల్యు 535 ఇని ఉపయోగిస్తాయి మరియు 15% మెరుగైన టిఎస్ఎఫ్సి. 1] స్ట్రాటోస్ నుండి డేటా. [16] సాధారణ లక్షణాలు పనితీరు సంబంధిత జాబితాలు")</f>
        <v>స్ట్రాటోస్ 714 అనేది ఒరెగాన్‌లోని రెడ్‌మండ్ యొక్క స్ట్రాటోస్ విమానం అభివృద్ధి చెందుతున్న ఒక అమెరికన్ వెరీ లైట్ జెట్ విమానం. ఈ ప్రాజెక్ట్ జూలై 2008 లో ప్రకటించబడింది, ఒక ప్రోటోటైప్ మొదట 21 నవంబర్ 2016 న ప్రయాణించింది, అయినప్పటికీ స్ట్రాటోస్ ప్రస్తుతం రకం ధృవీకరణను పూర్తి చేయడానికి నిధులు లేవు. ప్రధానంగా కార్బన్ మిశ్రమంతో తయారు చేయబడిన సింగిల్ టర్బోఫాన్ విమానం 1,500 ఎన్ఎమ్ఐ (2,800 కిమీ) వరకు 400 కెఎన్ల (740 కిమీ/గం) వద్ద నాలుగు నుండి ఆరు వరకు కూర్చుంటుంది. చీఫ్ టెక్నాలజీ ఆఫీసర్ కార్స్టన్ సుండిన్ CEO మైఖేల్ లెమైర్‌తో VLJ ప్రాజెక్టును ప్రారంభించారు, పోటీదారుల కంటే అధిక వేగం మరియు పరిధిని లక్ష్యంగా చేసుకున్నారు. గ్రాడ్యుయేషన్ తరువాత సుండిన్ 1993 లో లాన్సెయిర్‌లో చేరాడు మరియు 240 kN (440 km/h) లాన్సైర్ లెగసీ 2000 లో ఇంజనీరింగ్ మేనేజర్ అయ్యాడు. 2003 లో అతను ఎపిక్ ఎయిర్‌క్రాఫ్ట్‌లో చేరాడు, దాని కొత్త సింగిల్ టర్బోప్రాప్‌లో ఇంజనీరింగ్ మేనేజర్‌గా నిలిచాడు మరియు గోర్డాన్ అయిన ఫర్న్‌బోరోగ్ ఎఫ్ 1 యొక్క ఏరోడైనమిస్ట్‌ను కలుసుకున్నాడు రాబిన్సన్. ఫర్న్‌బరో ఎయిర్‌క్రాఫ్ట్ మరియు ఎపిక్ FAR-23 సర్టిఫికేట్ F1 వెంట చిన్న కిట్ ఎపిక్ LT ని అభివృద్ధి చేయడానికి ఒక జాయింట్ వెంచర్‌ను ఏర్పాటు చేశాయి, వారి రెక్క, ఇంజిన్ మరియు తోకను పంచుకుంటాయి మరియు సుండిన్ 2005 లో ఎపిక్‌ను విడిచిపెట్టారు. [1] ఈ ప్రాజెక్ట్ 16 జూలై 2008 న ఆవిష్కరించబడింది, ఇది యజమాని-ఫ్లౌన్ వెరీ లైట్ పర్సనల్ జెట్ గా పేర్కొనబడింది. [2] జూలై 2009 లో ఎయిర్‌వెంచర్‌లో క్యాబిన్ మాక్-అప్ చూపబడింది. ఆ సమయంలో జెట్ సుమారు US $ 2M కు విక్రయిస్తుందని కంపెనీ అంచనా వేసింది. సంస్థ రెండు ప్రోటోటైప్‌లను నిర్మించడానికి US $ 12M మరియు ధృవీకరణను పూర్తి చేయడానికి మరియు ఉత్పత్తిని ప్రారంభించడానికి మరో US $ 100 మిలియన్లను కోరుతోంది. కంపెనీ సిఇఒ మైఖేల్ లెమైర్, 2009 లో ఈ విమానం పనితీరు సముచితాన్ని నింపుతుందని సూచించారు, ఎందుకంటే 714 యొక్క వేగం మరియు పరిధితో ఇతర నాలుగు సీట్ల విమానాలు లేవు. [3] [4] 2009 లో ఆసక్తిని కలిగించే ఎస్క్రోలో జరగడానికి కంపెనీ US $ 50,000 తిరిగి చెల్లించదగిన కస్టమర్ డిపాజిట్లను అంగీకరిస్తోంది. [5] మొదటి డిపాజిట్‌ను అక్టోబర్ 2009 లో ఒరెగాన్‌లోని బెండ్ యొక్క కాస్కేడ్ ఎయిర్ చార్టర్ చేసింది. [6] కాన్సెప్ట్ ఎయిర్క్రాఫ్ట్ యొక్క రుజువు యొక్క మొదటి ఫ్లైట్ 21 నవంబర్ 2016 న జూలై 2017 లో ఎయిర్‌వెంచర్‌లో బహిరంగ పరిచయం ముందు, ధృవీకరణ కోసం గట్టి షెడ్యూల్ లేకుండా. [7] ఇది N403KT గా నమోదు చేయబడింది. [8] ఫిబ్రవరి 2017 లో ప్రోటోటైప్ ఫ్లైట్ టెస్టింగ్ కొనసాగింది. ధృవీకరణ పూర్తి చేయడానికి కంపెనీకి నిధులు లేవు మరియు ఇకపై వినియోగదారుల నుండి డిపాజిట్లను అంగీకరించలేదు. Stratos CEO Michael Lemaire indicated at that time, "we are privately funded for the prototype phase, during which we are planning to explore the full flight envelope and draw conclusions for the certification stage. We are not yet funded for the certification phase. At present , డెలివరీల వైపు డిపాజిట్లు తీసుకోవటానికి మాకు ప్రణాళిక లేదు, ఇవి ఇంకా చాలా సంవత్సరాలు దూరంలో ఉన్నాయి. ] స్ట్రాటోస్ అంచనా ప్రకారం రకం ధృవీకరణకు -150 మిలియన్ డాలర్లు అవసరం, కానీ ఇది మూడు రెట్లు అవసరం, మరియు టిబోకు కొన్ని వందల గంటల ముందు $ 200–400 వేల JT15D-5 అవసరమయ్యే విమాన వస్తు సామగ్రిని విక్రయించే ఇంటర్మీడియట్ స్టెప్ గా పరిగణిస్తుంది. , . జూలై 2018 నాటికి, 714 ప్రోటోటైప్ 185 విమాన గంటలు ఎగిరింది, ఇది 25,000 అడుగులు మరియు 370 నాట్లకు చేరుకుంది. [11] ప్రూఫ్-ఆఫ్-కాన్సెప్ట్ విమానం ఏప్రిల్ 2019 నాటికి 250 గంటలు, [12] మరియు జనవరి 2020 నాటికి 330 గంటలు లాగిన్ అయ్యింది. [13] మే 2018 లో, 170 గంటల పరీక్ష ఎగురుతున్న తరువాత, స్ట్రాటోస్ ఫ్యూజ్‌లేజ్‌ను 31 లో (77.5 సెం.మీ) విస్తరించాలని నిర్ణయించుకున్నాడు, ఆరుగురు పెద్దలను సంచులతో బాగా వసతి కల్పించారు. ఈ విమానం 2018 మూడవ త్రైమాసికంలో పేరు పెట్టబడింది మరియు ఆవిష్కరించబడింది, ఇది 2019 లో మొదటి విమానంతో ఉంటుంది. [14] సింగిల్-లివర్ కంట్రోల్‌తో 3,000 ఎల్బిఎఫ్ (13 కెఎన్) పిడబ్ల్యుసి జెటి 15 డి -5 తో నడిచే 716x జూలై 2018 EAA ఎయిర్‌వెంచర్‌లో ఆవిష్కరించబడింది, నాల్గవ త్రైమాసికంలో కిట్‌గా లభిస్తుంది మరియు 2 ఇన్ (51 mM) 714 కన్నా విస్తృత ఫ్యూజ్‌లేజ్. నాలుగు నుండి ఐదు సంవత్సరాలలో ధృవీకరించబడిన సంస్కరణను ఉత్పత్తి చేయడానికి ముందు, స్ట్రాటోస్ సంవత్సరానికి మూడు కిట్‌లను విక్రయించాలని భావిస్తుంది. కిట్లు ప్రతి ఒక్కటి పురాణ ఎల్టి సింగిల్ టర్బోప్రాప్ వలె నిర్మించడానికి 2,500 గంటలు పడుతుంది. [11] ఏప్రిల్ 2019 నాటికి, స్ట్రాటోస్ మొదటి నమూనా కోసం ఫ్యూజ్‌లేజ్‌ను నిర్మిస్తోంది. జూలైలో EAA ఎయిర్‌వెంచర్ ఓష్కోష్‌లో పూర్తి స్థాయి క్యాబిన్ మాక్-అప్ ప్రదర్శించబడుతుంది. 3,400 ఎల్బిఎఫ్ (15 కెఎన్) పిడబ్ల్యు 535 గార్మిన్ జి 3000 లేదా జి 5000 ఏవియానిక్స్ కలిగి ఉన్న ధృవీకరించబడిన సంస్కరణను నడిపిస్తుంది. [12] జనవరి 2020 నాటికి, లోడ్ పరీక్ష పూర్తయింది, మొదటి నమూనా సమావేశమవుతోంది. రెండవ త్రైమాసికంలో హై-స్పీడ్ టాక్సీ పరీక్షలు నిర్వహించాలని కంపెనీ భావిస్తోంది, 2020 రెండవ భాగంలో మొదటి విమాన సూచన ఉంది. విమాన పరీక్ష జరుగుతున్న తర్వాత ఆర్డర్లు తీసుకోవడం ప్రారంభించాలని కంపెనీ భావిస్తుంది. స్ట్రాటోస్ సంవత్సరానికి 30 నుండి 50 విమానాల ఉత్పత్తి రేటును అంచనా వేస్తుంది. [13] జూలై 2, 2020 న, 716 ఎక్స్ ఒరెగాన్లోని రెడ్‌మండ్ నుండి 22 నిమిషాల తొలి విమాన ప్రయాణం చేసి, 13,500 అడుగుల ఎత్తుకు ఎక్కి ఫ్లైట్-టెస్ట్ ప్రోగ్రామ్‌ను ప్రారంభించింది, అది చాలా నెలలు ఉంటుంది. [15] విమాన రూపకల్పనలో వింగ్లెట్స్, క్రూసిఫార్మ్ తోక మరియు ముడుచుకునే ట్రైసైకిల్ ల్యాండింగ్ గేర్‌లతో కూడిన కాంటిలివర్ లో-వింగ్ ఉన్నాయి. అసలు నాలుగు సీటర్లలో 11.5 అడుగుల (3.5 మీ) పొడవు, 170 క్యూ అడుగులు (4.8 మీ 3) క్యాబిన్ ఉంది, అయితే తరువాత విమానాలు పెద్దవిగా ఉంటాయి, ఆరు సీట్లు ఉన్నాయి. ఎయిర్‌ఫ్రేమ్ టోరే ప్రీ-ప్రెగ్ కార్బన్ మిశ్రమాలు మరియు నోమెక్స్ తేనెగూడు శాండ్‌విచ్ నుండి నిర్మించబడింది, వెనుక-సెంటర్ విభాగం మినహా, ఫెయిరింగ్-కప్పబడిన మోలీ స్టీల్ కేజ్ టర్బో ( 198 చ. ), డబుల్-స్లాట్డ్ ఫ్లాప్స్ మరియు సూపర్ క్రిటికల్ ఎయిర్‌ఫాయిల్ ఎగువ ఉపరితలం యొక్క 50-55% లో లామినార్ ప్రవాహాన్ని నిర్వహిస్తాయి. థ్రస్ట్-పిచ్ కలపడం నివారించడానికి ఇంజిన్ ద్రవ్యరాశి కేంద్రంతో ఇన్-లైన్ ఉంటుంది. ఇది ఫ్యూజ్‌లేజ్-టాప్ మౌంట్‌ను ఉపయోగిస్తుంది, ఇది సరిహద్దు పొర వెలుపల దాని తీసుకోవడం. [1] ఈ విమానం లాన్సైర్ ఎయిర్క్రాఫ్ట్ లేదా సెస్నా టిటిఎక్స్ వంటి పక్కదారి పట్టించేది. మొదటి నమూనాలో ప్రయోగాత్మక ఎలక్ట్రానిక్ ఇంటర్నేషనల్/గార్మిన్ ఫ్లైట్ డెక్ ఉంది, కానీ ఉత్పత్తి విమానాలలో గార్మిన్ జి 3000 కాక్‌పిట్ ఉంటుంది. 8.33 పిఎస్‌ఐ (57.4 కెపిఎ) ప్రెజరైజేషన్ దాని ఎఫ్ఎల్ 410 పైకప్పు వద్ద 8,000 అడుగుల (2,400 మీ) క్యాబిన్ ఎత్తును అందిస్తుంది. ప్రముఖ ఎడ్జ్ డీసింగ్ బూట్లు ఐసింగ్ పరిస్థితులలో ఎగురుతూ ఉండటానికి అనుమతిస్తాయి. ఈ ప్రోటోటైప్ ఒక బీచ్జెట్ నుండి తీసిన 2,900 ఎల్బిఎఫ్ (13 కెఎన్) జెటి 15 డి -5 చేత శక్తినిస్తుంది, అయితే ఉత్పత్తి సంస్కరణలు 22-27% ఎక్కువ ఎత్తులో 3,360 ఎల్బిఎఫ్ (14.9 కెఎన్) పిడబ్ల్యు 535 ఇని ఉపయోగిస్తాయి మరియు 15% మెరుగైన టిఎస్ఎఫ్సి. 1] స్ట్రాటోస్ నుండి డేటా. [16] సాధారణ లక్షణాలు పనితీరు సంబంధిత జాబితాలు</v>
      </c>
      <c r="E12" s="1" t="s">
        <v>264</v>
      </c>
      <c r="F12" s="1" t="str">
        <f>IFERROR(__xludf.DUMMYFUNCTION("GOOGLETRANSLATE(E:E, ""en"", ""te"")"),"చాలా లైట్ జెట్")</f>
        <v>చాలా లైట్ జెట్</v>
      </c>
      <c r="G12" s="1" t="s">
        <v>265</v>
      </c>
      <c r="H12" s="1" t="s">
        <v>227</v>
      </c>
      <c r="I12" s="1" t="str">
        <f>IFERROR(__xludf.DUMMYFUNCTION("GOOGLETRANSLATE(H:H, ""en"", ""te"")"),"అమెరికా")</f>
        <v>అమెరికా</v>
      </c>
      <c r="J12" s="3" t="s">
        <v>228</v>
      </c>
      <c r="K12" s="1" t="s">
        <v>266</v>
      </c>
      <c r="L12" s="2" t="str">
        <f>IFERROR(__xludf.DUMMYFUNCTION("GOOGLETRANSLATE(K:K, ""en"", ""te"")"),"స్ట్రాటోస్ విమానం")</f>
        <v>స్ట్రాటోస్ విమానం</v>
      </c>
      <c r="M12" s="1" t="s">
        <v>267</v>
      </c>
      <c r="N12" s="1" t="s">
        <v>268</v>
      </c>
      <c r="O12" s="1" t="str">
        <f>IFERROR(__xludf.DUMMYFUNCTION("GOOGLETRANSLATE(N:N, ""en"", ""te"")"),"మెరుగుపరచబడుతున్నది")</f>
        <v>మెరుగుపరచబడుతున్నది</v>
      </c>
      <c r="Q12" s="1" t="s">
        <v>162</v>
      </c>
      <c r="R12" s="1" t="s">
        <v>269</v>
      </c>
      <c r="S12" s="1" t="s">
        <v>270</v>
      </c>
      <c r="U12" s="1" t="s">
        <v>271</v>
      </c>
      <c r="X12" s="1" t="s">
        <v>272</v>
      </c>
      <c r="Y12" s="1" t="s">
        <v>273</v>
      </c>
      <c r="Z12" s="1" t="s">
        <v>274</v>
      </c>
      <c r="AD12" s="4">
        <v>42695.0</v>
      </c>
      <c r="AE12" s="1" t="s">
        <v>162</v>
      </c>
      <c r="AF12" s="1" t="s">
        <v>275</v>
      </c>
      <c r="AG12" s="1" t="s">
        <v>276</v>
      </c>
      <c r="AH12" s="1" t="s">
        <v>277</v>
      </c>
      <c r="AI12" s="1" t="s">
        <v>278</v>
      </c>
      <c r="AK12" s="1" t="s">
        <v>279</v>
      </c>
      <c r="AM12" s="1" t="s">
        <v>280</v>
      </c>
      <c r="AP12" s="1" t="s">
        <v>281</v>
      </c>
      <c r="AQ12" s="1" t="s">
        <v>282</v>
      </c>
      <c r="AR12" s="1" t="s">
        <v>283</v>
      </c>
      <c r="AS12" s="1" t="s">
        <v>284</v>
      </c>
      <c r="AT12" s="1" t="s">
        <v>285</v>
      </c>
      <c r="AU12" s="1" t="s">
        <v>286</v>
      </c>
      <c r="AV12" s="1" t="s">
        <v>287</v>
      </c>
      <c r="AW12" s="1">
        <v>0.403</v>
      </c>
      <c r="AX12" s="1" t="s">
        <v>288</v>
      </c>
      <c r="AY12" s="1" t="s">
        <v>289</v>
      </c>
    </row>
    <row r="13">
      <c r="A13" s="1" t="s">
        <v>290</v>
      </c>
      <c r="B13" s="1" t="str">
        <f>IFERROR(__xludf.DUMMYFUNCTION("GOOGLETRANSLATE(A:A, ""en"", ""te"")"),"విండ్టెక్ పల్సర్")</f>
        <v>విండ్టెక్ పల్సర్</v>
      </c>
      <c r="C13" s="1" t="s">
        <v>291</v>
      </c>
      <c r="D13" s="1" t="str">
        <f>IFERROR(__xludf.DUMMYFUNCTION("GOOGLETRANSLATE(C:C, ""en"", ""te"")"),"విండ్‌టెక్ పల్సర్ అనేది స్పానిష్ సింగిల్-ప్లేస్ పారాగ్లైడర్, దీనిని గిజాన్ యొక్క విండ్‌టెక్ పారాపెంటెస్ రూపొందించారు మరియు నిర్మించారు. ఇది ఇప్పుడు ఉత్పత్తికి దూరంగా ఉంది. [1] కంపెనీ లైన్‌లో విండ్‌టెక్ సెరాక్‌ను భర్తీ చేయడానికి ఈ విమానం స్పోర్ట్స్ ఇంటర్మీ"&amp;"డియట్ గ్లైడర్‌గా రూపొందించబడింది. మోడల్స్ ప్రతి ఒక్కటి చదరపు మీటర్లలో వారి సుమారుగా వింగ్ ప్రాంతానికి పేరు పెట్టబడ్డాయి. [1] తక్కువ డ్రాగ్ మరియు అధిక వేగం కోసం లైన్ గణనను తగ్గించడానికి V-RIB లను ఉపయోగించి, బలం కోసం డిజైన్ ఆప్టిమైజ్ చేయబడింది. [2] గ్లైడర్ "&amp;"వింగ్ పోర్చర్ మెరైన్ స్కైటెక్స్ 45 గ్రా/ఎం 2 నైలాన్ ఫాబ్రిక్ నుండి తయారు చేయబడింది. పక్కటెముక ఉపబలాలు 180 g/m2 డాక్రాన్, వెనుకంజలో ఉన్న అంచు ఉపబల 175 g/m2 పాలిస్టర్. పంక్తులు అన్నీ కెవ్లార్ మరియు 1.1 మరియు 1.7 మిమీ వ్యాసం కలిగి ఉంటాయి. రైసర్లు 20 మిమీ వెడ"&amp;"ల్పు గల పాలిమిడా స్ట్రాపింగ్ నుండి తయారవుతాయి. [3] బెర్ట్రాండ్ నుండి డేటా [1] మరియు తయారీదారు [3] సాధారణ లక్షణాల పనితీరు")</f>
        <v>విండ్‌టెక్ పల్సర్ అనేది స్పానిష్ సింగిల్-ప్లేస్ పారాగ్లైడర్, దీనిని గిజాన్ యొక్క విండ్‌టెక్ పారాపెంటెస్ రూపొందించారు మరియు నిర్మించారు. ఇది ఇప్పుడు ఉత్పత్తికి దూరంగా ఉంది. [1] కంపెనీ లైన్‌లో విండ్‌టెక్ సెరాక్‌ను భర్తీ చేయడానికి ఈ విమానం స్పోర్ట్స్ ఇంటర్మీడియట్ గ్లైడర్‌గా రూపొందించబడింది. మోడల్స్ ప్రతి ఒక్కటి చదరపు మీటర్లలో వారి సుమారుగా వింగ్ ప్రాంతానికి పేరు పెట్టబడ్డాయి. [1] తక్కువ డ్రాగ్ మరియు అధిక వేగం కోసం లైన్ గణనను తగ్గించడానికి V-RIB లను ఉపయోగించి, బలం కోసం డిజైన్ ఆప్టిమైజ్ చేయబడింది. [2] గ్లైడర్ వింగ్ పోర్చర్ మెరైన్ స్కైటెక్స్ 45 గ్రా/ఎం 2 నైలాన్ ఫాబ్రిక్ నుండి తయారు చేయబడింది. పక్కటెముక ఉపబలాలు 180 g/m2 డాక్రాన్, వెనుకంజలో ఉన్న అంచు ఉపబల 175 g/m2 పాలిస్టర్. పంక్తులు అన్నీ కెవ్లార్ మరియు 1.1 మరియు 1.7 మిమీ వ్యాసం కలిగి ఉంటాయి. రైసర్లు 20 మిమీ వెడల్పు గల పాలిమిడా స్ట్రాపింగ్ నుండి తయారవుతాయి. [3] బెర్ట్రాండ్ నుండి డేటా [1] మరియు తయారీదారు [3] సాధారణ లక్షణాల పనితీరు</v>
      </c>
      <c r="E13" s="1" t="s">
        <v>154</v>
      </c>
      <c r="F13" s="1" t="str">
        <f>IFERROR(__xludf.DUMMYFUNCTION("GOOGLETRANSLATE(E:E, ""en"", ""te"")"),"పారాగ్లైడర్")</f>
        <v>పారాగ్లైడర్</v>
      </c>
      <c r="G13" s="3" t="s">
        <v>155</v>
      </c>
      <c r="H13" s="1" t="s">
        <v>180</v>
      </c>
      <c r="I13" s="1" t="str">
        <f>IFERROR(__xludf.DUMMYFUNCTION("GOOGLETRANSLATE(H:H, ""en"", ""te"")"),"స్పెయిన్")</f>
        <v>స్పెయిన్</v>
      </c>
      <c r="J13" s="3" t="s">
        <v>181</v>
      </c>
      <c r="K13" s="1" t="s">
        <v>182</v>
      </c>
      <c r="L13" s="2" t="str">
        <f>IFERROR(__xludf.DUMMYFUNCTION("GOOGLETRANSLATE(K:K, ""en"", ""te"")"),"విండ్టెక్ పారాపెంటెస్")</f>
        <v>విండ్టెక్ పారాపెంటెస్</v>
      </c>
      <c r="M13" s="1" t="s">
        <v>183</v>
      </c>
      <c r="N13" s="1" t="s">
        <v>171</v>
      </c>
      <c r="O13" s="1" t="str">
        <f>IFERROR(__xludf.DUMMYFUNCTION("GOOGLETRANSLATE(N:N, ""en"", ""te"")"),"ఉత్పత్తి పూర్తయింది")</f>
        <v>ఉత్పత్తి పూర్తయింది</v>
      </c>
      <c r="P13" s="1" t="s">
        <v>172</v>
      </c>
      <c r="Q13" s="1" t="s">
        <v>162</v>
      </c>
      <c r="R13" s="1" t="s">
        <v>292</v>
      </c>
      <c r="S13" s="1" t="s">
        <v>293</v>
      </c>
      <c r="T13" s="1">
        <v>5.13</v>
      </c>
      <c r="U13" s="1" t="s">
        <v>175</v>
      </c>
      <c r="W13" s="1" t="s">
        <v>177</v>
      </c>
      <c r="X13" s="1" t="s">
        <v>294</v>
      </c>
      <c r="Y13" s="1" t="s">
        <v>295</v>
      </c>
      <c r="Z13" s="1" t="s">
        <v>296</v>
      </c>
      <c r="AA13" s="1" t="s">
        <v>297</v>
      </c>
    </row>
    <row r="14">
      <c r="A14" s="1" t="s">
        <v>298</v>
      </c>
      <c r="B14" s="1" t="str">
        <f>IFERROR(__xludf.DUMMYFUNCTION("GOOGLETRANSLATE(A:A, ""en"", ""te"")"),"విండ్టెక్ టానిక్")</f>
        <v>విండ్టెక్ టానిక్</v>
      </c>
      <c r="C14" s="1" t="s">
        <v>299</v>
      </c>
      <c r="D14" s="1" t="str">
        <f>IFERROR(__xludf.DUMMYFUNCTION("GOOGLETRANSLATE(C:C, ""en"", ""te"")"),"విండ్టెక్ టానిక్ అనేది స్పానిష్ సింగిల్-ప్లేస్ పారాగ్లైడర్, దీనిని గిజాన్ యొక్క విండ్టెక్ పారాపెంటెస్ రూపొందించారు మరియు ఉత్పత్తి చేశారు. ఇది ఇప్పుడు ఉత్పత్తికి దూరంగా ఉంది. [1] టానిక్ కొత్త పైలట్ల కోసం ఇంటర్మీడియట్ గ్లైడర్‌కు ఒక అనుభవశూన్యుడుగా రూపొందించ"&amp;"బడింది. మోడల్స్ ప్రతి ఒక్కటి చదరపు మీటర్లలో వారి సుమారుగా వింగ్ ప్రాంతానికి పేరు పెట్టబడ్డాయి. [1] గ్లైడర్ పెంచి మరియు ప్రయోగం చేయడానికి మరియు అధిక స్థాయిలో స్థిరత్వం మరియు కూలిపోవడానికి నిరోధకతతో ఎగరడానికి సులభం మరియు మృదువైనదిగా రూపొందించబడింది. [2] గ్ల"&amp;"ైడర్ వింగ్ పోర్చర్ మెరైన్ స్కైటెక్స్ 44 గ్రా/ఎం 2 నైలాన్ ఫాబ్రిక్ నుండి తయారు చేయబడింది. పక్కటెముక ఉపబలాలు 180 g/m2 డాక్రాన్, వెనుకంజలో ఉన్న అంచు ఉపబల 175 g/m2 పాలిస్టర్. పంక్తులు అన్నీ 1.1 మరియు 1.7 మిమీ వ్యాసం కలిగిన కెవ్లార్. రైసర్లు 20 మిమీ వెడల్పు గల"&amp;" పాలిమిడా స్ట్రాపింగ్ నుండి తయారవుతాయి. [3] బెర్ట్రాండ్ నుండి డేటా [1] మరియు తయారీదారు [3] సాధారణ లక్షణాల పనితీరు")</f>
        <v>విండ్టెక్ టానిక్ అనేది స్పానిష్ సింగిల్-ప్లేస్ పారాగ్లైడర్, దీనిని గిజాన్ యొక్క విండ్టెక్ పారాపెంటెస్ రూపొందించారు మరియు ఉత్పత్తి చేశారు. ఇది ఇప్పుడు ఉత్పత్తికి దూరంగా ఉంది. [1] టానిక్ కొత్త పైలట్ల కోసం ఇంటర్మీడియట్ గ్లైడర్‌కు ఒక అనుభవశూన్యుడుగా రూపొందించబడింది. మోడల్స్ ప్రతి ఒక్కటి చదరపు మీటర్లలో వారి సుమారుగా వింగ్ ప్రాంతానికి పేరు పెట్టబడ్డాయి. [1] గ్లైడర్ పెంచి మరియు ప్రయోగం చేయడానికి మరియు అధిక స్థాయిలో స్థిరత్వం మరియు కూలిపోవడానికి నిరోధకతతో ఎగరడానికి సులభం మరియు మృదువైనదిగా రూపొందించబడింది. [2] గ్లైడర్ వింగ్ పోర్చర్ మెరైన్ స్కైటెక్స్ 44 గ్రా/ఎం 2 నైలాన్ ఫాబ్రిక్ నుండి తయారు చేయబడింది. పక్కటెముక ఉపబలాలు 180 g/m2 డాక్రాన్, వెనుకంజలో ఉన్న అంచు ఉపబల 175 g/m2 పాలిస్టర్. పంక్తులు అన్నీ 1.1 మరియు 1.7 మిమీ వ్యాసం కలిగిన కెవ్లార్. రైసర్లు 20 మిమీ వెడల్పు గల పాలిమిడా స్ట్రాపింగ్ నుండి తయారవుతాయి. [3] బెర్ట్రాండ్ నుండి డేటా [1] మరియు తయారీదారు [3] సాధారణ లక్షణాల పనితీరు</v>
      </c>
      <c r="E14" s="1" t="s">
        <v>154</v>
      </c>
      <c r="F14" s="1" t="str">
        <f>IFERROR(__xludf.DUMMYFUNCTION("GOOGLETRANSLATE(E:E, ""en"", ""te"")"),"పారాగ్లైడర్")</f>
        <v>పారాగ్లైడర్</v>
      </c>
      <c r="G14" s="3" t="s">
        <v>155</v>
      </c>
      <c r="H14" s="1" t="s">
        <v>180</v>
      </c>
      <c r="I14" s="1" t="str">
        <f>IFERROR(__xludf.DUMMYFUNCTION("GOOGLETRANSLATE(H:H, ""en"", ""te"")"),"స్పెయిన్")</f>
        <v>స్పెయిన్</v>
      </c>
      <c r="J14" s="3" t="s">
        <v>181</v>
      </c>
      <c r="K14" s="1" t="s">
        <v>182</v>
      </c>
      <c r="L14" s="2" t="str">
        <f>IFERROR(__xludf.DUMMYFUNCTION("GOOGLETRANSLATE(K:K, ""en"", ""te"")"),"విండ్టెక్ పారాపెంటెస్")</f>
        <v>విండ్టెక్ పారాపెంటెస్</v>
      </c>
      <c r="M14" s="1" t="s">
        <v>183</v>
      </c>
      <c r="N14" s="1" t="s">
        <v>171</v>
      </c>
      <c r="O14" s="1" t="str">
        <f>IFERROR(__xludf.DUMMYFUNCTION("GOOGLETRANSLATE(N:N, ""en"", ""te"")"),"ఉత్పత్తి పూర్తయింది")</f>
        <v>ఉత్పత్తి పూర్తయింది</v>
      </c>
      <c r="P14" s="1" t="s">
        <v>172</v>
      </c>
      <c r="Q14" s="1" t="s">
        <v>162</v>
      </c>
      <c r="R14" s="1" t="s">
        <v>300</v>
      </c>
      <c r="S14" s="1" t="s">
        <v>301</v>
      </c>
      <c r="T14" s="1">
        <v>4.7</v>
      </c>
      <c r="U14" s="1" t="s">
        <v>302</v>
      </c>
      <c r="W14" s="1" t="s">
        <v>177</v>
      </c>
      <c r="Y14" s="1" t="s">
        <v>303</v>
      </c>
      <c r="Z14" s="1" t="s">
        <v>188</v>
      </c>
      <c r="AA14" s="1" t="s">
        <v>304</v>
      </c>
    </row>
    <row r="15">
      <c r="A15" s="1" t="s">
        <v>305</v>
      </c>
      <c r="B15" s="1" t="str">
        <f>IFERROR(__xludf.DUMMYFUNCTION("GOOGLETRANSLATE(A:A, ""en"", ""te"")"),"హాట్ స్టఫ్ (విమానం)")</f>
        <v>హాట్ స్టఫ్ (విమానం)</v>
      </c>
      <c r="C15" s="1" t="s">
        <v>306</v>
      </c>
      <c r="D15" s="1" t="str">
        <f>IFERROR(__xludf.DUMMYFUNCTION("GOOGLETRANSLATE(C:C, ""en"", ""te"")"),"రెండవ ప్రపంచ యుద్ధంలో ఉపయోగించిన 8 వ వైమానిక దళంలో ఏకీకృత B-24 లిబరేటర్, 41-23728 యొక్క మారుపేరు హాట్ స్టఫ్. 8 వ వైమానిక దళంలో రెండవ ప్రపంచ యుద్ధంలో ఐరోపాలో ఇరవై ఐదు మిషన్లు మరియు లెఫ్టినెంట్ జనరల్ ఫ్రాంక్ ఎం. ఆండ్రూస్‌ను మోస్తున్నప్పుడు క్రాష్ అయిన విమాన"&amp;"ాన్ని పూర్తి చేసిన మొదటి భారీ బాంబర్. హాట్ స్టఫ్ ఇంగ్లాండ్‌లోని హార్డ్‌విక్ (స్టేషన్ 104) నుండి 8 వ వైమానిక దళంలో భాగం మరియు 93 వ బాంబ్ గ్రూప్, 330 వ బాంబ్ స్క్వాడ్రన్. హాట్ స్టఫ్ ఫిబ్రవరి 7, 1943 న 25 వ మిషన్‌ను ఎగిరింది, చాలా విమానాలు కాల్చివేయబడుతున్న "&amp;"సమయంలో సుదీర్ఘ అసమానతలకు వ్యతిరేకంగా. రెండవ ప్రపంచ యుద్ధంలో ఐరోపాలో ఇరవై ఐదు మిషన్లను పూర్తి చేసిన 8 వ వైమానిక దళంలో హాట్ స్టఫ్ మొదటి భారీ బాంబర్ మరియు సిబ్బందిగా, మరియు మొదటి B-24 గా మారింది. ఇది విస్తృతంగా జరుపుకునే మెంఫిస్ బెల్లెకు మూడున్నర నెలల ముందు "&amp;"25 వ మిషన్ మైలురాయిని చేరుకుంది. హాట్ స్టఫ్ ముప్పై ఒక్క మిషన్లను పూర్తి చేసిన తరువాత, మే 3, 1943 న అమెరికాకు తిరిగి రావడానికి, దేశంలో పర్యటించడానికి మరియు యుద్ధ బాండ్లను విక్రయించడంలో సహాయపడటానికి ఎంపిక చేయబడింది. [1] 1943 ప్రారంభంలో లెఫ్టినెంట్ జనరల్ ఫ్ర"&amp;"ాంక్ ఎం. ఆండ్రూస్ వాషింగ్టన్, డి.సి.కి తిరిగి రావాలి. జనరల్ ఆండ్రూస్ హాట్ స్టఫ్ యొక్క పైలట్ కెప్టెన్ తెలుసు. ""షైన్"" షానన్ మరియు అతనితో తిరిగి అమెరికాకు తిరిగి వెళ్ళడానికి ఎంచుకున్నాడు. పైలట్, కెప్టెన్ షానన్ విమానానికి ముందు ""ఐస్లాండ్ ద్వారా ఆండ్రూస్‌ను"&amp;" ఇంటికి తీసుకెళ్లడానికి నియమించబడ్డాడు"" అని పేర్కొన్నాడు. పిఎఫ్‌సి కారోల్ స్టీవర్ట్, జనరల్ ఆండ్రూస్ యొక్క సహాయకుడు మరియు 93 వ బాంబ్ గ్రూప్ చరిత్రకారుడు ""సర్కస్‌కు చెందిన కెప్టెన్ రాబర్ట్ హెచ్. పెంటగాన్‌కు తొందరపడిన యాత్ర కోసం విమానం మరియు సిబ్బందిని గ్ర"&amp;"ే-థాచ్డ్ యూరోపియన్ థియేటర్ కమాండర్ ఫ్రాంక్ ఎం. ఆండ్రూస్ ట్యాబ్ చేశారు. "" జనరల్ ఆండ్రూస్ ప్రమోషన్ కోసం వరుసలో ఉన్నారని మరియు వాషింగ్టన్, డి.సి.కి తిరిగి వెళ్ళే అవకాశం ఉంది, ఇది నాలుగు స్టార్ జనరల్‌కు పదోన్నతి పొందవచ్చు మరియు/లేదా ఇంగ్లీష్ ఛానెల్‌లో దాడికి"&amp;" నాయకత్వం వహించడానికి కేటాయించవచ్చు. [2] ఐస్లాండ్‌లో హాట్ స్టఫ్ షెడ్యూల్ రీఫ్యూయలింగ్ స్టాప్‌ను కలిగి ఉంది, కాని మే 3, 1943 న చెడు వాతావరణంలో ఐస్లాండ్‌లోని గ్రిండావిక్‌కు సమీపంలో ఉన్న మౌంట్ ఫ్యాగ్రాడల్స్ఫ్జాల్‌లోకి దూసుకెళ్లింది. బోర్డులో పద్నాలుగు మంది మ"&amp;"రణించారు. టెయిల్ గన్నర్, జార్జ్ ఐసెల్ మాత్రమే బయటపడ్డాడు. [3] జనరల్ ఆండ్రూస్ మరణం కారణంగా, సుప్రీం అలైడ్ కమాండర్ యొక్క ఉద్యోగం ఏడు నెలల తరువాత 1943 డిసెంబర్‌లో జనరల్ డ్వైట్ ఐసన్‌హోవర్‌కు కేటాయించబడింది. అదనంగా, ప్రమాదంలో హాట్ స్టఫ్ నాశనమైనందున, యుద్ధ విభా"&amp;"గం మెంఫిస్ బెల్లెను ఇంటికి పంపించి జరుపుకోవడానికి ఎంచుకుంది. ఇది 25 మిషన్లను చేరుకున్న మొదటి బాంబర్. మెంఫిస్ బెల్లె తరువాత రెండు మోషన్ పిక్చర్స్ యొక్క తయారీని ప్రేరేపించాడు: 1944 డాక్యుమెంటరీ చిత్రం, మెంఫిస్ బెల్లె: ఎ స్టోరీ ఆఫ్ ఎ ఫ్లయింగ్ కోట మరియు 1990 "&amp;"హాలీవుడ్ చలన చిత్రం మెంఫిస్ బెల్లె. [4] చనిపోయినవారిని గౌరవించే ఒక స్మారక చిహ్నాన్ని క్రాష్ చేసిన 75 సంవత్సరాల తరువాత 3 మే 2018 న క్రాష్ సైట్ సమీపంలో ఆవిష్కరించారు. [5]")</f>
        <v>రెండవ ప్రపంచ యుద్ధంలో ఉపయోగించిన 8 వ వైమానిక దళంలో ఏకీకృత B-24 లిబరేటర్, 41-23728 యొక్క మారుపేరు హాట్ స్టఫ్. 8 వ వైమానిక దళంలో రెండవ ప్రపంచ యుద్ధంలో ఐరోపాలో ఇరవై ఐదు మిషన్లు మరియు లెఫ్టినెంట్ జనరల్ ఫ్రాంక్ ఎం. ఆండ్రూస్‌ను మోస్తున్నప్పుడు క్రాష్ అయిన విమానాన్ని పూర్తి చేసిన మొదటి భారీ బాంబర్. హాట్ స్టఫ్ ఇంగ్లాండ్‌లోని హార్డ్‌విక్ (స్టేషన్ 104) నుండి 8 వ వైమానిక దళంలో భాగం మరియు 93 వ బాంబ్ గ్రూప్, 330 వ బాంబ్ స్క్వాడ్రన్. హాట్ స్టఫ్ ఫిబ్రవరి 7, 1943 న 25 వ మిషన్‌ను ఎగిరింది, చాలా విమానాలు కాల్చివేయబడుతున్న సమయంలో సుదీర్ఘ అసమానతలకు వ్యతిరేకంగా. రెండవ ప్రపంచ యుద్ధంలో ఐరోపాలో ఇరవై ఐదు మిషన్లను పూర్తి చేసిన 8 వ వైమానిక దళంలో హాట్ స్టఫ్ మొదటి భారీ బాంబర్ మరియు సిబ్బందిగా, మరియు మొదటి B-24 గా మారింది. ఇది విస్తృతంగా జరుపుకునే మెంఫిస్ బెల్లెకు మూడున్నర నెలల ముందు 25 వ మిషన్ మైలురాయిని చేరుకుంది. హాట్ స్టఫ్ ముప్పై ఒక్క మిషన్లను పూర్తి చేసిన తరువాత, మే 3, 1943 న అమెరికాకు తిరిగి రావడానికి, దేశంలో పర్యటించడానికి మరియు యుద్ధ బాండ్లను విక్రయించడంలో సహాయపడటానికి ఎంపిక చేయబడింది. [1] 1943 ప్రారంభంలో లెఫ్టినెంట్ జనరల్ ఫ్రాంక్ ఎం. ఆండ్రూస్ వాషింగ్టన్, డి.సి.కి తిరిగి రావాలి. జనరల్ ఆండ్రూస్ హాట్ స్టఫ్ యొక్క పైలట్ కెప్టెన్ తెలుసు. "షైన్" షానన్ మరియు అతనితో తిరిగి అమెరికాకు తిరిగి వెళ్ళడానికి ఎంచుకున్నాడు. పైలట్, కెప్టెన్ షానన్ విమానానికి ముందు "ఐస్లాండ్ ద్వారా ఆండ్రూస్‌ను ఇంటికి తీసుకెళ్లడానికి నియమించబడ్డాడు" అని పేర్కొన్నాడు. పిఎఫ్‌సి కారోల్ స్టీవర్ట్, జనరల్ ఆండ్రూస్ యొక్క సహాయకుడు మరియు 93 వ బాంబ్ గ్రూప్ చరిత్రకారుడు "సర్కస్‌కు చెందిన కెప్టెన్ రాబర్ట్ హెచ్. పెంటగాన్‌కు తొందరపడిన యాత్ర కోసం విమానం మరియు సిబ్బందిని గ్రే-థాచ్డ్ యూరోపియన్ థియేటర్ కమాండర్ ఫ్రాంక్ ఎం. ఆండ్రూస్ ట్యాబ్ చేశారు. " జనరల్ ఆండ్రూస్ ప్రమోషన్ కోసం వరుసలో ఉన్నారని మరియు వాషింగ్టన్, డి.సి.కి తిరిగి వెళ్ళే అవకాశం ఉంది, ఇది నాలుగు స్టార్ జనరల్‌కు పదోన్నతి పొందవచ్చు మరియు/లేదా ఇంగ్లీష్ ఛానెల్‌లో దాడికి నాయకత్వం వహించడానికి కేటాయించవచ్చు. [2] ఐస్లాండ్‌లో హాట్ స్టఫ్ షెడ్యూల్ రీఫ్యూయలింగ్ స్టాప్‌ను కలిగి ఉంది, కాని మే 3, 1943 న చెడు వాతావరణంలో ఐస్లాండ్‌లోని గ్రిండావిక్‌కు సమీపంలో ఉన్న మౌంట్ ఫ్యాగ్రాడల్స్ఫ్జాల్‌లోకి దూసుకెళ్లింది. బోర్డులో పద్నాలుగు మంది మరణించారు. టెయిల్ గన్నర్, జార్జ్ ఐసెల్ మాత్రమే బయటపడ్డాడు. [3] జనరల్ ఆండ్రూస్ మరణం కారణంగా, సుప్రీం అలైడ్ కమాండర్ యొక్క ఉద్యోగం ఏడు నెలల తరువాత 1943 డిసెంబర్‌లో జనరల్ డ్వైట్ ఐసన్‌హోవర్‌కు కేటాయించబడింది. అదనంగా, ప్రమాదంలో హాట్ స్టఫ్ నాశనమైనందున, యుద్ధ విభాగం మెంఫిస్ బెల్లెను ఇంటికి పంపించి జరుపుకోవడానికి ఎంచుకుంది. ఇది 25 మిషన్లను చేరుకున్న మొదటి బాంబర్. మెంఫిస్ బెల్లె తరువాత రెండు మోషన్ పిక్చర్స్ యొక్క తయారీని ప్రేరేపించాడు: 1944 డాక్యుమెంటరీ చిత్రం, మెంఫిస్ బెల్లె: ఎ స్టోరీ ఆఫ్ ఎ ఫ్లయింగ్ కోట మరియు 1990 హాలీవుడ్ చలన చిత్రం మెంఫిస్ బెల్లె. [4] చనిపోయినవారిని గౌరవించే ఒక స్మారక చిహ్నాన్ని క్రాష్ చేసిన 75 సంవత్సరాల తరువాత 3 మే 2018 న క్రాష్ సైట్ సమీపంలో ఆవిష్కరించారు. [5]</v>
      </c>
      <c r="K15" s="1" t="s">
        <v>307</v>
      </c>
      <c r="L15" s="2" t="str">
        <f>IFERROR(__xludf.DUMMYFUNCTION("GOOGLETRANSLATE(K:K, ""en"", ""te"")"),"ఏకీకృత విమానం")</f>
        <v>ఏకీకృత విమానం</v>
      </c>
      <c r="M15" s="1" t="s">
        <v>308</v>
      </c>
      <c r="AL15" s="1" t="s">
        <v>309</v>
      </c>
      <c r="AZ15" s="1" t="s">
        <v>310</v>
      </c>
      <c r="BA15" s="1" t="s">
        <v>311</v>
      </c>
      <c r="BB15" s="1" t="s">
        <v>312</v>
      </c>
      <c r="BC15" s="1" t="s">
        <v>313</v>
      </c>
      <c r="BD15" s="1" t="s">
        <v>314</v>
      </c>
      <c r="BE15" s="1" t="s">
        <v>315</v>
      </c>
    </row>
    <row r="16">
      <c r="A16" s="1" t="s">
        <v>316</v>
      </c>
      <c r="B16" s="1" t="str">
        <f>IFERROR(__xludf.DUMMYFUNCTION("GOOGLETRANSLATE(A:A, ""en"", ""te"")"),"XIX టాప్")</f>
        <v>XIX టాప్</v>
      </c>
      <c r="C16" s="1" t="s">
        <v>317</v>
      </c>
      <c r="D16" s="1" t="str">
        <f>IFERROR(__xludf.DUMMYFUNCTION("GOOGLETRANSLATE(C:C, ""en"", ""te"")"),"XIX టాప్ అనేది స్విస్ సింగిల్-ప్లేస్ పారాగ్లైడర్స్ శ్రేణి, దీనిని మిచి కోబ్లర్ రూపొందించారు మరియు 2000 ల మధ్యలో క్రోన్బోల్ యొక్క XIX GMBH చేత నిర్మించబడింది. ఇది ఇప్పుడు ఉత్పత్తికి దూరంగా ఉంది. [1] టాప్ పెర్ఫార్మెన్స్ క్రాస్ కంట్రీ గ్లైడర్‌గా రూపొందించబడి"&amp;"ంది. డిజైన్ అనేక తరాల మోడళ్ల ద్వారా అభివృద్ధి చెందింది, ప్రతి ఒక్కటి చివరిగా మెరుగుపడుతుంది. మోడల్స్ వాటి సాపేక్ష పరిమాణానికి పేరు పెట్టబడ్డాయి. [1] బెర్ట్రాండ్ నుండి డేటా [1] సాధారణ లక్షణాల పనితీరు")</f>
        <v>XIX టాప్ అనేది స్విస్ సింగిల్-ప్లేస్ పారాగ్లైడర్స్ శ్రేణి, దీనిని మిచి కోబ్లర్ రూపొందించారు మరియు 2000 ల మధ్యలో క్రోన్బోల్ యొక్క XIX GMBH చేత నిర్మించబడింది. ఇది ఇప్పుడు ఉత్పత్తికి దూరంగా ఉంది. [1] టాప్ పెర్ఫార్మెన్స్ క్రాస్ కంట్రీ గ్లైడర్‌గా రూపొందించబడింది. డిజైన్ అనేక తరాల మోడళ్ల ద్వారా అభివృద్ధి చెందింది, ప్రతి ఒక్కటి చివరిగా మెరుగుపడుతుంది. మోడల్స్ వాటి సాపేక్ష పరిమాణానికి పేరు పెట్టబడ్డాయి. [1] బెర్ట్రాండ్ నుండి డేటా [1] సాధారణ లక్షణాల పనితీరు</v>
      </c>
      <c r="E16" s="1" t="s">
        <v>154</v>
      </c>
      <c r="F16" s="1" t="str">
        <f>IFERROR(__xludf.DUMMYFUNCTION("GOOGLETRANSLATE(E:E, ""en"", ""te"")"),"పారాగ్లైడర్")</f>
        <v>పారాగ్లైడర్</v>
      </c>
      <c r="G16" s="3" t="s">
        <v>155</v>
      </c>
      <c r="H16" s="1" t="s">
        <v>192</v>
      </c>
      <c r="I16" s="1" t="str">
        <f>IFERROR(__xludf.DUMMYFUNCTION("GOOGLETRANSLATE(H:H, ""en"", ""te"")"),"స్విట్జర్లాండ్")</f>
        <v>స్విట్జర్లాండ్</v>
      </c>
      <c r="J16" s="3" t="s">
        <v>193</v>
      </c>
      <c r="K16" s="1" t="s">
        <v>194</v>
      </c>
      <c r="L16" s="2" t="str">
        <f>IFERROR(__xludf.DUMMYFUNCTION("GOOGLETRANSLATE(K:K, ""en"", ""te"")"),"XIX GMBH")</f>
        <v>XIX GMBH</v>
      </c>
      <c r="M16" s="1" t="s">
        <v>195</v>
      </c>
      <c r="N16" s="1" t="s">
        <v>171</v>
      </c>
      <c r="O16" s="1" t="str">
        <f>IFERROR(__xludf.DUMMYFUNCTION("GOOGLETRANSLATE(N:N, ""en"", ""te"")"),"ఉత్పత్తి పూర్తయింది")</f>
        <v>ఉత్పత్తి పూర్తయింది</v>
      </c>
      <c r="P16" s="1" t="s">
        <v>172</v>
      </c>
      <c r="Q16" s="1" t="s">
        <v>162</v>
      </c>
      <c r="R16" s="1" t="s">
        <v>318</v>
      </c>
      <c r="S16" s="1" t="s">
        <v>197</v>
      </c>
      <c r="T16" s="1">
        <v>5.9</v>
      </c>
      <c r="U16" s="1" t="s">
        <v>319</v>
      </c>
      <c r="V16" s="1" t="s">
        <v>176</v>
      </c>
      <c r="W16" s="1" t="s">
        <v>177</v>
      </c>
      <c r="AB16" s="1" t="s">
        <v>198</v>
      </c>
    </row>
    <row r="17">
      <c r="A17" s="1" t="s">
        <v>320</v>
      </c>
      <c r="B17" s="1" t="str">
        <f>IFERROR(__xludf.DUMMYFUNCTION("GOOGLETRANSLATE(A:A, ""en"", ""te"")"),"జోజో వ్యసనం")</f>
        <v>జోజో వ్యసనం</v>
      </c>
      <c r="C17" s="1" t="s">
        <v>321</v>
      </c>
      <c r="D17" s="1" t="str">
        <f>IFERROR(__xludf.DUMMYFUNCTION("GOOGLETRANSLATE(C:C, ""en"", ""te"")"),"జోజో వ్యసనం అనేది చెక్ సింగిల్-ప్లేస్ పారాగ్లైడర్, దీనిని రౌడ్‌నిస్ నాడ్ లాబెమ్ యొక్క జోజో వింగ్స్ రూపొందించారు మరియు నిర్మించారు. ఇది ఇప్పుడు ఉత్పత్తికి దూరంగా ఉంది. [1] వ్యసనం అధునాతన పనితీరు గ్లైడర్‌గా రూపొందించబడింది. మోడల్స్ వాటి సాపేక్ష పరిమాణానికి "&amp;"పేరు పెట్టబడ్డాయి. [1] సమీక్షకుడు నోయెల్ బెర్ట్రాండ్ 2003 సమీక్షలో వ్యసనం యొక్క తక్కువ ధరను గుర్తించారు, ""ధరలు చాలా ఆసక్తికరంగా ఉన్నాయి"" అని అన్నారు. [1] బెర్ట్రాండ్ నుండి డేటా [1] సాధారణ లక్షణాలు")</f>
        <v>జోజో వ్యసనం అనేది చెక్ సింగిల్-ప్లేస్ పారాగ్లైడర్, దీనిని రౌడ్‌నిస్ నాడ్ లాబెమ్ యొక్క జోజో వింగ్స్ రూపొందించారు మరియు నిర్మించారు. ఇది ఇప్పుడు ఉత్పత్తికి దూరంగా ఉంది. [1] వ్యసనం అధునాతన పనితీరు గ్లైడర్‌గా రూపొందించబడింది. మోడల్స్ వాటి సాపేక్ష పరిమాణానికి పేరు పెట్టబడ్డాయి. [1] సమీక్షకుడు నోయెల్ బెర్ట్రాండ్ 2003 సమీక్షలో వ్యసనం యొక్క తక్కువ ధరను గుర్తించారు, "ధరలు చాలా ఆసక్తికరంగా ఉన్నాయి" అని అన్నారు. [1] బెర్ట్రాండ్ నుండి డేటా [1] సాధారణ లక్షణాలు</v>
      </c>
      <c r="E17" s="1" t="s">
        <v>154</v>
      </c>
      <c r="F17" s="1" t="str">
        <f>IFERROR(__xludf.DUMMYFUNCTION("GOOGLETRANSLATE(E:E, ""en"", ""te"")"),"పారాగ్లైడర్")</f>
        <v>పారాగ్లైడర్</v>
      </c>
      <c r="G17" s="3" t="s">
        <v>155</v>
      </c>
      <c r="H17" s="1" t="s">
        <v>246</v>
      </c>
      <c r="I17" s="1" t="str">
        <f>IFERROR(__xludf.DUMMYFUNCTION("GOOGLETRANSLATE(H:H, ""en"", ""te"")"),"చెక్ రిపబ్లిక్")</f>
        <v>చెక్ రిపబ్లిక్</v>
      </c>
      <c r="J17" s="1" t="s">
        <v>247</v>
      </c>
      <c r="K17" s="1" t="s">
        <v>322</v>
      </c>
      <c r="L17" s="2" t="str">
        <f>IFERROR(__xludf.DUMMYFUNCTION("GOOGLETRANSLATE(K:K, ""en"", ""te"")"),"జోజో రెక్కలు")</f>
        <v>జోజో రెక్కలు</v>
      </c>
      <c r="M17" s="1" t="s">
        <v>323</v>
      </c>
      <c r="N17" s="1" t="s">
        <v>171</v>
      </c>
      <c r="O17" s="1" t="str">
        <f>IFERROR(__xludf.DUMMYFUNCTION("GOOGLETRANSLATE(N:N, ""en"", ""te"")"),"ఉత్పత్తి పూర్తయింది")</f>
        <v>ఉత్పత్తి పూర్తయింది</v>
      </c>
      <c r="Q17" s="1" t="s">
        <v>162</v>
      </c>
      <c r="R17" s="1" t="s">
        <v>324</v>
      </c>
      <c r="S17" s="1" t="s">
        <v>325</v>
      </c>
      <c r="T17" s="1">
        <v>5.8</v>
      </c>
      <c r="W17" s="1" t="s">
        <v>177</v>
      </c>
    </row>
    <row r="18">
      <c r="A18" s="1" t="s">
        <v>326</v>
      </c>
      <c r="B18" s="1" t="str">
        <f>IFERROR(__xludf.DUMMYFUNCTION("GOOGLETRANSLATE(A:A, ""en"", ""te"")"),"జోజో క్వెస్ట్ బి")</f>
        <v>జోజో క్వెస్ట్ బి</v>
      </c>
      <c r="C18" s="1" t="s">
        <v>327</v>
      </c>
      <c r="D18" s="1" t="str">
        <f>IFERROR(__xludf.DUMMYFUNCTION("GOOGLETRANSLATE(C:C, ""en"", ""te"")"),"జోజో క్వెస్ట్ BI అనేది చెక్ రెండు-ప్రదేశాల పారాగ్లైడర్, దీనిని రౌడ్‌నిస్ నాడ్ లాబెమ్ యొక్క జోజో వింగ్స్ రూపొందించారు మరియు నిర్మించారు. ఇది ఇప్పుడు ఉత్పత్తికి దూరంగా ఉంది. [1] ఈ విమానం విమాన శిక్షణ కోసం టెన్డం గ్లైడర్‌గా రూపొందించబడింది మరియు దీనిని క్వెస"&amp;"్ట్ బిఐ అని పిలుస్తారు, దీనిని ""ద్వి-స్థలం"" లేదా రెండు సీటర్లను సూచిస్తుంది. [1] విమానం యొక్క 14.5 మీ (47.6 అడుగులు) స్పాన్ వింగ్ 52 కణాలు, 42 మీ 2 (450 చదరపు అడుగులు) రెక్క ప్రాంతం మరియు 5: 1 యొక్క కారక నిష్పత్తిని కలిగి ఉంది. పైలట్ బరువు పరిధి 155 నుం"&amp;"డి 200 కిలోలు (342 నుండి 441 పౌండ్లు). గ్లైడర్ అఫ్నోర్ బిప్లేస్ సర్టిఫికేట్. [1] సమీక్షకుడు నోయెల్ బెర్ట్రాండ్ 2003 సమీక్షలో క్వెస్ట్ BI యొక్క తక్కువ ధరను గుర్తించారు, ""ధరలు చాలా ఆసక్తికరంగా ఉన్నాయి"" అని అన్నారు. [1] బెర్ట్రాండ్ నుండి డేటా [1] సాధారణ లక"&amp;"్షణాలు")</f>
        <v>జోజో క్వెస్ట్ BI అనేది చెక్ రెండు-ప్రదేశాల పారాగ్లైడర్, దీనిని రౌడ్‌నిస్ నాడ్ లాబెమ్ యొక్క జోజో వింగ్స్ రూపొందించారు మరియు నిర్మించారు. ఇది ఇప్పుడు ఉత్పత్తికి దూరంగా ఉంది. [1] ఈ విమానం విమాన శిక్షణ కోసం టెన్డం గ్లైడర్‌గా రూపొందించబడింది మరియు దీనిని క్వెస్ట్ బిఐ అని పిలుస్తారు, దీనిని "ద్వి-స్థలం" లేదా రెండు సీటర్లను సూచిస్తుంది. [1] విమానం యొక్క 14.5 మీ (47.6 అడుగులు) స్పాన్ వింగ్ 52 కణాలు, 42 మీ 2 (450 చదరపు అడుగులు) రెక్క ప్రాంతం మరియు 5: 1 యొక్క కారక నిష్పత్తిని కలిగి ఉంది. పైలట్ బరువు పరిధి 155 నుండి 200 కిలోలు (342 నుండి 441 పౌండ్లు). గ్లైడర్ అఫ్నోర్ బిప్లేస్ సర్టిఫికేట్. [1] సమీక్షకుడు నోయెల్ బెర్ట్రాండ్ 2003 సమీక్షలో క్వెస్ట్ BI యొక్క తక్కువ ధరను గుర్తించారు, "ధరలు చాలా ఆసక్తికరంగా ఉన్నాయి" అని అన్నారు. [1] బెర్ట్రాండ్ నుండి డేటా [1] సాధారణ లక్షణాలు</v>
      </c>
      <c r="E18" s="1" t="s">
        <v>154</v>
      </c>
      <c r="F18" s="1" t="str">
        <f>IFERROR(__xludf.DUMMYFUNCTION("GOOGLETRANSLATE(E:E, ""en"", ""te"")"),"పారాగ్లైడర్")</f>
        <v>పారాగ్లైడర్</v>
      </c>
      <c r="G18" s="3" t="s">
        <v>155</v>
      </c>
      <c r="H18" s="1" t="s">
        <v>246</v>
      </c>
      <c r="I18" s="1" t="str">
        <f>IFERROR(__xludf.DUMMYFUNCTION("GOOGLETRANSLATE(H:H, ""en"", ""te"")"),"చెక్ రిపబ్లిక్")</f>
        <v>చెక్ రిపబ్లిక్</v>
      </c>
      <c r="J18" s="1" t="s">
        <v>247</v>
      </c>
      <c r="K18" s="1" t="s">
        <v>322</v>
      </c>
      <c r="L18" s="2" t="str">
        <f>IFERROR(__xludf.DUMMYFUNCTION("GOOGLETRANSLATE(K:K, ""en"", ""te"")"),"జోజో రెక్కలు")</f>
        <v>జోజో రెక్కలు</v>
      </c>
      <c r="M18" s="1" t="s">
        <v>323</v>
      </c>
      <c r="N18" s="1" t="s">
        <v>171</v>
      </c>
      <c r="O18" s="1" t="str">
        <f>IFERROR(__xludf.DUMMYFUNCTION("GOOGLETRANSLATE(N:N, ""en"", ""te"")"),"ఉత్పత్తి పూర్తయింది")</f>
        <v>ఉత్పత్తి పూర్తయింది</v>
      </c>
      <c r="Q18" s="1" t="s">
        <v>162</v>
      </c>
      <c r="R18" s="1" t="s">
        <v>328</v>
      </c>
      <c r="S18" s="1" t="s">
        <v>329</v>
      </c>
      <c r="T18" s="1">
        <v>5.0</v>
      </c>
      <c r="AM18" s="1" t="s">
        <v>330</v>
      </c>
    </row>
    <row r="19">
      <c r="A19" s="1" t="s">
        <v>331</v>
      </c>
      <c r="B19" s="1" t="str">
        <f>IFERROR(__xludf.DUMMYFUNCTION("GOOGLETRANSLATE(A:A, ""en"", ""te"")"),"మాక్ పాషా")</f>
        <v>మాక్ పాషా</v>
      </c>
      <c r="C19" s="1" t="s">
        <v>332</v>
      </c>
      <c r="D19" s="1" t="str">
        <f>IFERROR(__xludf.DUMMYFUNCTION("GOOGLETRANSLATE(C:C, ""en"", ""te"")"),"మాక్ పాషా (టర్కిష్ టైటిల్ నుండి) చెక్ రెండు-ప్రదేశాల పారాగ్లైడర్, దీనిని పీటర్ రిస్క్ రూపొందించారు మరియు దీనిని రోస్నోవ్ పాడ్ రాధోటోమ్ యొక్క మాక్ పారా టెక్నాలజీ నిర్మించింది. ఇది 2016 లో పాషా 5 గా ఉత్పత్తిలో ఉంది. [1] పషా విమాన శిక్షణ కోసం టెన్డం గ్లైడర్‌"&amp;"గా రూపొందించబడింది. ఈ డిజైన్ ఐదు తరాల మోడళ్ల ద్వారా అభివృద్ధి చెందింది, పాషా, పాషా 2, 3, 4 మరియు 5, ప్రతి ఒక్కటి చివరిగా మెరుగుపడుతుంది. రెండు పరిమాణాలతో, పాషా 5 మోడల్స్ ప్రతి ఒక్కటి చదరపు మీటర్లలో వారి ఉజ్జాయింపు వింగ్ ప్రాంతానికి పేరు పెట్టబడ్డాయి. [1] "&amp;"[2] బెర్ట్రాండ్ నుండి డేటా [1] సాధారణ లక్షణాల పనితీరు")</f>
        <v>మాక్ పాషా (టర్కిష్ టైటిల్ నుండి) చెక్ రెండు-ప్రదేశాల పారాగ్లైడర్, దీనిని పీటర్ రిస్క్ రూపొందించారు మరియు దీనిని రోస్నోవ్ పాడ్ రాధోటోమ్ యొక్క మాక్ పారా టెక్నాలజీ నిర్మించింది. ఇది 2016 లో పాషా 5 గా ఉత్పత్తిలో ఉంది. [1] పషా విమాన శిక్షణ కోసం టెన్డం గ్లైడర్‌గా రూపొందించబడింది. ఈ డిజైన్ ఐదు తరాల మోడళ్ల ద్వారా అభివృద్ధి చెందింది, పాషా, పాషా 2, 3, 4 మరియు 5, ప్రతి ఒక్కటి చివరిగా మెరుగుపడుతుంది. రెండు పరిమాణాలతో, పాషా 5 మోడల్స్ ప్రతి ఒక్కటి చదరపు మీటర్లలో వారి ఉజ్జాయింపు వింగ్ ప్రాంతానికి పేరు పెట్టబడ్డాయి. [1] [2] బెర్ట్రాండ్ నుండి డేటా [1] సాధారణ లక్షణాల పనితీరు</v>
      </c>
      <c r="E19" s="1" t="s">
        <v>154</v>
      </c>
      <c r="F19" s="1" t="str">
        <f>IFERROR(__xludf.DUMMYFUNCTION("GOOGLETRANSLATE(E:E, ""en"", ""te"")"),"పారాగ్లైడర్")</f>
        <v>పారాగ్లైడర్</v>
      </c>
      <c r="G19" s="3" t="s">
        <v>155</v>
      </c>
      <c r="H19" s="1" t="s">
        <v>246</v>
      </c>
      <c r="I19" s="1" t="str">
        <f>IFERROR(__xludf.DUMMYFUNCTION("GOOGLETRANSLATE(H:H, ""en"", ""te"")"),"చెక్ రిపబ్లిక్")</f>
        <v>చెక్ రిపబ్లిక్</v>
      </c>
      <c r="J19" s="1" t="s">
        <v>247</v>
      </c>
      <c r="K19" s="1" t="s">
        <v>333</v>
      </c>
      <c r="L19" s="2" t="str">
        <f>IFERROR(__xludf.DUMMYFUNCTION("GOOGLETRANSLATE(K:K, ""en"", ""te"")"),"మాక్ పారా టెక్నాలజీ")</f>
        <v>మాక్ పారా టెక్నాలజీ</v>
      </c>
      <c r="M19" s="1" t="s">
        <v>334</v>
      </c>
      <c r="N19" s="1" t="s">
        <v>335</v>
      </c>
      <c r="O19" s="1" t="str">
        <f>IFERROR(__xludf.DUMMYFUNCTION("GOOGLETRANSLATE(N:N, ""en"", ""te"")"),"ఉత్పత్తిలో (పాషా 5, 2016)")</f>
        <v>ఉత్పత్తిలో (పాషా 5, 2016)</v>
      </c>
      <c r="Q19" s="1" t="s">
        <v>162</v>
      </c>
      <c r="R19" s="1" t="s">
        <v>336</v>
      </c>
      <c r="S19" s="1" t="s">
        <v>337</v>
      </c>
      <c r="T19" s="1">
        <v>5.38</v>
      </c>
      <c r="U19" s="1" t="s">
        <v>338</v>
      </c>
      <c r="V19" s="1" t="s">
        <v>339</v>
      </c>
      <c r="W19" s="1" t="s">
        <v>177</v>
      </c>
      <c r="AB19" s="1" t="s">
        <v>340</v>
      </c>
      <c r="AM19" s="1" t="s">
        <v>330</v>
      </c>
    </row>
    <row r="20">
      <c r="A20" s="1" t="s">
        <v>341</v>
      </c>
      <c r="B20" s="1" t="str">
        <f>IFERROR(__xludf.DUMMYFUNCTION("GOOGLETRANSLATE(A:A, ""en"", ""te"")"),"స్కై ఫైడ్స్")</f>
        <v>స్కై ఫైడ్స్</v>
      </c>
      <c r="C20" s="1" t="s">
        <v>342</v>
      </c>
      <c r="D20" s="1" t="str">
        <f>IFERROR(__xludf.DUMMYFUNCTION("GOOGLETRANSLATE(C:C, ""en"", ""te"")"),"స్కై ఫైడ్స్ అనేది చెక్ సింగిల్-ప్లేస్ పారాగ్లైడర్, ఇది ఫ్రేడ్లాంట్ నాడ్ ఓస్ట్రావిసి యొక్క స్కై పారాగ్లైడర్స్ చేత రూపొందించబడింది మరియు ఉత్పత్తి చేస్తుంది. ఇది ఇప్పుడు ఉత్పత్తికి దూరంగా ఉంది. [1] ఫైడ్స్ ఒక అనుభవశూన్యుడు గ్లైడర్‌గా రూపొందించబడింది. మోడల్స్ "&amp;"ప్రతి ఒక్కటి చదరపు మీటర్లలో వారి సుమారుగా వింగ్ ప్రాంతానికి పేరు పెట్టబడ్డాయి. [1] సమీక్షకుడు నోయెల్ బెర్ట్రాండ్ 2003 సమీక్షలో ""ఎగరడానికి ఆహ్లాదకరమైన, అధిక పనితీరు మరియు బాగా నిర్మించినది"" అని అభివర్ణించారు. [1] బెర్ట్రాండ్ నుండి డేటా [1] సాధారణ లక్షణాల"&amp;" పనితీరు")</f>
        <v>స్కై ఫైడ్స్ అనేది చెక్ సింగిల్-ప్లేస్ పారాగ్లైడర్, ఇది ఫ్రేడ్లాంట్ నాడ్ ఓస్ట్రావిసి యొక్క స్కై పారాగ్లైడర్స్ చేత రూపొందించబడింది మరియు ఉత్పత్తి చేస్తుంది. ఇది ఇప్పుడు ఉత్పత్తికి దూరంగా ఉంది. [1] ఫైడ్స్ ఒక అనుభవశూన్యుడు గ్లైడర్‌గా రూపొందించబడింది. మోడల్స్ ప్రతి ఒక్కటి చదరపు మీటర్లలో వారి సుమారుగా వింగ్ ప్రాంతానికి పేరు పెట్టబడ్డాయి. [1] సమీక్షకుడు నోయెల్ బెర్ట్రాండ్ 2003 సమీక్షలో "ఎగరడానికి ఆహ్లాదకరమైన, అధిక పనితీరు మరియు బాగా నిర్మించినది" అని అభివర్ణించారు. [1] బెర్ట్రాండ్ నుండి డేటా [1] సాధారణ లక్షణాల పనితీరు</v>
      </c>
      <c r="E20" s="1" t="s">
        <v>154</v>
      </c>
      <c r="F20" s="1" t="str">
        <f>IFERROR(__xludf.DUMMYFUNCTION("GOOGLETRANSLATE(E:E, ""en"", ""te"")"),"పారాగ్లైడర్")</f>
        <v>పారాగ్లైడర్</v>
      </c>
      <c r="G20" s="3" t="s">
        <v>155</v>
      </c>
      <c r="H20" s="1" t="s">
        <v>246</v>
      </c>
      <c r="I20" s="1" t="str">
        <f>IFERROR(__xludf.DUMMYFUNCTION("GOOGLETRANSLATE(H:H, ""en"", ""te"")"),"చెక్ రిపబ్లిక్")</f>
        <v>చెక్ రిపబ్లిక్</v>
      </c>
      <c r="J20" s="1" t="s">
        <v>247</v>
      </c>
      <c r="K20" s="1" t="s">
        <v>248</v>
      </c>
      <c r="L20" s="2" t="str">
        <f>IFERROR(__xludf.DUMMYFUNCTION("GOOGLETRANSLATE(K:K, ""en"", ""te"")"),"స్కై పారాగ్లైడర్స్")</f>
        <v>స్కై పారాగ్లైడర్స్</v>
      </c>
      <c r="M20" s="1" t="s">
        <v>249</v>
      </c>
      <c r="N20" s="1" t="s">
        <v>171</v>
      </c>
      <c r="O20" s="1" t="str">
        <f>IFERROR(__xludf.DUMMYFUNCTION("GOOGLETRANSLATE(N:N, ""en"", ""te"")"),"ఉత్పత్తి పూర్తయింది")</f>
        <v>ఉత్పత్తి పూర్తయింది</v>
      </c>
      <c r="P20" s="1" t="s">
        <v>172</v>
      </c>
      <c r="Q20" s="1" t="s">
        <v>162</v>
      </c>
      <c r="R20" s="1" t="s">
        <v>343</v>
      </c>
      <c r="S20" s="1" t="s">
        <v>344</v>
      </c>
      <c r="T20" s="1">
        <v>4.5</v>
      </c>
      <c r="U20" s="1" t="s">
        <v>345</v>
      </c>
      <c r="V20" s="1" t="s">
        <v>261</v>
      </c>
      <c r="W20" s="1" t="s">
        <v>177</v>
      </c>
    </row>
    <row r="21">
      <c r="A21" s="1" t="s">
        <v>346</v>
      </c>
      <c r="B21" s="1" t="str">
        <f>IFERROR(__xludf.DUMMYFUNCTION("GOOGLETRANSLATE(A:A, ""en"", ""te"")"),"విండ్టెక్ బంటూ")</f>
        <v>విండ్టెక్ బంటూ</v>
      </c>
      <c r="C21" s="1" t="s">
        <v>347</v>
      </c>
      <c r="D21" s="1" t="str">
        <f>IFERROR(__xludf.DUMMYFUNCTION("GOOGLETRANSLATE(C:C, ""en"", ""te"")"),"విండ్టెక్ బంటూ ఒక స్పానిష్ రెండు-ప్రదేశాల పారాగ్లైడర్, దీనిని గిజాన్ యొక్క విండ్టెక్ పారాపెంటెస్ రూపొందించారు మరియు నిర్మించారు. ఇది ఇప్పుడు ఉత్పత్తికి దూరంగా ఉంది. [1] విమాన శిక్షణ కోసం బాంటూ టెన్డం గ్లైడర్‌గా రూపొందించబడింది. [1] విమానం యొక్క 14.7 మీ (4"&amp;"8.2 అడుగులు) స్పాన్ వింగ్ 51 కణాలు, రెక్క ప్రాంతం 41.3 మీ 2 (445 చదరపు అడుగులు) మరియు 5: 1 యొక్క కారక నిష్పత్తి. సిబ్బంది బరువు పరిధి 135 నుండి 220 కిలోలు (298 నుండి 485 పౌండ్లు). గ్లైడర్ DHV 1-2 ధృవీకరించబడింది. [1] గ్లైడర్ వింగ్ పోర్చర్ మెరైన్ స్కైటెక్స"&amp;"్ 45 గ్రా/మీ 2 నైలాన్ ఫాబ్రిక్ నుండి తయారు చేయబడింది, తేలికైన 34 గ్రా/మీ 2 ఫాబ్రిక్ యొక్క వి-రిబ్స్. పక్కటెముక ఉపబలాలు 310 g/m2 డాక్రాన్, వెనుకంజలో ఉన్న అంచు ఉపబల 175 g/m2 పాలిస్టర్. పంక్తులు అన్నీ కప్పబడిన కెవ్లార్, A మరియు B పంక్తులు 2.2 మిమీ వ్యాసం, సి"&amp;" మరియు డి పంక్తులు 1.7 మిమీ వ్యాసం మరియు ఎగువ పంక్తులు 1.1 మిమీ వ్యాసం కలిగి ఉంటాయి. రైసర్లు 25 మిమీ వెడల్పు గల పాలిస్టర్ స్ట్రాపింగ్ నుండి తయారవుతాయి. [2] బెర్ట్రాండ్ నుండి డేటా [1] మరియు తయారీదారు [2] సాధారణ లక్షణాల పనితీరు")</f>
        <v>విండ్టెక్ బంటూ ఒక స్పానిష్ రెండు-ప్రదేశాల పారాగ్లైడర్, దీనిని గిజాన్ యొక్క విండ్టెక్ పారాపెంటెస్ రూపొందించారు మరియు నిర్మించారు. ఇది ఇప్పుడు ఉత్పత్తికి దూరంగా ఉంది. [1] విమాన శిక్షణ కోసం బాంటూ టెన్డం గ్లైడర్‌గా రూపొందించబడింది. [1] విమానం యొక్క 14.7 మీ (48.2 అడుగులు) స్పాన్ వింగ్ 51 కణాలు, రెక్క ప్రాంతం 41.3 మీ 2 (445 చదరపు అడుగులు) మరియు 5: 1 యొక్క కారక నిష్పత్తి. సిబ్బంది బరువు పరిధి 135 నుండి 220 కిలోలు (298 నుండి 485 పౌండ్లు). గ్లైడర్ DHV 1-2 ధృవీకరించబడింది. [1] గ్లైడర్ వింగ్ పోర్చర్ మెరైన్ స్కైటెక్స్ 45 గ్రా/మీ 2 నైలాన్ ఫాబ్రిక్ నుండి తయారు చేయబడింది, తేలికైన 34 గ్రా/మీ 2 ఫాబ్రిక్ యొక్క వి-రిబ్స్. పక్కటెముక ఉపబలాలు 310 g/m2 డాక్రాన్, వెనుకంజలో ఉన్న అంచు ఉపబల 175 g/m2 పాలిస్టర్. పంక్తులు అన్నీ కప్పబడిన కెవ్లార్, A మరియు B పంక్తులు 2.2 మిమీ వ్యాసం, సి మరియు డి పంక్తులు 1.7 మిమీ వ్యాసం మరియు ఎగువ పంక్తులు 1.1 మిమీ వ్యాసం కలిగి ఉంటాయి. రైసర్లు 25 మిమీ వెడల్పు గల పాలిస్టర్ స్ట్రాపింగ్ నుండి తయారవుతాయి. [2] బెర్ట్రాండ్ నుండి డేటా [1] మరియు తయారీదారు [2] సాధారణ లక్షణాల పనితీరు</v>
      </c>
      <c r="E21" s="1" t="s">
        <v>154</v>
      </c>
      <c r="F21" s="1" t="str">
        <f>IFERROR(__xludf.DUMMYFUNCTION("GOOGLETRANSLATE(E:E, ""en"", ""te"")"),"పారాగ్లైడర్")</f>
        <v>పారాగ్లైడర్</v>
      </c>
      <c r="G21" s="3" t="s">
        <v>155</v>
      </c>
      <c r="H21" s="1" t="s">
        <v>180</v>
      </c>
      <c r="I21" s="1" t="str">
        <f>IFERROR(__xludf.DUMMYFUNCTION("GOOGLETRANSLATE(H:H, ""en"", ""te"")"),"స్పెయిన్")</f>
        <v>స్పెయిన్</v>
      </c>
      <c r="J21" s="3" t="s">
        <v>181</v>
      </c>
      <c r="K21" s="1" t="s">
        <v>182</v>
      </c>
      <c r="L21" s="2" t="str">
        <f>IFERROR(__xludf.DUMMYFUNCTION("GOOGLETRANSLATE(K:K, ""en"", ""te"")"),"విండ్టెక్ పారాపెంటెస్")</f>
        <v>విండ్టెక్ పారాపెంటెస్</v>
      </c>
      <c r="M21" s="1" t="s">
        <v>183</v>
      </c>
      <c r="N21" s="1" t="s">
        <v>171</v>
      </c>
      <c r="O21" s="1" t="str">
        <f>IFERROR(__xludf.DUMMYFUNCTION("GOOGLETRANSLATE(N:N, ""en"", ""te"")"),"ఉత్పత్తి పూర్తయింది")</f>
        <v>ఉత్పత్తి పూర్తయింది</v>
      </c>
      <c r="P21" s="1" t="s">
        <v>172</v>
      </c>
      <c r="Q21" s="1" t="s">
        <v>162</v>
      </c>
      <c r="R21" s="1" t="s">
        <v>348</v>
      </c>
      <c r="S21" s="1" t="s">
        <v>349</v>
      </c>
      <c r="T21" s="1">
        <v>5.0</v>
      </c>
      <c r="U21" s="1" t="s">
        <v>165</v>
      </c>
      <c r="X21" s="1" t="s">
        <v>350</v>
      </c>
      <c r="Y21" s="1" t="s">
        <v>351</v>
      </c>
      <c r="AM21" s="1" t="s">
        <v>330</v>
      </c>
    </row>
    <row r="22">
      <c r="A22" s="1" t="s">
        <v>352</v>
      </c>
      <c r="B22" s="1" t="str">
        <f>IFERROR(__xludf.DUMMYFUNCTION("GOOGLETRANSLATE(A:A, ""en"", ""te"")"),"విండ్టెక్ నైట్రో")</f>
        <v>విండ్టెక్ నైట్రో</v>
      </c>
      <c r="C22" s="1" t="s">
        <v>353</v>
      </c>
      <c r="D22" s="1" t="str">
        <f>IFERROR(__xludf.DUMMYFUNCTION("GOOGLETRANSLATE(C:C, ""en"", ""te"")"),"విండ్‌టెక్ నైట్రో అనేది స్పానిష్ సింగిల్-ప్లేస్ పారాగ్లైడర్, దీనిని గిజాన్ యొక్క విండ్‌టెక్ పారాపెంటెస్ రూపొందించారు మరియు నిర్మించారు. ఇది ఇప్పుడు ఉత్పత్తికి దూరంగా ఉంది. [1] ఈ విమానం పోటీ గ్లైడర్‌గా రూపొందించబడింది. మోడల్స్ ప్రతి ఒక్కటి చదరపు మీటర్లలో వ"&amp;"ారి సుమారుగా వింగ్ ప్రాంతానికి పేరు పెట్టబడ్డాయి. [1] గ్లైడ్ నిష్పత్తి మరియు కూలిపోకుండా నిరోధించడానికి రెక్క చిట్కా పీడనం నిర్వహణ కోసం డిజైన్ ఆప్టిమైజ్ చేయబడింది. [2] గ్లైడర్ వింగ్ పోర్చర్ మెరైన్ స్కైటెక్స్ 44 గ్రా/ఎం 2 నైలాన్ ఫాబ్రిక్ నుండి తయారు చేయబడి"&amp;"ంది. పక్కటెముక ఉపబలాలు 310 g/m2 డాక్రాన్, వెనుకంజలో ఉన్న అంచు ఉపబల 175 g/m2 పాలిస్టర్. పంక్తులు అన్నీ 1.1 మరియు 1.7 మిమీ వ్యాసం కలిగిన కెవ్లార్ లేదా, ఐచ్ఛికంగా 0.6 మరియు 0.9 మిమీ మైక్రో షీథెడ్ పంక్తులు. రైసర్లు 20 మిమీ వెడల్పు గల పాలిమిడా స్ట్రాపింగ్ నుండ"&amp;"ి తయారవుతాయి. [3] సమీక్షకుడు నోయెల్ బెర్ట్రాండ్ 2003 సమీక్షలో గ్లైడర్‌ను ప్రశంసించారు, ""నైట్రో యొక్క విమాన లక్షణాలు పేలుడు!"" [1] బెర్ట్రాండ్ నుండి డేటా [1] మరియు తయారీదారు [3] సాధారణ లక్షణాల పనితీరు")</f>
        <v>విండ్‌టెక్ నైట్రో అనేది స్పానిష్ సింగిల్-ప్లేస్ పారాగ్లైడర్, దీనిని గిజాన్ యొక్క విండ్‌టెక్ పారాపెంటెస్ రూపొందించారు మరియు నిర్మించారు. ఇది ఇప్పుడు ఉత్పత్తికి దూరంగా ఉంది. [1] ఈ విమానం పోటీ గ్లైడర్‌గా రూపొందించబడింది. మోడల్స్ ప్రతి ఒక్కటి చదరపు మీటర్లలో వారి సుమారుగా వింగ్ ప్రాంతానికి పేరు పెట్టబడ్డాయి. [1] గ్లైడ్ నిష్పత్తి మరియు కూలిపోకుండా నిరోధించడానికి రెక్క చిట్కా పీడనం నిర్వహణ కోసం డిజైన్ ఆప్టిమైజ్ చేయబడింది. [2] గ్లైడర్ వింగ్ పోర్చర్ మెరైన్ స్కైటెక్స్ 44 గ్రా/ఎం 2 నైలాన్ ఫాబ్రిక్ నుండి తయారు చేయబడింది. పక్కటెముక ఉపబలాలు 310 g/m2 డాక్రాన్, వెనుకంజలో ఉన్న అంచు ఉపబల 175 g/m2 పాలిస్టర్. పంక్తులు అన్నీ 1.1 మరియు 1.7 మిమీ వ్యాసం కలిగిన కెవ్లార్ లేదా, ఐచ్ఛికంగా 0.6 మరియు 0.9 మిమీ మైక్రో షీథెడ్ పంక్తులు. రైసర్లు 20 మిమీ వెడల్పు గల పాలిమిడా స్ట్రాపింగ్ నుండి తయారవుతాయి. [3] సమీక్షకుడు నోయెల్ బెర్ట్రాండ్ 2003 సమీక్షలో గ్లైడర్‌ను ప్రశంసించారు, "నైట్రో యొక్క విమాన లక్షణాలు పేలుడు!" [1] బెర్ట్రాండ్ నుండి డేటా [1] మరియు తయారీదారు [3] సాధారణ లక్షణాల పనితీరు</v>
      </c>
      <c r="E22" s="1" t="s">
        <v>154</v>
      </c>
      <c r="F22" s="1" t="str">
        <f>IFERROR(__xludf.DUMMYFUNCTION("GOOGLETRANSLATE(E:E, ""en"", ""te"")"),"పారాగ్లైడర్")</f>
        <v>పారాగ్లైడర్</v>
      </c>
      <c r="G22" s="3" t="s">
        <v>155</v>
      </c>
      <c r="H22" s="1" t="s">
        <v>180</v>
      </c>
      <c r="I22" s="1" t="str">
        <f>IFERROR(__xludf.DUMMYFUNCTION("GOOGLETRANSLATE(H:H, ""en"", ""te"")"),"స్పెయిన్")</f>
        <v>స్పెయిన్</v>
      </c>
      <c r="J22" s="3" t="s">
        <v>181</v>
      </c>
      <c r="K22" s="1" t="s">
        <v>182</v>
      </c>
      <c r="L22" s="2" t="str">
        <f>IFERROR(__xludf.DUMMYFUNCTION("GOOGLETRANSLATE(K:K, ""en"", ""te"")"),"విండ్టెక్ పారాపెంటెస్")</f>
        <v>విండ్టెక్ పారాపెంటెస్</v>
      </c>
      <c r="M22" s="1" t="s">
        <v>183</v>
      </c>
      <c r="N22" s="1" t="s">
        <v>171</v>
      </c>
      <c r="O22" s="1" t="str">
        <f>IFERROR(__xludf.DUMMYFUNCTION("GOOGLETRANSLATE(N:N, ""en"", ""te"")"),"ఉత్పత్తి పూర్తయింది")</f>
        <v>ఉత్పత్తి పూర్తయింది</v>
      </c>
      <c r="P22" s="1" t="s">
        <v>172</v>
      </c>
      <c r="Q22" s="1" t="s">
        <v>162</v>
      </c>
      <c r="R22" s="1" t="s">
        <v>354</v>
      </c>
      <c r="S22" s="1" t="s">
        <v>355</v>
      </c>
      <c r="T22" s="1">
        <v>6.35</v>
      </c>
      <c r="U22" s="1" t="s">
        <v>356</v>
      </c>
      <c r="W22" s="1" t="s">
        <v>177</v>
      </c>
      <c r="Y22" s="1" t="s">
        <v>357</v>
      </c>
      <c r="Z22" s="1" t="s">
        <v>338</v>
      </c>
      <c r="AA22" s="1" t="s">
        <v>358</v>
      </c>
    </row>
    <row r="23">
      <c r="A23" s="1" t="s">
        <v>359</v>
      </c>
      <c r="B23" s="1" t="str">
        <f>IFERROR(__xludf.DUMMYFUNCTION("GOOGLETRANSLATE(A:A, ""en"", ""te"")"),"విమానాలు")</f>
        <v>విమానాలు</v>
      </c>
      <c r="C23" s="1" t="s">
        <v>360</v>
      </c>
      <c r="D23" s="1" t="str">
        <f>IFERROR(__xludf.DUMMYFUNCTION("GOOGLETRANSLATE(C:C, ""en"", ""te"")"),"డాక్ ఒక బోయింగ్ బి -29 సూపర్‌ఫోర్ట్రెస్. ప్రస్తుతం ప్రపంచంలో ఎగురుతున్న ఇద్దరిలో ఇది ఒకటి, మరొకటి బి -29 ఫిఫి. ఇది అమెరికాలోని విచిత కేంద్రంగా ఉన్న లాభాపేక్షలేని సంస్థ డాక్స్ ఫ్రెండ్స్, ఇంక్. యాజమాన్యంలో ఉంది. డాక్ వివిధ ఎయిర్ షోలకు హాజరవుతుంది మరియు సవార"&amp;"ీలు అందిస్తుంది. [1] కాన్సాస్‌లోని విచిత వద్ద బోయింగ్ నిర్మించిన 1620 విమానాల ఉత్పత్తి పరుగులో భాగంగా 1944 లో బి -29 నిర్మించబడింది మరియు సైనిక సీరియల్ నంబర్ 44-69972 ను కేటాయించింది. [2] [3] ఇది మార్చి 1945 లో అమెరికా ఆర్మీ వైమానిక దళాలకు పంపిణీ చేయబడింద"&amp;"ి. ఈ విమానం పోరాటాన్ని చూడలేదు మరియు 1951 లో రాడార్ క్రమాంకనం విమానంగా మార్చబడింది మరియు న్యూయార్క్‌లోని గ్రిఫిస్ ఎయిర్ ఫోర్స్ బేస్ వద్ద ఉంది. గ్రిఫిస్ వద్ద ఉన్నప్పుడు, స్క్వాడ్రన్ సభ్యులు డిస్నీ మూవీ స్నో వైట్ మరియు సెవెన్ డ్వార్ఫ్స్ మరియు 44-69972 లోని "&amp;"పాత్రల తరువాత వారి B-29 లకు పేరు పెట్టారు. [4] 1955 లో, టిబి -29 గా సవరించబడిన ఈ విమానం అరిజోనాలోని యుమా కౌంటీ విమానాశ్రయానికి తరలించబడింది. 1956 లో అమెరికా వైమానిక దళం నుండి రిటైర్ అయిన దీనిని బాలిస్టిక్ క్షిపణి లక్ష్యంగా ఉపయోగించడానికి నావల్ ఎయిర్ వెపన్"&amp;"స్ స్టేషన్ చైనా సరస్సుకి పంపబడింది. [6] విమాన స్థితికి పునరుద్ధరించడానికి ఎయిర్‌ఫ్రేమ్‌ను ఒహియోలోని అమెరికా ఏవియేషన్ మ్యూజియం ఆఫ్ క్లీవ్‌ల్యాండ్ కొనుగోలు చేసింది. మొదట నిర్మించిన కాన్సాస్‌లోని విచితలోని బోయింగ్ ప్లాంట్‌లో విస్తృతమైన పునరుద్ధరణ పనుల తరువాత"&amp;", ఈ విమానం మార్చి 2007 లో కాన్సాస్ ఏవియేషన్ మ్యూజియంకు తరలించబడింది. ఫిబ్రవరి 2013 లో, ఈ విమానాన్ని లాభాపేక్షలేని సంస్థ ""డాక్స్ స్నేహితులు"" కొనుగోలు చేసింది. జూన్ 2014 నాటికి, నాలుగు ఓవర్‌హాల్ చేసిన ఇంజన్లు మరియు ప్రొపెల్లర్లను తిరిగి ఇన్‌స్టాల్ చేశారు,"&amp;" ఆ సమయంలో ఈ బృందం ప్రతినిధి, ఈ సంవత్సరం చివరినాటికి విమానం గాలిలో ఉంటుంది. [సైటేషన్ అవసరం] ఈ టైమ్‌టేబుల్ సాధించబడలేదు, విమానం తో సాధించబడలేదు మార్చి 23, 2015 న మొదటిసారి వర్క్‌షాప్ నుండి బయటపడటం. [7] రోల్ అవుట్ అయిన కొన్ని నెలల తరువాత, మొదటి పోస్ట్-రెస్టర"&amp;"ేషన్ ఫ్లైట్ సంవత్సరం చివరినాటికి జరుగుతుందని was హించబడింది. [8] సెప్టెంబర్ 18, 2015 న ఉదయం 8 గంటలకు, డాక్ విచితలోని నాలుగు ఇంజిన్ల మొదటి ఇంజిన్ ప్రారంభాలు మరియు పరీక్షలను విజయవంతంగా పూర్తి చేసింది. [9] మే 11, 2016 న పునరుద్ధరణ సిబ్బంది అనేక తక్కువ-స్పీడ్"&amp;" టాక్సీ పరీక్షలలో మొదటిది, పోస్ట్-పునరుద్ధరణ విమానానికి తుది సన్నాహాలు ప్రారంభమయ్యాయి. ఇది 1956 తరువాత మొదటిసారిగా గుర్తించబడింది, B-29 దాని స్వంత శక్తితో కదిలింది. టాక్సీ పరీక్షలో డాక్ అర మైలు కంటే ఎక్కువ ప్రయాణించాడు మరియు సిబ్బంది బ్రేక్‌లు మరియు స్టీర"&amp;"ింగ్ విజయవంతంగా పరీక్షించగలిగారు. [10] ఈ విమానం మే 20, 2016 న ఫెడరల్ ఏవియేషన్ అడ్మినిస్ట్రేషన్ నుండి ఎయిర్ విలువైనది యొక్క ధృవీకరణ పత్రాన్ని అందుకుంది, దీనిని ఎగరడానికి వీలు కల్పిస్తుంది. [11] జూలై 17, 2016 న, ఇది 1956 నుండి మొదటిసారిగా ప్రయాణించింది, ఫిఫ"&amp;"ి యొక్క విమాన సిబ్బంది సభ్యులు పైలట్ చేశారు. [12] ఫార్వర్డ్ బాంబ్ బే డోర్స్ లాచింగ్ షట్డ్ కారణంగా టేక్ ఆఫ్ ఆలస్యం అయింది, మరియు ఫ్లైట్ అండర్ క్యారేజీతో జరిగింది. [13] ఈ కార్యక్రమం యూట్యూబ్ మరియు డాక్ యొక్క స్నేహితుల వెబ్‌సైట్‌లో ప్రత్యక్ష ప్రసారం చేయబడింద"&amp;"ి. [14] [15] [16] స్మిత్సోనియన్ ఇన్స్టిట్యూషన్ యొక్క ఎయిర్ &amp; స్పేస్/స్మిత్సోనియన్ మ్యాగజైన్ తన సెప్టెంబర్ 2016 సంచికలో డాక్ చరిత్ర యొక్క లోతు సమీక్షను కలిగి ఉంది. [17] పునరుద్ధరణ నుండి డాక్ తన మొదటి ఎయిర్‌షోలో పాల్గొంది, ది డిఫెండర్స్ ఆఫ్ లిబర్టీ ఎయిర్‌షో"&amp;", మే 6 మరియు 7, 2017 న లూసియానాలోని ష్రెవ్‌పోర్ట్ సమీపంలో బార్క్స్‌డేల్ ఎయిర్ ఫోర్స్ బేస్ వద్ద. [18] [19]")</f>
        <v>డాక్ ఒక బోయింగ్ బి -29 సూపర్‌ఫోర్ట్రెస్. ప్రస్తుతం ప్రపంచంలో ఎగురుతున్న ఇద్దరిలో ఇది ఒకటి, మరొకటి బి -29 ఫిఫి. ఇది అమెరికాలోని విచిత కేంద్రంగా ఉన్న లాభాపేక్షలేని సంస్థ డాక్స్ ఫ్రెండ్స్, ఇంక్. యాజమాన్యంలో ఉంది. డాక్ వివిధ ఎయిర్ షోలకు హాజరవుతుంది మరియు సవారీలు అందిస్తుంది. [1] కాన్సాస్‌లోని విచిత వద్ద బోయింగ్ నిర్మించిన 1620 విమానాల ఉత్పత్తి పరుగులో భాగంగా 1944 లో బి -29 నిర్మించబడింది మరియు సైనిక సీరియల్ నంబర్ 44-69972 ను కేటాయించింది. [2] [3] ఇది మార్చి 1945 లో అమెరికా ఆర్మీ వైమానిక దళాలకు పంపిణీ చేయబడింది. ఈ విమానం పోరాటాన్ని చూడలేదు మరియు 1951 లో రాడార్ క్రమాంకనం విమానంగా మార్చబడింది మరియు న్యూయార్క్‌లోని గ్రిఫిస్ ఎయిర్ ఫోర్స్ బేస్ వద్ద ఉంది. గ్రిఫిస్ వద్ద ఉన్నప్పుడు, స్క్వాడ్రన్ సభ్యులు డిస్నీ మూవీ స్నో వైట్ మరియు సెవెన్ డ్వార్ఫ్స్ మరియు 44-69972 లోని పాత్రల తరువాత వారి B-29 లకు పేరు పెట్టారు. [4] 1955 లో, టిబి -29 గా సవరించబడిన ఈ విమానం అరిజోనాలోని యుమా కౌంటీ విమానాశ్రయానికి తరలించబడింది. 1956 లో అమెరికా వైమానిక దళం నుండి రిటైర్ అయిన దీనిని బాలిస్టిక్ క్షిపణి లక్ష్యంగా ఉపయోగించడానికి నావల్ ఎయిర్ వెపన్స్ స్టేషన్ చైనా సరస్సుకి పంపబడింది. [6] విమాన స్థితికి పునరుద్ధరించడానికి ఎయిర్‌ఫ్రేమ్‌ను ఒహియోలోని అమెరికా ఏవియేషన్ మ్యూజియం ఆఫ్ క్లీవ్‌ల్యాండ్ కొనుగోలు చేసింది. మొదట నిర్మించిన కాన్సాస్‌లోని విచితలోని బోయింగ్ ప్లాంట్‌లో విస్తృతమైన పునరుద్ధరణ పనుల తరువాత, ఈ విమానం మార్చి 2007 లో కాన్సాస్ ఏవియేషన్ మ్యూజియంకు తరలించబడింది. ఫిబ్రవరి 2013 లో, ఈ విమానాన్ని లాభాపేక్షలేని సంస్థ "డాక్స్ స్నేహితులు" కొనుగోలు చేసింది. జూన్ 2014 నాటికి, నాలుగు ఓవర్‌హాల్ చేసిన ఇంజన్లు మరియు ప్రొపెల్లర్లను తిరిగి ఇన్‌స్టాల్ చేశారు, ఆ సమయంలో ఈ బృందం ప్రతినిధి, ఈ సంవత్సరం చివరినాటికి విమానం గాలిలో ఉంటుంది. [సైటేషన్ అవసరం] ఈ టైమ్‌టేబుల్ సాధించబడలేదు, విమానం తో సాధించబడలేదు మార్చి 23, 2015 న మొదటిసారి వర్క్‌షాప్ నుండి బయటపడటం. [7] రోల్ అవుట్ అయిన కొన్ని నెలల తరువాత, మొదటి పోస్ట్-రెస్టరేషన్ ఫ్లైట్ సంవత్సరం చివరినాటికి జరుగుతుందని was హించబడింది. [8] సెప్టెంబర్ 18, 2015 న ఉదయం 8 గంటలకు, డాక్ విచితలోని నాలుగు ఇంజిన్ల మొదటి ఇంజిన్ ప్రారంభాలు మరియు పరీక్షలను విజయవంతంగా పూర్తి చేసింది. [9] మే 11, 2016 న పునరుద్ధరణ సిబ్బంది అనేక తక్కువ-స్పీడ్ టాక్సీ పరీక్షలలో మొదటిది, పోస్ట్-పునరుద్ధరణ విమానానికి తుది సన్నాహాలు ప్రారంభమయ్యాయి. ఇది 1956 తరువాత మొదటిసారిగా గుర్తించబడింది, B-29 దాని స్వంత శక్తితో కదిలింది. టాక్సీ పరీక్షలో డాక్ అర మైలు కంటే ఎక్కువ ప్రయాణించాడు మరియు సిబ్బంది బ్రేక్‌లు మరియు స్టీరింగ్ విజయవంతంగా పరీక్షించగలిగారు. [10] ఈ విమానం మే 20, 2016 న ఫెడరల్ ఏవియేషన్ అడ్మినిస్ట్రేషన్ నుండి ఎయిర్ విలువైనది యొక్క ధృవీకరణ పత్రాన్ని అందుకుంది, దీనిని ఎగరడానికి వీలు కల్పిస్తుంది. [11] జూలై 17, 2016 న, ఇది 1956 నుండి మొదటిసారిగా ప్రయాణించింది, ఫిఫి యొక్క విమాన సిబ్బంది సభ్యులు పైలట్ చేశారు. [12] ఫార్వర్డ్ బాంబ్ బే డోర్స్ లాచింగ్ షట్డ్ కారణంగా టేక్ ఆఫ్ ఆలస్యం అయింది, మరియు ఫ్లైట్ అండర్ క్యారేజీతో జరిగింది. [13] ఈ కార్యక్రమం యూట్యూబ్ మరియు డాక్ యొక్క స్నేహితుల వెబ్‌సైట్‌లో ప్రత్యక్ష ప్రసారం చేయబడింది. [14] [15] [16] స్మిత్సోనియన్ ఇన్స్టిట్యూషన్ యొక్క ఎయిర్ &amp; స్పేస్/స్మిత్సోనియన్ మ్యాగజైన్ తన సెప్టెంబర్ 2016 సంచికలో డాక్ చరిత్ర యొక్క లోతు సమీక్షను కలిగి ఉంది. [17] పునరుద్ధరణ నుండి డాక్ తన మొదటి ఎయిర్‌షోలో పాల్గొంది, ది డిఫెండర్స్ ఆఫ్ లిబర్టీ ఎయిర్‌షో, మే 6 మరియు 7, 2017 న లూసియానాలోని ష్రెవ్‌పోర్ట్ సమీపంలో బార్క్స్‌డేల్ ఎయిర్ ఫోర్స్ బేస్ వద్ద. [18] [19]</v>
      </c>
      <c r="K23" s="1" t="s">
        <v>361</v>
      </c>
      <c r="L23" s="2" t="str">
        <f>IFERROR(__xludf.DUMMYFUNCTION("GOOGLETRANSLATE(K:K, ""en"", ""te"")"),"బోయింగ్")</f>
        <v>బోయింగ్</v>
      </c>
      <c r="M23" s="3" t="s">
        <v>362</v>
      </c>
      <c r="N23" s="1" t="s">
        <v>363</v>
      </c>
      <c r="O23" s="1" t="str">
        <f>IFERROR(__xludf.DUMMYFUNCTION("GOOGLETRANSLATE(N:N, ""en"", ""te"")"),"గాలికి")</f>
        <v>గాలికి</v>
      </c>
      <c r="AL23" s="1" t="s">
        <v>364</v>
      </c>
      <c r="AZ23" s="1" t="s">
        <v>365</v>
      </c>
      <c r="BA23" s="1" t="s">
        <v>366</v>
      </c>
      <c r="BB23" s="1" t="s">
        <v>367</v>
      </c>
      <c r="BC23" s="1" t="s">
        <v>368</v>
      </c>
      <c r="BD23" s="1" t="s">
        <v>369</v>
      </c>
      <c r="BF23" s="1">
        <v>1944.0</v>
      </c>
      <c r="BG23" s="1" t="s">
        <v>370</v>
      </c>
      <c r="BH23" s="1" t="s">
        <v>371</v>
      </c>
      <c r="BI23" s="1" t="s">
        <v>372</v>
      </c>
    </row>
    <row r="24">
      <c r="A24" s="1" t="s">
        <v>373</v>
      </c>
      <c r="B24" s="1" t="str">
        <f>IFERROR(__xludf.DUMMYFUNCTION("GOOGLETRANSLATE(A:A, ""en"", ""te"")"),"సికోర్స్కీ ఎస్ -8")</f>
        <v>సికోర్స్కీ ఎస్ -8</v>
      </c>
      <c r="C24" s="1" t="s">
        <v>374</v>
      </c>
      <c r="D24" s="1" t="str">
        <f>IFERROR(__xludf.DUMMYFUNCTION("GOOGLETRANSLATE(C:C, ""en"", ""te"")"),"సికోర్స్కీ ఎస్ -8 మాల్యూట్కా (బేబీ) అనేది రష్యన్ బాల్టిక్ రైల్‌రోడ్ కారు నిర్మించిన ఒక చిన్న రష్యన్ సింగిల్ ఇంజిన్ విమానం, ఇగోర్ సికోర్స్కీ 1912 లో విమాన తయారీ విభాగానికి చీఫ్ ఇంజనీర్ అయిన కొద్దిసేపటికే. ఎస్ -8 రెండు బే బైప్‌లేన్ ట్రైనర్ శక్తితో ఉంది 50 హ"&amp;"ెచ్‌పి (37 కిలోవాట్ల) గ్నోమ్ ఎయిర్-కూల్డ్ రోటరీ ఇంజిన్ ద్వారా ప్రధాన రెక్కలు మరియు ల్యాండింగ్ గేర్‌తో ఎస్ -6-ఎకి సమానమైన డిజైన్. 1912 వేసవి ప్రారంభంలో పూర్తయిన ఈ విమానం బోధకుడు మరియు విద్యార్థి మధ్య తరలించగల నియంత్రణలతో సైడ్ బై సైడ్ సీటింగ్ అమరికను కలిగి "&amp;"ఉంది. మెరుగైన దిగువ దృశ్యమానత కోసం దిగువ వింగ్‌కు వింగ్ రూట్ మరియు మొదటి పక్కటెముక మధ్య ఫాబ్రిక్ కవరింగ్ లేదు. . అతను ఎయిర్ఫీల్డ్ వద్ద మంటల సహాయంతో దిగాడు. [2] రష్యన్ ఏవియేషన్ మ్యూజియం నుండి డేటా [3] సాధారణ లక్షణాల పనితీరు")</f>
        <v>సికోర్స్కీ ఎస్ -8 మాల్యూట్కా (బేబీ) అనేది రష్యన్ బాల్టిక్ రైల్‌రోడ్ కారు నిర్మించిన ఒక చిన్న రష్యన్ సింగిల్ ఇంజిన్ విమానం, ఇగోర్ సికోర్స్కీ 1912 లో విమాన తయారీ విభాగానికి చీఫ్ ఇంజనీర్ అయిన కొద్దిసేపటికే. ఎస్ -8 రెండు బే బైప్‌లేన్ ట్రైనర్ శక్తితో ఉంది 50 హెచ్‌పి (37 కిలోవాట్ల) గ్నోమ్ ఎయిర్-కూల్డ్ రోటరీ ఇంజిన్ ద్వారా ప్రధాన రెక్కలు మరియు ల్యాండింగ్ గేర్‌తో ఎస్ -6-ఎకి సమానమైన డిజైన్. 1912 వేసవి ప్రారంభంలో పూర్తయిన ఈ విమానం బోధకుడు మరియు విద్యార్థి మధ్య తరలించగల నియంత్రణలతో సైడ్ బై సైడ్ సీటింగ్ అమరికను కలిగి ఉంది. మెరుగైన దిగువ దృశ్యమానత కోసం దిగువ వింగ్‌కు వింగ్ రూట్ మరియు మొదటి పక్కటెముక మధ్య ఫాబ్రిక్ కవరింగ్ లేదు. . అతను ఎయిర్ఫీల్డ్ వద్ద మంటల సహాయంతో దిగాడు. [2] రష్యన్ ఏవియేషన్ మ్యూజియం నుండి డేటా [3] సాధారణ లక్షణాల పనితీరు</v>
      </c>
      <c r="E24" s="1" t="s">
        <v>375</v>
      </c>
      <c r="F24" s="1" t="str">
        <f>IFERROR(__xludf.DUMMYFUNCTION("GOOGLETRANSLATE(E:E, ""en"", ""te"")"),"శిక్షకుడు")</f>
        <v>శిక్షకుడు</v>
      </c>
      <c r="H24" s="1" t="s">
        <v>376</v>
      </c>
      <c r="I24" s="1" t="str">
        <f>IFERROR(__xludf.DUMMYFUNCTION("GOOGLETRANSLATE(H:H, ""en"", ""te"")"),"రష్యన్ సామ్రాజ్యం")</f>
        <v>రష్యన్ సామ్రాజ్యం</v>
      </c>
      <c r="J24" s="1" t="s">
        <v>377</v>
      </c>
      <c r="K24" s="1" t="s">
        <v>378</v>
      </c>
      <c r="L24" s="2" t="str">
        <f>IFERROR(__xludf.DUMMYFUNCTION("GOOGLETRANSLATE(K:K, ""en"", ""te"")"),"రష్యన్ బాల్టిక్ రైల్‌రోడ్ కార్ వర్క్స్")</f>
        <v>రష్యన్ బాల్టిక్ రైల్‌రోడ్ కార్ వర్క్స్</v>
      </c>
      <c r="M24" s="1" t="s">
        <v>379</v>
      </c>
      <c r="Q24" s="1" t="s">
        <v>230</v>
      </c>
      <c r="S24" s="1" t="s">
        <v>380</v>
      </c>
      <c r="U24" s="1" t="s">
        <v>381</v>
      </c>
      <c r="AB24" s="1" t="s">
        <v>382</v>
      </c>
      <c r="AD24" s="4">
        <v>4644.0</v>
      </c>
      <c r="AE24" s="1">
        <v>1.0</v>
      </c>
      <c r="AF24" s="1" t="s">
        <v>383</v>
      </c>
      <c r="AI24" s="1" t="s">
        <v>384</v>
      </c>
      <c r="AL24" s="1" t="s">
        <v>385</v>
      </c>
      <c r="AN24" s="1" t="s">
        <v>386</v>
      </c>
      <c r="AO24" s="1" t="s">
        <v>387</v>
      </c>
    </row>
    <row r="25">
      <c r="A25" s="1" t="s">
        <v>388</v>
      </c>
      <c r="B25" s="1" t="str">
        <f>IFERROR(__xludf.DUMMYFUNCTION("GOOGLETRANSLATE(A:A, ""en"", ""te"")"),"పారాటెక్ పి బిఐ 4")</f>
        <v>పారాటెక్ పి బిఐ 4</v>
      </c>
      <c r="C25" s="1" t="s">
        <v>389</v>
      </c>
      <c r="D25" s="1" t="str">
        <f>IFERROR(__xludf.DUMMYFUNCTION("GOOGLETRANSLATE(C:C, ""en"", ""te"")"),"పారాటెక్ పి బిఐ 4 అనేది స్విస్ రెండు-ప్రదేశాల పారాగ్లైడర్, దీనిని ఉవే బెర్న్‌హోల్జ్ రూపొందించారు మరియు పారాటెక్ ఆఫ్ అప్పెన్‌జెల్ నిర్మించారు. ఇది ఇప్పుడు ఉత్పత్తికి దూరంగా ఉంది. [1] P BI4 ను విమాన శిక్షణ కోసం టెన్డం గ్లైడర్‌గా రూపొందించారు మరియు దీనిని BI"&amp;"4 గా సూచిస్తారు, ఇది ""ద్వి-స్థలం"" లేదా రెండు సీటర్లను సూచిస్తుంది. [1] విమానం యొక్క 15.20 మీ (49.9 అడుగులు) స్పాన్ వింగ్‌లో 58 కణాలు ఉన్నాయి, రెక్క ప్రాంతం 42 మీ 2 (450 చదరపు అడుగులు) మరియు ఒక కారక నిష్పత్తి 5.5: 1. సిబ్బంది బరువు పరిధి 140 నుండి 225 కి"&amp;"లోలు (309 నుండి 496 పౌండ్లు). గ్లైడర్ DHV 1-2BIPL ధృవీకరించబడింది. [1] రెక్కల రూపకల్పనలో ""శాశ్వత గాలి ప్రవాహం"" ఉంది, ఈ లక్షణం, దీని ద్వారా సెల్ ఓపెనింగ్స్ ప్రముఖ అంచు ప్రొఫైల్‌ను మెరుగుపరచడానికి చిన్నవిగా ఉంటాయి. [1] బెర్ట్రాండ్ నుండి డేటా [1] సాధారణ లక"&amp;"్షణాల పనితీరు")</f>
        <v>పారాటెక్ పి బిఐ 4 అనేది స్విస్ రెండు-ప్రదేశాల పారాగ్లైడర్, దీనిని ఉవే బెర్న్‌హోల్జ్ రూపొందించారు మరియు పారాటెక్ ఆఫ్ అప్పెన్‌జెల్ నిర్మించారు. ఇది ఇప్పుడు ఉత్పత్తికి దూరంగా ఉంది. [1] P BI4 ను విమాన శిక్షణ కోసం టెన్డం గ్లైడర్‌గా రూపొందించారు మరియు దీనిని BI4 గా సూచిస్తారు, ఇది "ద్వి-స్థలం" లేదా రెండు సీటర్లను సూచిస్తుంది. [1] విమానం యొక్క 15.20 మీ (49.9 అడుగులు) స్పాన్ వింగ్‌లో 58 కణాలు ఉన్నాయి, రెక్క ప్రాంతం 42 మీ 2 (450 చదరపు అడుగులు) మరియు ఒక కారక నిష్పత్తి 5.5: 1. సిబ్బంది బరువు పరిధి 140 నుండి 225 కిలోలు (309 నుండి 496 పౌండ్లు). గ్లైడర్ DHV 1-2BIPL ధృవీకరించబడింది. [1] రెక్కల రూపకల్పనలో "శాశ్వత గాలి ప్రవాహం" ఉంది, ఈ లక్షణం, దీని ద్వారా సెల్ ఓపెనింగ్స్ ప్రముఖ అంచు ప్రొఫైల్‌ను మెరుగుపరచడానికి చిన్నవిగా ఉంటాయి. [1] బెర్ట్రాండ్ నుండి డేటా [1] సాధారణ లక్షణాల పనితీరు</v>
      </c>
      <c r="E25" s="1" t="s">
        <v>154</v>
      </c>
      <c r="F25" s="1" t="str">
        <f>IFERROR(__xludf.DUMMYFUNCTION("GOOGLETRANSLATE(E:E, ""en"", ""te"")"),"పారాగ్లైడర్")</f>
        <v>పారాగ్లైడర్</v>
      </c>
      <c r="G25" s="3" t="s">
        <v>155</v>
      </c>
      <c r="H25" s="1" t="s">
        <v>192</v>
      </c>
      <c r="I25" s="1" t="str">
        <f>IFERROR(__xludf.DUMMYFUNCTION("GOOGLETRANSLATE(H:H, ""en"", ""te"")"),"స్విట్జర్లాండ్")</f>
        <v>స్విట్జర్లాండ్</v>
      </c>
      <c r="J25" s="3" t="s">
        <v>193</v>
      </c>
      <c r="K25" s="1" t="s">
        <v>390</v>
      </c>
      <c r="L25" s="2" t="str">
        <f>IFERROR(__xludf.DUMMYFUNCTION("GOOGLETRANSLATE(K:K, ""en"", ""te"")"),"పారాటెక్")</f>
        <v>పారాటెక్</v>
      </c>
      <c r="M25" s="3" t="s">
        <v>391</v>
      </c>
      <c r="N25" s="1" t="s">
        <v>171</v>
      </c>
      <c r="O25" s="1" t="str">
        <f>IFERROR(__xludf.DUMMYFUNCTION("GOOGLETRANSLATE(N:N, ""en"", ""te"")"),"ఉత్పత్తి పూర్తయింది")</f>
        <v>ఉత్పత్తి పూర్తయింది</v>
      </c>
      <c r="Q25" s="1" t="s">
        <v>162</v>
      </c>
      <c r="R25" s="1" t="s">
        <v>392</v>
      </c>
      <c r="S25" s="1" t="s">
        <v>329</v>
      </c>
      <c r="T25" s="1">
        <v>5.5</v>
      </c>
      <c r="U25" s="1" t="s">
        <v>345</v>
      </c>
      <c r="AB25" s="1" t="s">
        <v>393</v>
      </c>
    </row>
    <row r="26">
      <c r="A26" s="1" t="s">
        <v>394</v>
      </c>
      <c r="B26" s="1" t="str">
        <f>IFERROR(__xludf.DUMMYFUNCTION("GOOGLETRANSLATE(A:A, ""en"", ""te"")"),"కిమ్ఫ్లై నది")</f>
        <v>కిమ్ఫ్లై నది</v>
      </c>
      <c r="C26" s="1" t="s">
        <v>395</v>
      </c>
      <c r="D26" s="1" t="str">
        <f>IFERROR(__xludf.DUMMYFUNCTION("GOOGLETRANSLATE(C:C, ""en"", ""te"")"),"కిమ్ఫ్లై నది ఒక స్లోవేనియన్ సింగిల్-ప్లేస్ పారాగ్లైడర్, ఇది మైఖేల్ నెస్లర్ సహకారంతో రూపొందించబడింది మరియు దీనిని వోడిస్ యొక్క కిమ్ఫ్లై నిర్మించారు. ఇది ఇప్పుడు ఉత్పత్తికి దూరంగా ఉంది. [1] నదిని ఇంటర్మీడియట్ గ్లైడర్‌గా రూపొందించారు. మోడల్స్ వాటి సాపేక్ష పర"&amp;"ిమాణానికి పేరు పెట్టబడ్డాయి. [1] బెర్ట్రాండ్ నుండి డేటా [1] సాధారణ లక్షణాల పనితీరు")</f>
        <v>కిమ్ఫ్లై నది ఒక స్లోవేనియన్ సింగిల్-ప్లేస్ పారాగ్లైడర్, ఇది మైఖేల్ నెస్లర్ సహకారంతో రూపొందించబడింది మరియు దీనిని వోడిస్ యొక్క కిమ్ఫ్లై నిర్మించారు. ఇది ఇప్పుడు ఉత్పత్తికి దూరంగా ఉంది. [1] నదిని ఇంటర్మీడియట్ గ్లైడర్‌గా రూపొందించారు. మోడల్స్ వాటి సాపేక్ష పరిమాణానికి పేరు పెట్టబడ్డాయి. [1] బెర్ట్రాండ్ నుండి డేటా [1] సాధారణ లక్షణాల పనితీరు</v>
      </c>
      <c r="E26" s="1" t="s">
        <v>154</v>
      </c>
      <c r="F26" s="1" t="str">
        <f>IFERROR(__xludf.DUMMYFUNCTION("GOOGLETRANSLATE(E:E, ""en"", ""te"")"),"పారాగ్లైడర్")</f>
        <v>పారాగ్లైడర్</v>
      </c>
      <c r="G26" s="3" t="s">
        <v>155</v>
      </c>
      <c r="H26" s="1" t="s">
        <v>396</v>
      </c>
      <c r="I26" s="1" t="str">
        <f>IFERROR(__xludf.DUMMYFUNCTION("GOOGLETRANSLATE(H:H, ""en"", ""te"")"),"స్లోవేనియా")</f>
        <v>స్లోవేనియా</v>
      </c>
      <c r="J26" s="3" t="s">
        <v>397</v>
      </c>
      <c r="K26" s="1" t="s">
        <v>398</v>
      </c>
      <c r="L26" s="2" t="str">
        <f>IFERROR(__xludf.DUMMYFUNCTION("GOOGLETRANSLATE(K:K, ""en"", ""te"")"),"కిమ్ఫ్లై D.O.O.")</f>
        <v>కిమ్ఫ్లై D.O.O.</v>
      </c>
      <c r="M26" s="1" t="s">
        <v>399</v>
      </c>
      <c r="N26" s="1" t="s">
        <v>171</v>
      </c>
      <c r="O26" s="1" t="str">
        <f>IFERROR(__xludf.DUMMYFUNCTION("GOOGLETRANSLATE(N:N, ""en"", ""te"")"),"ఉత్పత్తి పూర్తయింది")</f>
        <v>ఉత్పత్తి పూర్తయింది</v>
      </c>
      <c r="Q26" s="1" t="s">
        <v>162</v>
      </c>
      <c r="R26" s="1" t="s">
        <v>400</v>
      </c>
      <c r="S26" s="1" t="s">
        <v>401</v>
      </c>
      <c r="T26" s="1">
        <v>5.1</v>
      </c>
      <c r="U26" s="1" t="s">
        <v>203</v>
      </c>
      <c r="W26" s="1" t="s">
        <v>177</v>
      </c>
      <c r="AB26" s="1" t="s">
        <v>402</v>
      </c>
      <c r="AC26" s="1" t="s">
        <v>172</v>
      </c>
    </row>
    <row r="27">
      <c r="A27" s="1" t="s">
        <v>403</v>
      </c>
      <c r="B27" s="1" t="str">
        <f>IFERROR(__xludf.DUMMYFUNCTION("GOOGLETRANSLATE(A:A, ""en"", ""te"")"),"మాక్ ఈడెన్")</f>
        <v>మాక్ ఈడెన్</v>
      </c>
      <c r="C27" s="1" t="s">
        <v>404</v>
      </c>
      <c r="D27" s="1" t="str">
        <f>IFERROR(__xludf.DUMMYFUNCTION("GOOGLETRANSLATE(C:C, ""en"", ""te"")"),"మాక్ ఈడెన్ అనేది చెక్ సింగిల్-ప్లేస్ పారాగ్లైడర్, దీనిని పీటర్ రిస్క్ రూపొందించారు మరియు దీనిని రోస్నోవ్ పాడ్ రాడ్‌హోటామ్ యొక్క మాక్ పారా టెక్నాలజీ నిర్మిస్తుంది. ఇది 2016 లో ఈడెన్ 6 గా ఉత్పత్తిలో ఉంది. [1] ఈడెన్ ఇంటర్మీడియట్ క్రాస్ కంట్రీ గ్లైడర్‌గా రూపొ"&amp;"ందించబడింది. [1] ఈ డిజైన్ ఆరు తరాల మోడళ్ల ద్వారా అభివృద్ధి చెందింది, ఈడెన్, ఈడెన్ 2, 3, 4, 5 మరియు 6, ప్రతి ఒక్కటి చివరిగా మెరుగుపడుతుంది. మోడల్స్ ప్రతి ఒక్కటి చదరపు మీటర్లలో వారి సుమారుగా వింగ్ ప్రాంతానికి పేరు పెట్టబడ్డాయి. [1] తయారీదారు ఈడెన్ 6 కి 10: "&amp;"1 కంటే ఎక్కువ గ్లైడ్ నిష్పత్తిని క్లెయిమ్ చేశాడు. [2] సమీక్షకుడు జియాడ్ బాసిల్ ఈడెన్ 6 ను ఒక సమీక్షలో వివరించాడు, ""ఈడెన్ 6 అనేది మాక్ పారా గ్లైడర్స్ యొక్క కొత్త జాతి. తయారీకి భిన్నమైన ఏదో ఉంది. గ్లైడ్ కోణం మీరు పొందగలిగేది ఉత్తమమైనది. ఆరోహణ రేటు చాలా బాగ"&amp;"ుంది! హ్యాండ్లింగ్ ఆహ్లాదకరంగా ఉంది. ఈడెన్ 6 వేగంగా ఉంది! ఖచ్చితంగా, ఇది పైలటింగ్‌లో ఈడెన్ 5 పై ఒక చిన్న దశ, కానీ హై బి వర్గం లోపల చూస్తున్న అనుభవజ్ఞుడైన బి పైలట్ కోసం సరే! "". [2] జుర్గెన్ కర్టే ఈ ఈడెన్ 6 ను సమీక్షిస్తూ, ""ఈడెన్ 6 గొప్ప వింగ్, ఇది అపారమై"&amp;"న ఆనందాన్ని ఇస్తుంది. 6 వ తరంలో దాని"" ప్యారడైజ్ బర్డ్ "". ఈడెన్ 5 నుండి 6 వరకు ఒక స్విచ్ కొత్త సెయిల్ యొక్క అధిక పనితీరులో మాత్రమే తేడా ఉండాలి. . ఫ్లైట్. ఈడెన్ 6 యొక్క గ్లైడ్ ప్రస్తుత బి విభాగంలో అగ్రస్థానంలో ఉంది. తయారీదారు 10+ గ్లైడ్ నిష్పత్తిని పేర్కొ"&amp;"న్నాడు. ఇది కలలు కనే ఆశావాదం కాదు, కానీ మా అనుభవానికి అనుగుణంగా, వాస్తవికతకు అనుగుణంగా ఉంటుంది. ""[[ 2] బెర్ట్రాండ్ నుండి డేటా [1] సాధారణ లక్షణాల పనితీరు")</f>
        <v>మాక్ ఈడెన్ అనేది చెక్ సింగిల్-ప్లేస్ పారాగ్లైడర్, దీనిని పీటర్ రిస్క్ రూపొందించారు మరియు దీనిని రోస్నోవ్ పాడ్ రాడ్‌హోటామ్ యొక్క మాక్ పారా టెక్నాలజీ నిర్మిస్తుంది. ఇది 2016 లో ఈడెన్ 6 గా ఉత్పత్తిలో ఉంది. [1] ఈడెన్ ఇంటర్మీడియట్ క్రాస్ కంట్రీ గ్లైడర్‌గా రూపొందించబడింది. [1] ఈ డిజైన్ ఆరు తరాల మోడళ్ల ద్వారా అభివృద్ధి చెందింది, ఈడెన్, ఈడెన్ 2, 3, 4, 5 మరియు 6, ప్రతి ఒక్కటి చివరిగా మెరుగుపడుతుంది. మోడల్స్ ప్రతి ఒక్కటి చదరపు మీటర్లలో వారి సుమారుగా వింగ్ ప్రాంతానికి పేరు పెట్టబడ్డాయి. [1] తయారీదారు ఈడెన్ 6 కి 10: 1 కంటే ఎక్కువ గ్లైడ్ నిష్పత్తిని క్లెయిమ్ చేశాడు. [2] సమీక్షకుడు జియాడ్ బాసిల్ ఈడెన్ 6 ను ఒక సమీక్షలో వివరించాడు, "ఈడెన్ 6 అనేది మాక్ పారా గ్లైడర్స్ యొక్క కొత్త జాతి. తయారీకి భిన్నమైన ఏదో ఉంది. గ్లైడ్ కోణం మీరు పొందగలిగేది ఉత్తమమైనది. ఆరోహణ రేటు చాలా బాగుంది! హ్యాండ్లింగ్ ఆహ్లాదకరంగా ఉంది. ఈడెన్ 6 వేగంగా ఉంది! ఖచ్చితంగా, ఇది పైలటింగ్‌లో ఈడెన్ 5 పై ఒక చిన్న దశ, కానీ హై బి వర్గం లోపల చూస్తున్న అనుభవజ్ఞుడైన బి పైలట్ కోసం సరే! ". [2] జుర్గెన్ కర్టే ఈ ఈడెన్ 6 ను సమీక్షిస్తూ, "ఈడెన్ 6 గొప్ప వింగ్, ఇది అపారమైన ఆనందాన్ని ఇస్తుంది. 6 వ తరంలో దాని" ప్యారడైజ్ బర్డ్ ". ఈడెన్ 5 నుండి 6 వరకు ఒక స్విచ్ కొత్త సెయిల్ యొక్క అధిక పనితీరులో మాత్రమే తేడా ఉండాలి. . ఫ్లైట్. ఈడెన్ 6 యొక్క గ్లైడ్ ప్రస్తుత బి విభాగంలో అగ్రస్థానంలో ఉంది. తయారీదారు 10+ గ్లైడ్ నిష్పత్తిని పేర్కొన్నాడు. ఇది కలలు కనే ఆశావాదం కాదు, కానీ మా అనుభవానికి అనుగుణంగా, వాస్తవికతకు అనుగుణంగా ఉంటుంది. "[[ 2] బెర్ట్రాండ్ నుండి డేటా [1] సాధారణ లక్షణాల పనితీరు</v>
      </c>
      <c r="E27" s="1" t="s">
        <v>154</v>
      </c>
      <c r="F27" s="1" t="str">
        <f>IFERROR(__xludf.DUMMYFUNCTION("GOOGLETRANSLATE(E:E, ""en"", ""te"")"),"పారాగ్లైడర్")</f>
        <v>పారాగ్లైడర్</v>
      </c>
      <c r="G27" s="3" t="s">
        <v>155</v>
      </c>
      <c r="H27" s="1" t="s">
        <v>246</v>
      </c>
      <c r="I27" s="1" t="str">
        <f>IFERROR(__xludf.DUMMYFUNCTION("GOOGLETRANSLATE(H:H, ""en"", ""te"")"),"చెక్ రిపబ్లిక్")</f>
        <v>చెక్ రిపబ్లిక్</v>
      </c>
      <c r="J27" s="1" t="s">
        <v>247</v>
      </c>
      <c r="K27" s="1" t="s">
        <v>333</v>
      </c>
      <c r="L27" s="2" t="str">
        <f>IFERROR(__xludf.DUMMYFUNCTION("GOOGLETRANSLATE(K:K, ""en"", ""te"")"),"మాక్ పారా టెక్నాలజీ")</f>
        <v>మాక్ పారా టెక్నాలజీ</v>
      </c>
      <c r="M27" s="1" t="s">
        <v>334</v>
      </c>
      <c r="N27" s="1" t="s">
        <v>405</v>
      </c>
      <c r="O27" s="1" t="str">
        <f>IFERROR(__xludf.DUMMYFUNCTION("GOOGLETRANSLATE(N:N, ""en"", ""te"")"),"ఉత్పత్తిలో (ఈడెన్ 6, 2016)")</f>
        <v>ఉత్పత్తిలో (ఈడెన్ 6, 2016)</v>
      </c>
      <c r="P27" s="1" t="s">
        <v>406</v>
      </c>
      <c r="Q27" s="1" t="s">
        <v>162</v>
      </c>
      <c r="R27" s="1" t="s">
        <v>407</v>
      </c>
      <c r="S27" s="1" t="s">
        <v>408</v>
      </c>
      <c r="T27" s="1">
        <v>5.3</v>
      </c>
      <c r="U27" s="1" t="s">
        <v>252</v>
      </c>
      <c r="V27" s="1" t="s">
        <v>166</v>
      </c>
      <c r="AB27" s="1" t="s">
        <v>340</v>
      </c>
    </row>
    <row r="28">
      <c r="A28" s="1" t="s">
        <v>409</v>
      </c>
      <c r="B28" s="1" t="str">
        <f>IFERROR(__xludf.DUMMYFUNCTION("GOOGLETRANSLATE(A:A, ""en"", ""te"")"),"పెగాస్ అవిస్")</f>
        <v>పెగాస్ అవిస్</v>
      </c>
      <c r="C28" s="1" t="s">
        <v>410</v>
      </c>
      <c r="D28" s="1" t="str">
        <f>IFERROR(__xludf.DUMMYFUNCTION("GOOGLETRANSLATE(C:C, ""en"", ""te"")"),"పెగాస్ అవిస్ చెక్ సింగిల్-ప్లేస్ పారాగ్లైడర్, దీనిని ప్రేగ్ యొక్క పెగాస్ 2000 రూపొందించారు మరియు నిర్మించారు. ఇది ఇప్పుడు ఉత్పత్తికి దూరంగా ఉంది. [1] ఈ విమానం ఇంటర్మీడియట్ గ్లైడర్‌గా రూపొందించబడింది. ఈ డిజైన్ మూడు తరాల మోడళ్ల ద్వారా అభివృద్ధి చెందింది, అవ"&amp;"ిస్ 1, 2 మరియు 3, ప్రతి ఒక్కటి చివరిగా మెరుగుపడుతుంది. అవిస్ 3 2003 లో ప్రవేశపెట్టబడింది. [1] మోడల్స్ ప్రతి ఒక్కటి చదరపు మీటర్లలో వారి సుమారుగా వింగ్ ప్రాంతానికి పేరు పెట్టబడ్డాయి. [1] బెర్ట్రాండ్ నుండి డేటా [1] సాధారణ లక్షణాలు")</f>
        <v>పెగాస్ అవిస్ చెక్ సింగిల్-ప్లేస్ పారాగ్లైడర్, దీనిని ప్రేగ్ యొక్క పెగాస్ 2000 రూపొందించారు మరియు నిర్మించారు. ఇది ఇప్పుడు ఉత్పత్తికి దూరంగా ఉంది. [1] ఈ విమానం ఇంటర్మీడియట్ గ్లైడర్‌గా రూపొందించబడింది. ఈ డిజైన్ మూడు తరాల మోడళ్ల ద్వారా అభివృద్ధి చెందింది, అవిస్ 1, 2 మరియు 3, ప్రతి ఒక్కటి చివరిగా మెరుగుపడుతుంది. అవిస్ 3 2003 లో ప్రవేశపెట్టబడింది. [1] మోడల్స్ ప్రతి ఒక్కటి చదరపు మీటర్లలో వారి సుమారుగా వింగ్ ప్రాంతానికి పేరు పెట్టబడ్డాయి. [1] బెర్ట్రాండ్ నుండి డేటా [1] సాధారణ లక్షణాలు</v>
      </c>
      <c r="E28" s="1" t="s">
        <v>154</v>
      </c>
      <c r="F28" s="1" t="str">
        <f>IFERROR(__xludf.DUMMYFUNCTION("GOOGLETRANSLATE(E:E, ""en"", ""te"")"),"పారాగ్లైడర్")</f>
        <v>పారాగ్లైడర్</v>
      </c>
      <c r="G28" s="3" t="s">
        <v>155</v>
      </c>
      <c r="H28" s="1" t="s">
        <v>246</v>
      </c>
      <c r="I28" s="1" t="str">
        <f>IFERROR(__xludf.DUMMYFUNCTION("GOOGLETRANSLATE(H:H, ""en"", ""te"")"),"చెక్ రిపబ్లిక్")</f>
        <v>చెక్ రిపబ్లిక్</v>
      </c>
      <c r="J28" s="1" t="s">
        <v>247</v>
      </c>
      <c r="K28" s="1" t="s">
        <v>411</v>
      </c>
      <c r="L28" s="2" t="str">
        <f>IFERROR(__xludf.DUMMYFUNCTION("GOOGLETRANSLATE(K:K, ""en"", ""te"")"),"పెగాస్ 2000")</f>
        <v>పెగాస్ 2000</v>
      </c>
      <c r="M28" s="1" t="s">
        <v>412</v>
      </c>
      <c r="N28" s="1" t="s">
        <v>171</v>
      </c>
      <c r="O28" s="1" t="str">
        <f>IFERROR(__xludf.DUMMYFUNCTION("GOOGLETRANSLATE(N:N, ""en"", ""te"")"),"ఉత్పత్తి పూర్తయింది")</f>
        <v>ఉత్పత్తి పూర్తయింది</v>
      </c>
      <c r="Q28" s="1" t="s">
        <v>162</v>
      </c>
      <c r="R28" s="1" t="s">
        <v>413</v>
      </c>
      <c r="S28" s="1" t="s">
        <v>260</v>
      </c>
      <c r="T28" s="1">
        <v>5.3</v>
      </c>
      <c r="U28" s="1" t="s">
        <v>302</v>
      </c>
      <c r="V28" s="1" t="s">
        <v>166</v>
      </c>
    </row>
    <row r="29">
      <c r="A29" s="1" t="s">
        <v>414</v>
      </c>
      <c r="B29" s="1" t="str">
        <f>IFERROR(__xludf.DUMMYFUNCTION("GOOGLETRANSLATE(A:A, ""en"", ""te"")"),"రాన్స్ ఎస్ -21 అవుట్‌బౌండ్")</f>
        <v>రాన్స్ ఎస్ -21 అవుట్‌బౌండ్</v>
      </c>
      <c r="C29" s="1" t="s">
        <v>415</v>
      </c>
      <c r="D29" s="1" t="str">
        <f>IFERROR(__xludf.DUMMYFUNCTION("GOOGLETRANSLATE(C:C, ""en"", ""te"")"),"రాన్స్ ఎస్ -21 అవుట్‌బౌండ్ అనేది ఒక అమెరికన్ స్టోల్ హోమ్‌బిల్ట్ విమానం, దీనిని రాండి ష్లిట్టర్ రూపొందించారు మరియు కాన్సాస్‌లోని హేస్ యొక్క రాన్స్ డిజైన్లచే నిర్మించబడింది. ఇది 2016 లో ఎయిర్‌వెంచర్‌లో ప్రవేశపెట్టబడింది. ఈ విమానం te త్సాహిక నిర్మాణం లేదా రె"&amp;"డీ-టు-ఫ్లై కోసం శీఘ్ర-నిర్మాణ కిట్‌గా సరఫరా చేయబడుతుంది. [1] [2] S-21 అవుట్‌బౌండ్‌లో స్ట్రట్-బ్రేస్డ్ హై-వింగ్, రెండు-సీట్ల-సైడ్-సైడ్-సైడ్ కాన్ఫిగరేషన్ పరివేష్టిత క్యాబిన్ తలుపులు, స్థిర ట్రైసైకిల్ ల్యాండింగ్ గేర్ లేదా ఐచ్ఛికంగా సాంప్రదాయిక ల్యాండింగ్ గేర"&amp;"్ మరియు ట్రాక్టర్ కాన్ఫిగరేషన్‌లో ఒకే ఇంజిన్ ఉన్నాయి. [[పట్టు కుములి ఈ విమానం అల్యూమినియం షీట్ నుండి తయారవుతుంది, ప్రముఖ అంచు మరియు వెనుకంజలో ఉన్న ఎడ్జ్ ఎక్స్‌ట్రూడెడ్ స్పార్‌లు రెండూ ఉంటాయి. షీట్ మెటల్ భాగాలు బిల్డర్ లోపాలు మరియు వేగ నిర్మాణాన్ని తగ్గించ"&amp;"డానికి తుది-పరిమాణ సరిపోలిన రంధ్రాలను ఉపయోగిస్తాయి. దాని 28 అడుగుల (8.5 మీ) స్పాన్ వింగ్ ఫ్లాప్‌లను మౌంట్ చేస్తుంది మరియు రెక్క ప్రాంతాన్ని 141 చదరపు అడుగులు (13.1 మీ 2) కలిగి ఉంది. ఉపయోగించిన ప్రామాణిక ఇంజిన్ 180 హెచ్‌పి (134 కిలోవాట్) కాంటినెంటల్ టైటాన్"&amp;" ఎక్స్ -340 పవర్‌ప్లాంట్. టండ్రా టైర్లు 26 వరకు (66 సెం.మీ) అమర్చవచ్చు. [1] [3] ఈ విమానం విలక్షణమైన ఖాళీ బరువు 985 lb (447 kg) మరియు స్థూల బరువు 1,800 lb (820 kg), ఇది 815 lb (370 kg) ఉపయోగకరమైన లోడ్‌ను ఇస్తుంది. 31.75 యు.ఎస్. గ్యాలన్ల పూర్తి ఇంధనంతో (120"&amp;".2 ఎల్; 26.44 ఇంప్ గాల్) సిబ్బంది/పైలట్ కోసం పేలోడ్, ప్రయాణీకులు మరియు సామాను 625 ఎల్బి (283 కిలోలు). [1] [3] S-21 కిట్ ఎయిర్క్రాఫ్ట్ మార్కెట్లో కబ్‌క్రాఫ్టర్స్ కార్బన్ కబ్ EX మరియు అమెరికన్ లెజెండ్ సూపర్ లెజెండ్ HP తో పోటీపడుతుంది. [4] రిజిస్టర్డ్ N215RD"&amp;", మొదట 17 డిసెంబర్ 2017 న ప్రయాణించిన ప్రోటోటైప్, ఇది మార్చి 2018 లో రోటాక్స్ 912 ULS, రోటాక్స్ 912 IS, లైమింగ్ YO-233 మరియు టైటాన్ OX-340 ఇంజన్లతో ప్రత్యేక లైట్-స్పోర్ట్ విమాన ఆమోదాన్ని పొందింది. [5] [6] ] కిట్‌ప్లానెస్ మ్యాగజైన్ రచయిత డేవ్ ప్రిజియో కోసం"&amp;" ఒక సమీక్షలో, విమాన te త్సాహిక బిల్డర్‌లు, ""బ్యాక్‌కంట్రీ చుట్టూ కొట్టడానికి వారు ఉపయోగించే హై-వింగ్ యుటిలిటీ విమానం కోరుకుంటున్నట్లు అనిపిస్తుంది. ఇక్కడ నుండి 180 నాట్ల వద్ద అక్కడికి చేరుకోవడం ఆనందంగా ఉంది, కానీ 1200 అడుగుల డర్ట్ స్ట్రిప్ గా ముగుస్తుంటే"&amp;", ఒక RV-8 ఈ యాత్రకు ఉత్తమ ఎంపికగా కనిపించడం లేదు. విషయం ఏమిటంటే యుటిలిటీ విమానం ప్రస్తుతం హాట్ టికెట్, మరియు రాన్స్ ముందుకు వచ్చినట్లు అనిపిస్తుంది సరైన సమయంలో సరైన విమానం. మరియు 100-హెచ్‌పి రోటాక్స్‌తో ఎస్ -21 మంచి విమానం అయితే (ఇది), ఇది 180 హెచ్‌పితో మ"&amp;"ంచి విమానం-చాలా మంచి విమానం. ఈ ఎస్ -21 తో బిగ్ ఇంజిన్ మరియు బిగ్ టైర్లు సన్ ఎన్ ఫన్ 2019 లో విజయవంతమయ్యాయి. ప్రతి ఒక్కరూ ఈ ప్రసిద్ధ కొత్త కాన్ఫిగరేషన్‌లో డెమో రైడ్‌ను కోరుకున్నారు, ఇది చాలా ప్రాచుర్యం పొందిన విమానం అని రుజువు చేస్తుంది. ""[7] తయారీదారు మర"&amp;"ియు అవ్వేబ్ నుండి డేటా డేటా [1] [ 3] సాధారణ లక్షణాల పనితీరు")</f>
        <v>రాన్స్ ఎస్ -21 అవుట్‌బౌండ్ అనేది ఒక అమెరికన్ స్టోల్ హోమ్‌బిల్ట్ విమానం, దీనిని రాండి ష్లిట్టర్ రూపొందించారు మరియు కాన్సాస్‌లోని హేస్ యొక్క రాన్స్ డిజైన్లచే నిర్మించబడింది. ఇది 2016 లో ఎయిర్‌వెంచర్‌లో ప్రవేశపెట్టబడింది. ఈ విమానం te త్సాహిక నిర్మాణం లేదా రెడీ-టు-ఫ్లై కోసం శీఘ్ర-నిర్మాణ కిట్‌గా సరఫరా చేయబడుతుంది. [1] [2] S-21 అవుట్‌బౌండ్‌లో స్ట్రట్-బ్రేస్డ్ హై-వింగ్, రెండు-సీట్ల-సైడ్-సైడ్-సైడ్ కాన్ఫిగరేషన్ పరివేష్టిత క్యాబిన్ తలుపులు, స్థిర ట్రైసైకిల్ ల్యాండింగ్ గేర్ లేదా ఐచ్ఛికంగా సాంప్రదాయిక ల్యాండింగ్ గేర్ మరియు ట్రాక్టర్ కాన్ఫిగరేషన్‌లో ఒకే ఇంజిన్ ఉన్నాయి. [[పట్టు కుములి ఈ విమానం అల్యూమినియం షీట్ నుండి తయారవుతుంది, ప్రముఖ అంచు మరియు వెనుకంజలో ఉన్న ఎడ్జ్ ఎక్స్‌ట్రూడెడ్ స్పార్‌లు రెండూ ఉంటాయి. షీట్ మెటల్ భాగాలు బిల్డర్ లోపాలు మరియు వేగ నిర్మాణాన్ని తగ్గించడానికి తుది-పరిమాణ సరిపోలిన రంధ్రాలను ఉపయోగిస్తాయి. దాని 28 అడుగుల (8.5 మీ) స్పాన్ వింగ్ ఫ్లాప్‌లను మౌంట్ చేస్తుంది మరియు రెక్క ప్రాంతాన్ని 141 చదరపు అడుగులు (13.1 మీ 2) కలిగి ఉంది. ఉపయోగించిన ప్రామాణిక ఇంజిన్ 180 హెచ్‌పి (134 కిలోవాట్) కాంటినెంటల్ టైటాన్ ఎక్స్ -340 పవర్‌ప్లాంట్. టండ్రా టైర్లు 26 వరకు (66 సెం.మీ) అమర్చవచ్చు. [1] [3] ఈ విమానం విలక్షణమైన ఖాళీ బరువు 985 lb (447 kg) మరియు స్థూల బరువు 1,800 lb (820 kg), ఇది 815 lb (370 kg) ఉపయోగకరమైన లోడ్‌ను ఇస్తుంది. 31.75 యు.ఎస్. గ్యాలన్ల పూర్తి ఇంధనంతో (120.2 ఎల్; 26.44 ఇంప్ గాల్) సిబ్బంది/పైలట్ కోసం పేలోడ్, ప్రయాణీకులు మరియు సామాను 625 ఎల్బి (283 కిలోలు). [1] [3] S-21 కిట్ ఎయిర్క్రాఫ్ట్ మార్కెట్లో కబ్‌క్రాఫ్టర్స్ కార్బన్ కబ్ EX మరియు అమెరికన్ లెజెండ్ సూపర్ లెజెండ్ HP తో పోటీపడుతుంది. [4] రిజిస్టర్డ్ N215RD, మొదట 17 డిసెంబర్ 2017 న ప్రయాణించిన ప్రోటోటైప్, ఇది మార్చి 2018 లో రోటాక్స్ 912 ULS, రోటాక్స్ 912 IS, లైమింగ్ YO-233 మరియు టైటాన్ OX-340 ఇంజన్లతో ప్రత్యేక లైట్-స్పోర్ట్ విమాన ఆమోదాన్ని పొందింది. [5] [6] ] కిట్‌ప్లానెస్ మ్యాగజైన్ రచయిత డేవ్ ప్రిజియో కోసం ఒక సమీక్షలో, విమాన te త్సాహిక బిల్డర్‌లు, "బ్యాక్‌కంట్రీ చుట్టూ కొట్టడానికి వారు ఉపయోగించే హై-వింగ్ యుటిలిటీ విమానం కోరుకుంటున్నట్లు అనిపిస్తుంది. ఇక్కడ నుండి 180 నాట్ల వద్ద అక్కడికి చేరుకోవడం ఆనందంగా ఉంది, కానీ 1200 అడుగుల డర్ట్ స్ట్రిప్ గా ముగుస్తుంటే, ఒక RV-8 ఈ యాత్రకు ఉత్తమ ఎంపికగా కనిపించడం లేదు. విషయం ఏమిటంటే యుటిలిటీ విమానం ప్రస్తుతం హాట్ టికెట్, మరియు రాన్స్ ముందుకు వచ్చినట్లు అనిపిస్తుంది సరైన సమయంలో సరైన విమానం. మరియు 100-హెచ్‌పి రోటాక్స్‌తో ఎస్ -21 మంచి విమానం అయితే (ఇది), ఇది 180 హెచ్‌పితో మంచి విమానం-చాలా మంచి విమానం. ఈ ఎస్ -21 తో బిగ్ ఇంజిన్ మరియు బిగ్ టైర్లు సన్ ఎన్ ఫన్ 2019 లో విజయవంతమయ్యాయి. ప్రతి ఒక్కరూ ఈ ప్రసిద్ధ కొత్త కాన్ఫిగరేషన్‌లో డెమో రైడ్‌ను కోరుకున్నారు, ఇది చాలా ప్రాచుర్యం పొందిన విమానం అని రుజువు చేస్తుంది. "[7] తయారీదారు మరియు అవ్వేబ్ నుండి డేటా డేటా [1] [ 3] సాధారణ లక్షణాల పనితీరు</v>
      </c>
      <c r="E29" s="1" t="s">
        <v>416</v>
      </c>
      <c r="F29" s="1" t="str">
        <f>IFERROR(__xludf.DUMMYFUNCTION("GOOGLETRANSLATE(E:E, ""en"", ""te"")"),"హోమ్‌బ్యూల్ట్ ఎయిర్‌క్రాఫ్ట్‌లైట్-స్పోర్ట్ విమానం")</f>
        <v>హోమ్‌బ్యూల్ట్ ఎయిర్‌క్రాఫ్ట్‌లైట్-స్పోర్ట్ విమానం</v>
      </c>
      <c r="G29" s="1" t="s">
        <v>417</v>
      </c>
      <c r="H29" s="1" t="s">
        <v>227</v>
      </c>
      <c r="I29" s="1" t="str">
        <f>IFERROR(__xludf.DUMMYFUNCTION("GOOGLETRANSLATE(H:H, ""en"", ""te"")"),"అమెరికా")</f>
        <v>అమెరికా</v>
      </c>
      <c r="J29" s="3" t="s">
        <v>228</v>
      </c>
      <c r="K29" s="1" t="s">
        <v>418</v>
      </c>
      <c r="L29" s="2" t="str">
        <f>IFERROR(__xludf.DUMMYFUNCTION("GOOGLETRANSLATE(K:K, ""en"", ""te"")"),"రాన్స్ డిజైన్స్")</f>
        <v>రాన్స్ డిజైన్స్</v>
      </c>
      <c r="M29" s="1" t="s">
        <v>419</v>
      </c>
      <c r="N29" s="1" t="s">
        <v>420</v>
      </c>
      <c r="O29" s="1" t="str">
        <f>IFERROR(__xludf.DUMMYFUNCTION("GOOGLETRANSLATE(N:N, ""en"", ""te"")"),"ఉత్పత్తిలో (2018)")</f>
        <v>ఉత్పత్తిలో (2018)</v>
      </c>
      <c r="Q29" s="1" t="s">
        <v>162</v>
      </c>
      <c r="R29" s="1" t="s">
        <v>421</v>
      </c>
      <c r="S29" s="1" t="s">
        <v>422</v>
      </c>
      <c r="T29" s="1">
        <v>5.53</v>
      </c>
      <c r="U29" s="1" t="s">
        <v>423</v>
      </c>
      <c r="X29" s="1" t="s">
        <v>424</v>
      </c>
      <c r="Y29" s="1" t="s">
        <v>425</v>
      </c>
      <c r="AA29" s="1" t="s">
        <v>426</v>
      </c>
      <c r="AB29" s="1" t="s">
        <v>427</v>
      </c>
      <c r="AD29" s="4">
        <v>43084.0</v>
      </c>
      <c r="AI29" s="1" t="s">
        <v>428</v>
      </c>
      <c r="AM29" s="1" t="s">
        <v>330</v>
      </c>
      <c r="AP29" s="1" t="s">
        <v>429</v>
      </c>
      <c r="AQ29" s="1" t="s">
        <v>430</v>
      </c>
      <c r="AS29" s="1" t="s">
        <v>431</v>
      </c>
      <c r="AU29" s="1" t="s">
        <v>432</v>
      </c>
      <c r="BJ29" s="1" t="s">
        <v>433</v>
      </c>
      <c r="BK29" s="1" t="s">
        <v>434</v>
      </c>
      <c r="BL29" s="1" t="s">
        <v>435</v>
      </c>
      <c r="BM29" s="1">
        <v>11.1</v>
      </c>
      <c r="BN29" s="1" t="s">
        <v>436</v>
      </c>
    </row>
    <row r="30">
      <c r="A30" s="1" t="s">
        <v>437</v>
      </c>
      <c r="B30" s="1" t="str">
        <f>IFERROR(__xludf.DUMMYFUNCTION("GOOGLETRANSLATE(A:A, ""en"", ""te"")"),"సోల్ ఎక్లిప్స్")</f>
        <v>సోల్ ఎక్లిప్స్</v>
      </c>
      <c r="C30" s="1" t="s">
        <v>438</v>
      </c>
      <c r="D30" s="1" t="str">
        <f>IFERROR(__xludf.DUMMYFUNCTION("GOOGLETRANSLATE(C:C, ""en"", ""te"")"),"సోల్ ఎక్లిప్స్ అనేది బ్రెజిలియన్ సింగిల్-ప్లేస్ పారాగ్లైడర్, దీనిని 2000 ల మధ్యలో జరాగూవ్ డో సుల్ యొక్క సోల్ పారాగ్లైడర్స్ రూపొందించారు మరియు ఉత్పత్తి చేశారు. ఇది ఇప్పుడు ఉత్పత్తికి దూరంగా ఉంది. [1] గ్రహణం అధునాతన పనితీరు గ్లైడర్‌గా రూపొందించబడింది. మోడల్"&amp;"స్ వాటి సాపేక్ష పరిమాణానికి పేరు పెట్టబడ్డాయి. [1] బెర్ట్రాండ్ నుండి డేటా [1] సాధారణ లక్షణాల పనితీరు")</f>
        <v>సోల్ ఎక్లిప్స్ అనేది బ్రెజిలియన్ సింగిల్-ప్లేస్ పారాగ్లైడర్, దీనిని 2000 ల మధ్యలో జరాగూవ్ డో సుల్ యొక్క సోల్ పారాగ్లైడర్స్ రూపొందించారు మరియు ఉత్పత్తి చేశారు. ఇది ఇప్పుడు ఉత్పత్తికి దూరంగా ఉంది. [1] గ్రహణం అధునాతన పనితీరు గ్లైడర్‌గా రూపొందించబడింది. మోడల్స్ వాటి సాపేక్ష పరిమాణానికి పేరు పెట్టబడ్డాయి. [1] బెర్ట్రాండ్ నుండి డేటా [1] సాధారణ లక్షణాల పనితీరు</v>
      </c>
      <c r="E30" s="1" t="s">
        <v>154</v>
      </c>
      <c r="F30" s="1" t="str">
        <f>IFERROR(__xludf.DUMMYFUNCTION("GOOGLETRANSLATE(E:E, ""en"", ""te"")"),"పారాగ్లైడర్")</f>
        <v>పారాగ్లైడర్</v>
      </c>
      <c r="G30" s="3" t="s">
        <v>155</v>
      </c>
      <c r="H30" s="1" t="s">
        <v>156</v>
      </c>
      <c r="I30" s="1" t="str">
        <f>IFERROR(__xludf.DUMMYFUNCTION("GOOGLETRANSLATE(H:H, ""en"", ""te"")"),"బ్రెజిల్")</f>
        <v>బ్రెజిల్</v>
      </c>
      <c r="J30" s="3" t="s">
        <v>157</v>
      </c>
      <c r="K30" s="1" t="s">
        <v>169</v>
      </c>
      <c r="L30" s="2" t="str">
        <f>IFERROR(__xludf.DUMMYFUNCTION("GOOGLETRANSLATE(K:K, ""en"", ""te"")"),"సోల్ పారాగిడర్స్")</f>
        <v>సోల్ పారాగిడర్స్</v>
      </c>
      <c r="M30" s="1" t="s">
        <v>170</v>
      </c>
      <c r="N30" s="1" t="s">
        <v>171</v>
      </c>
      <c r="O30" s="1" t="str">
        <f>IFERROR(__xludf.DUMMYFUNCTION("GOOGLETRANSLATE(N:N, ""en"", ""te"")"),"ఉత్పత్తి పూర్తయింది")</f>
        <v>ఉత్పత్తి పూర్తయింది</v>
      </c>
      <c r="P30" s="1" t="s">
        <v>439</v>
      </c>
      <c r="Q30" s="1" t="s">
        <v>162</v>
      </c>
      <c r="R30" s="1" t="s">
        <v>318</v>
      </c>
      <c r="S30" s="1" t="s">
        <v>440</v>
      </c>
      <c r="T30" s="1">
        <v>5.78</v>
      </c>
      <c r="U30" s="1" t="s">
        <v>441</v>
      </c>
      <c r="V30" s="1" t="s">
        <v>176</v>
      </c>
      <c r="W30" s="1" t="s">
        <v>177</v>
      </c>
    </row>
    <row r="31">
      <c r="A31" s="1" t="s">
        <v>442</v>
      </c>
      <c r="B31" s="1" t="str">
        <f>IFERROR(__xludf.DUMMYFUNCTION("GOOGLETRANSLATE(A:A, ""en"", ""te"")"),"జీరో గురుత్వాకర్షణ విండ్‌స్టార్")</f>
        <v>జీరో గురుత్వాకర్షణ విండ్‌స్టార్</v>
      </c>
      <c r="C31" s="1" t="s">
        <v>443</v>
      </c>
      <c r="D31" s="1" t="str">
        <f>IFERROR(__xludf.DUMMYFUNCTION("GOOGLETRANSLATE(C:C, ""en"", ""te"")"),"జీరో గురుత్వాకర్షణ విండ్‌స్టార్ దక్షిణ కొరియా సింగిల్-ప్లేస్ పారాగ్లైడర్, దీనిని మాన్సూ చే రూపొందించారు మరియు 2002 లో ప్రవేశపెట్టిన సియోల్ యొక్క జీరో గ్రావిటీ పారాగ్లిడర్స్ చేత ఉత్పత్తి చేయబడింది. ఇది ఇప్పుడు ఉత్పత్తికి లేదు. [1] విండ్‌స్టార్ ఇంటర్మీడియట్"&amp;" గ్లైడర్‌గా రూపొందించబడింది. మోడల్స్ వాటి సాపేక్ష పరిమాణానికి పేరు పెట్టబడ్డాయి. [1] 2003 నాటికి గ్లైడర్ మొదట్లో దక్షిణ కొరియాలో మాత్రమే విక్రయించబడింది, గ్లోబల్ మార్కెటింగ్ అనుసరించబడుతుంది. [1] బెర్ట్రాండ్ నుండి డేటా [1] సాధారణ లక్షణాలు")</f>
        <v>జీరో గురుత్వాకర్షణ విండ్‌స్టార్ దక్షిణ కొరియా సింగిల్-ప్లేస్ పారాగ్లైడర్, దీనిని మాన్సూ చే రూపొందించారు మరియు 2002 లో ప్రవేశపెట్టిన సియోల్ యొక్క జీరో గ్రావిటీ పారాగ్లిడర్స్ చేత ఉత్పత్తి చేయబడింది. ఇది ఇప్పుడు ఉత్పత్తికి లేదు. [1] విండ్‌స్టార్ ఇంటర్మీడియట్ గ్లైడర్‌గా రూపొందించబడింది. మోడల్స్ వాటి సాపేక్ష పరిమాణానికి పేరు పెట్టబడ్డాయి. [1] 2003 నాటికి గ్లైడర్ మొదట్లో దక్షిణ కొరియాలో మాత్రమే విక్రయించబడింది, గ్లోబల్ మార్కెటింగ్ అనుసరించబడుతుంది. [1] బెర్ట్రాండ్ నుండి డేటా [1] సాధారణ లక్షణాలు</v>
      </c>
      <c r="E31" s="1" t="s">
        <v>154</v>
      </c>
      <c r="F31" s="1" t="str">
        <f>IFERROR(__xludf.DUMMYFUNCTION("GOOGLETRANSLATE(E:E, ""en"", ""te"")"),"పారాగ్లైడర్")</f>
        <v>పారాగ్లైడర్</v>
      </c>
      <c r="G31" s="3" t="s">
        <v>155</v>
      </c>
      <c r="H31" s="1" t="s">
        <v>444</v>
      </c>
      <c r="I31" s="1" t="str">
        <f>IFERROR(__xludf.DUMMYFUNCTION("GOOGLETRANSLATE(H:H, ""en"", ""te"")"),"దక్షిణ కొరియా")</f>
        <v>దక్షిణ కొరియా</v>
      </c>
      <c r="J31" s="1" t="s">
        <v>445</v>
      </c>
      <c r="K31" s="1" t="s">
        <v>446</v>
      </c>
      <c r="L31" s="2" t="str">
        <f>IFERROR(__xludf.DUMMYFUNCTION("GOOGLETRANSLATE(K:K, ""en"", ""te"")"),"జీరో గ్రావిటీ పారాగ్లైడర్స్")</f>
        <v>జీరో గ్రావిటీ పారాగ్లైడర్స్</v>
      </c>
      <c r="M31" s="1" t="s">
        <v>447</v>
      </c>
      <c r="N31" s="1" t="s">
        <v>171</v>
      </c>
      <c r="O31" s="1" t="str">
        <f>IFERROR(__xludf.DUMMYFUNCTION("GOOGLETRANSLATE(N:N, ""en"", ""te"")"),"ఉత్పత్తి పూర్తయింది")</f>
        <v>ఉత్పత్తి పూర్తయింది</v>
      </c>
      <c r="P31" s="1" t="s">
        <v>172</v>
      </c>
      <c r="Q31" s="1" t="s">
        <v>162</v>
      </c>
      <c r="R31" s="1" t="s">
        <v>201</v>
      </c>
      <c r="S31" s="1" t="s">
        <v>448</v>
      </c>
      <c r="T31" s="1">
        <v>5.3</v>
      </c>
      <c r="W31" s="1" t="s">
        <v>177</v>
      </c>
      <c r="AB31" s="1" t="s">
        <v>449</v>
      </c>
      <c r="AC31" s="1">
        <v>2002.0</v>
      </c>
    </row>
    <row r="32">
      <c r="A32" s="1" t="s">
        <v>450</v>
      </c>
      <c r="B32" s="1" t="str">
        <f>IFERROR(__xludf.DUMMYFUNCTION("GOOGLETRANSLATE(A:A, ""en"", ""te"")"),"EMSCO B-2 ఛాలెంజర్")</f>
        <v>EMSCO B-2 ఛాలెంజర్</v>
      </c>
      <c r="C32" s="1" t="s">
        <v>451</v>
      </c>
      <c r="D32" s="1" t="str">
        <f>IFERROR(__xludf.DUMMYFUNCTION("GOOGLETRANSLATE(C:C, ""en"", ""te"")"),"EMSCO B-2 ఛాలెంజర్ 1929 లో యుఎస్ మూడు ఇంజిన్, ఆరు ప్యాసింజర్ విమానాలు ఎగిరింది. రెండు మాత్రమే నిర్మించబడ్డాయి మరియు అవి చాలా త్వరగా రెండు వేర్వేరు EMSCO రకాలుగా మార్చబడ్డాయి, ఒకటి ఒక ఇంజిన్ మరియు మరొకటి రెండు. EMSCO కార్పొరేషన్ దాని వ్యవస్థాపకుడు E.M స్మి"&amp;"త్ యొక్క అక్షరాల నుండి దాని పేరును తీసుకుంది. [1] 1929 ప్రారంభంలో EMSCO చార్లెస్ రోచెవిల్లే రూపొందించిన ఆల్బాట్రాస్ కార్పొరేషన్ మరియు వారి విమానాలను కొనుగోలు చేసింది. [2] వీటిలో ఒకటి 1928 యొక్క అమెరికన్ ఆల్బాట్రాస్ B-1 [3], హై వింగ్ బ్రేస్డ్ మోనోప్లేన్ 26"&amp;"0 HP (190 kW) ఉత్పత్తి చేసే ఒకే ఇంజిన్‌తో మరియు ఆరుగురు ప్రయాణీకులకు వసతి ఉంది. [4] EMSCO ఛాలెంజర్ దాని అభివృద్ధి [5] మరియు మొత్తం 510 HP (380 kW) మూడు ఇంజన్లను కలిగి ఉండటమే కాకుండా చాలా పోలి ఉంటుంది. [6] [7] ఇది ఒకటి లేదా రెండు ఇంజిన్లను కలిగి ఉండటానికి "&amp;"భిన్నంగా, సారూప్య EMSCO విమానాల శ్రేణిలో మొదటిది. [7] ఛాలెంజర్ యొక్క రెక్క రెండు భాగాలుగా నిర్మించబడింది, రెండూ దీర్ఘచతురస్రాకారంలో సెమీ-ఎలిప్టికల్ చిట్కాలకు ప్రణాళికలో ఉన్నాయి, ఇవి ఫ్యూజ్‌లేజ్ పైన కలుసుకున్నాయి మరియు 1.5 ° డైహెడ్రల్‌తో అమర్చబడ్డాయి. వారు"&amp;" చెక్క నిర్మాణాలను రెండు బాక్స్ స్పార్స్ చుట్టూ నిర్మించారు మరియు ఫాబ్రిక్ కప్పబడి ఉన్నారు. మిడ్-స్పాన్ నుండి సమాంతర స్ట్రట్స్ స్పార్స్‌ను దిగువ ఫ్యూజ్‌లేజ్ లాంగన్స్‌కు కలుపుతారు మరియు వెనుక స్ట్రట్‌లను కూడా వారి మధ్య బిందువుల దగ్గర ఎగువ లాంగన్స్‌కు కలుపు"&amp;"తారు; అన్ని స్ట్రట్‌లను విస్తృత, ఎయిర్‌ఫాయిల్ సెక్షన్ ఫెయిరింగ్స్‌లో జతచేయారు. దీని ఇన్సెట్ ఐలెరాన్లు పొడవుగా మరియు ఇరుకైనవి. [1] [7] ఛాలెంజర్ యొక్క ఫ్యూజ్‌లేజ్ దీర్ఘచతురస్రాకార క్రాస్-సెక్షన్ క్రోమ్-మాలిబ్డినం స్టీల్ ఫ్రేమ్ చుట్టూ నిర్మించబడింది మరియు బల"&amp;"్క్‌హెడ్స్ చేత ఓవల్ క్రాస్ సెక్షన్ ఇవ్వబడింది. క్యాబిన్ ప్రాంతం ప్లైవుడ్ స్కిన్డ్; వెనుక, ఫార్మర్లు మరియు స్ట్రింగర్లు ఫాబ్రిక్ కప్పబడి ఉన్నాయి. మూడు 180 హెచ్‌పి (130 కిలోవాట్), ఆరు సిలిండర్ల కర్టిస్ ఛాలెంజర్ రేడియల్ ఇంజన్లు వైడ్-క్యార్డ్ ఫెయిరింగ్ కింద మ"&amp;"ుక్కులో ఉన్నాయి. మిగతా రెండు రెక్క బ్రేసింగ్ స్ట్రట్‌లపై అన్‌కౌల్డ్ చేయబడ్డాయి, ఇంజిన్ మరియు ఎగువ ఫ్యూజ్‌లేజ్ మరియు స్ట్రట్‌ల మధ్య ఇతరుల మధ్య ఎక్కువ స్ట్రట్‌ల ద్వారా సహాయపడుతుంది. పైలట్లు ఒక పరివేష్టిత కాక్‌పిట్‌ను ఆక్రమించారు, వింగ్ ప్రముఖ అంచు కంటే ఎక్క"&amp;"ువ మరియు ముందు, పక్కపక్కనే సీటింగ్ మరియు ద్వంద్వ నియంత్రణతో. ఒక మార్గం కాక్‌పిట్ మరియు విండోస్డ్, బాగా అమర్చిన ప్రయాణీకుల క్యాబిన్‌ను అనుసంధానించింది. క్యాబిన్ మరియు కాక్‌పిట్ పోర్ట్ వైపు ఒక తలుపు ద్వారా యాక్సెస్ చేయబడ్డాయి, అంతర్నిర్మిత నిచ్చెనతో, కర్టెన"&amp;"్-ఆఫ్ లావటరీ మరియు సామాను స్థలం కలిగిన కంపార్ట్మెంట్ ద్వారా. [1] [7] సామ్రాజ్యం, ఫ్యూజ్‌లేజ్ లాగా, ఉక్కు ఫ్రేమ్డ్ మరియు ఫాబ్రిక్ కప్పబడి ఉంది. ఫిన్ మరియు టెయిల్‌ప్లేన్ రెండూ, మధ్య-ఫ్యూజ్‌లేజ్ ఎత్తులో అమర్చబడి, నేరుగా, ప్రముఖ అంచులను తుడిచిపెట్టాయి మరియు స"&amp;"మతుల్య నియంత్రణ ఉపరితలాలను సూటిగా, వెనుక అంచులు మరియు రౌండ్ చిట్కాలతో తీసుకువెళ్లాయి. చుక్కాని లోతుగా ఉంది, కీల్ వరకు విస్తరించి ఉంది మరియు ఎలివేటర్ కటౌట్లో పనిచేసింది. ఛాలెంజర్‌కు స్థిర టెయిల్‌వీల్ అండర్ క్యారేజ్ ఉంది. దాని మెయిన్‌వీల్స్ ఫెయిర్‌డ్, క్రాం"&amp;"క్ ఇరుసులు సెంట్రల్ ఫ్యూజ్‌లేజ్ అండర్‌సైడ్ నుండి అతుక్కొని ఉన్నాయి, డ్రాగ్ స్ట్రట్‌లతో కలుపుతారు; ఈ సభ్యులు బాల్సా మరియు ఫాబ్రిక్ ఎయిర్‌ఫాయిల్ ఫెయిరింగ్‌లలో జతచేయబడ్డారు. చిన్న, నిలువు ఒలియో కాళ్ళు బాహ్య ఇంజిన్ మౌంటుల దిగువకు జతచేయబడ్డాయి. చక్రాలు స్వతంత్"&amp;"ర బెండిక్స్ బ్రేక్‌లను కలిగి ఉన్నాయి మరియు దాదాపు పూర్తిగా పెద్ద డ్యూరల్ ట్యూబ్‌లో ఉన్నాయి, ఫాబ్రిక్ కవర్ ఫెయిరింగ్‌లు. ఒక చిన్న టెయిల్‌వీల్ రబ్బరు-స్ప్రింగ్ పైలాన్‌పై అమర్చబడింది. [1] [7] కాలిఫోర్నియాలోని లాంగ్ బీచ్‌లో జూన్ 1929 లో జాక్ రీడ్ ఈ ఛాలెంజర్‌న"&amp;"ు మొదటిసారిగా ఎగురవేసింది. వెంటనే అది యు.ఎస్. వెస్ట్ కోస్ట్‌లో పర్యటించింది, పరీక్ష మరియు ప్రచార విమానాలను కలపడం. [8] రెండు నిర్మించబడ్డాయి మరియు రెండూ తరువాత ఇంజిన్లను మార్చడం ద్వారా వివిధ రకాలుగా సవరించబడ్డాయి. మొదటిది 1930 లో ఒకే 420 హెచ్‌పి (310 కిలోవ"&amp;"ాట్) ప్రాట్ &amp; విట్నీ కందిరీగ సి మరియు రెండవది, రెండు 420 హెచ్‌పి (310 కిలోవాట్) రైట్ జె -5 లతో, ఎమ్స్కో బి -5 మాత్రమే. 9] ఏవియేషన్ నుండి డేటా, అక్టోబర్ 12, 1929 p.746-8 [7] పూర్తి సాధారణ లోడ్‌తో పనితీరు బొమ్మలు. సాధారణ లక్షణాలు పనితీరు")</f>
        <v>EMSCO B-2 ఛాలెంజర్ 1929 లో యుఎస్ మూడు ఇంజిన్, ఆరు ప్యాసింజర్ విమానాలు ఎగిరింది. రెండు మాత్రమే నిర్మించబడ్డాయి మరియు అవి చాలా త్వరగా రెండు వేర్వేరు EMSCO రకాలుగా మార్చబడ్డాయి, ఒకటి ఒక ఇంజిన్ మరియు మరొకటి రెండు. EMSCO కార్పొరేషన్ దాని వ్యవస్థాపకుడు E.M స్మిత్ యొక్క అక్షరాల నుండి దాని పేరును తీసుకుంది. [1] 1929 ప్రారంభంలో EMSCO చార్లెస్ రోచెవిల్లే రూపొందించిన ఆల్బాట్రాస్ కార్పొరేషన్ మరియు వారి విమానాలను కొనుగోలు చేసింది. [2] వీటిలో ఒకటి 1928 యొక్క అమెరికన్ ఆల్బాట్రాస్ B-1 [3], హై వింగ్ బ్రేస్డ్ మోనోప్లేన్ 260 HP (190 kW) ఉత్పత్తి చేసే ఒకే ఇంజిన్‌తో మరియు ఆరుగురు ప్రయాణీకులకు వసతి ఉంది. [4] EMSCO ఛాలెంజర్ దాని అభివృద్ధి [5] మరియు మొత్తం 510 HP (380 kW) మూడు ఇంజన్లను కలిగి ఉండటమే కాకుండా చాలా పోలి ఉంటుంది. [6] [7] ఇది ఒకటి లేదా రెండు ఇంజిన్లను కలిగి ఉండటానికి భిన్నంగా, సారూప్య EMSCO విమానాల శ్రేణిలో మొదటిది. [7] ఛాలెంజర్ యొక్క రెక్క రెండు భాగాలుగా నిర్మించబడింది, రెండూ దీర్ఘచతురస్రాకారంలో సెమీ-ఎలిప్టికల్ చిట్కాలకు ప్రణాళికలో ఉన్నాయి, ఇవి ఫ్యూజ్‌లేజ్ పైన కలుసుకున్నాయి మరియు 1.5 ° డైహెడ్రల్‌తో అమర్చబడ్డాయి. వారు చెక్క నిర్మాణాలను రెండు బాక్స్ స్పార్స్ చుట్టూ నిర్మించారు మరియు ఫాబ్రిక్ కప్పబడి ఉన్నారు. మిడ్-స్పాన్ నుండి సమాంతర స్ట్రట్స్ స్పార్స్‌ను దిగువ ఫ్యూజ్‌లేజ్ లాంగన్స్‌కు కలుపుతారు మరియు వెనుక స్ట్రట్‌లను కూడా వారి మధ్య బిందువుల దగ్గర ఎగువ లాంగన్స్‌కు కలుపుతారు; అన్ని స్ట్రట్‌లను విస్తృత, ఎయిర్‌ఫాయిల్ సెక్షన్ ఫెయిరింగ్స్‌లో జతచేయారు. దీని ఇన్సెట్ ఐలెరాన్లు పొడవుగా మరియు ఇరుకైనవి. [1] [7] ఛాలెంజర్ యొక్క ఫ్యూజ్‌లేజ్ దీర్ఘచతురస్రాకార క్రాస్-సెక్షన్ క్రోమ్-మాలిబ్డినం స్టీల్ ఫ్రేమ్ చుట్టూ నిర్మించబడింది మరియు బల్క్‌హెడ్స్ చేత ఓవల్ క్రాస్ సెక్షన్ ఇవ్వబడింది. క్యాబిన్ ప్రాంతం ప్లైవుడ్ స్కిన్డ్; వెనుక, ఫార్మర్లు మరియు స్ట్రింగర్లు ఫాబ్రిక్ కప్పబడి ఉన్నాయి. మూడు 180 హెచ్‌పి (130 కిలోవాట్), ఆరు సిలిండర్ల కర్టిస్ ఛాలెంజర్ రేడియల్ ఇంజన్లు వైడ్-క్యార్డ్ ఫెయిరింగ్ కింద ముక్కులో ఉన్నాయి. మిగతా రెండు రెక్క బ్రేసింగ్ స్ట్రట్‌లపై అన్‌కౌల్డ్ చేయబడ్డాయి, ఇంజిన్ మరియు ఎగువ ఫ్యూజ్‌లేజ్ మరియు స్ట్రట్‌ల మధ్య ఇతరుల మధ్య ఎక్కువ స్ట్రట్‌ల ద్వారా సహాయపడుతుంది. పైలట్లు ఒక పరివేష్టిత కాక్‌పిట్‌ను ఆక్రమించారు, వింగ్ ప్రముఖ అంచు కంటే ఎక్కువ మరియు ముందు, పక్కపక్కనే సీటింగ్ మరియు ద్వంద్వ నియంత్రణతో. ఒక మార్గం కాక్‌పిట్ మరియు విండోస్డ్, బాగా అమర్చిన ప్రయాణీకుల క్యాబిన్‌ను అనుసంధానించింది. క్యాబిన్ మరియు కాక్‌పిట్ పోర్ట్ వైపు ఒక తలుపు ద్వారా యాక్సెస్ చేయబడ్డాయి, అంతర్నిర్మిత నిచ్చెనతో, కర్టెన్-ఆఫ్ లావటరీ మరియు సామాను స్థలం కలిగిన కంపార్ట్మెంట్ ద్వారా. [1] [7] సామ్రాజ్యం, ఫ్యూజ్‌లేజ్ లాగా, ఉక్కు ఫ్రేమ్డ్ మరియు ఫాబ్రిక్ కప్పబడి ఉంది. ఫిన్ మరియు టెయిల్‌ప్లేన్ రెండూ, మధ్య-ఫ్యూజ్‌లేజ్ ఎత్తులో అమర్చబడి, నేరుగా, ప్రముఖ అంచులను తుడిచిపెట్టాయి మరియు సమతుల్య నియంత్రణ ఉపరితలాలను సూటిగా, వెనుక అంచులు మరియు రౌండ్ చిట్కాలతో తీసుకువెళ్లాయి. చుక్కాని లోతుగా ఉంది, కీల్ వరకు విస్తరించి ఉంది మరియు ఎలివేటర్ కటౌట్లో పనిచేసింది. ఛాలెంజర్‌కు స్థిర టెయిల్‌వీల్ అండర్ క్యారేజ్ ఉంది. దాని మెయిన్‌వీల్స్ ఫెయిర్‌డ్, క్రాంక్ ఇరుసులు సెంట్రల్ ఫ్యూజ్‌లేజ్ అండర్‌సైడ్ నుండి అతుక్కొని ఉన్నాయి, డ్రాగ్ స్ట్రట్‌లతో కలుపుతారు; ఈ సభ్యులు బాల్సా మరియు ఫాబ్రిక్ ఎయిర్‌ఫాయిల్ ఫెయిరింగ్‌లలో జతచేయబడ్డారు. చిన్న, నిలువు ఒలియో కాళ్ళు బాహ్య ఇంజిన్ మౌంటుల దిగువకు జతచేయబడ్డాయి. చక్రాలు స్వతంత్ర బెండిక్స్ బ్రేక్‌లను కలిగి ఉన్నాయి మరియు దాదాపు పూర్తిగా పెద్ద డ్యూరల్ ట్యూబ్‌లో ఉన్నాయి, ఫాబ్రిక్ కవర్ ఫెయిరింగ్‌లు. ఒక చిన్న టెయిల్‌వీల్ రబ్బరు-స్ప్రింగ్ పైలాన్‌పై అమర్చబడింది. [1] [7] కాలిఫోర్నియాలోని లాంగ్ బీచ్‌లో జూన్ 1929 లో జాక్ రీడ్ ఈ ఛాలెంజర్‌ను మొదటిసారిగా ఎగురవేసింది. వెంటనే అది యు.ఎస్. వెస్ట్ కోస్ట్‌లో పర్యటించింది, పరీక్ష మరియు ప్రచార విమానాలను కలపడం. [8] రెండు నిర్మించబడ్డాయి మరియు రెండూ తరువాత ఇంజిన్లను మార్చడం ద్వారా వివిధ రకాలుగా సవరించబడ్డాయి. మొదటిది 1930 లో ఒకే 420 హెచ్‌పి (310 కిలోవాట్) ప్రాట్ &amp; విట్నీ కందిరీగ సి మరియు రెండవది, రెండు 420 హెచ్‌పి (310 కిలోవాట్) రైట్ జె -5 లతో, ఎమ్స్కో బి -5 మాత్రమే. 9] ఏవియేషన్ నుండి డేటా, అక్టోబర్ 12, 1929 p.746-8 [7] పూర్తి సాధారణ లోడ్‌తో పనితీరు బొమ్మలు. సాధారణ లక్షణాలు పనితీరు</v>
      </c>
      <c r="E32" s="1" t="s">
        <v>452</v>
      </c>
      <c r="F32" s="1" t="str">
        <f>IFERROR(__xludf.DUMMYFUNCTION("GOOGLETRANSLATE(E:E, ""en"", ""te"")"),"ఆరు ప్రయాణీకుల సీటు రవాణా")</f>
        <v>ఆరు ప్రయాణీకుల సీటు రవాణా</v>
      </c>
      <c r="H32" s="1" t="s">
        <v>453</v>
      </c>
      <c r="I32" s="1" t="str">
        <f>IFERROR(__xludf.DUMMYFUNCTION("GOOGLETRANSLATE(H:H, ""en"", ""te"")"),"మాకు")</f>
        <v>మాకు</v>
      </c>
      <c r="J32" s="3" t="s">
        <v>454</v>
      </c>
      <c r="K32" s="1" t="s">
        <v>455</v>
      </c>
      <c r="L32" s="2" t="str">
        <f>IFERROR(__xludf.DUMMYFUNCTION("GOOGLETRANSLATE(K:K, ""en"", ""te"")"),"EMSCO ఎయిర్క్రాఫ్ట్ కో.")</f>
        <v>EMSCO ఎయిర్క్రాఫ్ట్ కో.</v>
      </c>
      <c r="M32" s="1" t="s">
        <v>456</v>
      </c>
      <c r="Q32" s="1" t="s">
        <v>230</v>
      </c>
      <c r="R32" s="1" t="s">
        <v>457</v>
      </c>
      <c r="S32" s="1" t="s">
        <v>458</v>
      </c>
      <c r="U32" s="1" t="s">
        <v>459</v>
      </c>
      <c r="W32" s="1" t="s">
        <v>460</v>
      </c>
      <c r="X32" s="1" t="s">
        <v>461</v>
      </c>
      <c r="Y32" s="1" t="s">
        <v>462</v>
      </c>
      <c r="Z32" s="1" t="s">
        <v>463</v>
      </c>
      <c r="AB32" s="1" t="s">
        <v>464</v>
      </c>
      <c r="AD32" s="5">
        <v>10745.0</v>
      </c>
      <c r="AE32" s="1">
        <v>2.0</v>
      </c>
      <c r="AF32" s="1" t="s">
        <v>465</v>
      </c>
      <c r="AG32" s="1" t="s">
        <v>466</v>
      </c>
      <c r="AH32" s="1" t="s">
        <v>467</v>
      </c>
      <c r="AI32" s="1" t="s">
        <v>468</v>
      </c>
      <c r="AJ32" s="1" t="s">
        <v>469</v>
      </c>
      <c r="AL32" s="1" t="s">
        <v>470</v>
      </c>
      <c r="AM32" s="1" t="s">
        <v>471</v>
      </c>
      <c r="AP32" s="1" t="s">
        <v>472</v>
      </c>
      <c r="AQ32" s="1" t="s">
        <v>473</v>
      </c>
      <c r="AS32" s="1" t="s">
        <v>474</v>
      </c>
      <c r="BO32" s="1" t="s">
        <v>475</v>
      </c>
      <c r="BP32" s="1" t="s">
        <v>476</v>
      </c>
      <c r="BQ32" s="1" t="s">
        <v>477</v>
      </c>
    </row>
    <row r="33">
      <c r="A33" s="1" t="s">
        <v>478</v>
      </c>
      <c r="B33" s="1" t="str">
        <f>IFERROR(__xludf.DUMMYFUNCTION("GOOGLETRANSLATE(A:A, ""en"", ""te"")"),"విఖం మోడల్ ఇ")</f>
        <v>విఖం మోడల్ ఇ</v>
      </c>
      <c r="C33" s="1" t="s">
        <v>479</v>
      </c>
      <c r="D33" s="1" t="str">
        <f>IFERROR(__xludf.DUMMYFUNCTION("GOOGLETRANSLATE(C:C, ""en"", ""te"")"),"విఖం మోడల్ ఇ సన్‌బర్డ్ II ఇంజనీర్ జేమ్స్ ఎం. విఖం రూపొందించిన ఒకే సీటు హోమ్‌బిల్ట్ విమానం. జిమ్ విఖం ఒహియో స్టేట్ యూనివర్శిటీలో ఇంజనీరింగ్ చదివాడు మరియు MIT నుండి ఏరోనాటికల్ ఇంజనీర్‌గా పట్టభద్రుడయ్యాడు. విఖం కెరీర్ ఛాన్స్-వాట్ వద్ద ప్రారంభమైంది, తరువాత 19"&amp;"38 లో బోయింగ్ యొక్క స్టీర్మాన్ విభాగంలో చేరారు. [2] 1950 ల నుండి, విఖం తన సొంత ఇంటిని నిర్మించిన విమానాల రూపకల్పన మరియు నిర్మించడం ప్రారంభించాడు. సన్‌బర్డ్ II అనేది ప్రధానంగా కలపతో తయారు చేసిన తక్కువ వింగ్ విమానం. ట్రైసైకిల్ ల్యాండింగ్ గేర్, పెద్ద రెక్క మ"&amp;"రియు పెద్ద 1835 సిసి విడబ్ల్యు ఇంజిన్ నుండి శక్తిని ఉపయోగించడం ద్వారా ఇది మోడల్ సి నుండి భిన్నంగా ఉంటుంది. విఖం ఇ ఆగష్టు 8, 1979 న ఆర్లింగ్టన్, WA వద్ద ప్రయాణించే విఖం యొక్క ఆరు డిజైన్లలో విఖం E ఐదవది. విమానం కోలుకోని స్పిన్ పరీక్ష తరువాత విమానం పోయింది. "&amp;"[3] స్పోర్ట్ ఏవియేషన్, ఒరిజినల్ డ్రాయింగ్స్, సాధారణ లక్షణాల పనితీరు సంబంధిత అభివృద్ధి నుండి డేటా")</f>
        <v>విఖం మోడల్ ఇ సన్‌బర్డ్ II ఇంజనీర్ జేమ్స్ ఎం. విఖం రూపొందించిన ఒకే సీటు హోమ్‌బిల్ట్ విమానం. జిమ్ విఖం ఒహియో స్టేట్ యూనివర్శిటీలో ఇంజనీరింగ్ చదివాడు మరియు MIT నుండి ఏరోనాటికల్ ఇంజనీర్‌గా పట్టభద్రుడయ్యాడు. విఖం కెరీర్ ఛాన్స్-వాట్ వద్ద ప్రారంభమైంది, తరువాత 1938 లో బోయింగ్ యొక్క స్టీర్మాన్ విభాగంలో చేరారు. [2] 1950 ల నుండి, విఖం తన సొంత ఇంటిని నిర్మించిన విమానాల రూపకల్పన మరియు నిర్మించడం ప్రారంభించాడు. సన్‌బర్డ్ II అనేది ప్రధానంగా కలపతో తయారు చేసిన తక్కువ వింగ్ విమానం. ట్రైసైకిల్ ల్యాండింగ్ గేర్, పెద్ద రెక్క మరియు పెద్ద 1835 సిసి విడబ్ల్యు ఇంజిన్ నుండి శక్తిని ఉపయోగించడం ద్వారా ఇది మోడల్ సి నుండి భిన్నంగా ఉంటుంది. విఖం ఇ ఆగష్టు 8, 1979 న ఆర్లింగ్టన్, WA వద్ద ప్రయాణించే విఖం యొక్క ఆరు డిజైన్లలో విఖం E ఐదవది. విమానం కోలుకోని స్పిన్ పరీక్ష తరువాత విమానం పోయింది. [3] స్పోర్ట్ ఏవియేషన్, ఒరిజినల్ డ్రాయింగ్స్, సాధారణ లక్షణాల పనితీరు సంబంధిత అభివృద్ధి నుండి డేటా</v>
      </c>
      <c r="E33" s="1" t="s">
        <v>480</v>
      </c>
      <c r="F33" s="1" t="str">
        <f>IFERROR(__xludf.DUMMYFUNCTION("GOOGLETRANSLATE(E:E, ""en"", ""te"")"),"హోమ్‌బిల్ట్ విమానం")</f>
        <v>హోమ్‌బిల్ట్ విమానం</v>
      </c>
      <c r="G33" s="1" t="s">
        <v>481</v>
      </c>
      <c r="H33" s="1" t="s">
        <v>227</v>
      </c>
      <c r="I33" s="1" t="str">
        <f>IFERROR(__xludf.DUMMYFUNCTION("GOOGLETRANSLATE(H:H, ""en"", ""te"")"),"అమెరికా")</f>
        <v>అమెరికా</v>
      </c>
      <c r="J33" s="3" t="s">
        <v>228</v>
      </c>
      <c r="L33" s="2"/>
      <c r="N33" s="1" t="s">
        <v>482</v>
      </c>
      <c r="O33" s="1" t="str">
        <f>IFERROR(__xludf.DUMMYFUNCTION("GOOGLETRANSLATE(N:N, ""en"", ""te"")"),"జూలై 20, 1980 కు క్రాష్ అయ్యింది")</f>
        <v>జూలై 20, 1980 కు క్రాష్ అయ్యింది</v>
      </c>
      <c r="R33" s="1" t="s">
        <v>483</v>
      </c>
      <c r="S33" s="1" t="s">
        <v>484</v>
      </c>
      <c r="T33" s="1">
        <v>8.7</v>
      </c>
      <c r="U33" s="1" t="s">
        <v>485</v>
      </c>
      <c r="AB33" s="1" t="s">
        <v>486</v>
      </c>
      <c r="AD33" s="6">
        <v>29075.0</v>
      </c>
      <c r="AE33" s="1" t="s">
        <v>487</v>
      </c>
      <c r="AF33" s="1" t="s">
        <v>488</v>
      </c>
      <c r="AG33" s="1" t="s">
        <v>489</v>
      </c>
      <c r="AJ33" s="1" t="s">
        <v>490</v>
      </c>
      <c r="AM33" s="1">
        <v>1.0</v>
      </c>
    </row>
    <row r="34">
      <c r="A34" s="1" t="s">
        <v>491</v>
      </c>
      <c r="B34" s="1" t="str">
        <f>IFERROR(__xludf.DUMMYFUNCTION("GOOGLETRANSLATE(A:A, ""en"", ""te"")"),"లాక్హీడ్ CL-288")</f>
        <v>లాక్హీడ్ CL-288</v>
      </c>
      <c r="C34" s="1" t="s">
        <v>492</v>
      </c>
      <c r="D34" s="1" t="str">
        <f>IFERROR(__xludf.DUMMYFUNCTION("GOOGLETRANSLATE(C:C, ""en"", ""te"")"),"లాక్‌హీడ్ CL-288 అనేది లాక్‌హీడ్ F-104 స్టార్‌ఫైటర్ ఆధారంగా ఒక సంభావిత ఇంటర్‌కప్టర్ విమానం [1], ఇది రెండు వింగ్-మౌంటెడ్ ఇంజిన్‌లతో నడిచేది. [2] ఈ విమానం సంబంధిత వ్యాసం ఒక స్టబ్. వికీపీడియా విస్తరించడం ద్వారా మీరు సహాయపడవచ్చు.")</f>
        <v>లాక్‌హీడ్ CL-288 అనేది లాక్‌హీడ్ F-104 స్టార్‌ఫైటర్ ఆధారంగా ఒక సంభావిత ఇంటర్‌కప్టర్ విమానం [1], ఇది రెండు వింగ్-మౌంటెడ్ ఇంజిన్‌లతో నడిచేది. [2] ఈ విమానం సంబంధిత వ్యాసం ఒక స్టబ్. వికీపీడియా విస్తరించడం ద్వారా మీరు సహాయపడవచ్చు.</v>
      </c>
      <c r="E34" s="1" t="s">
        <v>493</v>
      </c>
      <c r="F34" s="1" t="str">
        <f>IFERROR(__xludf.DUMMYFUNCTION("GOOGLETRANSLATE(E:E, ""en"", ""te"")"),"ఇంటర్‌సెప్టర్ విమానం")</f>
        <v>ఇంటర్‌సెప్టర్ విమానం</v>
      </c>
      <c r="G34" s="1" t="s">
        <v>494</v>
      </c>
      <c r="H34" s="1" t="s">
        <v>227</v>
      </c>
      <c r="I34" s="1" t="str">
        <f>IFERROR(__xludf.DUMMYFUNCTION("GOOGLETRANSLATE(H:H, ""en"", ""te"")"),"అమెరికా")</f>
        <v>అమెరికా</v>
      </c>
      <c r="J34" s="3" t="s">
        <v>228</v>
      </c>
      <c r="K34" s="1" t="s">
        <v>495</v>
      </c>
      <c r="L34" s="2" t="str">
        <f>IFERROR(__xludf.DUMMYFUNCTION("GOOGLETRANSLATE(K:K, ""en"", ""te"")"),"లాక్‌హీడ్ కార్పొరేషన్")</f>
        <v>లాక్‌హీడ్ కార్పొరేషన్</v>
      </c>
      <c r="M34" s="1" t="s">
        <v>496</v>
      </c>
      <c r="N34" s="1" t="s">
        <v>497</v>
      </c>
      <c r="O34" s="1" t="str">
        <f>IFERROR(__xludf.DUMMYFUNCTION("GOOGLETRANSLATE(N:N, ""en"", ""te"")"),"సంభావిత")</f>
        <v>సంభావిత</v>
      </c>
      <c r="BO34" s="1" t="s">
        <v>498</v>
      </c>
      <c r="BR34" s="1" t="s">
        <v>499</v>
      </c>
    </row>
    <row r="35">
      <c r="A35" s="1" t="s">
        <v>500</v>
      </c>
      <c r="B35" s="1" t="str">
        <f>IFERROR(__xludf.DUMMYFUNCTION("GOOGLETRANSLATE(A:A, ""en"", ""te"")"),"సికోర్స్కీ ఎస్ -2")</f>
        <v>సికోర్స్కీ ఎస్ -2</v>
      </c>
      <c r="C35" s="1" t="s">
        <v>501</v>
      </c>
      <c r="D35" s="1" t="str">
        <f>IFERROR(__xludf.DUMMYFUNCTION("GOOGLETRANSLATE(C:C, ""en"", ""te"")"),"సికోర్స్కీ ఎస్ -2 అనేది ఇగోర్ సికోర్స్కీ రూపొందించిన రెండవ స్థిర వింగ్ విమానం, ఇది ఎస్ -1 నుండి ప్రధాన వింగ్ విభాగాన్ని మరియు ట్రాక్టర్ కాన్ఫిగరేషన్‌లో 25 హెచ్‌పి (19 కిలోవాట్) అంజాని 3 మూడు సిలిండర్ ఇంజిన్‌ను ఉపయోగించి. జూన్ 3, 1910 న జరిగిన మొదటి విమాన "&amp;"ప్రయత్నంలో, బిప్‌లేన్ రెండు నుండి నాలుగు అడుగుల ఎత్తుకు చేరుకుంది మరియు సుమారు 200 గజాలు ప్రయాణించింది. అనేక విజయవంతమైన విమానాల తరువాత, జూన్ 30 న సికోర్స్కీ అనుకోకుండా 70 అడుగుల ఎత్తులో బలహీనమైన విమానాలను నిలిపివేసినప్పుడు ఎస్ -2 నాశనం చేయబడింది. [1] రష్య"&amp;"న్ ఏవియేషన్ మ్యూజియం నుండి డేటా [2] సాధారణ లక్షణాలు పనితీరు సంబంధిత అభివృద్ధి")</f>
        <v>సికోర్స్కీ ఎస్ -2 అనేది ఇగోర్ సికోర్స్కీ రూపొందించిన రెండవ స్థిర వింగ్ విమానం, ఇది ఎస్ -1 నుండి ప్రధాన వింగ్ విభాగాన్ని మరియు ట్రాక్టర్ కాన్ఫిగరేషన్‌లో 25 హెచ్‌పి (19 కిలోవాట్) అంజాని 3 మూడు సిలిండర్ ఇంజిన్‌ను ఉపయోగించి. జూన్ 3, 1910 న జరిగిన మొదటి విమాన ప్రయత్నంలో, బిప్‌లేన్ రెండు నుండి నాలుగు అడుగుల ఎత్తుకు చేరుకుంది మరియు సుమారు 200 గజాలు ప్రయాణించింది. అనేక విజయవంతమైన విమానాల తరువాత, జూన్ 30 న సికోర్స్కీ అనుకోకుండా 70 అడుగుల ఎత్తులో బలహీనమైన విమానాలను నిలిపివేసినప్పుడు ఎస్ -2 నాశనం చేయబడింది. [1] రష్యన్ ఏవియేషన్ మ్యూజియం నుండి డేటా [2] సాధారణ లక్షణాలు పనితీరు సంబంధిత అభివృద్ధి</v>
      </c>
      <c r="E35" s="1" t="s">
        <v>502</v>
      </c>
      <c r="F35" s="1" t="str">
        <f>IFERROR(__xludf.DUMMYFUNCTION("GOOGLETRANSLATE(E:E, ""en"", ""te"")"),"ప్రయోగాత్మక")</f>
        <v>ప్రయోగాత్మక</v>
      </c>
      <c r="H35" s="1" t="s">
        <v>376</v>
      </c>
      <c r="I35" s="1" t="str">
        <f>IFERROR(__xludf.DUMMYFUNCTION("GOOGLETRANSLATE(H:H, ""en"", ""te"")"),"రష్యన్ సామ్రాజ్యం")</f>
        <v>రష్యన్ సామ్రాజ్యం</v>
      </c>
      <c r="J35" s="1" t="s">
        <v>377</v>
      </c>
      <c r="L35" s="2"/>
      <c r="N35" s="1" t="s">
        <v>503</v>
      </c>
      <c r="O35" s="1" t="str">
        <f>IFERROR(__xludf.DUMMYFUNCTION("GOOGLETRANSLATE(N:N, ""en"", ""te"")"),"పరీక్ష సమయంలో నాశనం చేయబడింది")</f>
        <v>పరీక్ష సమయంలో నాశనం చేయబడింది</v>
      </c>
      <c r="Q35" s="1" t="s">
        <v>212</v>
      </c>
      <c r="S35" s="1" t="s">
        <v>504</v>
      </c>
      <c r="X35" s="1" t="s">
        <v>505</v>
      </c>
      <c r="Y35" s="1" t="s">
        <v>506</v>
      </c>
      <c r="AB35" s="1" t="s">
        <v>382</v>
      </c>
      <c r="AD35" s="4">
        <v>3807.0</v>
      </c>
      <c r="AE35" s="1">
        <v>1.0</v>
      </c>
      <c r="AF35" s="1" t="s">
        <v>387</v>
      </c>
      <c r="AI35" s="1" t="s">
        <v>507</v>
      </c>
      <c r="AL35" s="1" t="s">
        <v>508</v>
      </c>
      <c r="AN35" s="1" t="s">
        <v>387</v>
      </c>
      <c r="BO35" s="1" t="s">
        <v>509</v>
      </c>
      <c r="BR35" s="1" t="s">
        <v>510</v>
      </c>
      <c r="BS35" s="1" t="s">
        <v>511</v>
      </c>
      <c r="BT35" s="1" t="s">
        <v>512</v>
      </c>
      <c r="BU35" s="1" t="s">
        <v>513</v>
      </c>
    </row>
    <row r="36">
      <c r="A36" s="1" t="s">
        <v>514</v>
      </c>
      <c r="B36" s="1" t="str">
        <f>IFERROR(__xludf.DUMMYFUNCTION("GOOGLETRANSLATE(A:A, ""en"", ""te"")"),"సికోర్స్కీ ఎస్ -7")</f>
        <v>సికోర్స్కీ ఎస్ -7</v>
      </c>
      <c r="C36" s="1" t="s">
        <v>515</v>
      </c>
      <c r="D36" s="1" t="str">
        <f>IFERROR(__xludf.DUMMYFUNCTION("GOOGLETRANSLATE(C:C, ""en"", ""te"")"),"సికోర్స్కీ ఎస్ -7 అనేది రష్యన్ సింగిల్ ఇంజిన్ ప్రయోగాత్మక ప్రోటోటైప్ విమానం, ఇది రష్యన్ బాల్టిక్ రైల్‌రోడ్ కారు నిర్మించిన కొద్దిసేపటికే ఇగోర్ సికోర్స్కీ విమాన తయారీ విభాగానికి చీఫ్ ఇంజనీర్ అయిన కొద్దిసేపటికే. ఎస్ -7 70 హెచ్‌పి (52 కిలోవాట్ల) గ్నోమ్ ఎయిర్"&amp;"-కూల్డ్ రోటరీ ఇంజిన్‌తో నడిచే రెండు సీట్ల వైర్-బ్రెస్డ్ మోనోప్లేన్. నిర్మాణం 1912 వేసవి ప్రారంభంలో ప్రారంభమైంది మరియు జూలైలో పూర్తయింది. పైలట్ వెనుక కాక్‌పిట్‌లో కూర్చున్న ప్రయాణీకుడితో ఫార్వర్డ్ కంపార్ట్‌మెంట్‌లో ఒక టెన్డం అమరికలో కూర్చున్నాడు. ఫ్యూజ్‌లే"&amp;"జ్ ప్లైవుడ్‌లో జతచేయబడింది మరియు విమానం ప్రధాన రెక్క, తోక మరియు ల్యాండింగ్ గేర్‌తో సహా S-6A నుండి తీసిన భాగాలను ఉపయోగించింది. [1] [2] ఆగష్టు 1912 లో సెయింట్ పీటర్స్‌బర్గ్‌లో జరిగిన అంతర్జాతీయ సైనిక పోటీలో ఎస్ -7 ప్రవేశించింది. ల్యాండింగ్ గేర్ తీవ్రంగా దెబ"&amp;"్బతింది మరియు ఎస్ -7 పూర్తి చేయలేకపోయింది. 1913 లో ఈ విమానం మరమ్మతులు చేయబడి శిక్షకుడిగా పనిచేశారు. 1914 లో బల్గేరియా S-7 ను కొనుగోలు చేసింది మరియు మొదటి ప్రపంచ యుద్ధంలో కార్యకలాపాలను ఉపయోగించారు. [2] [1] రష్యన్ ఏవియేషన్ మ్యూజియం నుండి డేటా [3] సాధారణ లక్"&amp;"షణాల పనితీరు")</f>
        <v>సికోర్స్కీ ఎస్ -7 అనేది రష్యన్ సింగిల్ ఇంజిన్ ప్రయోగాత్మక ప్రోటోటైప్ విమానం, ఇది రష్యన్ బాల్టిక్ రైల్‌రోడ్ కారు నిర్మించిన కొద్దిసేపటికే ఇగోర్ సికోర్స్కీ విమాన తయారీ విభాగానికి చీఫ్ ఇంజనీర్ అయిన కొద్దిసేపటికే. ఎస్ -7 70 హెచ్‌పి (52 కిలోవాట్ల) గ్నోమ్ ఎయిర్-కూల్డ్ రోటరీ ఇంజిన్‌తో నడిచే రెండు సీట్ల వైర్-బ్రెస్డ్ మోనోప్లేన్. నిర్మాణం 1912 వేసవి ప్రారంభంలో ప్రారంభమైంది మరియు జూలైలో పూర్తయింది. పైలట్ వెనుక కాక్‌పిట్‌లో కూర్చున్న ప్రయాణీకుడితో ఫార్వర్డ్ కంపార్ట్‌మెంట్‌లో ఒక టెన్డం అమరికలో కూర్చున్నాడు. ఫ్యూజ్‌లేజ్ ప్లైవుడ్‌లో జతచేయబడింది మరియు విమానం ప్రధాన రెక్క, తోక మరియు ల్యాండింగ్ గేర్‌తో సహా S-6A నుండి తీసిన భాగాలను ఉపయోగించింది. [1] [2] ఆగష్టు 1912 లో సెయింట్ పీటర్స్‌బర్గ్‌లో జరిగిన అంతర్జాతీయ సైనిక పోటీలో ఎస్ -7 ప్రవేశించింది. ల్యాండింగ్ గేర్ తీవ్రంగా దెబ్బతింది మరియు ఎస్ -7 పూర్తి చేయలేకపోయింది. 1913 లో ఈ విమానం మరమ్మతులు చేయబడి శిక్షకుడిగా పనిచేశారు. 1914 లో బల్గేరియా S-7 ను కొనుగోలు చేసింది మరియు మొదటి ప్రపంచ యుద్ధంలో కార్యకలాపాలను ఉపయోగించారు. [2] [1] రష్యన్ ఏవియేషన్ మ్యూజియం నుండి డేటా [3] సాధారణ లక్షణాల పనితీరు</v>
      </c>
      <c r="E36" s="1" t="s">
        <v>502</v>
      </c>
      <c r="F36" s="1" t="str">
        <f>IFERROR(__xludf.DUMMYFUNCTION("GOOGLETRANSLATE(E:E, ""en"", ""te"")"),"ప్రయోగాత్మక")</f>
        <v>ప్రయోగాత్మక</v>
      </c>
      <c r="H36" s="1" t="s">
        <v>376</v>
      </c>
      <c r="I36" s="1" t="str">
        <f>IFERROR(__xludf.DUMMYFUNCTION("GOOGLETRANSLATE(H:H, ""en"", ""te"")"),"రష్యన్ సామ్రాజ్యం")</f>
        <v>రష్యన్ సామ్రాజ్యం</v>
      </c>
      <c r="J36" s="1" t="s">
        <v>377</v>
      </c>
      <c r="K36" s="1" t="s">
        <v>378</v>
      </c>
      <c r="L36" s="2" t="str">
        <f>IFERROR(__xludf.DUMMYFUNCTION("GOOGLETRANSLATE(K:K, ""en"", ""te"")"),"రష్యన్ బాల్టిక్ రైల్‌రోడ్ కార్ వర్క్స్")</f>
        <v>రష్యన్ బాల్టిక్ రైల్‌రోడ్ కార్ వర్క్స్</v>
      </c>
      <c r="M36" s="1" t="s">
        <v>379</v>
      </c>
      <c r="N36" s="1" t="s">
        <v>516</v>
      </c>
      <c r="O36" s="1" t="str">
        <f>IFERROR(__xludf.DUMMYFUNCTION("GOOGLETRANSLATE(N:N, ""en"", ""te"")"),"మొదటి ప్రపంచ యుద్ధంలో ఉపయోగం కోసం బల్గేరియన్ సైన్యానికి విక్రయించబడింది")</f>
        <v>మొదటి ప్రపంచ యుద్ధంలో ఉపయోగం కోసం బల్గేరియన్ సైన్యానికి విక్రయించబడింది</v>
      </c>
      <c r="Q36" s="1" t="s">
        <v>212</v>
      </c>
      <c r="S36" s="1" t="s">
        <v>517</v>
      </c>
      <c r="U36" s="1" t="s">
        <v>518</v>
      </c>
      <c r="X36" s="1" t="s">
        <v>519</v>
      </c>
      <c r="Y36" s="1" t="s">
        <v>520</v>
      </c>
      <c r="AB36" s="1" t="s">
        <v>382</v>
      </c>
      <c r="AD36" s="5">
        <v>4566.0</v>
      </c>
      <c r="AE36" s="1">
        <v>1.0</v>
      </c>
      <c r="AF36" s="1" t="s">
        <v>521</v>
      </c>
      <c r="AI36" s="1" t="s">
        <v>522</v>
      </c>
      <c r="AL36" s="1" t="s">
        <v>523</v>
      </c>
      <c r="AM36" s="1" t="s">
        <v>524</v>
      </c>
      <c r="AN36" s="1" t="s">
        <v>525</v>
      </c>
      <c r="BV36" s="1" t="s">
        <v>526</v>
      </c>
    </row>
    <row r="37">
      <c r="A37" s="1" t="s">
        <v>527</v>
      </c>
      <c r="B37" s="1" t="str">
        <f>IFERROR(__xludf.DUMMYFUNCTION("GOOGLETRANSLATE(A:A, ""en"", ""te"")"),"XIX సెన్స్")</f>
        <v>XIX సెన్స్</v>
      </c>
      <c r="C37" s="1" t="s">
        <v>528</v>
      </c>
      <c r="D37" s="1" t="str">
        <f>IFERROR(__xludf.DUMMYFUNCTION("GOOGLETRANSLATE(C:C, ""en"", ""te"")"),"XIX సెన్స్ అనేది స్విస్ సింగిల్-ప్లేస్ పారాగ్లైడర్స్ శ్రేణి, దీనిని మిచి కోబ్లర్ రూపొందించారు మరియు 2000 ల మధ్యలో క్రోన్బోహ్ల్ యొక్క XIX GMBH చేత నిర్మించబడింది. ఇది ఇప్పుడు ఉత్పత్తికి దూరంగా ఉంది. [1] సెన్స్ పోటీ పనితీరు గ్లైడర్‌గా రూపొందించబడింది. డిజైన"&amp;"్ అనేక తరాల మోడళ్ల ద్వారా అభివృద్ధి చెందింది, ప్రతి ఒక్కటి చివరిగా మెరుగుపడుతుంది. మోడల్స్ వాటి సాపేక్ష పరిమాణానికి పేరు పెట్టబడ్డాయి. [1] సెన్స్ 2 ను భర్తీ చేయడానికి 2003 లో సెన్స్-సి 3 వెర్షన్ ప్రవేశపెట్టబడింది. [1] బెర్ట్రాండ్ నుండి డేటా [1] సాధారణ లక్"&amp;"షణాల పనితీరు")</f>
        <v>XIX సెన్స్ అనేది స్విస్ సింగిల్-ప్లేస్ పారాగ్లైడర్స్ శ్రేణి, దీనిని మిచి కోబ్లర్ రూపొందించారు మరియు 2000 ల మధ్యలో క్రోన్బోహ్ల్ యొక్క XIX GMBH చేత నిర్మించబడింది. ఇది ఇప్పుడు ఉత్పత్తికి దూరంగా ఉంది. [1] సెన్స్ పోటీ పనితీరు గ్లైడర్‌గా రూపొందించబడింది. డిజైన్ అనేక తరాల మోడళ్ల ద్వారా అభివృద్ధి చెందింది, ప్రతి ఒక్కటి చివరిగా మెరుగుపడుతుంది. మోడల్స్ వాటి సాపేక్ష పరిమాణానికి పేరు పెట్టబడ్డాయి. [1] సెన్స్ 2 ను భర్తీ చేయడానికి 2003 లో సెన్స్-సి 3 వెర్షన్ ప్రవేశపెట్టబడింది. [1] బెర్ట్రాండ్ నుండి డేటా [1] సాధారణ లక్షణాల పనితీరు</v>
      </c>
      <c r="E37" s="1" t="s">
        <v>154</v>
      </c>
      <c r="F37" s="1" t="str">
        <f>IFERROR(__xludf.DUMMYFUNCTION("GOOGLETRANSLATE(E:E, ""en"", ""te"")"),"పారాగ్లైడర్")</f>
        <v>పారాగ్లైడర్</v>
      </c>
      <c r="G37" s="3" t="s">
        <v>155</v>
      </c>
      <c r="H37" s="1" t="s">
        <v>192</v>
      </c>
      <c r="I37" s="1" t="str">
        <f>IFERROR(__xludf.DUMMYFUNCTION("GOOGLETRANSLATE(H:H, ""en"", ""te"")"),"స్విట్జర్లాండ్")</f>
        <v>స్విట్జర్లాండ్</v>
      </c>
      <c r="J37" s="3" t="s">
        <v>193</v>
      </c>
      <c r="K37" s="1" t="s">
        <v>194</v>
      </c>
      <c r="L37" s="2" t="str">
        <f>IFERROR(__xludf.DUMMYFUNCTION("GOOGLETRANSLATE(K:K, ""en"", ""te"")"),"XIX GMBH")</f>
        <v>XIX GMBH</v>
      </c>
      <c r="M37" s="1" t="s">
        <v>195</v>
      </c>
      <c r="N37" s="1" t="s">
        <v>171</v>
      </c>
      <c r="O37" s="1" t="str">
        <f>IFERROR(__xludf.DUMMYFUNCTION("GOOGLETRANSLATE(N:N, ""en"", ""te"")"),"ఉత్పత్తి పూర్తయింది")</f>
        <v>ఉత్పత్తి పూర్తయింది</v>
      </c>
      <c r="P37" s="1" t="s">
        <v>172</v>
      </c>
      <c r="Q37" s="1" t="s">
        <v>162</v>
      </c>
      <c r="R37" s="1" t="s">
        <v>529</v>
      </c>
      <c r="S37" s="1" t="s">
        <v>530</v>
      </c>
      <c r="T37" s="1">
        <v>6.3</v>
      </c>
      <c r="U37" s="1" t="s">
        <v>531</v>
      </c>
      <c r="V37" s="1" t="s">
        <v>532</v>
      </c>
      <c r="W37" s="1" t="s">
        <v>177</v>
      </c>
      <c r="AB37" s="1" t="s">
        <v>198</v>
      </c>
    </row>
    <row r="38">
      <c r="A38" s="1" t="s">
        <v>533</v>
      </c>
      <c r="B38" s="1" t="str">
        <f>IFERROR(__xludf.DUMMYFUNCTION("GOOGLETRANSLATE(A:A, ""en"", ""te"")"),"XIX స్మైల్")</f>
        <v>XIX స్మైల్</v>
      </c>
      <c r="C38" s="1" t="s">
        <v>534</v>
      </c>
      <c r="D38" s="1" t="str">
        <f>IFERROR(__xludf.DUMMYFUNCTION("GOOGLETRANSLATE(C:C, ""en"", ""te"")"),"XIX స్మైల్ అనేది స్విస్ సింగిల్-ప్లేస్ పారాగ్లైడర్, దీనిని మిచి కోబ్లెర్ రూపొందించారు మరియు 2003 లో ప్రవేశపెట్టిన క్రోన్బోహ్ల్ యొక్క XIX GmbH చేత నిర్మించబడింది. ఇది ఇప్పుడు ఉత్పత్తికి లేదు. [1] ఫ్లైట్ ట్రైనింగ్ పాత్ర కోసం స్మైల్ ఒక అనుభవశూన్యుడు గ్లైడర్‌"&amp;"గా రూపొందించబడింది. మోడల్స్ వాటి సాపేక్ష పరిమాణానికి పేరు పెట్టబడ్డాయి. [1] సమీక్షకుడు నోయెల్ బెర్ట్రాండ్ 2003 సమీక్షలో చిరునవ్వును ""మరింత అధునాతన XIX ఉత్పత్తుల నిర్మాణం మరియు పనితీరు యొక్క అన్ని నాణ్యత"" అని అభివర్ణించారు. [1] బెర్ట్రాండ్ నుండి డేటా [1]"&amp;" సాధారణ లక్షణాల పనితీరు")</f>
        <v>XIX స్మైల్ అనేది స్విస్ సింగిల్-ప్లేస్ పారాగ్లైడర్, దీనిని మిచి కోబ్లెర్ రూపొందించారు మరియు 2003 లో ప్రవేశపెట్టిన క్రోన్బోహ్ల్ యొక్క XIX GmbH చేత నిర్మించబడింది. ఇది ఇప్పుడు ఉత్పత్తికి లేదు. [1] ఫ్లైట్ ట్రైనింగ్ పాత్ర కోసం స్మైల్ ఒక అనుభవశూన్యుడు గ్లైడర్‌గా రూపొందించబడింది. మోడల్స్ వాటి సాపేక్ష పరిమాణానికి పేరు పెట్టబడ్డాయి. [1] సమీక్షకుడు నోయెల్ బెర్ట్రాండ్ 2003 సమీక్షలో చిరునవ్వును "మరింత అధునాతన XIX ఉత్పత్తుల నిర్మాణం మరియు పనితీరు యొక్క అన్ని నాణ్యత" అని అభివర్ణించారు. [1] బెర్ట్రాండ్ నుండి డేటా [1] సాధారణ లక్షణాల పనితీరు</v>
      </c>
      <c r="E38" s="1" t="s">
        <v>154</v>
      </c>
      <c r="F38" s="1" t="str">
        <f>IFERROR(__xludf.DUMMYFUNCTION("GOOGLETRANSLATE(E:E, ""en"", ""te"")"),"పారాగ్లైడర్")</f>
        <v>పారాగ్లైడర్</v>
      </c>
      <c r="G38" s="3" t="s">
        <v>155</v>
      </c>
      <c r="H38" s="1" t="s">
        <v>192</v>
      </c>
      <c r="I38" s="1" t="str">
        <f>IFERROR(__xludf.DUMMYFUNCTION("GOOGLETRANSLATE(H:H, ""en"", ""te"")"),"స్విట్జర్లాండ్")</f>
        <v>స్విట్జర్లాండ్</v>
      </c>
      <c r="J38" s="3" t="s">
        <v>193</v>
      </c>
      <c r="K38" s="1" t="s">
        <v>194</v>
      </c>
      <c r="L38" s="2" t="str">
        <f>IFERROR(__xludf.DUMMYFUNCTION("GOOGLETRANSLATE(K:K, ""en"", ""te"")"),"XIX GMBH")</f>
        <v>XIX GMBH</v>
      </c>
      <c r="M38" s="1" t="s">
        <v>195</v>
      </c>
      <c r="N38" s="1" t="s">
        <v>171</v>
      </c>
      <c r="O38" s="1" t="str">
        <f>IFERROR(__xludf.DUMMYFUNCTION("GOOGLETRANSLATE(N:N, ""en"", ""te"")"),"ఉత్పత్తి పూర్తయింది")</f>
        <v>ఉత్పత్తి పూర్తయింది</v>
      </c>
      <c r="Q38" s="1" t="s">
        <v>162</v>
      </c>
      <c r="R38" s="1" t="s">
        <v>400</v>
      </c>
      <c r="S38" s="1" t="s">
        <v>535</v>
      </c>
      <c r="T38" s="1">
        <v>5.05</v>
      </c>
      <c r="U38" s="1" t="s">
        <v>536</v>
      </c>
      <c r="V38" s="1" t="s">
        <v>261</v>
      </c>
      <c r="W38" s="1" t="s">
        <v>177</v>
      </c>
      <c r="AB38" s="1" t="s">
        <v>198</v>
      </c>
      <c r="AC38" s="1">
        <v>2003.0</v>
      </c>
    </row>
    <row r="39">
      <c r="A39" s="1" t="s">
        <v>537</v>
      </c>
      <c r="B39" s="1" t="str">
        <f>IFERROR(__xludf.DUMMYFUNCTION("GOOGLETRANSLATE(A:A, ""en"", ""te"")"),"అపోలో గైరో AG1")</f>
        <v>అపోలో గైరో AG1</v>
      </c>
      <c r="C39" s="1" t="s">
        <v>538</v>
      </c>
      <c r="D39" s="1" t="str">
        <f>IFERROR(__xludf.DUMMYFUNCTION("GOOGLETRANSLATE(C:C, ""en"", ""te"")"),"అపోలో గైరో AG1 అనేది అపోలో అల్ట్రాలైట్ ఎయిర్క్రాఫ్ట్, EGER యొక్క హంగేరియన్ ఆటోజీరో, 2012 లో ప్రవేశపెట్టింది. ఈ విమానం ఫ్లైకి సిద్ధంగా ఉంది. [1] ఈ విమానం వెల్డెడ్ స్టెయిన్లెస్ స్టీల్ ఫ్రేమ్‌లో నిర్మించిన క్యారేజీని కలిగి ఉంది, ఫైబర్‌గ్లాస్ కాంపోజిట్ స్ట్రీ"&amp;"మ్‌లైన్డ్ ఫెయిరింగ్, డ్యూయల్ కంట్రోల్స్, రెండు-సీట్ల-టాండమ్, ఓపెన్ కాక్‌పిట్, వీల్ ప్యాంటుతో ట్రైసైకిల్ ల్యాండింగ్ గేర్ మరియు పషర్ కాన్ఫిగరేషన్‌లో ఒకే ఇంజిన్ ఉన్నాయి. రోటర్ అల్యూమినియం మిశ్రమం మరియు న్యూమాటిక్ ప్రీ-డేటర్‌ను కలిగి ఉంటుంది. [1] [2] పవర్‌ప్ల"&amp;"ాంట్ ఎంపికలలో నాలుగు సిలిండర్, లిక్విడ్-కూల్డ్, ఫోర్-స్ట్రోక్, డ్యూయల్-ఇగ్నిషన్ 100 హెచ్‌పి (75 కిలోవాట్ వాస్తవానికి డ్యూయల్ విండ్‌షీల్డ్‌లతో ఓపెన్-కాక్‌పిట్ డిజైన్, 2013 లో బబుల్ పందిరిని ఒక ఎంపికగా ప్రవేశపెట్టారు. దీని బరువు 20 కిలోలు (44 ఎల్బి) మరియు ఐ"&amp;"దు నిమిషాల్లో వ్యవస్థాపించవచ్చు. [1] టాక్ మరియు తయారీదారు నుండి డేటా [1] [2] సాధారణ లక్షణాల పనితీరు")</f>
        <v>అపోలో గైరో AG1 అనేది అపోలో అల్ట్రాలైట్ ఎయిర్క్రాఫ్ట్, EGER యొక్క హంగేరియన్ ఆటోజీరో, 2012 లో ప్రవేశపెట్టింది. ఈ విమానం ఫ్లైకి సిద్ధంగా ఉంది. [1] ఈ విమానం వెల్డెడ్ స్టెయిన్లెస్ స్టీల్ ఫ్రేమ్‌లో నిర్మించిన క్యారేజీని కలిగి ఉంది, ఫైబర్‌గ్లాస్ కాంపోజిట్ స్ట్రీమ్‌లైన్డ్ ఫెయిరింగ్, డ్యూయల్ కంట్రోల్స్, రెండు-సీట్ల-టాండమ్, ఓపెన్ కాక్‌పిట్, వీల్ ప్యాంటుతో ట్రైసైకిల్ ల్యాండింగ్ గేర్ మరియు పషర్ కాన్ఫిగరేషన్‌లో ఒకే ఇంజిన్ ఉన్నాయి. రోటర్ అల్యూమినియం మిశ్రమం మరియు న్యూమాటిక్ ప్రీ-డేటర్‌ను కలిగి ఉంటుంది. [1] [2] పవర్‌ప్లాంట్ ఎంపికలలో నాలుగు సిలిండర్, లిక్విడ్-కూల్డ్, ఫోర్-స్ట్రోక్, డ్యూయల్-ఇగ్నిషన్ 100 హెచ్‌పి (75 కిలోవాట్ వాస్తవానికి డ్యూయల్ విండ్‌షీల్డ్‌లతో ఓపెన్-కాక్‌పిట్ డిజైన్, 2013 లో బబుల్ పందిరిని ఒక ఎంపికగా ప్రవేశపెట్టారు. దీని బరువు 20 కిలోలు (44 ఎల్బి) మరియు ఐదు నిమిషాల్లో వ్యవస్థాపించవచ్చు. [1] టాక్ మరియు తయారీదారు నుండి డేటా [1] [2] సాధారణ లక్షణాల పనితీరు</v>
      </c>
      <c r="E39" s="1" t="s">
        <v>539</v>
      </c>
      <c r="F39" s="1" t="str">
        <f>IFERROR(__xludf.DUMMYFUNCTION("GOOGLETRANSLATE(E:E, ""en"", ""te"")"),"అల్ట్రాలైట్ ఆటోజీరో")</f>
        <v>అల్ట్రాలైట్ ఆటోజీరో</v>
      </c>
      <c r="G39" s="1" t="s">
        <v>540</v>
      </c>
      <c r="H39" s="1" t="s">
        <v>541</v>
      </c>
      <c r="I39" s="1" t="str">
        <f>IFERROR(__xludf.DUMMYFUNCTION("GOOGLETRANSLATE(H:H, ""en"", ""te"")"),"హంగరీ")</f>
        <v>హంగరీ</v>
      </c>
      <c r="J39" s="3" t="s">
        <v>542</v>
      </c>
      <c r="K39" s="1" t="s">
        <v>543</v>
      </c>
      <c r="L39" s="2" t="str">
        <f>IFERROR(__xludf.DUMMYFUNCTION("GOOGLETRANSLATE(K:K, ""en"", ""te"")"),"అపోలో అల్ట్రాలైట్ విమానం")</f>
        <v>అపోలో అల్ట్రాలైట్ విమానం</v>
      </c>
      <c r="M39" s="1" t="s">
        <v>544</v>
      </c>
      <c r="P39" s="1" t="s">
        <v>545</v>
      </c>
      <c r="Q39" s="1">
        <v>1.0</v>
      </c>
      <c r="U39" s="1" t="s">
        <v>546</v>
      </c>
      <c r="X39" s="1" t="s">
        <v>547</v>
      </c>
      <c r="Y39" s="1" t="s">
        <v>548</v>
      </c>
      <c r="Z39" s="1" t="s">
        <v>546</v>
      </c>
      <c r="AA39" s="1" t="s">
        <v>549</v>
      </c>
      <c r="AC39" s="1">
        <v>2012.0</v>
      </c>
      <c r="AI39" s="1" t="s">
        <v>550</v>
      </c>
      <c r="AJ39" s="1" t="s">
        <v>551</v>
      </c>
      <c r="AL39" s="1" t="s">
        <v>552</v>
      </c>
      <c r="AM39" s="1" t="s">
        <v>553</v>
      </c>
      <c r="AS39" s="1" t="s">
        <v>554</v>
      </c>
      <c r="BJ39" s="1" t="s">
        <v>555</v>
      </c>
      <c r="BP39" s="1" t="s">
        <v>556</v>
      </c>
      <c r="BW39" s="1" t="s">
        <v>557</v>
      </c>
      <c r="BX39" s="1" t="s">
        <v>558</v>
      </c>
    </row>
    <row r="40">
      <c r="A40" s="1" t="s">
        <v>559</v>
      </c>
      <c r="B40" s="1" t="str">
        <f>IFERROR(__xludf.DUMMYFUNCTION("GOOGLETRANSLATE(A:A, ""en"", ""te"")"),"Iai rotem l")</f>
        <v>Iai rotem l</v>
      </c>
      <c r="C40" s="1" t="s">
        <v>560</v>
      </c>
      <c r="D40" s="1" t="str">
        <f>IFERROR(__xludf.DUMMYFUNCTION("GOOGLETRANSLATE(C:C, ""en"", ""te"")"),"IAI రోటెం ఎల్ లేదా ఇయా రోటెమ్ - లైట్ అనేది ఇజ్రాయెల్ ఏరోస్పేస్ ఇండస్ట్రీస్ అభివృద్ధి చేసిన ఒక దుర్మార్గం. డ్రోన్ ఒక క్వాడ్‌కాప్టర్, ఇది గరిష్ట పరిమితి 10 కి.మీ. ఇది రెండు ఫ్రాగ్మెంటేషన్ గ్రెనేడ్లుగా ఉండే 1 కిలోల వార్‌హెడ్‌ను తీసుకెళ్లగలదు. [1] రోటెం ఎల్‌న"&amp;"ు ఒకే సైనికుడు నిర్వహించవచ్చు. అనేక ఇతర లోయిటరింగ్ డ్రోన్‌ల మాదిరిగా కాకుండా, రోటెం మిషన్‌ను నిలిపివేసిన తర్వాత తిరిగి ఉపయోగించగల ముఖ్యమైన లక్షణాన్ని కలిగి ఉంది మరియు సురక్షితంగా సురక్షితమైన ప్రదేశంలో దిగింది. [2] ఇజ్రాయెల్ విమాన పరిశ్రమల నుండి డేటా [3] స"&amp;"ాధారణ లక్షణాలు పనితీరు ఆయుధాలు మానవరహిత వైమానిక వాహనంపై ఈ వ్యాసం ఒక స్టబ్. వికీపీడియా విస్తరించడం ద్వారా మీరు సహాయపడవచ్చు.")</f>
        <v>IAI రోటెం ఎల్ లేదా ఇయా రోటెమ్ - లైట్ అనేది ఇజ్రాయెల్ ఏరోస్పేస్ ఇండస్ట్రీస్ అభివృద్ధి చేసిన ఒక దుర్మార్గం. డ్రోన్ ఒక క్వాడ్‌కాప్టర్, ఇది గరిష్ట పరిమితి 10 కి.మీ. ఇది రెండు ఫ్రాగ్మెంటేషన్ గ్రెనేడ్లుగా ఉండే 1 కిలోల వార్‌హెడ్‌ను తీసుకెళ్లగలదు. [1] రోటెం ఎల్‌ను ఒకే సైనికుడు నిర్వహించవచ్చు. అనేక ఇతర లోయిటరింగ్ డ్రోన్‌ల మాదిరిగా కాకుండా, రోటెం మిషన్‌ను నిలిపివేసిన తర్వాత తిరిగి ఉపయోగించగల ముఖ్యమైన లక్షణాన్ని కలిగి ఉంది మరియు సురక్షితంగా సురక్షితమైన ప్రదేశంలో దిగింది. [2] ఇజ్రాయెల్ విమాన పరిశ్రమల నుండి డేటా [3] సాధారణ లక్షణాలు పనితీరు ఆయుధాలు మానవరహిత వైమానిక వాహనంపై ఈ వ్యాసం ఒక స్టబ్. వికీపీడియా విస్తరించడం ద్వారా మీరు సహాయపడవచ్చు.</v>
      </c>
      <c r="E40" s="1" t="s">
        <v>561</v>
      </c>
      <c r="F40" s="1" t="str">
        <f>IFERROR(__xludf.DUMMYFUNCTION("GOOGLETRANSLATE(E:E, ""en"", ""te"")"),"అసహ్యకరమైన ఆయుధాలు")</f>
        <v>అసహ్యకరమైన ఆయుధాలు</v>
      </c>
      <c r="G40" s="1" t="s">
        <v>562</v>
      </c>
      <c r="H40" s="1" t="s">
        <v>563</v>
      </c>
      <c r="I40" s="1" t="str">
        <f>IFERROR(__xludf.DUMMYFUNCTION("GOOGLETRANSLATE(H:H, ""en"", ""te"")"),"ఇజ్రాయెల్")</f>
        <v>ఇజ్రాయెల్</v>
      </c>
      <c r="K40" s="1" t="s">
        <v>564</v>
      </c>
      <c r="L40" s="2" t="str">
        <f>IFERROR(__xludf.DUMMYFUNCTION("GOOGLETRANSLATE(K:K, ""en"", ""te"")"),"Iai")</f>
        <v>Iai</v>
      </c>
      <c r="M40" s="3" t="s">
        <v>565</v>
      </c>
      <c r="N40" s="1" t="s">
        <v>54</v>
      </c>
      <c r="O40" s="1" t="str">
        <f>IFERROR(__xludf.DUMMYFUNCTION("GOOGLETRANSLATE(N:N, ""en"", ""te"")"),"సేవలో")</f>
        <v>సేవలో</v>
      </c>
      <c r="Q40" s="1" t="s">
        <v>566</v>
      </c>
      <c r="X40" s="1" t="s">
        <v>567</v>
      </c>
      <c r="AL40" s="1" t="s">
        <v>568</v>
      </c>
      <c r="AP40" s="1" t="s">
        <v>569</v>
      </c>
      <c r="BK40" s="1" t="s">
        <v>570</v>
      </c>
      <c r="BO40" s="1" t="s">
        <v>571</v>
      </c>
      <c r="BR40" s="1" t="s">
        <v>572</v>
      </c>
    </row>
    <row r="41">
      <c r="A41" s="1" t="s">
        <v>573</v>
      </c>
      <c r="B41" s="1" t="str">
        <f>IFERROR(__xludf.DUMMYFUNCTION("GOOGLETRANSLATE(A:A, ""en"", ""te"")"),"పెగాస్ బైన్")</f>
        <v>పెగాస్ బైన్</v>
      </c>
      <c r="C41" s="1" t="s">
        <v>574</v>
      </c>
      <c r="D41" s="1" t="str">
        <f>IFERROR(__xludf.DUMMYFUNCTION("GOOGLETRANSLATE(C:C, ""en"", ""te"")"),"పెగాస్ బైన్ అనేది చెక్ సింగిల్-ప్లేస్ పారాగ్లైడర్, దీనిని ప్రేగ్ యొక్క పెగాస్ 2000 రూపొందించారు మరియు ఉత్పత్తి చేసింది. 2002 లో పరిచయం చేయబడినది, ఇది ఇప్పుడు ఉత్పత్తికి దూరంగా ఉంది. [1] ఈ విమానం ఇంటర్మీడియట్ గ్లైడర్‌గా రూపొందించబడింది. మోడల్స్ ప్రతి ఒక్కట"&amp;"ి చదరపు మీటర్లలో వారి సుమారుగా వింగ్ ప్రాంతానికి పేరు పెట్టబడ్డాయి. [1] బెర్ట్రాండ్ నుండి డేటా [1] సాధారణ లక్షణాలు")</f>
        <v>పెగాస్ బైన్ అనేది చెక్ సింగిల్-ప్లేస్ పారాగ్లైడర్, దీనిని ప్రేగ్ యొక్క పెగాస్ 2000 రూపొందించారు మరియు ఉత్పత్తి చేసింది. 2002 లో పరిచయం చేయబడినది, ఇది ఇప్పుడు ఉత్పత్తికి దూరంగా ఉంది. [1] ఈ విమానం ఇంటర్మీడియట్ గ్లైడర్‌గా రూపొందించబడింది. మోడల్స్ ప్రతి ఒక్కటి చదరపు మీటర్లలో వారి సుమారుగా వింగ్ ప్రాంతానికి పేరు పెట్టబడ్డాయి. [1] బెర్ట్రాండ్ నుండి డేటా [1] సాధారణ లక్షణాలు</v>
      </c>
      <c r="E41" s="1" t="s">
        <v>154</v>
      </c>
      <c r="F41" s="1" t="str">
        <f>IFERROR(__xludf.DUMMYFUNCTION("GOOGLETRANSLATE(E:E, ""en"", ""te"")"),"పారాగ్లైడర్")</f>
        <v>పారాగ్లైడర్</v>
      </c>
      <c r="G41" s="3" t="s">
        <v>155</v>
      </c>
      <c r="H41" s="1" t="s">
        <v>246</v>
      </c>
      <c r="I41" s="1" t="str">
        <f>IFERROR(__xludf.DUMMYFUNCTION("GOOGLETRANSLATE(H:H, ""en"", ""te"")"),"చెక్ రిపబ్లిక్")</f>
        <v>చెక్ రిపబ్లిక్</v>
      </c>
      <c r="J41" s="1" t="s">
        <v>247</v>
      </c>
      <c r="K41" s="1" t="s">
        <v>411</v>
      </c>
      <c r="L41" s="2" t="str">
        <f>IFERROR(__xludf.DUMMYFUNCTION("GOOGLETRANSLATE(K:K, ""en"", ""te"")"),"పెగాస్ 2000")</f>
        <v>పెగాస్ 2000</v>
      </c>
      <c r="M41" s="1" t="s">
        <v>412</v>
      </c>
      <c r="N41" s="1" t="s">
        <v>171</v>
      </c>
      <c r="O41" s="1" t="str">
        <f>IFERROR(__xludf.DUMMYFUNCTION("GOOGLETRANSLATE(N:N, ""en"", ""te"")"),"ఉత్పత్తి పూర్తయింది")</f>
        <v>ఉత్పత్తి పూర్తయింది</v>
      </c>
      <c r="Q41" s="1" t="s">
        <v>162</v>
      </c>
      <c r="R41" s="1" t="s">
        <v>575</v>
      </c>
      <c r="S41" s="1" t="s">
        <v>576</v>
      </c>
      <c r="T41" s="1">
        <v>5.6</v>
      </c>
      <c r="U41" s="1" t="s">
        <v>203</v>
      </c>
      <c r="W41" s="1" t="s">
        <v>177</v>
      </c>
      <c r="AC41" s="1">
        <v>2002.0</v>
      </c>
    </row>
    <row r="42">
      <c r="A42" s="1" t="s">
        <v>577</v>
      </c>
      <c r="B42" s="1" t="str">
        <f>IFERROR(__xludf.DUMMYFUNCTION("GOOGLETRANSLATE(A:A, ""en"", ""te"")"),"పెగాస్ సెర్టస్")</f>
        <v>పెగాస్ సెర్టస్</v>
      </c>
      <c r="C42" s="1" t="s">
        <v>578</v>
      </c>
      <c r="D42" s="1" t="str">
        <f>IFERROR(__xludf.DUMMYFUNCTION("GOOGLETRANSLATE(C:C, ""en"", ""te"")"),"పెగాస్ సెర్టస్ అనేది చెక్ సింగిల్-ప్లేస్ పారాగ్లైడర్, దీనిని ప్రేగ్ యొక్క పెగాస్ 2000 రూపొందించారు మరియు నిర్మించారు. ఇది ఇప్పుడు ఉత్పత్తికి దూరంగా ఉంది. [1] ఈ విమానం పోటీ గ్లైడర్‌గా రూపొందించబడింది. మోడల్స్ ప్రతి ఒక్కటి చదరపు మీటర్లలో వారి సుమారుగా వింగ్"&amp;" ప్రాంతానికి పేరు పెట్టబడ్డాయి. [1] డిజైన్ అనేక తరాల మోడళ్ల ద్వారా అభివృద్ధి చెందింది, ప్రతి ఒక్కటి చివరిగా మెరుగుపడుతుంది. [1] బెర్ట్రాండ్ నుండి డేటా [1] సాధారణ లక్షణాలు")</f>
        <v>పెగాస్ సెర్టస్ అనేది చెక్ సింగిల్-ప్లేస్ పారాగ్లైడర్, దీనిని ప్రేగ్ యొక్క పెగాస్ 2000 రూపొందించారు మరియు నిర్మించారు. ఇది ఇప్పుడు ఉత్పత్తికి దూరంగా ఉంది. [1] ఈ విమానం పోటీ గ్లైడర్‌గా రూపొందించబడింది. మోడల్స్ ప్రతి ఒక్కటి చదరపు మీటర్లలో వారి సుమారుగా వింగ్ ప్రాంతానికి పేరు పెట్టబడ్డాయి. [1] డిజైన్ అనేక తరాల మోడళ్ల ద్వారా అభివృద్ధి చెందింది, ప్రతి ఒక్కటి చివరిగా మెరుగుపడుతుంది. [1] బెర్ట్రాండ్ నుండి డేటా [1] సాధారణ లక్షణాలు</v>
      </c>
      <c r="E42" s="1" t="s">
        <v>154</v>
      </c>
      <c r="F42" s="1" t="str">
        <f>IFERROR(__xludf.DUMMYFUNCTION("GOOGLETRANSLATE(E:E, ""en"", ""te"")"),"పారాగ్లైడర్")</f>
        <v>పారాగ్లైడర్</v>
      </c>
      <c r="G42" s="3" t="s">
        <v>155</v>
      </c>
      <c r="H42" s="1" t="s">
        <v>246</v>
      </c>
      <c r="I42" s="1" t="str">
        <f>IFERROR(__xludf.DUMMYFUNCTION("GOOGLETRANSLATE(H:H, ""en"", ""te"")"),"చెక్ రిపబ్లిక్")</f>
        <v>చెక్ రిపబ్లిక్</v>
      </c>
      <c r="J42" s="1" t="s">
        <v>247</v>
      </c>
      <c r="K42" s="1" t="s">
        <v>411</v>
      </c>
      <c r="L42" s="2" t="str">
        <f>IFERROR(__xludf.DUMMYFUNCTION("GOOGLETRANSLATE(K:K, ""en"", ""te"")"),"పెగాస్ 2000")</f>
        <v>పెగాస్ 2000</v>
      </c>
      <c r="M42" s="1" t="s">
        <v>412</v>
      </c>
      <c r="N42" s="1" t="s">
        <v>171</v>
      </c>
      <c r="O42" s="1" t="str">
        <f>IFERROR(__xludf.DUMMYFUNCTION("GOOGLETRANSLATE(N:N, ""en"", ""te"")"),"ఉత్పత్తి పూర్తయింది")</f>
        <v>ఉత్పత్తి పూర్తయింది</v>
      </c>
      <c r="Q42" s="1" t="s">
        <v>162</v>
      </c>
      <c r="R42" s="1" t="s">
        <v>579</v>
      </c>
      <c r="S42" s="1" t="s">
        <v>580</v>
      </c>
      <c r="T42" s="1">
        <v>6.5</v>
      </c>
      <c r="U42" s="1" t="s">
        <v>581</v>
      </c>
      <c r="V42" s="1" t="s">
        <v>176</v>
      </c>
      <c r="W42" s="1" t="s">
        <v>177</v>
      </c>
    </row>
    <row r="43">
      <c r="A43" s="1" t="s">
        <v>582</v>
      </c>
      <c r="B43" s="1" t="str">
        <f>IFERROR(__xludf.DUMMYFUNCTION("GOOGLETRANSLATE(A:A, ""en"", ""te"")"),"స్కై అటిస్")</f>
        <v>స్కై అటిస్</v>
      </c>
      <c r="C43" s="1" t="s">
        <v>583</v>
      </c>
      <c r="D43" s="1" t="str">
        <f>IFERROR(__xludf.DUMMYFUNCTION("GOOGLETRANSLATE(C:C, ""en"", ""te"")"),"స్కై అటిస్ ఒక చెక్ సింగిల్-ప్లేస్ పారాగ్లైడర్, ఇది ఫ్రేడ్లాంట్ నాడ్ ఓస్ట్రావిసి యొక్క స్కై పారాగ్లైడర్స్ చేత రూపొందించబడింది మరియు నిర్మించింది. ఇది 2003 లో ప్రవేశపెట్టబడింది మరియు 2016 లో ATIS 4 గా ఉత్పత్తిలో ఉంది. [1] ATIS ఇంటర్మీడియట్ గ్లైడర్‌కు ఒక అను"&amp;"భవశూన్యుడుగా రూపొందించబడింది. [1] ఈ డిజైన్ నాలుగు తరాల మోడళ్ల ద్వారా అభివృద్ధి చెందింది, ATIS, ATIS 2, 3 మరియు 4, ప్రతి ఒక్కటి చివరిగా మెరుగుపడుతుంది. నమూనాలు వాటి సాపేక్ష పరిమాణానికి పేరు పెట్టబడ్డాయి. [1] [2] తయారీదారు నుండి డేటా [2] సాధారణ లక్షణాల పనిత"&amp;"ీరు")</f>
        <v>స్కై అటిస్ ఒక చెక్ సింగిల్-ప్లేస్ పారాగ్లైడర్, ఇది ఫ్రేడ్లాంట్ నాడ్ ఓస్ట్రావిసి యొక్క స్కై పారాగ్లైడర్స్ చేత రూపొందించబడింది మరియు నిర్మించింది. ఇది 2003 లో ప్రవేశపెట్టబడింది మరియు 2016 లో ATIS 4 గా ఉత్పత్తిలో ఉంది. [1] ATIS ఇంటర్మీడియట్ గ్లైడర్‌కు ఒక అనుభవశూన్యుడుగా రూపొందించబడింది. [1] ఈ డిజైన్ నాలుగు తరాల మోడళ్ల ద్వారా అభివృద్ధి చెందింది, ATIS, ATIS 2, 3 మరియు 4, ప్రతి ఒక్కటి చివరిగా మెరుగుపడుతుంది. నమూనాలు వాటి సాపేక్ష పరిమాణానికి పేరు పెట్టబడ్డాయి. [1] [2] తయారీదారు నుండి డేటా [2] సాధారణ లక్షణాల పనితీరు</v>
      </c>
      <c r="E43" s="1" t="s">
        <v>154</v>
      </c>
      <c r="F43" s="1" t="str">
        <f>IFERROR(__xludf.DUMMYFUNCTION("GOOGLETRANSLATE(E:E, ""en"", ""te"")"),"పారాగ్లైడర్")</f>
        <v>పారాగ్లైడర్</v>
      </c>
      <c r="G43" s="3" t="s">
        <v>155</v>
      </c>
      <c r="H43" s="1" t="s">
        <v>246</v>
      </c>
      <c r="I43" s="1" t="str">
        <f>IFERROR(__xludf.DUMMYFUNCTION("GOOGLETRANSLATE(H:H, ""en"", ""te"")"),"చెక్ రిపబ్లిక్")</f>
        <v>చెక్ రిపబ్లిక్</v>
      </c>
      <c r="J43" s="1" t="s">
        <v>247</v>
      </c>
      <c r="K43" s="1" t="s">
        <v>248</v>
      </c>
      <c r="L43" s="2" t="str">
        <f>IFERROR(__xludf.DUMMYFUNCTION("GOOGLETRANSLATE(K:K, ""en"", ""te"")"),"స్కై పారాగ్లైడర్స్")</f>
        <v>స్కై పారాగ్లైడర్స్</v>
      </c>
      <c r="M43" s="1" t="s">
        <v>249</v>
      </c>
      <c r="N43" s="1" t="s">
        <v>584</v>
      </c>
      <c r="O43" s="1" t="str">
        <f>IFERROR(__xludf.DUMMYFUNCTION("GOOGLETRANSLATE(N:N, ""en"", ""te"")"),"ఉత్పత్తిలో")</f>
        <v>ఉత్పత్తిలో</v>
      </c>
      <c r="P43" s="1" t="s">
        <v>585</v>
      </c>
      <c r="Q43" s="1" t="s">
        <v>162</v>
      </c>
      <c r="R43" s="1" t="s">
        <v>586</v>
      </c>
      <c r="S43" s="1" t="s">
        <v>587</v>
      </c>
      <c r="T43" s="1">
        <v>5.2</v>
      </c>
      <c r="U43" s="1" t="s">
        <v>588</v>
      </c>
      <c r="V43" s="1" t="s">
        <v>339</v>
      </c>
      <c r="X43" s="1" t="s">
        <v>589</v>
      </c>
      <c r="Y43" s="1" t="s">
        <v>590</v>
      </c>
      <c r="Z43" s="1" t="s">
        <v>591</v>
      </c>
      <c r="AA43" s="1" t="s">
        <v>358</v>
      </c>
      <c r="AC43" s="1">
        <v>2003.0</v>
      </c>
      <c r="BM43" s="1">
        <v>9.0</v>
      </c>
    </row>
    <row r="44">
      <c r="A44" s="1" t="s">
        <v>592</v>
      </c>
      <c r="B44" s="1" t="str">
        <f>IFERROR(__xludf.DUMMYFUNCTION("GOOGLETRANSLATE(A:A, ""en"", ""te"")"),"స్కై మంట")</f>
        <v>స్కై మంట</v>
      </c>
      <c r="C44" s="1" t="s">
        <v>593</v>
      </c>
      <c r="D44" s="1" t="str">
        <f>IFERROR(__xludf.DUMMYFUNCTION("GOOGLETRANSLATE(C:C, ""en"", ""te"")"),"స్కై ఫ్లేర్ ఒక చెక్ సింగిల్-ప్లేస్ పారాగ్లైడర్, ఇది ఫ్రెడ్లాంట్ నాడ్ ఓస్ట్రావిసి యొక్క స్కై పారాగ్లైడర్స్ చేత రూపొందించబడింది మరియు ఉత్పత్తి చేస్తుంది. ఇది ఇప్పుడు ఉత్పత్తికి దూరంగా ఉంది. [1] మంటను పోటీ గ్లైడర్‌గా రూపొందించారు. మోడల్స్ ప్రతి ఒక్కటి చదరపు "&amp;"మీటర్లలో వారి సుమారుగా వింగ్ ప్రాంతానికి పేరు పెట్టబడ్డాయి. [1] బెర్ట్రాండ్ నుండి డేటా [1] సాధారణ లక్షణాలు")</f>
        <v>స్కై ఫ్లేర్ ఒక చెక్ సింగిల్-ప్లేస్ పారాగ్లైడర్, ఇది ఫ్రెడ్లాంట్ నాడ్ ఓస్ట్రావిసి యొక్క స్కై పారాగ్లైడర్స్ చేత రూపొందించబడింది మరియు ఉత్పత్తి చేస్తుంది. ఇది ఇప్పుడు ఉత్పత్తికి దూరంగా ఉంది. [1] మంటను పోటీ గ్లైడర్‌గా రూపొందించారు. మోడల్స్ ప్రతి ఒక్కటి చదరపు మీటర్లలో వారి సుమారుగా వింగ్ ప్రాంతానికి పేరు పెట్టబడ్డాయి. [1] బెర్ట్రాండ్ నుండి డేటా [1] సాధారణ లక్షణాలు</v>
      </c>
      <c r="E44" s="1" t="s">
        <v>154</v>
      </c>
      <c r="F44" s="1" t="str">
        <f>IFERROR(__xludf.DUMMYFUNCTION("GOOGLETRANSLATE(E:E, ""en"", ""te"")"),"పారాగ్లైడర్")</f>
        <v>పారాగ్లైడర్</v>
      </c>
      <c r="G44" s="3" t="s">
        <v>155</v>
      </c>
      <c r="H44" s="1" t="s">
        <v>246</v>
      </c>
      <c r="I44" s="1" t="str">
        <f>IFERROR(__xludf.DUMMYFUNCTION("GOOGLETRANSLATE(H:H, ""en"", ""te"")"),"చెక్ రిపబ్లిక్")</f>
        <v>చెక్ రిపబ్లిక్</v>
      </c>
      <c r="J44" s="1" t="s">
        <v>247</v>
      </c>
      <c r="K44" s="1" t="s">
        <v>248</v>
      </c>
      <c r="L44" s="2" t="str">
        <f>IFERROR(__xludf.DUMMYFUNCTION("GOOGLETRANSLATE(K:K, ""en"", ""te"")"),"స్కై పారాగ్లైడర్స్")</f>
        <v>స్కై పారాగ్లైడర్స్</v>
      </c>
      <c r="M44" s="1" t="s">
        <v>249</v>
      </c>
      <c r="N44" s="1" t="s">
        <v>171</v>
      </c>
      <c r="O44" s="1" t="str">
        <f>IFERROR(__xludf.DUMMYFUNCTION("GOOGLETRANSLATE(N:N, ""en"", ""te"")"),"ఉత్పత్తి పూర్తయింది")</f>
        <v>ఉత్పత్తి పూర్తయింది</v>
      </c>
      <c r="Q44" s="1" t="s">
        <v>162</v>
      </c>
      <c r="R44" s="1" t="s">
        <v>594</v>
      </c>
      <c r="S44" s="1" t="s">
        <v>256</v>
      </c>
      <c r="T44" s="1">
        <v>6.4</v>
      </c>
      <c r="W44" s="1" t="s">
        <v>177</v>
      </c>
    </row>
    <row r="45">
      <c r="A45" s="1" t="s">
        <v>595</v>
      </c>
      <c r="B45" s="1" t="str">
        <f>IFERROR(__xludf.DUMMYFUNCTION("GOOGLETRANSLATE(A:A, ""en"", ""te"")"),"స్కై గోలెం")</f>
        <v>స్కై గోలెం</v>
      </c>
      <c r="C45" s="1" t="s">
        <v>596</v>
      </c>
      <c r="D45" s="1" t="str">
        <f>IFERROR(__xludf.DUMMYFUNCTION("GOOGLETRANSLATE(C:C, ""en"", ""te"")"),"స్కై గోలెం ఒక చెక్ రెండు-ప్రదేశాల పారాగ్లైడర్, ఇది ఫ్రెడ్లాంట్ నాడ్ ఓస్ట్రావికా యొక్క స్కై పారాగ్లైడర్స్ చేత రూపొందించబడింది మరియు నిర్మించింది. ఇది పురాణ గోలెం పాత్రకు పేరు పెట్టబడింది మరియు ఇప్పుడు ఉత్పత్తికి దూరంగా ఉంది. [1] గోలెం విమాన శిక్షణ కోసం టెన"&amp;"్డం గ్లైడర్‌గా రూపొందించబడింది. [1] విమానం యొక్క 14.31 మీ (46.9 అడుగులు) స్పాన్ వింగ్ 56 కణాలు, రెక్క ప్రాంతం 40.23 మీ 2 (433.0 చదరపు అడుగులు) మరియు 5.1: 1 యొక్క కారక నిష్పత్తిని కలిగి ఉంది. సిబ్బంది బరువు పరిధి 140 నుండి 210 కిలోలు (309 నుండి 463 పౌండ్లు"&amp;"). గ్లైడర్ అఫ్నోర్ ద్వి-స్థలం ధృవీకరించబడింది. [1] బెర్ట్రాండ్ నుండి డేటా [1] సాధారణ లక్షణాలు")</f>
        <v>స్కై గోలెం ఒక చెక్ రెండు-ప్రదేశాల పారాగ్లైడర్, ఇది ఫ్రెడ్లాంట్ నాడ్ ఓస్ట్రావికా యొక్క స్కై పారాగ్లైడర్స్ చేత రూపొందించబడింది మరియు నిర్మించింది. ఇది పురాణ గోలెం పాత్రకు పేరు పెట్టబడింది మరియు ఇప్పుడు ఉత్పత్తికి దూరంగా ఉంది. [1] గోలెం విమాన శిక్షణ కోసం టెన్డం గ్లైడర్‌గా రూపొందించబడింది. [1] విమానం యొక్క 14.31 మీ (46.9 అడుగులు) స్పాన్ వింగ్ 56 కణాలు, రెక్క ప్రాంతం 40.23 మీ 2 (433.0 చదరపు అడుగులు) మరియు 5.1: 1 యొక్క కారక నిష్పత్తిని కలిగి ఉంది. సిబ్బంది బరువు పరిధి 140 నుండి 210 కిలోలు (309 నుండి 463 పౌండ్లు). గ్లైడర్ అఫ్నోర్ ద్వి-స్థలం ధృవీకరించబడింది. [1] బెర్ట్రాండ్ నుండి డేటా [1] సాధారణ లక్షణాలు</v>
      </c>
      <c r="E45" s="1" t="s">
        <v>154</v>
      </c>
      <c r="F45" s="1" t="str">
        <f>IFERROR(__xludf.DUMMYFUNCTION("GOOGLETRANSLATE(E:E, ""en"", ""te"")"),"పారాగ్లైడర్")</f>
        <v>పారాగ్లైడర్</v>
      </c>
      <c r="G45" s="3" t="s">
        <v>155</v>
      </c>
      <c r="H45" s="1" t="s">
        <v>246</v>
      </c>
      <c r="I45" s="1" t="str">
        <f>IFERROR(__xludf.DUMMYFUNCTION("GOOGLETRANSLATE(H:H, ""en"", ""te"")"),"చెక్ రిపబ్లిక్")</f>
        <v>చెక్ రిపబ్లిక్</v>
      </c>
      <c r="J45" s="1" t="s">
        <v>247</v>
      </c>
      <c r="K45" s="1" t="s">
        <v>248</v>
      </c>
      <c r="L45" s="2" t="str">
        <f>IFERROR(__xludf.DUMMYFUNCTION("GOOGLETRANSLATE(K:K, ""en"", ""te"")"),"స్కై పారాగ్లైడర్స్")</f>
        <v>స్కై పారాగ్లైడర్స్</v>
      </c>
      <c r="M45" s="1" t="s">
        <v>249</v>
      </c>
      <c r="N45" s="1" t="s">
        <v>171</v>
      </c>
      <c r="O45" s="1" t="str">
        <f>IFERROR(__xludf.DUMMYFUNCTION("GOOGLETRANSLATE(N:N, ""en"", ""te"")"),"ఉత్పత్తి పూర్తయింది")</f>
        <v>ఉత్పత్తి పూర్తయింది</v>
      </c>
      <c r="P45" s="1" t="s">
        <v>172</v>
      </c>
      <c r="Q45" s="1" t="s">
        <v>162</v>
      </c>
      <c r="R45" s="1" t="s">
        <v>597</v>
      </c>
      <c r="S45" s="1" t="s">
        <v>598</v>
      </c>
      <c r="T45" s="1">
        <v>5.1</v>
      </c>
      <c r="AM45" s="1" t="s">
        <v>330</v>
      </c>
    </row>
    <row r="46">
      <c r="A46" s="1" t="s">
        <v>599</v>
      </c>
      <c r="B46" s="1" t="str">
        <f>IFERROR(__xludf.DUMMYFUNCTION("GOOGLETRANSLATE(A:A, ""en"", ""te"")"),"సోల్ యారిస్")</f>
        <v>సోల్ యారిస్</v>
      </c>
      <c r="C46" s="1" t="s">
        <v>600</v>
      </c>
      <c r="D46" s="1" t="str">
        <f>IFERROR(__xludf.DUMMYFUNCTION("GOOGLETRANSLATE(C:C, ""en"", ""te"")"),"సోల్ యారిస్ అనేది బ్రెజిలియన్ సింగిల్-ప్లేస్ పారాగ్లైడర్, దీనిని 2000 ల మధ్యలో జరాగూవ్ డో సుల్ యొక్క సోల్ పారాగ్లైడర్స్ రూపొందించారు మరియు ఉత్పత్తి చేశారు. ఇది ఇప్పుడు ఉత్పత్తికి దూరంగా ఉంది. [1] యారిస్ ఇంటర్మీడియట్ గ్లైడర్‌గా రూపొందించబడింది. మోడల్స్ వాట"&amp;"ి సాపేక్ష పరిమాణానికి పేరు పెట్టబడ్డాయి. [1] బెర్ట్రాండ్ నుండి డేటా [1] సాధారణ లక్షణాల పనితీరు")</f>
        <v>సోల్ యారిస్ అనేది బ్రెజిలియన్ సింగిల్-ప్లేస్ పారాగ్లైడర్, దీనిని 2000 ల మధ్యలో జరాగూవ్ డో సుల్ యొక్క సోల్ పారాగ్లైడర్స్ రూపొందించారు మరియు ఉత్పత్తి చేశారు. ఇది ఇప్పుడు ఉత్పత్తికి దూరంగా ఉంది. [1] యారిస్ ఇంటర్మీడియట్ గ్లైడర్‌గా రూపొందించబడింది. మోడల్స్ వాటి సాపేక్ష పరిమాణానికి పేరు పెట్టబడ్డాయి. [1] బెర్ట్రాండ్ నుండి డేటా [1] సాధారణ లక్షణాల పనితీరు</v>
      </c>
      <c r="E46" s="1" t="s">
        <v>154</v>
      </c>
      <c r="F46" s="1" t="str">
        <f>IFERROR(__xludf.DUMMYFUNCTION("GOOGLETRANSLATE(E:E, ""en"", ""te"")"),"పారాగ్లైడర్")</f>
        <v>పారాగ్లైడర్</v>
      </c>
      <c r="G46" s="3" t="s">
        <v>155</v>
      </c>
      <c r="H46" s="1" t="s">
        <v>156</v>
      </c>
      <c r="I46" s="1" t="str">
        <f>IFERROR(__xludf.DUMMYFUNCTION("GOOGLETRANSLATE(H:H, ""en"", ""te"")"),"బ్రెజిల్")</f>
        <v>బ్రెజిల్</v>
      </c>
      <c r="J46" s="3" t="s">
        <v>157</v>
      </c>
      <c r="K46" s="1" t="s">
        <v>169</v>
      </c>
      <c r="L46" s="2" t="str">
        <f>IFERROR(__xludf.DUMMYFUNCTION("GOOGLETRANSLATE(K:K, ""en"", ""te"")"),"సోల్ పారాగిడర్స్")</f>
        <v>సోల్ పారాగిడర్స్</v>
      </c>
      <c r="M46" s="1" t="s">
        <v>170</v>
      </c>
      <c r="N46" s="1" t="s">
        <v>171</v>
      </c>
      <c r="O46" s="1" t="str">
        <f>IFERROR(__xludf.DUMMYFUNCTION("GOOGLETRANSLATE(N:N, ""en"", ""te"")"),"ఉత్పత్తి పూర్తయింది")</f>
        <v>ఉత్పత్తి పూర్తయింది</v>
      </c>
      <c r="P46" s="1" t="s">
        <v>172</v>
      </c>
      <c r="Q46" s="1" t="s">
        <v>162</v>
      </c>
      <c r="R46" s="1" t="s">
        <v>601</v>
      </c>
      <c r="S46" s="1" t="s">
        <v>602</v>
      </c>
      <c r="T46" s="1">
        <v>5.02</v>
      </c>
      <c r="U46" s="1" t="s">
        <v>175</v>
      </c>
      <c r="V46" s="1" t="s">
        <v>166</v>
      </c>
      <c r="W46" s="1" t="s">
        <v>177</v>
      </c>
    </row>
    <row r="47">
      <c r="A47" s="1" t="s">
        <v>603</v>
      </c>
      <c r="B47" s="1" t="str">
        <f>IFERROR(__xludf.DUMMYFUNCTION("GOOGLETRANSLATE(A:A, ""en"", ""te"")"),"అవియాడ్ జిగోలో MG12")</f>
        <v>అవియాడ్ జిగోలో MG12</v>
      </c>
      <c r="C47" s="1" t="s">
        <v>604</v>
      </c>
      <c r="D47" s="1" t="str">
        <f>IFERROR(__xludf.DUMMYFUNCTION("GOOGLETRANSLATE(C:C, ""en"", ""te"")"),"ఏవియాడ్ జిగోలో MG12 అనేది ఇటాలియన్ కిట్‌బిల్ట్ ఇంట్రడక్టరీ మోటార్-గ్లైడర్ మొదట 2012 లో ఎగిరింది. ఇది ఒక చిన్న ఇంజిన్ మరియు పరిమిత గ్లైడింగ్ పనితీరును కలిగి ఉంది, కానీ కొనడానికి మరియు నడపడానికి చవకైనది మరియు నిర్మించడానికి మరియు ఎగరడానికి సరళమైనది. కిట్ ఉత"&amp;"్పత్తి 2013 లో ప్రారంభమైంది మరియు తరువాతి సంవత్సరం నాటికి ఇరవై విక్రయించబడింది. ఫ్రాన్సిస్కో డి మార్టినో రూపొందించిన జిగోలో శక్తి లేని శాండ్లిన్ మేక ప్రాధమిక గ్లైడర్ మీద ఆధారపడింది. రూపకల్పన ప్రాధాన్యత మోటారు-గ్లైడర్‌ను ఉత్పత్తి చేయడం, ఇది నిర్మించడానికి,"&amp;" రవాణా చేయడానికి మరియు నిల్వ చేయడానికి చవకైనది. ఇది శక్తితో కూడిన గ్లైడర్‌గా విక్రయించబడుతుంది, కాని UK లో SSDR (సింగిల్-సీట్, సడలింపు) మైక్రోలైట్ గా అర్హత సాధించింది. కిట్ బిల్డ్ సమయం 100 గంటల కన్నా తక్కువ కోట్ చేయబడింది. ఇది రవాణా కోసం కూల్చివేయబడుతుంది"&amp;" మరియు ఒక గంటలో విమానానికి తిరిగి కలపవచ్చు. [1] అంతటా దీని నిర్మాణం అల్యూమినియం గొట్టాలపై ఆధారపడి ఉంటుంది, దాని ఎగిరే ఉపరితలాలు బంధిత బట్టతో కప్పబడి ఉంటాయి. ఇది దీర్ఘచతురస్రాకార ప్రణాళిక యొక్క అధిక, కలుపు, రెక్కలను కలిగి ఉంది, ఇది 3 ° డైహెడ్రల్ తో రిగ్ చే"&amp;"యబడింది. ఐలెరాన్లు సెంట్రల్ గ్యాప్ కాకుండా వెనుకంజలో ఉన్న అంచులను ఆక్రమిస్తాయి. [1] ఫ్యూజ్‌లేజ్ ఒక వెలికితీసిన ట్యూబ్ నిర్మాణం, ఇది ఒక జత గొట్టాలపై బహిర్గతమైన పైలట్ యొక్క సీటు, ఫార్వర్డ్ విభాగానికి ఆధారం దాని క్రింద వక్ర రీన్ఫోర్సింగ్ గిర్డర్‌తో ఉంటుంది. "&amp;"ప్రాధమిక వింగ్ బ్రేసింగ్, వింగ్ స్పార్స్ నుండి V- స్ట్రట్స్ వాటికి జతచేయబడతాయి. వారు ముక్కు వద్ద కలుస్తారు, అక్కడ మరొక ట్యూబ్ వాటిని ఫార్వర్డ్ స్పార్‌కు చేరింది. రెక్క వెనుక దిగువ ఫ్యూజ్‌లేజ్ సభ్యుడు ఒకే ట్యూబ్, దాని ఫార్వర్డ్ ఎండ్ వద్ద ఒక జత గొట్టాల ద్వా"&amp;"రా వెనుక స్పార్ వరకు మరియు వెనుక భాగంలో వెనుక స్పార్ వరకు మరొక పొడవైన జత ద్వారా కలుపుతారు. వెనుక స్పార్ నుండి నిలువు చుక్కాని పోస్ట్ వరకు ఒక క్షితిజ సమాంతర జత గొట్టాలు, ఇది దాని బేస్ వద్ద దిగువ ఫ్యూజ్‌లేజ్ ట్యూబ్‌లో కలుస్తుంది, వెనుక ఫ్రేమ్‌ను పూర్తి చేస్"&amp;"తుంది. ఎగువ ఫ్రేమ్ సమతుల్య ఎలివేటర్లతో స్ట్రెయిట్-ఎడ్జ్డ్ టెయిల్ ప్లేన్ మరియు సమతుల్య చుక్కానితో మద్దతు ఇస్తుంది, ఇది కీల్ నుండి టెయిల్ ప్లేన్ పైన ఎలివేటర్ కటౌట్ ద్వారా విస్తరించి ఉంటుంది. [1] జిగోలో యొక్క 18.3 హెచ్‌పి (13.6 కిలోవాట్ల) సింగిల్-సిలిండర్ టూ"&amp;"-స్ట్రోక్ ఇంజన్ వింగ్ వెనుకంజలో ఉన్న ఎడ్జ్ క్రింద పషర్ కాన్ఫిగరేషన్‌లో ఫ్యూజ్‌లేజ్ ఫ్రేమ్‌పై అమర్చబడింది. దాని ప్రొపెల్లర్ బెల్ట్ గేరింగ్ ద్వారా నడపబడుతుంది, ఇది ఐలెరాన్స్ మధ్య అంతరాన్ని కలిగి ఉన్న ప్రొపెల్లర్ డిస్క్ పైభాగం. ఐచ్ఛిక ఎలక్ట్రిక్ ఇంజిన్ కూడా "&amp;"అందుబాటులో ఉంది. [1] [2] ఇది చిన్న మెయిన్‌వీల్స్‌తో స్థిర ల్యాండింగ్ గేర్‌ను కలిగి ఉంది, ఇది ప్రధాన ఫ్యూజ్‌లేజ్ ఫ్రేమ్ క్రింద ఉన్న సెంట్రల్ పైలాన్ నుండి అతుక్కొని ఉన్న స్ప్లిట్ ఇరుసులపై 1.1 మీ (3 అడుగుల 7 అంగుళాలు) వేరుగా ఉంటుంది. గ్యాస్ షాక్ అబ్జార్బర్స్"&amp;" ఇరుసుల అంత్య భాగాల నుండి దిగువ ఫ్రేమ్ వరకు మొగ్గు చూపుతాయి. ఒక చిన్న టెయిల్‌వీల్ ఉంది. జింగాలో పైలట్ కంటే ముందు వాలుగా ఉన్న ఫ్యూజ్‌లేజ్ సభ్యుడిపై అమర్చిన బాలిస్టిక్ పారాచూట్‌తో అమర్చారు. [1] జిగోలో మొదట 2012 లో ప్రయాణించారు మరియు ఆ సంవత్సరం తరువాత ప్రోటో"&amp;"టైప్‌ను ఒక ప్రదర్శనకారుడు చేరారు. మొదటి ఉత్పత్తి విమానం ఏప్రిల్ 2013 ఫ్రెడరిచాఫెన్ షోలో కనిపించింది; అప్పటికి ఈ రకం 300 గంటలకు పైగా ఎగిరింది. ఇరవై కిట్లు మార్చి 2014 నాటికి యూరప్, చైనా, జపాన్ మరియు యుఎస్ అంతటా బిల్డర్లకు విక్రయించబడ్డాయి. [1] 2016 లో UK ర"&amp;"ిజిస్టర్‌లో రెండు ఉన్నాయి. [3] జనరల్ నుండి డేటా, జేన్ యొక్క ఆల్ ది వరల్డ్ విమానాలు 2015/16; [1] పనితీరు, పైట్వెబ్ [4] సాధారణ లక్షణాల పనితీరు")</f>
        <v>ఏవియాడ్ జిగోలో MG12 అనేది ఇటాలియన్ కిట్‌బిల్ట్ ఇంట్రడక్టరీ మోటార్-గ్లైడర్ మొదట 2012 లో ఎగిరింది. ఇది ఒక చిన్న ఇంజిన్ మరియు పరిమిత గ్లైడింగ్ పనితీరును కలిగి ఉంది, కానీ కొనడానికి మరియు నడపడానికి చవకైనది మరియు నిర్మించడానికి మరియు ఎగరడానికి సరళమైనది. కిట్ ఉత్పత్తి 2013 లో ప్రారంభమైంది మరియు తరువాతి సంవత్సరం నాటికి ఇరవై విక్రయించబడింది. ఫ్రాన్సిస్కో డి మార్టినో రూపొందించిన జిగోలో శక్తి లేని శాండ్లిన్ మేక ప్రాధమిక గ్లైడర్ మీద ఆధారపడింది. రూపకల్పన ప్రాధాన్యత మోటారు-గ్లైడర్‌ను ఉత్పత్తి చేయడం, ఇది నిర్మించడానికి, రవాణా చేయడానికి మరియు నిల్వ చేయడానికి చవకైనది. ఇది శక్తితో కూడిన గ్లైడర్‌గా విక్రయించబడుతుంది, కాని UK లో SSDR (సింగిల్-సీట్, సడలింపు) మైక్రోలైట్ గా అర్హత సాధించింది. కిట్ బిల్డ్ సమయం 100 గంటల కన్నా తక్కువ కోట్ చేయబడింది. ఇది రవాణా కోసం కూల్చివేయబడుతుంది మరియు ఒక గంటలో విమానానికి తిరిగి కలపవచ్చు. [1] అంతటా దీని నిర్మాణం అల్యూమినియం గొట్టాలపై ఆధారపడి ఉంటుంది, దాని ఎగిరే ఉపరితలాలు బంధిత బట్టతో కప్పబడి ఉంటాయి. ఇది దీర్ఘచతురస్రాకార ప్రణాళిక యొక్క అధిక, కలుపు, రెక్కలను కలిగి ఉంది, ఇది 3 ° డైహెడ్రల్ తో రిగ్ చేయబడింది. ఐలెరాన్లు సెంట్రల్ గ్యాప్ కాకుండా వెనుకంజలో ఉన్న అంచులను ఆక్రమిస్తాయి. [1] ఫ్యూజ్‌లేజ్ ఒక వెలికితీసిన ట్యూబ్ నిర్మాణం, ఇది ఒక జత గొట్టాలపై బహిర్గతమైన పైలట్ యొక్క సీటు, ఫార్వర్డ్ విభాగానికి ఆధారం దాని క్రింద వక్ర రీన్ఫోర్సింగ్ గిర్డర్‌తో ఉంటుంది. ప్రాధమిక వింగ్ బ్రేసింగ్, వింగ్ స్పార్స్ నుండి V- స్ట్రట్స్ వాటికి జతచేయబడతాయి. వారు ముక్కు వద్ద కలుస్తారు, అక్కడ మరొక ట్యూబ్ వాటిని ఫార్వర్డ్ స్పార్‌కు చేరింది. రెక్క వెనుక దిగువ ఫ్యూజ్‌లేజ్ సభ్యుడు ఒకే ట్యూబ్, దాని ఫార్వర్డ్ ఎండ్ వద్ద ఒక జత గొట్టాల ద్వారా వెనుక స్పార్ వరకు మరియు వెనుక భాగంలో వెనుక స్పార్ వరకు మరొక పొడవైన జత ద్వారా కలుపుతారు. వెనుక స్పార్ నుండి నిలువు చుక్కాని పోస్ట్ వరకు ఒక క్షితిజ సమాంతర జత గొట్టాలు, ఇది దాని బేస్ వద్ద దిగువ ఫ్యూజ్‌లేజ్ ట్యూబ్‌లో కలుస్తుంది, వెనుక ఫ్రేమ్‌ను పూర్తి చేస్తుంది. ఎగువ ఫ్రేమ్ సమతుల్య ఎలివేటర్లతో స్ట్రెయిట్-ఎడ్జ్డ్ టెయిల్ ప్లేన్ మరియు సమతుల్య చుక్కానితో మద్దతు ఇస్తుంది, ఇది కీల్ నుండి టెయిల్ ప్లేన్ పైన ఎలివేటర్ కటౌట్ ద్వారా విస్తరించి ఉంటుంది. [1] జిగోలో యొక్క 18.3 హెచ్‌పి (13.6 కిలోవాట్ల) సింగిల్-సిలిండర్ టూ-స్ట్రోక్ ఇంజన్ వింగ్ వెనుకంజలో ఉన్న ఎడ్జ్ క్రింద పషర్ కాన్ఫిగరేషన్‌లో ఫ్యూజ్‌లేజ్ ఫ్రేమ్‌పై అమర్చబడింది. దాని ప్రొపెల్లర్ బెల్ట్ గేరింగ్ ద్వారా నడపబడుతుంది, ఇది ఐలెరాన్స్ మధ్య అంతరాన్ని కలిగి ఉన్న ప్రొపెల్లర్ డిస్క్ పైభాగం. ఐచ్ఛిక ఎలక్ట్రిక్ ఇంజిన్ కూడా అందుబాటులో ఉంది. [1] [2] ఇది చిన్న మెయిన్‌వీల్స్‌తో స్థిర ల్యాండింగ్ గేర్‌ను కలిగి ఉంది, ఇది ప్రధాన ఫ్యూజ్‌లేజ్ ఫ్రేమ్ క్రింద ఉన్న సెంట్రల్ పైలాన్ నుండి అతుక్కొని ఉన్న స్ప్లిట్ ఇరుసులపై 1.1 మీ (3 అడుగుల 7 అంగుళాలు) వేరుగా ఉంటుంది. గ్యాస్ షాక్ అబ్జార్బర్స్ ఇరుసుల అంత్య భాగాల నుండి దిగువ ఫ్రేమ్ వరకు మొగ్గు చూపుతాయి. ఒక చిన్న టెయిల్‌వీల్ ఉంది. జింగాలో పైలట్ కంటే ముందు వాలుగా ఉన్న ఫ్యూజ్‌లేజ్ సభ్యుడిపై అమర్చిన బాలిస్టిక్ పారాచూట్‌తో అమర్చారు. [1] జిగోలో మొదట 2012 లో ప్రయాణించారు మరియు ఆ సంవత్సరం తరువాత ప్రోటోటైప్‌ను ఒక ప్రదర్శనకారుడు చేరారు. మొదటి ఉత్పత్తి విమానం ఏప్రిల్ 2013 ఫ్రెడరిచాఫెన్ షోలో కనిపించింది; అప్పటికి ఈ రకం 300 గంటలకు పైగా ఎగిరింది. ఇరవై కిట్లు మార్చి 2014 నాటికి యూరప్, చైనా, జపాన్ మరియు యుఎస్ అంతటా బిల్డర్లకు విక్రయించబడ్డాయి. [1] 2016 లో UK రిజిస్టర్‌లో రెండు ఉన్నాయి. [3] జనరల్ నుండి డేటా, జేన్ యొక్క ఆల్ ది వరల్డ్ విమానాలు 2015/16; [1] పనితీరు, పైట్వెబ్ [4] సాధారణ లక్షణాల పనితీరు</v>
      </c>
      <c r="E47" s="1" t="s">
        <v>605</v>
      </c>
      <c r="F47" s="1" t="str">
        <f>IFERROR(__xludf.DUMMYFUNCTION("GOOGLETRANSLATE(E:E, ""en"", ""te"")"),"సింగిల్-సీట్ కిట్‌బిల్ట్ అల్ట్రాలైట్")</f>
        <v>సింగిల్-సీట్ కిట్‌బిల్ట్ అల్ట్రాలైట్</v>
      </c>
      <c r="H47" s="1" t="s">
        <v>606</v>
      </c>
      <c r="I47" s="1" t="str">
        <f>IFERROR(__xludf.DUMMYFUNCTION("GOOGLETRANSLATE(H:H, ""en"", ""te"")"),"ఇటలీ")</f>
        <v>ఇటలీ</v>
      </c>
      <c r="J47" s="3" t="s">
        <v>607</v>
      </c>
      <c r="K47" s="1" t="s">
        <v>608</v>
      </c>
      <c r="L47" s="2" t="str">
        <f>IFERROR(__xludf.DUMMYFUNCTION("GOOGLETRANSLATE(K:K, ""en"", ""te"")"),"అవియాడ్ ఫ్రాన్సిస్కో డి మార్టినో")</f>
        <v>అవియాడ్ ఫ్రాన్సిస్కో డి మార్టినో</v>
      </c>
      <c r="Q47" s="1" t="s">
        <v>212</v>
      </c>
      <c r="R47" s="1" t="s">
        <v>609</v>
      </c>
      <c r="S47" s="1" t="s">
        <v>610</v>
      </c>
      <c r="V47" s="1" t="s">
        <v>611</v>
      </c>
      <c r="X47" s="1" t="s">
        <v>612</v>
      </c>
      <c r="Z47" s="1" t="s">
        <v>613</v>
      </c>
      <c r="AA47" s="1" t="s">
        <v>614</v>
      </c>
      <c r="AB47" s="1" t="s">
        <v>615</v>
      </c>
      <c r="AD47" s="1">
        <v>2012.0</v>
      </c>
      <c r="AE47" s="1" t="s">
        <v>616</v>
      </c>
      <c r="AF47" s="1" t="s">
        <v>617</v>
      </c>
      <c r="AG47" s="1" t="s">
        <v>618</v>
      </c>
      <c r="AI47" s="1" t="s">
        <v>619</v>
      </c>
      <c r="AJ47" s="1" t="s">
        <v>620</v>
      </c>
      <c r="AR47" s="1" t="s">
        <v>351</v>
      </c>
      <c r="AS47" s="1" t="s">
        <v>621</v>
      </c>
      <c r="AU47" s="1" t="s">
        <v>622</v>
      </c>
      <c r="BJ47" s="1" t="s">
        <v>623</v>
      </c>
      <c r="BM47" s="1">
        <v>11.0</v>
      </c>
    </row>
    <row r="48">
      <c r="A48" s="1" t="s">
        <v>624</v>
      </c>
      <c r="B48" s="1" t="str">
        <f>IFERROR(__xludf.DUMMYFUNCTION("GOOGLETRANSLATE(A:A, ""en"", ""te"")"),"గౌపీ హైడ్రోయెరోప్లేన్")</f>
        <v>గౌపీ హైడ్రోయెరోప్లేన్</v>
      </c>
      <c r="C48" s="1" t="s">
        <v>625</v>
      </c>
      <c r="D48" s="1" t="str">
        <f>IFERROR(__xludf.DUMMYFUNCTION("GOOGLETRANSLATE(C:C, ""en"", ""te"")"),"గౌఫీ హైడ్రోయెరోప్లేన్ 1912 లో అంబ్రోయిస్ గౌఫీ అభివృద్ధి చేసిన ఫ్లోట్‌ప్లేన్, ఇది 1912 పారిస్ ఏరో సెలూన్లో ప్రదర్శించబడింది. ఇది విమానంలో సాధారణంగా అల్ఫోన్స్ టెల్లియర్ రూపొందించిన గౌపీ బైప్‌లేన్‌తో పోల్చదగినదిగా వర్ణించబడింది, వీల్స్ నుండి ఒక జత పాంటూన్-శై"&amp;"లి ఫ్లోట్‌లకు మార్పు తప్ప, సంవత్సరం ముందు ప్రదర్శించబడింది. [1] జేన్స్ 1913 1912 లో కనీసం ఒకటి నిర్మించబడిందని, మరియు సంస్థ సంవత్సరానికి 30 ఉత్పత్తి చేస్తోందని, అయితే వాస్తవ ఉత్పత్తి సంఖ్యలు 1912 ప్రదర్శనకారుడికి మించి తెలియదని పేర్కొంది. 1913 పారిస్ ఏరో "&amp;"సెలూన్ యొక్క సంపాదకీయ సమీక్ష గౌపీ డిజైన్లలో పురోగతి లేకపోవడాన్ని విచారం వ్యక్తం చేసింది, సీప్లేన్ యొక్క ప్రదర్శన లేకుండా. [2] జేన్ యొక్క అన్ని ప్రపంచ విమానాల నుండి డేటా 1913 [3] సాధారణ లక్షణాల పనితీరు")</f>
        <v>గౌఫీ హైడ్రోయెరోప్లేన్ 1912 లో అంబ్రోయిస్ గౌఫీ అభివృద్ధి చేసిన ఫ్లోట్‌ప్లేన్, ఇది 1912 పారిస్ ఏరో సెలూన్లో ప్రదర్శించబడింది. ఇది విమానంలో సాధారణంగా అల్ఫోన్స్ టెల్లియర్ రూపొందించిన గౌపీ బైప్‌లేన్‌తో పోల్చదగినదిగా వర్ణించబడింది, వీల్స్ నుండి ఒక జత పాంటూన్-శైలి ఫ్లోట్‌లకు మార్పు తప్ప, సంవత్సరం ముందు ప్రదర్శించబడింది. [1] జేన్స్ 1913 1912 లో కనీసం ఒకటి నిర్మించబడిందని, మరియు సంస్థ సంవత్సరానికి 30 ఉత్పత్తి చేస్తోందని, అయితే వాస్తవ ఉత్పత్తి సంఖ్యలు 1912 ప్రదర్శనకారుడికి మించి తెలియదని పేర్కొంది. 1913 పారిస్ ఏరో సెలూన్ యొక్క సంపాదకీయ సమీక్ష గౌపీ డిజైన్లలో పురోగతి లేకపోవడాన్ని విచారం వ్యక్తం చేసింది, సీప్లేన్ యొక్క ప్రదర్శన లేకుండా. [2] జేన్ యొక్క అన్ని ప్రపంచ విమానాల నుండి డేటా 1913 [3] సాధారణ లక్షణాల పనితీరు</v>
      </c>
      <c r="E48" s="1" t="s">
        <v>626</v>
      </c>
      <c r="F48" s="1" t="str">
        <f>IFERROR(__xludf.DUMMYFUNCTION("GOOGLETRANSLATE(E:E, ""en"", ""te"")"),"ప్రయోగాత్మక విమానం")</f>
        <v>ప్రయోగాత్మక విమానం</v>
      </c>
      <c r="H48" s="1" t="s">
        <v>208</v>
      </c>
      <c r="I48" s="1" t="str">
        <f>IFERROR(__xludf.DUMMYFUNCTION("GOOGLETRANSLATE(H:H, ""en"", ""te"")"),"ఫ్రాన్స్")</f>
        <v>ఫ్రాన్స్</v>
      </c>
      <c r="J48" s="3" t="s">
        <v>209</v>
      </c>
      <c r="L48" s="2"/>
      <c r="Q48" s="1">
        <v>1.0</v>
      </c>
      <c r="R48" s="1" t="s">
        <v>627</v>
      </c>
      <c r="S48" s="1" t="s">
        <v>628</v>
      </c>
      <c r="U48" s="1" t="s">
        <v>629</v>
      </c>
      <c r="X48" s="1" t="s">
        <v>630</v>
      </c>
      <c r="Y48" s="1" t="s">
        <v>631</v>
      </c>
      <c r="AB48" s="1" t="s">
        <v>632</v>
      </c>
      <c r="AC48" s="1">
        <v>1912.0</v>
      </c>
      <c r="AE48" s="1" t="s">
        <v>633</v>
      </c>
      <c r="AF48" s="1" t="s">
        <v>634</v>
      </c>
      <c r="AI48" s="1" t="s">
        <v>635</v>
      </c>
      <c r="AJ48" s="1" t="s">
        <v>636</v>
      </c>
      <c r="AM48" s="1" t="s">
        <v>637</v>
      </c>
      <c r="BS48" s="1" t="s">
        <v>638</v>
      </c>
    </row>
    <row r="49">
      <c r="A49" s="1" t="s">
        <v>639</v>
      </c>
      <c r="B49" s="1" t="str">
        <f>IFERROR(__xludf.DUMMYFUNCTION("GOOGLETRANSLATE(A:A, ""en"", ""te"")"),"ఎయిర్క్రాఫ్ట్ ఇండస్ట్రీస్ ఎల్ 410 ఎన్జి")</f>
        <v>ఎయిర్క్రాఫ్ట్ ఇండస్ట్రీస్ ఎల్ 410 ఎన్జి</v>
      </c>
      <c r="C49" s="1" t="s">
        <v>640</v>
      </c>
      <c r="D49" s="1" t="str">
        <f>IFERROR(__xludf.DUMMYFUNCTION("GOOGLETRANSLATE(C:C, ""en"", ""te"")"),"ఎయిర్క్రాఫ్ట్ ఇండస్ట్రీస్ ఎల్ 410 ఎన్జి (""న్యూ జనరేషన్"") చెక్ కంపెనీ, ఎయిర్క్రాఫ్ట్ ఇండస్ట్రీస్ (గతంలో కునోవిస్ లెట్) చేత తయారు చేయబడిన జంట-ఇంజిన్ 19-సీట్ల విమానం. ఈ విమానం లెట్ L 410 UVP-E20 యొక్క అప్‌గ్రేడ్ వెర్షన్. మొదటి ఫ్లైట్ 29 జూలై 2015 న జరిగింద"&amp;"ి. ఎల్ 410 ఎన్జి యొక్క సీరియల్ ఉత్పత్తి మార్చి 2018 లో ప్రారంభమైంది. ఆధునికీకరించిన ఎల్ 410 అభివృద్ధి 2010 లో ప్రారంభించబడింది. మొదటి ప్రోటోటైప్ ఎల్ 410 ఎన్జిని మొదటిసారి జూలై 15 న ప్రజలకు సమర్పించారు, స్లోవాకోలోని కునోవిస్ విమానాశ్రయంలో 2015. మొదటి ఫ్లైట"&amp;"్ జూలై 29, 2015 న కునోవిస్ విమానాశ్రయంలో జరిగింది. విమానం యొక్క ప్రాథమిక విమాన లక్షణాలు మరియు పనితీరు, అలాగే విమానం నియంత్రణ వ్యవస్థ, ప్రొపల్షన్ యూనిట్, ఇంధన వ్యవస్థ, ఏవియానిక్స్ మరియు నావిగేషన్ సిస్టమ్స్ యొక్క సరైన ఆపరేషన్ ధృవీకరించబడింది. [1] మునుపటి మో"&amp;"డళ్లతో పోలిస్తే, L 410 NG గణనీయమైన మార్పులను కలిగి ఉంది. ఇది కొత్త, మరింత శక్తివంతమైన GE H85-200 ఇంజిన్‌లతో వస్తుంది, ఇది నిశ్శబ్ద AV-725 ప్రొపెల్లర్లతో కలిపి; ఇంటిగ్రేటెడ్ ఇంధన ట్యాంక్‌ను కలిగి ఉన్న కొత్త వింగ్ డిజైన్; గార్మిన్ నుండి మరింత ఆధునిక కాక్‌పి"&amp;"ట్; మరియు పెద్ద సామాను కంపార్ట్మెంట్. ఈ మెరుగుదలలతో, L 410 NG అది ఎగరగల గరిష్ట దూరాన్ని రెట్టింపు చేసింది మరియు మునుపటి మోడల్ కంటే 500 కిలోగ్రాములను పెరిగిన పేలోడ్‌లో తీసుకెళ్లగలదు. దాని పూర్వీకుడు L 410 UVP-E20 వలె, ఇది అన్ని వైవిధ్యాలలో విక్రయించబడుతుంద"&amp;"ి. ఇది వాణిజ్య విమానయాన సంస్థలు, ప్రభుత్వ సంస్థలు, ప్రభుత్వేతర సంస్థలు మరియు సాయుధ దళాల కోసం ఉద్దేశించబడింది. ప్రయాణీకుల సంస్కరణతో పాటు, దీనిని కార్గో విమానంగా కూడా కాన్ఫిగర్ చేయవచ్చు. రిమోట్ దీవులలో ఇంధనం నింపే సమస్య ఉన్న ద్వీప రాష్ట్రాల్లో దీనిని ముఖ్యం"&amp;"గా ఉపయోగించవచ్చు. సంబంధిత నిబంధనలకు అనుగుణంగా ధృవీకరణ విమానాల శ్రేణి జరిగింది. యూరోపియన్ ఏవియేషన్ సేఫ్టీ ఏజెన్సీ (EASA) మరియు రష్యన్ ఇంటర్ స్టేట్ ఏవియేషన్ కమిటీ (MAK) చేత ధృవీకరించబడింది. అభివృద్ధి ఏప్రిల్ 2010 లో ప్రారంభమైంది, ఈ ప్రాజెక్టు ఖర్చులు 568 మి"&amp;"లియన్ కిరీటాలు, 237 మిలియన్లను పరిశ్రమ మరియు చెక్ రిపబ్లిక్ వాణిజ్య మంత్రిత్వ శాఖ చెల్లించింది. మార్చి 2018 లో, సీరియల్ ఉత్పత్తి ప్రారంభమైంది. [2] మొదటి సీరియల్ ఉత్పత్తి చేసిన L 410 NG రష్యాలోని ఒక కస్టమర్‌కు ప్రయాణించింది. 16 విమానాల ఉత్పత్తి 2019 కోసం ప"&amp;"్రణాళిక చేయబడింది, వాటిలో సగం రష్యాకు, ఆరు విమానాలను కజాఖ్స్తాన్ మరియు రెండు పోలాండ్కు పంపిణీ చేస్తారు. [3] L 410 నుండి డేటా [4] సాధారణ లక్షణాలు పనితీరు సంబంధిత అభివృద్ధి అభివృద్ధి విమానం పోల్చదగిన పాత్ర, కాన్ఫిగరేషన్ మరియు ERA")</f>
        <v>ఎయిర్క్రాఫ్ట్ ఇండస్ట్రీస్ ఎల్ 410 ఎన్జి ("న్యూ జనరేషన్") చెక్ కంపెనీ, ఎయిర్క్రాఫ్ట్ ఇండస్ట్రీస్ (గతంలో కునోవిస్ లెట్) చేత తయారు చేయబడిన జంట-ఇంజిన్ 19-సీట్ల విమానం. ఈ విమానం లెట్ L 410 UVP-E20 యొక్క అప్‌గ్రేడ్ వెర్షన్. మొదటి ఫ్లైట్ 29 జూలై 2015 న జరిగింది. ఎల్ 410 ఎన్జి యొక్క సీరియల్ ఉత్పత్తి మార్చి 2018 లో ప్రారంభమైంది. ఆధునికీకరించిన ఎల్ 410 అభివృద్ధి 2010 లో ప్రారంభించబడింది. మొదటి ప్రోటోటైప్ ఎల్ 410 ఎన్జిని మొదటిసారి జూలై 15 న ప్రజలకు సమర్పించారు, స్లోవాకోలోని కునోవిస్ విమానాశ్రయంలో 2015. మొదటి ఫ్లైట్ జూలై 29, 2015 న కునోవిస్ విమానాశ్రయంలో జరిగింది. విమానం యొక్క ప్రాథమిక విమాన లక్షణాలు మరియు పనితీరు, అలాగే విమానం నియంత్రణ వ్యవస్థ, ప్రొపల్షన్ యూనిట్, ఇంధన వ్యవస్థ, ఏవియానిక్స్ మరియు నావిగేషన్ సిస్టమ్స్ యొక్క సరైన ఆపరేషన్ ధృవీకరించబడింది. [1] మునుపటి మోడళ్లతో పోలిస్తే, L 410 NG గణనీయమైన మార్పులను కలిగి ఉంది. ఇది కొత్త, మరింత శక్తివంతమైన GE H85-200 ఇంజిన్‌లతో వస్తుంది, ఇది నిశ్శబ్ద AV-725 ప్రొపెల్లర్లతో కలిపి; ఇంటిగ్రేటెడ్ ఇంధన ట్యాంక్‌ను కలిగి ఉన్న కొత్త వింగ్ డిజైన్; గార్మిన్ నుండి మరింత ఆధునిక కాక్‌పిట్; మరియు పెద్ద సామాను కంపార్ట్మెంట్. ఈ మెరుగుదలలతో, L 410 NG అది ఎగరగల గరిష్ట దూరాన్ని రెట్టింపు చేసింది మరియు మునుపటి మోడల్ కంటే 500 కిలోగ్రాములను పెరిగిన పేలోడ్‌లో తీసుకెళ్లగలదు. దాని పూర్వీకుడు L 410 UVP-E20 వలె, ఇది అన్ని వైవిధ్యాలలో విక్రయించబడుతుంది. ఇది వాణిజ్య విమానయాన సంస్థలు, ప్రభుత్వ సంస్థలు, ప్రభుత్వేతర సంస్థలు మరియు సాయుధ దళాల కోసం ఉద్దేశించబడింది. ప్రయాణీకుల సంస్కరణతో పాటు, దీనిని కార్గో విమానంగా కూడా కాన్ఫిగర్ చేయవచ్చు. రిమోట్ దీవులలో ఇంధనం నింపే సమస్య ఉన్న ద్వీప రాష్ట్రాల్లో దీనిని ముఖ్యంగా ఉపయోగించవచ్చు. సంబంధిత నిబంధనలకు అనుగుణంగా ధృవీకరణ విమానాల శ్రేణి జరిగింది. యూరోపియన్ ఏవియేషన్ సేఫ్టీ ఏజెన్సీ (EASA) మరియు రష్యన్ ఇంటర్ స్టేట్ ఏవియేషన్ కమిటీ (MAK) చేత ధృవీకరించబడింది. అభివృద్ధి ఏప్రిల్ 2010 లో ప్రారంభమైంది, ఈ ప్రాజెక్టు ఖర్చులు 568 మిలియన్ కిరీటాలు, 237 మిలియన్లను పరిశ్రమ మరియు చెక్ రిపబ్లిక్ వాణిజ్య మంత్రిత్వ శాఖ చెల్లించింది. మార్చి 2018 లో, సీరియల్ ఉత్పత్తి ప్రారంభమైంది. [2] మొదటి సీరియల్ ఉత్పత్తి చేసిన L 410 NG రష్యాలోని ఒక కస్టమర్‌కు ప్రయాణించింది. 16 విమానాల ఉత్పత్తి 2019 కోసం ప్రణాళిక చేయబడింది, వాటిలో సగం రష్యాకు, ఆరు విమానాలను కజాఖ్స్తాన్ మరియు రెండు పోలాండ్కు పంపిణీ చేస్తారు. [3] L 410 నుండి డేటా [4] సాధారణ లక్షణాలు పనితీరు సంబంధిత అభివృద్ధి అభివృద్ధి విమానం పోల్చదగిన పాత్ర, కాన్ఫిగరేషన్ మరియు ERA</v>
      </c>
      <c r="E49" s="1" t="s">
        <v>641</v>
      </c>
      <c r="F49" s="1" t="str">
        <f>IFERROR(__xludf.DUMMYFUNCTION("GOOGLETRANSLATE(E:E, ""en"", ""te"")"),"ప్రాంతీయ విమానాలు, కార్గో విమానం")</f>
        <v>ప్రాంతీయ విమానాలు, కార్గో విమానం</v>
      </c>
      <c r="G49" s="1" t="s">
        <v>642</v>
      </c>
      <c r="K49" s="1" t="s">
        <v>643</v>
      </c>
      <c r="L49" s="2" t="str">
        <f>IFERROR(__xludf.DUMMYFUNCTION("GOOGLETRANSLATE(K:K, ""en"", ""te"")"),"విమాన పరిశ్రమలు (కునోవిస్ లెట్)")</f>
        <v>విమాన పరిశ్రమలు (కునోవిస్ లెట్)</v>
      </c>
      <c r="M49" s="1" t="s">
        <v>644</v>
      </c>
      <c r="N49" s="1" t="s">
        <v>54</v>
      </c>
      <c r="O49" s="1" t="str">
        <f>IFERROR(__xludf.DUMMYFUNCTION("GOOGLETRANSLATE(N:N, ""en"", ""te"")"),"సేవలో")</f>
        <v>సేవలో</v>
      </c>
      <c r="P49" s="1" t="s">
        <v>645</v>
      </c>
      <c r="Q49" s="1">
        <v>2.0</v>
      </c>
      <c r="R49" s="1" t="s">
        <v>646</v>
      </c>
      <c r="S49" s="1" t="s">
        <v>647</v>
      </c>
      <c r="U49" s="1" t="s">
        <v>648</v>
      </c>
      <c r="AD49" s="4">
        <v>42214.0</v>
      </c>
      <c r="AF49" s="1" t="s">
        <v>649</v>
      </c>
      <c r="AG49" s="1" t="s">
        <v>650</v>
      </c>
      <c r="AH49" s="1" t="s">
        <v>651</v>
      </c>
      <c r="AI49" s="1" t="s">
        <v>652</v>
      </c>
      <c r="AJ49" s="1" t="s">
        <v>653</v>
      </c>
      <c r="AL49" s="1" t="s">
        <v>654</v>
      </c>
      <c r="AM49" s="1" t="s">
        <v>655</v>
      </c>
      <c r="AP49" s="1" t="s">
        <v>656</v>
      </c>
      <c r="AQ49" s="1" t="s">
        <v>657</v>
      </c>
      <c r="AR49" s="1" t="s">
        <v>658</v>
      </c>
      <c r="AS49" s="1" t="s">
        <v>659</v>
      </c>
      <c r="BK49" s="1" t="s">
        <v>660</v>
      </c>
      <c r="BO49" s="1" t="s">
        <v>661</v>
      </c>
      <c r="BP49" s="1" t="s">
        <v>662</v>
      </c>
      <c r="BR49" s="1" t="s">
        <v>663</v>
      </c>
      <c r="BY49" s="1" t="s">
        <v>664</v>
      </c>
      <c r="BZ49" s="1" t="s">
        <v>665</v>
      </c>
      <c r="CA49" s="1" t="s">
        <v>666</v>
      </c>
      <c r="CB49" s="1" t="s">
        <v>667</v>
      </c>
      <c r="CC49" s="1" t="s">
        <v>668</v>
      </c>
      <c r="CD49" s="1" t="s">
        <v>669</v>
      </c>
      <c r="CE49" s="1" t="s">
        <v>670</v>
      </c>
      <c r="CF49" s="1" t="s">
        <v>671</v>
      </c>
      <c r="CG49" s="1" t="s">
        <v>672</v>
      </c>
      <c r="CH49" s="1" t="s">
        <v>673</v>
      </c>
    </row>
    <row r="50">
      <c r="A50" s="1" t="s">
        <v>674</v>
      </c>
      <c r="B50" s="1" t="str">
        <f>IFERROR(__xludf.DUMMYFUNCTION("GOOGLETRANSLATE(A:A, ""en"", ""te"")"),"మెనాస్కో-సాల్మ్సన్ బి -2")</f>
        <v>మెనాస్కో-సాల్మ్సన్ బి -2</v>
      </c>
      <c r="C50" s="1" t="s">
        <v>675</v>
      </c>
      <c r="D50" s="1" t="str">
        <f>IFERROR(__xludf.DUMMYFUNCTION("GOOGLETRANSLATE(C:C, ""en"", ""te"")"),"B-2 అనేది సాల్మ్సన్ Z9 వాటర్-కూల్డ్ ఎయిర్క్రాఫ్ట్ ఇంజిన్లను అమెరికాలో ఆల్బర్ట్ మెనాస్కో చేత గాలి శీతలీకరణగా మార్చడం. జేన్ యొక్క అన్ని ప్రపంచ విమానాల నుండి డేటా 1928 [1] సంబంధిత జాబితాలు")</f>
        <v>B-2 అనేది సాల్మ్సన్ Z9 వాటర్-కూల్డ్ ఎయిర్క్రాఫ్ట్ ఇంజిన్లను అమెరికాలో ఆల్బర్ట్ మెనాస్కో చేత గాలి శీతలీకరణగా మార్చడం. జేన్ యొక్క అన్ని ప్రపంచ విమానాల నుండి డేటా 1928 [1] సంబంధిత జాబితాలు</v>
      </c>
      <c r="L50" s="2"/>
      <c r="AF50" s="1" t="s">
        <v>676</v>
      </c>
      <c r="AL50" s="1" t="s">
        <v>677</v>
      </c>
      <c r="AV50" s="1" t="s">
        <v>678</v>
      </c>
      <c r="AZ50" s="1" t="s">
        <v>679</v>
      </c>
      <c r="BO50" s="1" t="s">
        <v>680</v>
      </c>
      <c r="BR50" s="1" t="s">
        <v>681</v>
      </c>
      <c r="CI50" s="1" t="s">
        <v>682</v>
      </c>
      <c r="CJ50" s="1" t="s">
        <v>683</v>
      </c>
      <c r="CK50" s="1" t="s">
        <v>684</v>
      </c>
      <c r="CL50" s="1" t="s">
        <v>685</v>
      </c>
      <c r="CM50" s="1" t="s">
        <v>686</v>
      </c>
      <c r="CN50" s="1" t="s">
        <v>687</v>
      </c>
      <c r="CO50" s="1" t="s">
        <v>688</v>
      </c>
      <c r="CP50" s="1" t="s">
        <v>689</v>
      </c>
      <c r="CQ50" s="1" t="s">
        <v>690</v>
      </c>
      <c r="CR50" s="1" t="s">
        <v>691</v>
      </c>
      <c r="CS50" s="1" t="s">
        <v>692</v>
      </c>
    </row>
    <row r="51">
      <c r="A51" s="1" t="s">
        <v>509</v>
      </c>
      <c r="B51" s="1" t="str">
        <f>IFERROR(__xludf.DUMMYFUNCTION("GOOGLETRANSLATE(A:A, ""en"", ""te"")"),"సికోర్స్కీ ఎస్ -1")</f>
        <v>సికోర్స్కీ ఎస్ -1</v>
      </c>
      <c r="C51" s="1" t="s">
        <v>693</v>
      </c>
      <c r="D51" s="1" t="str">
        <f>IFERROR(__xludf.DUMMYFUNCTION("GOOGLETRANSLATE(C:C, ""en"", ""te"")"),"సికోర్స్కీ ఎస్ -1 ఇగోర్ సికోర్స్కీ చేత మొదటి స్థిర వింగ్ ఎయిర్క్రాఫ్ట్ డిజైన్. ఫిబ్రవరి 1910 లో, 15 హెచ్‌పి (11 కిలోవాట్ల) అంజాని త్రీ-సిలిండర్, ఎయిర్-కూల్డ్ ఇంజిన్‌తో నడిచే బిప్‌లేన్‌తో కాన్ఫిగర్ చేయబడిన పషర్‌పై పని ప్రారంభమైంది. ఈ యంత్రం ఏప్రిల్‌లో పూర్"&amp;"తయింది మరియు సికోర్స్కీ విమానంలో తన మొదటి ప్రయత్నాలను ప్రారంభించాడు. మే ప్రారంభంలో గాలులతో కూడిన రోజున టేకాఫ్ ప్రయత్నంలో యంత్రం క్లుప్తంగా గాలిలో మారింది, ఎందుకంటే ఎక్కువగా అనుకూలమైన హెడ్‌విండ్. మరిన్ని ప్రయత్నాలు తక్కువ విజయవంతమయ్యాయి, మరియు సికోర్స్కీ ద"&amp;"ానిని విడదీశారు, S-2 ను నిర్మించడానికి ప్రధాన వింగ్ విభాగాన్ని ఆదా చేసింది. [1] రష్యన్ ఏవియేషన్ మ్యూజియం నుండి డేటా [2] సాధారణ లక్షణాలు పనితీరు సంబంధిత అభివృద్ధి")</f>
        <v>సికోర్స్కీ ఎస్ -1 ఇగోర్ సికోర్స్కీ చేత మొదటి స్థిర వింగ్ ఎయిర్క్రాఫ్ట్ డిజైన్. ఫిబ్రవరి 1910 లో, 15 హెచ్‌పి (11 కిలోవాట్ల) అంజాని త్రీ-సిలిండర్, ఎయిర్-కూల్డ్ ఇంజిన్‌తో నడిచే బిప్‌లేన్‌తో కాన్ఫిగర్ చేయబడిన పషర్‌పై పని ప్రారంభమైంది. ఈ యంత్రం ఏప్రిల్‌లో పూర్తయింది మరియు సికోర్స్కీ విమానంలో తన మొదటి ప్రయత్నాలను ప్రారంభించాడు. మే ప్రారంభంలో గాలులతో కూడిన రోజున టేకాఫ్ ప్రయత్నంలో యంత్రం క్లుప్తంగా గాలిలో మారింది, ఎందుకంటే ఎక్కువగా అనుకూలమైన హెడ్‌విండ్. మరిన్ని ప్రయత్నాలు తక్కువ విజయవంతమయ్యాయి, మరియు సికోర్స్కీ దానిని విడదీశారు, S-2 ను నిర్మించడానికి ప్రధాన వింగ్ విభాగాన్ని ఆదా చేసింది. [1] రష్యన్ ఏవియేషన్ మ్యూజియం నుండి డేటా [2] సాధారణ లక్షణాలు పనితీరు సంబంధిత అభివృద్ధి</v>
      </c>
      <c r="E51" s="1" t="s">
        <v>694</v>
      </c>
      <c r="F51" s="1" t="str">
        <f>IFERROR(__xludf.DUMMYFUNCTION("GOOGLETRANSLATE(E:E, ""en"", ""te"")"),"ప్రోటోటైప్")</f>
        <v>ప్రోటోటైప్</v>
      </c>
      <c r="H51" s="1" t="s">
        <v>376</v>
      </c>
      <c r="I51" s="1" t="str">
        <f>IFERROR(__xludf.DUMMYFUNCTION("GOOGLETRANSLATE(H:H, ""en"", ""te"")"),"రష్యన్ సామ్రాజ్యం")</f>
        <v>రష్యన్ సామ్రాజ్యం</v>
      </c>
      <c r="J51" s="1" t="s">
        <v>377</v>
      </c>
      <c r="L51" s="2"/>
      <c r="Q51" s="1" t="s">
        <v>212</v>
      </c>
      <c r="S51" s="1" t="s">
        <v>504</v>
      </c>
      <c r="X51" s="1" t="s">
        <v>695</v>
      </c>
      <c r="Y51" s="1" t="s">
        <v>696</v>
      </c>
      <c r="AB51" s="1" t="s">
        <v>382</v>
      </c>
      <c r="AD51" s="5">
        <v>3774.0</v>
      </c>
      <c r="AE51" s="1">
        <v>1.0</v>
      </c>
      <c r="AF51" s="1" t="s">
        <v>387</v>
      </c>
      <c r="AI51" s="1" t="s">
        <v>697</v>
      </c>
      <c r="AL51" s="1" t="s">
        <v>698</v>
      </c>
      <c r="AN51" s="1" t="s">
        <v>387</v>
      </c>
      <c r="BS51" s="1" t="s">
        <v>511</v>
      </c>
      <c r="BT51" s="1" t="s">
        <v>500</v>
      </c>
      <c r="BU51" s="1" t="s">
        <v>699</v>
      </c>
    </row>
    <row r="52">
      <c r="A52" s="1" t="s">
        <v>700</v>
      </c>
      <c r="B52" s="1" t="str">
        <f>IFERROR(__xludf.DUMMYFUNCTION("GOOGLETRANSLATE(A:A, ""en"", ""te"")"),"PZL M-2")</f>
        <v>PZL M-2</v>
      </c>
      <c r="C52" s="1" t="s">
        <v>701</v>
      </c>
      <c r="D52" s="1" t="str">
        <f>IFERROR(__xludf.DUMMYFUNCTION("GOOGLETRANSLATE(C:C, ""en"", ""te"")"),"PZL M-2 అనేది 1958 యొక్క పోలిష్ ట్రైనర్ ఎయిర్క్రాఫ్ట్ ప్రోటోటైప్, ఇది స్థిర గేర్‌తో తక్కువ-వింగ్ మోనోప్లేన్. WSK- మైలెక్ వద్ద రూపకల్పన చేయబడినది, ఇది ఉత్పత్తిలోకి ప్రవేశించలేదు. M-2 ను పోలిష్ ఏరో క్లబ్ కోసం ట్రైనర్ విమానం వలె రూపొందించారు, కొత్తగా సృష్టిం"&amp;"చిన కన్స్ట్రక్షన్ బ్యూరో ఆఫ్ WSK మైలెక్ ఫ్యాక్టరీ. విమానం యొక్క ప్రధాన డిజైనర్ స్టానిస్సా జాచారా. మొదటి నమూనా 26 జూన్ 1958 న (రిజిస్ట్రేషన్ ఎస్పి-పిఎసి) ఎగురవేయబడింది, ఆ సంవత్సరం సెప్టెంబర్ 13 న రెండవ ప్రోటోటైప్ ఎగురుతుంది (రిజిస్ట్రేషన్ ఎస్పి-పిబిఎ). ఈ వ"&amp;"ిమానం సాపేక్షంగా ఆధునిక, ఆల్-మెటల్ నిర్మాణం. దీని ప్రధాన లోపం దాని ఇంజిన్, దిగుమతి చేసుకున్న ప్రాగా డోరిస్ ఫ్లాట్-సిక్స్ పిస్టన్ ఇంజిన్, ఇది కంపనానికి కారణమైంది మరియు ఏరోబాటిక్స్‌కు తగినది కాదు. ఇది విమానం యొక్క సంభావ్య వినియోగాన్ని పరిమితం చేసింది. ఇంజిన"&amp;"్‌ను పోలిష్ రూపకల్పన మరియు నిర్మించిన నార్కివిక్జ్ WN-6 ఫ్లాట్-సిక్స్ ఇంజిన్‌తో భర్తీ చేయడానికి ఇది ప్రతిపాదించబడింది, అయితే ఇది ఇప్పటికీ అభివృద్ధిలో ఉంది మరియు ఎప్పుడూ పరిపూర్ణంగా లేదు. పవర్‌ప్లాంట్‌తో సమస్యల కారణంగా, విమానం యొక్క అభివృద్ధి ఆలస్యం అయింది"&amp;", ఈ సమయంలో, పోలిష్ ఏరో క్లబ్ తన ప్రాధాన్యతలను ట్రైసైకిల్ ల్యాండింగ్ గేర్‌తో విమానంగా మార్చింది మరియు M-2 లో తన ఆసక్తిని ఉపసంహరించుకుంది. తత్ఫలితంగా, M-2 ఉత్పత్తిలోకి ప్రవేశించలేదు మరియు తదుపరి పనిని వదిలివేసింది. M-2 యొక్క అభివృద్ధి PZL M-4 టార్పాన్, ముడు"&amp;"చుకునే ట్రైసైకిల్ ల్యాండింగ్ గేర్‌తో. మెటల్ నిర్మాణం తక్కువ-వింగ్ మోనోప్లేన్, లేఅవుట్లో సాంప్రదాయిక, మెటల్ కప్పబడి ఉంటుంది. సెమీ-మోనోకోక్ ఫ్యూజ్‌లేజ్. ట్రాపెజాయిడ్ రెక్కలు, రెండు-స్పేర్, ఫ్లాప్‌లతో అమర్చారు. ఇద్దరు సిబ్బంది, ఒక సాధారణ పందిరి కింద, డబుల్ న"&amp;"ియంత్రణలతో (ముందు విద్యార్థి, వెనుక భాగంలో బోధకుడు). స్థిర సాంప్రదాయ ల్యాండింగ్ గేర్. ముందు ఫ్లాట్ ఇంజిన్, రెండు-బ్లేడ్ ట్రాక్టర్ ప్రొపెల్లర్, 2.3 మీటర్ల వ్యాసం. రెక్కలలో ఇంధన ట్యాంకులు-120 L. మొదటి నమూనా (SP-PAC) క్రాకోవ్ (విడదీయబడిన) లోని పోలిష్ ఏవియేషన"&amp;"్ మ్యూజియంలో నిల్వ చేయబడుతుంది, రెండవ నమూనా (SP-PBA) మైలెక్ సమీపంలోని రాడోమిల్ వియెల్కిలో ఒక స్మారక చిహ్నంగా భద్రపరచబడింది. జేన్ యొక్క అన్ని ప్రపంచ విమానాల నుండి డేటా 1961-62 [1] సాధారణ లక్షణాలు పనితీరు సంబంధిత అభివృద్ధి విమానాలు పోల్చదగిన పాత్ర, కాన్ఫిగర"&amp;"ేషన్ మరియు ERA")</f>
        <v>PZL M-2 అనేది 1958 యొక్క పోలిష్ ట్రైనర్ ఎయిర్క్రాఫ్ట్ ప్రోటోటైప్, ఇది స్థిర గేర్‌తో తక్కువ-వింగ్ మోనోప్లేన్. WSK- మైలెక్ వద్ద రూపకల్పన చేయబడినది, ఇది ఉత్పత్తిలోకి ప్రవేశించలేదు. M-2 ను పోలిష్ ఏరో క్లబ్ కోసం ట్రైనర్ విమానం వలె రూపొందించారు, కొత్తగా సృష్టించిన కన్స్ట్రక్షన్ బ్యూరో ఆఫ్ WSK మైలెక్ ఫ్యాక్టరీ. విమానం యొక్క ప్రధాన డిజైనర్ స్టానిస్సా జాచారా. మొదటి నమూనా 26 జూన్ 1958 న (రిజిస్ట్రేషన్ ఎస్పి-పిఎసి) ఎగురవేయబడింది, ఆ సంవత్సరం సెప్టెంబర్ 13 న రెండవ ప్రోటోటైప్ ఎగురుతుంది (రిజిస్ట్రేషన్ ఎస్పి-పిబిఎ). ఈ విమానం సాపేక్షంగా ఆధునిక, ఆల్-మెటల్ నిర్మాణం. దీని ప్రధాన లోపం దాని ఇంజిన్, దిగుమతి చేసుకున్న ప్రాగా డోరిస్ ఫ్లాట్-సిక్స్ పిస్టన్ ఇంజిన్, ఇది కంపనానికి కారణమైంది మరియు ఏరోబాటిక్స్‌కు తగినది కాదు. ఇది విమానం యొక్క సంభావ్య వినియోగాన్ని పరిమితం చేసింది. ఇంజిన్‌ను పోలిష్ రూపకల్పన మరియు నిర్మించిన నార్కివిక్జ్ WN-6 ఫ్లాట్-సిక్స్ ఇంజిన్‌తో భర్తీ చేయడానికి ఇది ప్రతిపాదించబడింది, అయితే ఇది ఇప్పటికీ అభివృద్ధిలో ఉంది మరియు ఎప్పుడూ పరిపూర్ణంగా లేదు. పవర్‌ప్లాంట్‌తో సమస్యల కారణంగా, విమానం యొక్క అభివృద్ధి ఆలస్యం అయింది, ఈ సమయంలో, పోలిష్ ఏరో క్లబ్ తన ప్రాధాన్యతలను ట్రైసైకిల్ ల్యాండింగ్ గేర్‌తో విమానంగా మార్చింది మరియు M-2 లో తన ఆసక్తిని ఉపసంహరించుకుంది. తత్ఫలితంగా, M-2 ఉత్పత్తిలోకి ప్రవేశించలేదు మరియు తదుపరి పనిని వదిలివేసింది. M-2 యొక్క అభివృద్ధి PZL M-4 టార్పాన్, ముడుచుకునే ట్రైసైకిల్ ల్యాండింగ్ గేర్‌తో. మెటల్ నిర్మాణం తక్కువ-వింగ్ మోనోప్లేన్, లేఅవుట్లో సాంప్రదాయిక, మెటల్ కప్పబడి ఉంటుంది. సెమీ-మోనోకోక్ ఫ్యూజ్‌లేజ్. ట్రాపెజాయిడ్ రెక్కలు, రెండు-స్పేర్, ఫ్లాప్‌లతో అమర్చారు. ఇద్దరు సిబ్బంది, ఒక సాధారణ పందిరి కింద, డబుల్ నియంత్రణలతో (ముందు విద్యార్థి, వెనుక భాగంలో బోధకుడు). స్థిర సాంప్రదాయ ల్యాండింగ్ గేర్. ముందు ఫ్లాట్ ఇంజిన్, రెండు-బ్లేడ్ ట్రాక్టర్ ప్రొపెల్లర్, 2.3 మీటర్ల వ్యాసం. రెక్కలలో ఇంధన ట్యాంకులు-120 L. మొదటి నమూనా (SP-PAC) క్రాకోవ్ (విడదీయబడిన) లోని పోలిష్ ఏవియేషన్ మ్యూజియంలో నిల్వ చేయబడుతుంది, రెండవ నమూనా (SP-PBA) మైలెక్ సమీపంలోని రాడోమిల్ వియెల్కిలో ఒక స్మారక చిహ్నంగా భద్రపరచబడింది. జేన్ యొక్క అన్ని ప్రపంచ విమానాల నుండి డేటా 1961-62 [1] సాధారణ లక్షణాలు పనితీరు సంబంధిత అభివృద్ధి విమానాలు పోల్చదగిన పాత్ర, కాన్ఫిగరేషన్ మరియు ERA</v>
      </c>
      <c r="E52" s="1" t="s">
        <v>702</v>
      </c>
      <c r="F52" s="1" t="str">
        <f>IFERROR(__xludf.DUMMYFUNCTION("GOOGLETRANSLATE(E:E, ""en"", ""te"")"),"ట్రైనర్ విమానం")</f>
        <v>ట్రైనర్ విమానం</v>
      </c>
      <c r="G52" s="1" t="s">
        <v>703</v>
      </c>
      <c r="K52" s="1" t="s">
        <v>704</v>
      </c>
      <c r="L52" s="2" t="str">
        <f>IFERROR(__xludf.DUMMYFUNCTION("GOOGLETRANSLATE(K:K, ""en"", ""te"")"),"Wsk-meelec")</f>
        <v>Wsk-meelec</v>
      </c>
      <c r="M52" s="3" t="s">
        <v>705</v>
      </c>
      <c r="N52" s="1" t="s">
        <v>694</v>
      </c>
      <c r="O52" s="1" t="str">
        <f>IFERROR(__xludf.DUMMYFUNCTION("GOOGLETRANSLATE(N:N, ""en"", ""te"")"),"ప్రోటోటైప్")</f>
        <v>ప్రోటోటైప్</v>
      </c>
      <c r="Q52" s="1">
        <v>2.0</v>
      </c>
      <c r="R52" s="1" t="s">
        <v>706</v>
      </c>
      <c r="S52" s="1" t="s">
        <v>707</v>
      </c>
      <c r="T52" s="1">
        <v>6.62</v>
      </c>
      <c r="U52" s="1" t="s">
        <v>708</v>
      </c>
      <c r="X52" s="1" t="s">
        <v>709</v>
      </c>
      <c r="Y52" s="1" t="s">
        <v>710</v>
      </c>
      <c r="Z52" s="1" t="s">
        <v>711</v>
      </c>
      <c r="AD52" s="4">
        <v>21362.0</v>
      </c>
      <c r="AE52" s="1" t="s">
        <v>712</v>
      </c>
      <c r="AF52" s="1" t="s">
        <v>713</v>
      </c>
      <c r="AG52" s="1" t="s">
        <v>714</v>
      </c>
      <c r="AI52" s="1" t="s">
        <v>715</v>
      </c>
      <c r="AJ52" s="1" t="s">
        <v>716</v>
      </c>
      <c r="AL52" s="1" t="s">
        <v>717</v>
      </c>
      <c r="AP52" s="1" t="s">
        <v>718</v>
      </c>
      <c r="AQ52" s="1" t="s">
        <v>719</v>
      </c>
      <c r="BJ52" s="1" t="s">
        <v>720</v>
      </c>
      <c r="BP52" s="1" t="s">
        <v>721</v>
      </c>
    </row>
    <row r="53">
      <c r="A53" s="1" t="s">
        <v>722</v>
      </c>
      <c r="B53" s="1" t="str">
        <f>IFERROR(__xludf.DUMMYFUNCTION("GOOGLETRANSLATE(A:A, ""en"", ""te"")"),"Iai nammer")</f>
        <v>Iai nammer</v>
      </c>
      <c r="C53" s="1" t="s">
        <v>723</v>
      </c>
      <c r="D53" s="1" t="str">
        <f>IFERROR(__xludf.DUMMYFUNCTION("GOOGLETRANSLATE(C:C, ""en"", ""te"")"),"IAI NAMMER (נמר ""చిరుతపులి"" [1]) 1980 ల చివరలో మరియు 1990 ల ప్రారంభంలో ఇజ్రాయెల్ ఏరోస్పేస్ తయారీ ఇజ్రాయెల్ ఏరోస్పేస్ ఇండస్ట్రీస్ (IAI) లో అభివృద్ధి చేయబడిన ఒక ఫైటర్ విమానం. ఈ కార్యక్రమాన్ని ఒక ప్రైవేట్ వెంచర్‌గా అనుసరించారు మరియు ఫలిత విమానం ఎగుమతి మార్"&amp;"కెట్ కోసం ఉద్దేశించబడింది. 1980 లలో, IAI IAI KFIR యొక్క ఆధునికీకరించిన సంస్కరణ యొక్క స్వతంత్ర అభివృద్ధిని ప్రారంభించాలని నిర్ణయించుకుంది; దాని ఎయిర్‌ఫ్రేమ్‌ను తిరిగి ఉపయోగించడం మరియు దానిని ఆధునికీకరించిన కాక్‌పిట్, ఇంజిన్ మరియు ఏవియానిక్‌లతో జత చేయడం, వీ"&amp;"టిలో రెండోది రద్దు చేయబడిన IAI లావి ప్రోగ్రామ్ కోసం చేపట్టిన మునుపటి పనిని సద్వినియోగం చేసుకోవాలి. ఈ మార్పులు మునుపటి KFIR కన్నా ఎక్కువ పనితీరు, పరిధి మరియు గాలి నుండి గాలి నుండి గాలికి పోరాట సామర్థ్యాలకు దారితీస్తాయి. నేమర్ అని పేరు పెట్టబడిన, ఈ విమానం వ"&amp;"ివిధ కాన్ఫిగరేషన్ల క్రింద ప్రత్యామ్నాయ ఇంజన్లు మరియు రాడార్‌లు, అలాగే కాబోయే లైసెన్స్ పొందిన ఉత్పత్తి ఏర్పాట్లతో సహా వినియోగదారులకు అందించబడుతుంది. NAMMER యొక్క ప్రయోగ కస్టమర్లతో వారు చాలా సరళంగా ఉండటానికి సిద్ధంగా ఉన్నారని IAI పేర్కొంది, డిజైన్‌ను సవరించ"&amp;"డం మరియు వారి ప్రాధాన్యతలకు సంబంధించి వారి స్వంత వ్యవస్థలను చేర్చడంపై వారికి గొప్ప మార్గాన్ని ఇవ్వడానికి సిద్ధంగా ఉన్నారు. NAMMER యొక్క అభివృద్ధి ప్రోటోటైప్ దశకు వెళ్ళింది; ప్రూఫ్-ఆఫ్-కాన్సెప్ట్ ప్రోటోటైప్‌గా పనిచేయడానికి ఒకే విమానం నిర్మించబడింది, ఇప్పటి"&amp;"కే ఉన్న ఎయిర్‌ఫ్రేమ్‌లలో అధునాతన ఏవియానిక్‌లను విజయవంతంగా ఇన్‌స్టాల్ చేయడానికి మరియు ఆపరేట్ చేయగల IAI యొక్క సామర్థ్యాన్ని ప్రదర్శిస్తుంది, ఈ సందర్భంలో మిరాజ్ III/KFIR. 21 మార్చి 1991 న, ప్రోటోటైప్ తన తొలి విమానాలను ప్రదర్శించింది. దాని మొదటి ఫ్లైట్ నుండి,"&amp;" ఇది కొంతకాలం పరీక్ష విమానాల కోసం ఉపయోగించబడుతోంది, ఇది భావన యొక్క పరిపక్వత మరియు కొత్త IAI-ఇంటిగ్రేటెడ్ సిస్టమ్స్ రెండింటినీ ప్రదర్శిస్తుంది. ఎయిర్ఫ్రేమ్ యొక్క నిరూపితమైన డెల్టా కానార్డ్ కాన్ఫిగరేషన్ నిలుపుకున్నప్పటికీ, కొత్త ఏవియానిక్స్ వ్యవస్థాపించబడిన"&amp;" వాటిపై పరీక్ష కేంద్రీకృతమై ఉంది, ఇది సాపేక్షంగా ఆధునిక ఫైటర్ విమానాల కోసం IAI చేత చెప్పబడింది. ఏదేమైనా, NAMMER కోసం భాగస్వామి కంపెనీలు మరియు ఎగుమతి వినియోగదారులను ఎగుమతి చేయడానికి సంస్థ సుదీర్ఘమైన ప్రయత్నాలు చేసినప్పటికీ, ప్రోగ్రామ్‌లో పాల్గొనేవారు లేదా "&amp;"పూర్తి చేసిన కొనుగోలుదారులు రాబోయేవారని నిరూపించబడలేదు; అందుకని, నామర్ యొక్క అభివృద్ధి చివరికి 1990 ల ప్రారంభంలో IAI చేత ఆగిపోయింది, ఇంకా ఎటువంటి ఉదాహరణలు నిర్మించబడలేదు. 1980 లలో, ఇజ్రాయెల్ ఏరోస్పేస్ సంస్థ ఇజ్రాయెల్ ఎయిర్క్రాఫ్ట్ ఇండస్ట్రీస్ (IAI), ఒక ప్"&amp;"రైవేట్-వెంచర్ ఫైటర్ విమానాల అభివృద్ధిని ప్రారంభించాలని నిర్ణయించుకుంది; As హించినట్లుగా, ఈ కార్యక్రమం ప్రధానంగా IAI KFIR యొక్క ఎయిర్ఫ్రేమ్ మరియు రద్దు చేయబడిన IAI లావి కోసం అభివృద్ధి చేయబడిన అధునాతన ఏవియానిక్స్ చుట్టూ ఉంది. [2] [1] NAMMER పై మాట్లాడుతూ, I"&amp;"AI యొక్క అంతర్జాతీయ మిలిటరీ ఎయిర్క్రాఫ్ట్ మార్కెటింగ్ డైరెక్టర్ మోషే షార్ఫ్ ఈ చొరవ వెనుక ఉన్న తార్కికం గురించి ఇలా పేర్కొన్నారు: ""ప్రస్తుతం ఉన్న KFIR ప్లాట్‌ఫామ్‌ను అప్‌గ్రేడ్ చేయడం నిరూపితమైన డెల్టా కెనార్డ్ భావన ఆధారంగా కొత్త ఎయిర్‌ఫ్రేమ్‌ను నిర్మించడం"&amp;" వలె చౌకగా ఉండదు"". [3 ] 1988 ప్రారంభంలో, సంస్థ నేమర్ యొక్క అభివృద్ధి యొక్క ప్రాథమిక రూపకల్పన మరియు సిస్టమ్ డెఫినిషన్ దశలను పూర్తి చేసింది మరియు వివరాల రూపకల్పన దశలో అభివృద్ధి చెందింది. అదనంగా, సంస్థ ఈ రకానికి సంబంధించి కాబోయే కస్టమర్లతో ముందస్తు చర్చలు న"&amp;"ిర్వహించింది. ప్రత్యేకించి, IAI మరొక సంస్థతో భాగస్వామ్యాన్ని రూపొందించడానికి ఆసక్తి చూపింది, దీనితో మరింత అభివృద్ధి పనులు మరియు NAMMER ప్రోగ్రామ్‌లో తదుపరి ఉత్పత్తిని నిర్వహించడానికి. [4] 1980 ల చివరలో, IAI మొదట NAMMER ను ఇప్పటికే ఉన్న మిరాజ్ III మరియు మి"&amp;"రాజ్ 5 ఎయిర్‌ఫ్రేమ్‌ల కోసం అప్‌గ్రేడ్ ప్యాకేజీగా ప్రకటించింది మరియు విక్రయించింది. వినియోగదారులకు ఈ రకం యొక్క రెండు ప్రాథమిక కాన్ఫిగరేషన్ల ఎంపిక ఇవ్వబడింది, ఒకటి సాధారణ ఎలక్ట్రిక్ ఎఫ్ 404 తో విమానం తిరిగి ఇంజనీరింగ్ చేయడం, మరొకటి మిరాజ్ యొక్క స్నెక్మా అటా"&amp;"ర్ ఇంజిన్‌ను నిలుపుకోవాలి, కానీ ఎల్టా ఎల్/ఎమ్. -2011 లేదా EL/M-2032 ఫైర్-కంట్రోల్ రాడార్. ఈ ఎంపికలలో మొదటిది విమానం యొక్క పనితీరు మరియు పరిధిని పెంచడానికి vision హించబడింది, రెండవది నేమర్ యొక్క గాలి నుండి గాలి నుండి గాలి నుండి లక్ష్య సామర్థ్యాలను పెంచడాని"&amp;"కి ఉపయోగపడుతుంది. [5] అభివృద్ధి అభివృద్ధి చెందుతున్నప్పుడు, NAMMER ను సంస్థ కొత్తగా నిర్మించిన విమానం అని ప్రచారం చేసింది, ఇందులో EL/M-2032 రాడార్‌ను ప్యాకేజీలో అంతర్భాగంగా కలిగి ఉంది. సాధారణ ఎలక్ట్రిక్ ఎఫ్ 404 (లేదా దాని వోల్వో ఏరో-నిర్మిత ఉత్పన్నం, RM12"&amp;"), స్నెక్మా M53 మరియు ప్రాట్ &amp; విట్నీ పిడబ్ల్యు 1120 నుండి వినియోగదారులు తమ ఇష్టపడే ఇంజిన్‌ను ఎంచుకోగలిగారు, ఇవన్నీ 18,0001 బి -20,0001 బి-థ్రస్ట్ క్లాస్. [2] ఎయిర్ఫ్రేమ్ యొక్క నిరూపితమైన డెల్టా కానార్డ్ కాన్ఫిగరేషన్, కొత్త ఏవియానిక్స్ మరియు మరింత ఆధునిక "&amp;"ఇంజిన్ రూపకల్పనతో జత చేసినప్పుడు, సాపేక్షంగా ఆధునిక ఫైటర్ విమానాలకు దారితీస్తుందని కంపెనీ పేర్కొంది, సాధారణ డైనమిక్స్ F-16A ఫైటింగ్ ఫాల్కన్ లేదా డసాల్ట్ మిరాజ్ 2000 తో పోల్చవచ్చు. కానీ తరువాతి విమానాల ధరలో సగం ఖర్చుతో. [5] అభివృద్ధి మరియు ప్రదర్శన ప్రయోజన"&amp;"ాల కోసం, ఒకే నమూనాను సంస్థ నిర్మించింది. 21 మార్చి 1991 న, ఈ నమూనా దాని తొలి విమానాన్ని నిర్వహిస్తుంది. [5] IAI ప్రకారం, విమానం అమ్మకాలను పొందటానికి ప్రయత్నిస్తున్నప్పుడు ఈ భావన అనేక విదేశీ వైమానిక దళాలకు సమర్పించబడింది; కనీసం 80 విమానాల కోసం ఆర్డర్లు భద్"&amp;"రపరచబడే వరకు విమానం ఉత్పత్తిని కొనసాగించాలనే ఉద్దేశాలు లేవని కంపెనీ పేర్కొంది. [5] [3] ఈ చర్చల సమయంలో, IAI కాబోయే ఆపరేటర్లకు అధిక స్థాయి అనుకూలీకరణను అందించాడని తెలుసు, ముఖ్యంగా నేమర్ రూపకల్పనపై గణనీయమైన ప్రభావాన్ని చూపడానికి వారికి అనుమతిస్తుంది. [4] ఇజ్"&amp;"రాయెల్‌లోని సంస్థ యొక్క ప్రస్తుత సౌకర్యాల వద్ద నేమర్‌ను నిర్మించడం నుండి క్లయింట్ కస్టమర్ దేశంలో తుది అసెంబ్లీ రేఖను స్థాపించడం వరకు కంపెనీ వివిధ ఉత్పాదక ఏర్పాట్లను అందించింది. [2] 1990 లో, పునరుద్ధరించిన అమ్మకాల ప్రయత్నంలో భాగంగా, ఆన్‌బోర్డ్ సిస్టమ్స్ మర"&amp;"ియు సాఫ్ట్‌వేర్‌తో పాటు, విదేశాలలో వినియోగదారులకు విదేశాలలో నేమర్ ఉత్పత్తిని పూర్తిగా బదిలీ చేయడానికి IAI ఇచ్చింది. [3] IAI NAMMER ఒక ప్రతిపాదిత ఫైటర్ విమానం, వీటిలో ఎయిర్ఫ్రేమ్ మునుపటి IAI KFIR నుండి తీసుకోబడింది (ఇది డసాల్ట్ మిరాజ్ 5 ఆధారంగా). [6] బాహ్య"&amp;"ంగా, డిజైన్ KFIR యొక్క C7 మోడల్‌కు బలమైన పోలికను కలిగి ఉంది; ఏదేమైనా, పొడవైన ముక్కు ఉండటం మరియు టెయిల్‌ఫిన్ యొక్క ప్రముఖ అంచు యొక్క బేస్ వద్ద డోర్సల్ ఎయిర్‌స్కూప్ లేకపోవడం ద్వారా ఇది సులభంగా గుర్తించబడుతుంది. [5] విమానం యొక్క ఇతర ప్రాంతాలు KFIR నుండి దాని"&amp;" కాక్‌పిట్, రాడార్ మరియు ఇంజిన్‌తో సహా పెద్ద తేడాలను కలిగి ఉన్నాయి. [2] IAI ప్రకారం, NAMMER గరిష్టంగా మాక్ 2.2 మరియు 58,000 అడుగుల (19,300 మీ) స్థిరీకరించిన పైకప్పును కలిగి ఉంది. మిరాజ్ ఇల్ యొక్క అసలు స్నెక్మా అటార్ 9 కె 50, లేదా వివిధ రకాల ఆధునిక పవర్‌ప్"&amp;"లాంట్లు-ఇంజిన్ల ఎంపికతో నేమర్‌ను అందించాలని కంపెనీ ఉద్దేశించింది, ఇది సాధారణంగా ఎక్కువ ఇంధన-సామర్థ్యాన్ని కలిగి ఉంటుంది మరియు అసలు ఇంజిన్ కంటే బరువును తగ్గిస్తుంది. [5] [ 2] NAMMER యొక్క కాక్‌పిట్ విస్తృతంగా ఆధునీకరించబడింది, ఇది కొత్త మొత్తం లేఅవుట్‌ను క"&amp;"లిగి ఉంది, ఇది ఇతర ప్రయోజనాలతో పాటు, దాని పైలట్‌ను విమానం యొక్క సమర్థవంతమైన నియంత్రణను నిర్వహించడానికి అనుమతించేది, ఇది అన్నింటికీ చేతుల మీదుగా-థ్రోటిల్-అండ్-స్టిక్ (HOTAS) ఆపరేషన్ ద్వారా Cateration హించిన కార్యాచరణ పరిస్థితులలో కీలకమైన వ్యవస్థలు. హెడ్-అప"&amp;"్ డిస్ప్లే, ఒక జత మల్టీ-ఫంక్షన్ డిస్ప్లేలు మరియు రాడార్ హెచ్చరిక/ఎలక్ట్రానిక్ కౌంటర్మెజర్ల ప్రదర్శనతో కూడిన మొత్తం నాలుగు డిస్ప్లేలు పైలట్‌ను అవసరమైన అన్ని సమాచారంతో సరఫరా చేయడానికి ఉద్దేశించబడ్డాయి. [5] వివిధ ప్రదర్శనలు మరియు ఇంజిన్ కోసం ఘన-స్థితి పరికరా"&amp;"లు తిరిగి ఉపయోగించిన లావి టెక్నాలజీపై ఆధారపడి ఉంటాయి. [2] ఏవియానిక్స్ నేమర్ అభివృద్ధికి ప్రధాన దృష్టి ప్రాంతం. [4] IAI ప్రకారం, NAMMER ఒక అధునాతన ఆయుధ నిర్వహణ వ్యవస్థను కలిగి ఉంది, ఇది నేరుగా మల్టీమోడ్ పల్స్-డాప్లర్ రాడార్‌తో విలీనం చేయబడింది, అయితే దాని "&amp;"ఎలక్ట్రానిక్ వార్ఫేర్ సూట్‌లో రద్దు చేయబడిన లావి కోసం మొదట రూపొందించిన లక్షణాలు కూడా ఉపయోగించబడతాయి. [3 ] విమానం యొక్క గరిష్ట టేకాఫ్ బరువు సుమారు 15,450 కిలోలు, గరిష్ట పేలోడ్ 6,270 కిలోలు. ఇది అంతర్గతంగా మొత్తం 3,000 కిలోల ఇంధనాన్ని కలిగి ఉంటుంది, అదనంగా "&amp;"3,720 కిలోల బాహ్య ట్యాంకులతో పాటు. [5] అదనంగా, దీనికి వైమానిక రీఫ్యూయలింగ్ సామర్ధ్యం అందించాలి. [3] IAI యొక్క పదేపదే ప్రకటనల ప్రకారం, NAMMER ఫైటర్ యొక్క సీరియల్ ఉత్పత్తి యూనిట్ ఖర్చుతో million 20 మిలియన్ల కన్నా తక్కువ ఖర్చుతో అందుబాటులో ఉండేది. [3] [2] సా"&amp;"ధారణ లక్షణాలు పనితీరు ఆయుధ సంబంధిత అభివృద్ధి")</f>
        <v>IAI NAMMER (נמר "చిరుతపులి" [1]) 1980 ల చివరలో మరియు 1990 ల ప్రారంభంలో ఇజ్రాయెల్ ఏరోస్పేస్ తయారీ ఇజ్రాయెల్ ఏరోస్పేస్ ఇండస్ట్రీస్ (IAI) లో అభివృద్ధి చేయబడిన ఒక ఫైటర్ విమానం. ఈ కార్యక్రమాన్ని ఒక ప్రైవేట్ వెంచర్‌గా అనుసరించారు మరియు ఫలిత విమానం ఎగుమతి మార్కెట్ కోసం ఉద్దేశించబడింది. 1980 లలో, IAI IAI KFIR యొక్క ఆధునికీకరించిన సంస్కరణ యొక్క స్వతంత్ర అభివృద్ధిని ప్రారంభించాలని నిర్ణయించుకుంది; దాని ఎయిర్‌ఫ్రేమ్‌ను తిరిగి ఉపయోగించడం మరియు దానిని ఆధునికీకరించిన కాక్‌పిట్, ఇంజిన్ మరియు ఏవియానిక్‌లతో జత చేయడం, వీటిలో రెండోది రద్దు చేయబడిన IAI లావి ప్రోగ్రామ్ కోసం చేపట్టిన మునుపటి పనిని సద్వినియోగం చేసుకోవాలి. ఈ మార్పులు మునుపటి KFIR కన్నా ఎక్కువ పనితీరు, పరిధి మరియు గాలి నుండి గాలి నుండి గాలికి పోరాట సామర్థ్యాలకు దారితీస్తాయి. నేమర్ అని పేరు పెట్టబడిన, ఈ విమానం వివిధ కాన్ఫిగరేషన్ల క్రింద ప్రత్యామ్నాయ ఇంజన్లు మరియు రాడార్‌లు, అలాగే కాబోయే లైసెన్స్ పొందిన ఉత్పత్తి ఏర్పాట్లతో సహా వినియోగదారులకు అందించబడుతుంది. NAMMER యొక్క ప్రయోగ కస్టమర్లతో వారు చాలా సరళంగా ఉండటానికి సిద్ధంగా ఉన్నారని IAI పేర్కొంది, డిజైన్‌ను సవరించడం మరియు వారి ప్రాధాన్యతలకు సంబంధించి వారి స్వంత వ్యవస్థలను చేర్చడంపై వారికి గొప్ప మార్గాన్ని ఇవ్వడానికి సిద్ధంగా ఉన్నారు. NAMMER యొక్క అభివృద్ధి ప్రోటోటైప్ దశకు వెళ్ళింది; ప్రూఫ్-ఆఫ్-కాన్సెప్ట్ ప్రోటోటైప్‌గా పనిచేయడానికి ఒకే విమానం నిర్మించబడింది, ఇప్పటికే ఉన్న ఎయిర్‌ఫ్రేమ్‌లలో అధునాతన ఏవియానిక్‌లను విజయవంతంగా ఇన్‌స్టాల్ చేయడానికి మరియు ఆపరేట్ చేయగల IAI యొక్క సామర్థ్యాన్ని ప్రదర్శిస్తుంది, ఈ సందర్భంలో మిరాజ్ III/KFIR. 21 మార్చి 1991 న, ప్రోటోటైప్ తన తొలి విమానాలను ప్రదర్శించింది. దాని మొదటి ఫ్లైట్ నుండి, ఇది కొంతకాలం పరీక్ష విమానాల కోసం ఉపయోగించబడుతోంది, ఇది భావన యొక్క పరిపక్వత మరియు కొత్త IAI-ఇంటిగ్రేటెడ్ సిస్టమ్స్ రెండింటినీ ప్రదర్శిస్తుంది. ఎయిర్ఫ్రేమ్ యొక్క నిరూపితమైన డెల్టా కానార్డ్ కాన్ఫిగరేషన్ నిలుపుకున్నప్పటికీ, కొత్త ఏవియానిక్స్ వ్యవస్థాపించబడిన వాటిపై పరీక్ష కేంద్రీకృతమై ఉంది, ఇది సాపేక్షంగా ఆధునిక ఫైటర్ విమానాల కోసం IAI చేత చెప్పబడింది. ఏదేమైనా, NAMMER కోసం భాగస్వామి కంపెనీలు మరియు ఎగుమతి వినియోగదారులను ఎగుమతి చేయడానికి సంస్థ సుదీర్ఘమైన ప్రయత్నాలు చేసినప్పటికీ, ప్రోగ్రామ్‌లో పాల్గొనేవారు లేదా పూర్తి చేసిన కొనుగోలుదారులు రాబోయేవారని నిరూపించబడలేదు; అందుకని, నామర్ యొక్క అభివృద్ధి చివరికి 1990 ల ప్రారంభంలో IAI చేత ఆగిపోయింది, ఇంకా ఎటువంటి ఉదాహరణలు నిర్మించబడలేదు. 1980 లలో, ఇజ్రాయెల్ ఏరోస్పేస్ సంస్థ ఇజ్రాయెల్ ఎయిర్క్రాఫ్ట్ ఇండస్ట్రీస్ (IAI), ఒక ప్రైవేట్-వెంచర్ ఫైటర్ విమానాల అభివృద్ధిని ప్రారంభించాలని నిర్ణయించుకుంది; As హించినట్లుగా, ఈ కార్యక్రమం ప్రధానంగా IAI KFIR యొక్క ఎయిర్ఫ్రేమ్ మరియు రద్దు చేయబడిన IAI లావి కోసం అభివృద్ధి చేయబడిన అధునాతన ఏవియానిక్స్ చుట్టూ ఉంది. [2] [1] NAMMER పై మాట్లాడుతూ, IAI యొక్క అంతర్జాతీయ మిలిటరీ ఎయిర్క్రాఫ్ట్ మార్కెటింగ్ డైరెక్టర్ మోషే షార్ఫ్ ఈ చొరవ వెనుక ఉన్న తార్కికం గురించి ఇలా పేర్కొన్నారు: "ప్రస్తుతం ఉన్న KFIR ప్లాట్‌ఫామ్‌ను అప్‌గ్రేడ్ చేయడం నిరూపితమైన డెల్టా కెనార్డ్ భావన ఆధారంగా కొత్త ఎయిర్‌ఫ్రేమ్‌ను నిర్మించడం వలె చౌకగా ఉండదు". [3 ] 1988 ప్రారంభంలో, సంస్థ నేమర్ యొక్క అభివృద్ధి యొక్క ప్రాథమిక రూపకల్పన మరియు సిస్టమ్ డెఫినిషన్ దశలను పూర్తి చేసింది మరియు వివరాల రూపకల్పన దశలో అభివృద్ధి చెందింది. అదనంగా, సంస్థ ఈ రకానికి సంబంధించి కాబోయే కస్టమర్లతో ముందస్తు చర్చలు నిర్వహించింది. ప్రత్యేకించి, IAI మరొక సంస్థతో భాగస్వామ్యాన్ని రూపొందించడానికి ఆసక్తి చూపింది, దీనితో మరింత అభివృద్ధి పనులు మరియు NAMMER ప్రోగ్రామ్‌లో తదుపరి ఉత్పత్తిని నిర్వహించడానికి. [4] 1980 ల చివరలో, IAI మొదట NAMMER ను ఇప్పటికే ఉన్న మిరాజ్ III మరియు మిరాజ్ 5 ఎయిర్‌ఫ్రేమ్‌ల కోసం అప్‌గ్రేడ్ ప్యాకేజీగా ప్రకటించింది మరియు విక్రయించింది. వినియోగదారులకు ఈ రకం యొక్క రెండు ప్రాథమిక కాన్ఫిగరేషన్ల ఎంపిక ఇవ్వబడింది, ఒకటి సాధారణ ఎలక్ట్రిక్ ఎఫ్ 404 తో విమానం తిరిగి ఇంజనీరింగ్ చేయడం, మరొకటి మిరాజ్ యొక్క స్నెక్మా అటార్ ఇంజిన్‌ను నిలుపుకోవాలి, కానీ ఎల్టా ఎల్/ఎమ్. -2011 లేదా EL/M-2032 ఫైర్-కంట్రోల్ రాడార్. ఈ ఎంపికలలో మొదటిది విమానం యొక్క పనితీరు మరియు పరిధిని పెంచడానికి vision హించబడింది, రెండవది నేమర్ యొక్క గాలి నుండి గాలి నుండి గాలి నుండి లక్ష్య సామర్థ్యాలను పెంచడానికి ఉపయోగపడుతుంది. [5] అభివృద్ధి అభివృద్ధి చెందుతున్నప్పుడు, NAMMER ను సంస్థ కొత్తగా నిర్మించిన విమానం అని ప్రచారం చేసింది, ఇందులో EL/M-2032 రాడార్‌ను ప్యాకేజీలో అంతర్భాగంగా కలిగి ఉంది. సాధారణ ఎలక్ట్రిక్ ఎఫ్ 404 (లేదా దాని వోల్వో ఏరో-నిర్మిత ఉత్పన్నం, RM12), స్నెక్మా M53 మరియు ప్రాట్ &amp; విట్నీ పిడబ్ల్యు 1120 నుండి వినియోగదారులు తమ ఇష్టపడే ఇంజిన్‌ను ఎంచుకోగలిగారు, ఇవన్నీ 18,0001 బి -20,0001 బి-థ్రస్ట్ క్లాస్. [2] ఎయిర్ఫ్రేమ్ యొక్క నిరూపితమైన డెల్టా కానార్డ్ కాన్ఫిగరేషన్, కొత్త ఏవియానిక్స్ మరియు మరింత ఆధునిక ఇంజిన్ రూపకల్పనతో జత చేసినప్పుడు, సాపేక్షంగా ఆధునిక ఫైటర్ విమానాలకు దారితీస్తుందని కంపెనీ పేర్కొంది, సాధారణ డైనమిక్స్ F-16A ఫైటింగ్ ఫాల్కన్ లేదా డసాల్ట్ మిరాజ్ 2000 తో పోల్చవచ్చు. కానీ తరువాతి విమానాల ధరలో సగం ఖర్చుతో. [5] అభివృద్ధి మరియు ప్రదర్శన ప్రయోజనాల కోసం, ఒకే నమూనాను సంస్థ నిర్మించింది. 21 మార్చి 1991 న, ఈ నమూనా దాని తొలి విమానాన్ని నిర్వహిస్తుంది. [5] IAI ప్రకారం, విమానం అమ్మకాలను పొందటానికి ప్రయత్నిస్తున్నప్పుడు ఈ భావన అనేక విదేశీ వైమానిక దళాలకు సమర్పించబడింది; కనీసం 80 విమానాల కోసం ఆర్డర్లు భద్రపరచబడే వరకు విమానం ఉత్పత్తిని కొనసాగించాలనే ఉద్దేశాలు లేవని కంపెనీ పేర్కొంది. [5] [3] ఈ చర్చల సమయంలో, IAI కాబోయే ఆపరేటర్లకు అధిక స్థాయి అనుకూలీకరణను అందించాడని తెలుసు, ముఖ్యంగా నేమర్ రూపకల్పనపై గణనీయమైన ప్రభావాన్ని చూపడానికి వారికి అనుమతిస్తుంది. [4] ఇజ్రాయెల్‌లోని సంస్థ యొక్క ప్రస్తుత సౌకర్యాల వద్ద నేమర్‌ను నిర్మించడం నుండి క్లయింట్ కస్టమర్ దేశంలో తుది అసెంబ్లీ రేఖను స్థాపించడం వరకు కంపెనీ వివిధ ఉత్పాదక ఏర్పాట్లను అందించింది. [2] 1990 లో, పునరుద్ధరించిన అమ్మకాల ప్రయత్నంలో భాగంగా, ఆన్‌బోర్డ్ సిస్టమ్స్ మరియు సాఫ్ట్‌వేర్‌తో పాటు, విదేశాలలో వినియోగదారులకు విదేశాలలో నేమర్ ఉత్పత్తిని పూర్తిగా బదిలీ చేయడానికి IAI ఇచ్చింది. [3] IAI NAMMER ఒక ప్రతిపాదిత ఫైటర్ విమానం, వీటిలో ఎయిర్ఫ్రేమ్ మునుపటి IAI KFIR నుండి తీసుకోబడింది (ఇది డసాల్ట్ మిరాజ్ 5 ఆధారంగా). [6] బాహ్యంగా, డిజైన్ KFIR యొక్క C7 మోడల్‌కు బలమైన పోలికను కలిగి ఉంది; ఏదేమైనా, పొడవైన ముక్కు ఉండటం మరియు టెయిల్‌ఫిన్ యొక్క ప్రముఖ అంచు యొక్క బేస్ వద్ద డోర్సల్ ఎయిర్‌స్కూప్ లేకపోవడం ద్వారా ఇది సులభంగా గుర్తించబడుతుంది. [5] విమానం యొక్క ఇతర ప్రాంతాలు KFIR నుండి దాని కాక్‌పిట్, రాడార్ మరియు ఇంజిన్‌తో సహా పెద్ద తేడాలను కలిగి ఉన్నాయి. [2] IAI ప్రకారం, NAMMER గరిష్టంగా మాక్ 2.2 మరియు 58,000 అడుగుల (19,300 మీ) స్థిరీకరించిన పైకప్పును కలిగి ఉంది. మిరాజ్ ఇల్ యొక్క అసలు స్నెక్మా అటార్ 9 కె 50, లేదా వివిధ రకాల ఆధునిక పవర్‌ప్లాంట్లు-ఇంజిన్ల ఎంపికతో నేమర్‌ను అందించాలని కంపెనీ ఉద్దేశించింది, ఇది సాధారణంగా ఎక్కువ ఇంధన-సామర్థ్యాన్ని కలిగి ఉంటుంది మరియు అసలు ఇంజిన్ కంటే బరువును తగ్గిస్తుంది. [5] [ 2] NAMMER యొక్క కాక్‌పిట్ విస్తృతంగా ఆధునీకరించబడింది, ఇది కొత్త మొత్తం లేఅవుట్‌ను కలిగి ఉంది, ఇది ఇతర ప్రయోజనాలతో పాటు, దాని పైలట్‌ను విమానం యొక్క సమర్థవంతమైన నియంత్రణను నిర్వహించడానికి అనుమతించేది, ఇది అన్నింటికీ చేతుల మీదుగా-థ్రోటిల్-అండ్-స్టిక్ (HOTAS) ఆపరేషన్ ద్వారా Cateration హించిన కార్యాచరణ పరిస్థితులలో కీలకమైన వ్యవస్థలు. హెడ్-అప్ డిస్ప్లే, ఒక జత మల్టీ-ఫంక్షన్ డిస్ప్లేలు మరియు రాడార్ హెచ్చరిక/ఎలక్ట్రానిక్ కౌంటర్మెజర్ల ప్రదర్శనతో కూడిన మొత్తం నాలుగు డిస్ప్లేలు పైలట్‌ను అవసరమైన అన్ని సమాచారంతో సరఫరా చేయడానికి ఉద్దేశించబడ్డాయి. [5] వివిధ ప్రదర్శనలు మరియు ఇంజిన్ కోసం ఘన-స్థితి పరికరాలు తిరిగి ఉపయోగించిన లావి టెక్నాలజీపై ఆధారపడి ఉంటాయి. [2] ఏవియానిక్స్ నేమర్ అభివృద్ధికి ప్రధాన దృష్టి ప్రాంతం. [4] IAI ప్రకారం, NAMMER ఒక అధునాతన ఆయుధ నిర్వహణ వ్యవస్థను కలిగి ఉంది, ఇది నేరుగా మల్టీమోడ్ పల్స్-డాప్లర్ రాడార్‌తో విలీనం చేయబడింది, అయితే దాని ఎలక్ట్రానిక్ వార్ఫేర్ సూట్‌లో రద్దు చేయబడిన లావి కోసం మొదట రూపొందించిన లక్షణాలు కూడా ఉపయోగించబడతాయి. [3 ] విమానం యొక్క గరిష్ట టేకాఫ్ బరువు సుమారు 15,450 కిలోలు, గరిష్ట పేలోడ్ 6,270 కిలోలు. ఇది అంతర్గతంగా మొత్తం 3,000 కిలోల ఇంధనాన్ని కలిగి ఉంటుంది, అదనంగా 3,720 కిలోల బాహ్య ట్యాంకులతో పాటు. [5] అదనంగా, దీనికి వైమానిక రీఫ్యూయలింగ్ సామర్ధ్యం అందించాలి. [3] IAI యొక్క పదేపదే ప్రకటనల ప్రకారం, NAMMER ఫైటర్ యొక్క సీరియల్ ఉత్పత్తి యూనిట్ ఖర్చుతో million 20 మిలియన్ల కన్నా తక్కువ ఖర్చుతో అందుబాటులో ఉండేది. [3] [2] సాధారణ లక్షణాలు పనితీరు ఆయుధ సంబంధిత అభివృద్ధి</v>
      </c>
      <c r="E53" s="1" t="s">
        <v>724</v>
      </c>
      <c r="F53" s="1" t="str">
        <f>IFERROR(__xludf.DUMMYFUNCTION("GOOGLETRANSLATE(E:E, ""en"", ""te"")"),"యుద్ధ")</f>
        <v>యుద్ధ</v>
      </c>
      <c r="H53" s="1" t="s">
        <v>563</v>
      </c>
      <c r="I53" s="1" t="str">
        <f>IFERROR(__xludf.DUMMYFUNCTION("GOOGLETRANSLATE(H:H, ""en"", ""te"")"),"ఇజ్రాయెల్")</f>
        <v>ఇజ్రాయెల్</v>
      </c>
      <c r="J53" s="3" t="s">
        <v>725</v>
      </c>
      <c r="K53" s="1" t="s">
        <v>726</v>
      </c>
      <c r="L53" s="2" t="str">
        <f>IFERROR(__xludf.DUMMYFUNCTION("GOOGLETRANSLATE(K:K, ""en"", ""te"")"),"ఇజ్రాయెల్ ఏరోస్పేస్ ఇండస్ట్రీస్ (IAI)")</f>
        <v>ఇజ్రాయెల్ ఏరోస్పేస్ ఇండస్ట్రీస్ (IAI)</v>
      </c>
      <c r="M53" s="1" t="s">
        <v>727</v>
      </c>
      <c r="N53" s="1" t="s">
        <v>728</v>
      </c>
      <c r="O53" s="1" t="str">
        <f>IFERROR(__xludf.DUMMYFUNCTION("GOOGLETRANSLATE(N:N, ""en"", ""te"")"),"రద్దు")</f>
        <v>రద్దు</v>
      </c>
      <c r="Q53" s="1" t="s">
        <v>729</v>
      </c>
      <c r="R53" s="1" t="s">
        <v>730</v>
      </c>
      <c r="S53" s="1" t="s">
        <v>731</v>
      </c>
      <c r="U53" s="1" t="s">
        <v>732</v>
      </c>
      <c r="Y53" s="1" t="s">
        <v>733</v>
      </c>
      <c r="AD53" s="4">
        <v>33318.0</v>
      </c>
      <c r="AE53" s="1">
        <v>1.0</v>
      </c>
      <c r="AF53" s="1" t="s">
        <v>734</v>
      </c>
      <c r="AG53" s="1" t="s">
        <v>735</v>
      </c>
      <c r="AI53" s="1" t="s">
        <v>736</v>
      </c>
      <c r="AL53" s="1" t="s">
        <v>737</v>
      </c>
      <c r="AP53" s="1" t="s">
        <v>738</v>
      </c>
      <c r="AQ53" s="1" t="s">
        <v>739</v>
      </c>
      <c r="BO53" s="1" t="s">
        <v>740</v>
      </c>
      <c r="BR53" s="1" t="s">
        <v>741</v>
      </c>
    </row>
    <row r="54">
      <c r="A54" s="1" t="s">
        <v>742</v>
      </c>
      <c r="B54" s="1" t="str">
        <f>IFERROR(__xludf.DUMMYFUNCTION("GOOGLETRANSLATE(A:A, ""en"", ""te"")"),"LOENing M-8")</f>
        <v>LOENing M-8</v>
      </c>
      <c r="C54" s="1" t="s">
        <v>743</v>
      </c>
      <c r="D54" s="1" t="str">
        <f>IFERROR(__xludf.DUMMYFUNCTION("GOOGLETRANSLATE(C:C, ""en"", ""te"")"),"లూనింగ్ M-8 అనేది 1910 ల అమెరికన్ ఫైటర్ మోనోప్లేన్, ఇది గ్రోవర్ లూనింగ్ చేత రూపొందించబడింది మరియు అతని బలహీనమైన ఏరోనాటికల్ ఇంజనీరింగ్ సంస్థ నిర్మించింది. మొదటి ప్రపంచ యుద్ధం ముగిసినప్పుడు అమెరికా ఆర్మీ ఎయిర్ కార్ప్స్ కోసం 5000 ఆర్డర్ రద్దు చేయబడింది. అతను"&amp;" తన సంస్థను ఏర్పాటు చేసిన తరువాత గ్రోవర్ లూనింగ్ చేసిన మొట్టమొదటి డిజైన్ రెండు-సీట్ల బ్రేస్డ్-వింగ్ మోనోప్లేన్ ఫైటర్ M-8. ఇది స్థిర టెయిల్-స్కిడ్ ల్యాండింగ్ గేర్‌ను కలిగి ఉంది మరియు ట్రాక్టర్ ప్రొపెల్లర్‌తో ముక్కు-మౌంటెడ్ హిస్పానో-సుయిజా ఇంజిన్‌తో శక్తిని"&amp;"చ్చింది. పైలట్ మరియు గన్నర్ ఓపెన్ కాక్‌పిట్‌లను కలిగి ఉన్నారు. మొట్టమొదటి విమానం 1918 లో ఎగురవేయబడింది మరియు పరీక్షించిన తరువాత, అమెరికా ఆర్మీ ఎయిర్ కార్ప్స్ 5,000 విమానాలను నిర్మించాలని ఆదేశించింది. M-8-0 హోదాతో రెండు విమానాలు మాత్రమే సైన్యానికి మరియు ఒక"&amp;"టి అమెరికా నేవీకి పంపిణీ చేయబడ్డాయి. యుద్ధం ముగింపులో ఆర్డర్ రద్దు చేయబడింది. నావికాదళం 46 విమానాలను రెండు వేరియంట్లలో పరిశీలన విమానాలుగా ఉపయోగించుకోవాలని ఆదేశించింది. నేవీ ఆరు M-8-S ట్విన్-ఫ్లోట్ సీప్లేన్ వెర్షన్లను కూడా ఆదేశించింది. సైన్యం కోసం సింగిల్-"&amp;"సీట్ వెర్షన్ అభివృద్ధి చేయబడింది. 1911 నుండి అమెరికా నేవీ విమానాల నుండి డేటా [1] సాధారణ లక్షణాలు పనితీరు ఆయుధ సంబంధిత అభివృద్ధి విమానం పోల్చదగిన పాత్ర, కాన్ఫిగరేషన్ మరియు ERA సంబంధిత జాబితాలు")</f>
        <v>లూనింగ్ M-8 అనేది 1910 ల అమెరికన్ ఫైటర్ మోనోప్లేన్, ఇది గ్రోవర్ లూనింగ్ చేత రూపొందించబడింది మరియు అతని బలహీనమైన ఏరోనాటికల్ ఇంజనీరింగ్ సంస్థ నిర్మించింది. మొదటి ప్రపంచ యుద్ధం ముగిసినప్పుడు అమెరికా ఆర్మీ ఎయిర్ కార్ప్స్ కోసం 5000 ఆర్డర్ రద్దు చేయబడింది. అతను తన సంస్థను ఏర్పాటు చేసిన తరువాత గ్రోవర్ లూనింగ్ చేసిన మొట్టమొదటి డిజైన్ రెండు-సీట్ల బ్రేస్డ్-వింగ్ మోనోప్లేన్ ఫైటర్ M-8. ఇది స్థిర టెయిల్-స్కిడ్ ల్యాండింగ్ గేర్‌ను కలిగి ఉంది మరియు ట్రాక్టర్ ప్రొపెల్లర్‌తో ముక్కు-మౌంటెడ్ హిస్పానో-సుయిజా ఇంజిన్‌తో శక్తినిచ్చింది. పైలట్ మరియు గన్నర్ ఓపెన్ కాక్‌పిట్‌లను కలిగి ఉన్నారు. మొట్టమొదటి విమానం 1918 లో ఎగురవేయబడింది మరియు పరీక్షించిన తరువాత, అమెరికా ఆర్మీ ఎయిర్ కార్ప్స్ 5,000 విమానాలను నిర్మించాలని ఆదేశించింది. M-8-0 హోదాతో రెండు విమానాలు మాత్రమే సైన్యానికి మరియు ఒకటి అమెరికా నేవీకి పంపిణీ చేయబడ్డాయి. యుద్ధం ముగింపులో ఆర్డర్ రద్దు చేయబడింది. నావికాదళం 46 విమానాలను రెండు వేరియంట్లలో పరిశీలన విమానాలుగా ఉపయోగించుకోవాలని ఆదేశించింది. నేవీ ఆరు M-8-S ట్విన్-ఫ్లోట్ సీప్లేన్ వెర్షన్లను కూడా ఆదేశించింది. సైన్యం కోసం సింగిల్-సీట్ వెర్షన్ అభివృద్ధి చేయబడింది. 1911 నుండి అమెరికా నేవీ విమానాల నుండి డేటా [1] సాధారణ లక్షణాలు పనితీరు ఆయుధ సంబంధిత అభివృద్ధి విమానం పోల్చదగిన పాత్ర, కాన్ఫిగరేషన్ మరియు ERA సంబంధిత జాబితాలు</v>
      </c>
      <c r="E54" s="1" t="s">
        <v>744</v>
      </c>
      <c r="F54" s="1" t="str">
        <f>IFERROR(__xludf.DUMMYFUNCTION("GOOGLETRANSLATE(E:E, ""en"", ""te"")"),"మోనోప్లేన్ ఫైటర్")</f>
        <v>మోనోప్లేన్ ఫైటర్</v>
      </c>
      <c r="K54" s="1" t="s">
        <v>745</v>
      </c>
      <c r="L54" s="2" t="str">
        <f>IFERROR(__xludf.DUMMYFUNCTION("GOOGLETRANSLATE(K:K, ""en"", ""te"")"),"లీనింగ్ ఏరోనాటికల్ ఇంజనీరింగ్")</f>
        <v>లీనింగ్ ఏరోనాటికల్ ఇంజనీరింగ్</v>
      </c>
      <c r="M54" s="1" t="s">
        <v>746</v>
      </c>
      <c r="Q54" s="1">
        <v>2.0</v>
      </c>
      <c r="R54" s="1" t="s">
        <v>747</v>
      </c>
      <c r="S54" s="1" t="s">
        <v>748</v>
      </c>
      <c r="U54" s="1" t="s">
        <v>749</v>
      </c>
      <c r="W54" s="1" t="s">
        <v>177</v>
      </c>
      <c r="X54" s="1" t="s">
        <v>750</v>
      </c>
      <c r="Y54" s="1" t="s">
        <v>751</v>
      </c>
      <c r="AB54" s="1" t="s">
        <v>752</v>
      </c>
      <c r="AD54" s="1">
        <v>1918.0</v>
      </c>
      <c r="AE54" s="1">
        <v>55.0</v>
      </c>
      <c r="AF54" s="1" t="s">
        <v>753</v>
      </c>
      <c r="AG54" s="1" t="s">
        <v>754</v>
      </c>
      <c r="AI54" s="1" t="s">
        <v>755</v>
      </c>
      <c r="AJ54" s="1" t="s">
        <v>756</v>
      </c>
      <c r="AK54" s="1" t="s">
        <v>757</v>
      </c>
      <c r="AL54" s="1" t="s">
        <v>758</v>
      </c>
      <c r="AQ54" s="1" t="s">
        <v>759</v>
      </c>
      <c r="BK54" s="1" t="s">
        <v>760</v>
      </c>
      <c r="BS54" s="1" t="s">
        <v>761</v>
      </c>
      <c r="CT54" s="3" t="s">
        <v>762</v>
      </c>
      <c r="CU54" s="1" t="s">
        <v>763</v>
      </c>
      <c r="CV54" s="1" t="s">
        <v>764</v>
      </c>
      <c r="CW54" s="1" t="s">
        <v>765</v>
      </c>
    </row>
    <row r="55">
      <c r="A55" s="1" t="s">
        <v>766</v>
      </c>
      <c r="B55" s="1" t="str">
        <f>IFERROR(__xludf.DUMMYFUNCTION("GOOGLETRANSLATE(A:A, ""en"", ""te"")"),"థర్మోప్లాన్")</f>
        <v>థర్మోప్లాన్</v>
      </c>
      <c r="C55" s="1" t="s">
        <v>767</v>
      </c>
      <c r="D55" s="1" t="str">
        <f>IFERROR(__xludf.DUMMYFUNCTION("GOOGLETRANSLATE(C:C, ""en"", ""te"")"),"థర్మోప్లాన్ అనేది రష్యన్ లెంటిక్యులర్ ఆకారపు హైబ్రిడ్ ఎయిర్‌షిప్ యొక్క నమూనా యొక్క పేరు. థర్మోప్లాన్ యొక్క ముఖ్య లక్షణం దాని మిశ్రమ నిర్మాణం, ప్రాధమిక విభాగం విప్లవం ఆకారం యొక్క టోరస్ కలిగి ఉంది (ఒక వేరియంట్ ఈ విభాగాన్ని హెర్మెటిక్ నిర్మించడం మరియు షెల్ హ"&amp;"ీలియం విభాగానికి బదులుగా హీలియంతో నింపడం). ఈ విభాగం షెల్ కు మద్దతు ఇస్తుంది, ఇది రెండు విభాగాలను హీలియంతో నిండిన మరియు రెండవ గాలితో నిండి ఉంటుంది, వీటిని ఎయిర్‌షిప్ ఇంజిన్లు ఎగ్జాస్ట్ గ్యాస్ లేదా సహజంగా చల్లబరుస్తాయి. [1] ఈ రూపకల్పన, ""రోజియెర్"" అనే భావన"&amp;" ఆధారంగా, ఆల్-హీలియం రకంతో పోలిస్తే యుక్తిని బాగా మెరుగుపరుస్తుంది. [2] డిస్క్ ఆకారం యుక్తిని మెరుగుపరచడానికి మరియు 20 m/s (45 mph; 39 kn; 72 km/h) వరకు గాలులను నిరోధించడంలో సహాయపడుతుంది. షెల్ వాల్యూమ్ 10660 క్యూ. m. (376 450 క్యూ. అడుగులు) దాని వ్యాసం 40"&amp;" మీ. ప్రోటోటైప్‌లో 2 క్లిమోవ్ జిటిడి -350 ఇంజన్లు (400 హెచ్.పి.తో), 1 వేదెనియేవ్ ఎం 14 పి మోటార్ (360 హెచ్.పి.) మరియు నిలువు ప్రొపల్షన్ కోసం 2 ఎలక్ట్రిక్ పవర్ యూనిట్ (50 హెచ్.పి. ఫ్లైట్ సిబ్బంది 2 పైలట్లు. [3] 1970 ల చివరలో మాస్కో ఏవియేషన్ ఇనిస్టిట్యూట్‌ల"&amp;"ో ఈ ప్రాజెక్ట్ ప్రారంభమైంది, యూరి ఇష్కోవ్ నేతృత్వంలోని ఒక చిన్న విద్యార్థుల బృందం సెర్గీ ఎగర్ [రు] యొక్క శాస్త్రీయ దిశలో. అప్పటి మాయి రెక్టర్ యూరి రిజోవ్ సహాయంతో వారు 1980 ల రెండవ భాగంలో గాజ్‌ప్రోమ్ నుండి ప్రారంభ డిజైన్ బ్యూరో ""థర్మ్‌పోలన్"" మరియు మొదట స"&amp;"్కేల్డ్ ప్రోటోటైప్ ALA-40 ను యులియానోవ్స్క్ ఏవియేషన్ ప్రొడక్షన్ కాంప్లెక్స్ వద్ద నిర్మించారు మరియు 1992 లో రూపొందించారు. . ఇది చాలా చిన్న ఎయిర్‌షిప్, మరియు 1990 ల ఆర్థిక సంక్షోభం వల్ల కలిగే సమస్యల కారణంగా ఆ సమయంలో పూర్తి స్థాయి నమూనా నిర్మించబడలేదు. [4] ["&amp;"1] 2000 ల చివరలో, ఉలినోవ్స్క్‌లోని రష్యన్ సంస్థ లోకోమోస్కీ చేత కొత్త పేరు లోకోమోస్కీనర్ ఈ ప్రాజెక్టును పునరుద్ధరించే ప్రయత్నం జరిగింది. అయితే, విజయం మరియు కార్యక్రమం లేకుండా రద్దు చేయబడింది. [5]")</f>
        <v>థర్మోప్లాన్ అనేది రష్యన్ లెంటిక్యులర్ ఆకారపు హైబ్రిడ్ ఎయిర్‌షిప్ యొక్క నమూనా యొక్క పేరు. థర్మోప్లాన్ యొక్క ముఖ్య లక్షణం దాని మిశ్రమ నిర్మాణం, ప్రాధమిక విభాగం విప్లవం ఆకారం యొక్క టోరస్ కలిగి ఉంది (ఒక వేరియంట్ ఈ విభాగాన్ని హెర్మెటిక్ నిర్మించడం మరియు షెల్ హీలియం విభాగానికి బదులుగా హీలియంతో నింపడం). ఈ విభాగం షెల్ కు మద్దతు ఇస్తుంది, ఇది రెండు విభాగాలను హీలియంతో నిండిన మరియు రెండవ గాలితో నిండి ఉంటుంది, వీటిని ఎయిర్‌షిప్ ఇంజిన్లు ఎగ్జాస్ట్ గ్యాస్ లేదా సహజంగా చల్లబరుస్తాయి. [1] ఈ రూపకల్పన, "రోజియెర్" అనే భావన ఆధారంగా, ఆల్-హీలియం రకంతో పోలిస్తే యుక్తిని బాగా మెరుగుపరుస్తుంది. [2] డిస్క్ ఆకారం యుక్తిని మెరుగుపరచడానికి మరియు 20 m/s (45 mph; 39 kn; 72 km/h) వరకు గాలులను నిరోధించడంలో సహాయపడుతుంది. షెల్ వాల్యూమ్ 10660 క్యూ. m. (376 450 క్యూ. అడుగులు) దాని వ్యాసం 40 మీ. ప్రోటోటైప్‌లో 2 క్లిమోవ్ జిటిడి -350 ఇంజన్లు (400 హెచ్.పి.తో), 1 వేదెనియేవ్ ఎం 14 పి మోటార్ (360 హెచ్.పి.) మరియు నిలువు ప్రొపల్షన్ కోసం 2 ఎలక్ట్రిక్ పవర్ యూనిట్ (50 హెచ్.పి. ఫ్లైట్ సిబ్బంది 2 పైలట్లు. [3] 1970 ల చివరలో మాస్కో ఏవియేషన్ ఇనిస్టిట్యూట్‌లో ఈ ప్రాజెక్ట్ ప్రారంభమైంది, యూరి ఇష్కోవ్ నేతృత్వంలోని ఒక చిన్న విద్యార్థుల బృందం సెర్గీ ఎగర్ [రు] యొక్క శాస్త్రీయ దిశలో. అప్పటి మాయి రెక్టర్ యూరి రిజోవ్ సహాయంతో వారు 1980 ల రెండవ భాగంలో గాజ్‌ప్రోమ్ నుండి ప్రారంభ డిజైన్ బ్యూరో "థర్మ్‌పోలన్" మరియు మొదట స్కేల్డ్ ప్రోటోటైప్ ALA-40 ను యులియానోవ్స్క్ ఏవియేషన్ ప్రొడక్షన్ కాంప్లెక్స్ వద్ద నిర్మించారు మరియు 1992 లో రూపొందించారు. . ఇది చాలా చిన్న ఎయిర్‌షిప్, మరియు 1990 ల ఆర్థిక సంక్షోభం వల్ల కలిగే సమస్యల కారణంగా ఆ సమయంలో పూర్తి స్థాయి నమూనా నిర్మించబడలేదు. [4] [1] 2000 ల చివరలో, ఉలినోవ్స్క్‌లోని రష్యన్ సంస్థ లోకోమోస్కీ చేత కొత్త పేరు లోకోమోస్కీనర్ ఈ ప్రాజెక్టును పునరుద్ధరించే ప్రయత్నం జరిగింది. అయితే, విజయం మరియు కార్యక్రమం లేకుండా రద్దు చేయబడింది. [5]</v>
      </c>
      <c r="E55" s="1" t="s">
        <v>768</v>
      </c>
      <c r="F55" s="1" t="str">
        <f>IFERROR(__xludf.DUMMYFUNCTION("GOOGLETRANSLATE(E:E, ""en"", ""te"")"),"ప్రయోగాత్మక హైబ్రిడ్ ఎయిర్‌షిప్")</f>
        <v>ప్రయోగాత్మక హైబ్రిడ్ ఎయిర్‌షిప్</v>
      </c>
      <c r="G55" s="1" t="s">
        <v>769</v>
      </c>
      <c r="K55" s="1" t="s">
        <v>770</v>
      </c>
      <c r="L55" s="2" t="str">
        <f>IFERROR(__xludf.DUMMYFUNCTION("GOOGLETRANSLATE(K:K, ""en"", ""te"")"),"డిజైన్ బ్యూరో ""థర్మోప్లాన్"" సహకారంతో యులినోవ్స్క్ ఏవియేషన్ ప్రొడక్షన్ కాంప్లెక్స్")</f>
        <v>డిజైన్ బ్యూరో "థర్మోప్లాన్" సహకారంతో యులినోవ్స్క్ ఏవియేషన్ ప్రొడక్షన్ కాంప్లెక్స్</v>
      </c>
      <c r="M55" s="1" t="s">
        <v>771</v>
      </c>
      <c r="N55" s="1" t="s">
        <v>772</v>
      </c>
      <c r="O55" s="1" t="str">
        <f>IFERROR(__xludf.DUMMYFUNCTION("GOOGLETRANSLATE(N:N, ""en"", ""te"")"),"భూమి ప్రమాదంలో నాశనం చేయబడింది")</f>
        <v>భూమి ప్రమాదంలో నాశనం చేయబడింది</v>
      </c>
      <c r="AB55" s="1" t="s">
        <v>773</v>
      </c>
      <c r="AD55" s="1" t="s">
        <v>774</v>
      </c>
      <c r="AE55" s="1">
        <v>1.0</v>
      </c>
    </row>
    <row r="56">
      <c r="A56" s="1" t="s">
        <v>775</v>
      </c>
      <c r="B56" s="1" t="str">
        <f>IFERROR(__xludf.DUMMYFUNCTION("GOOGLETRANSLATE(A:A, ""en"", ""te"")"),"ROS-AEROPROGRESS T-101 GRACH")</f>
        <v>ROS-AEROPROGRESS T-101 GRACH</v>
      </c>
      <c r="C56" s="1" t="s">
        <v>776</v>
      </c>
      <c r="D56" s="1" t="str">
        <f>IFERROR(__xludf.DUMMYFUNCTION("GOOGLETRANSLATE(C:C, ""en"", ""te"")"),"లైట్ మల్టీపర్పస్ విమానం టి -101 ""గ్రాచ్"" లేదా ""రూక్"" ఆంగ్లంలో, AN-2 బైప్‌లేన్ ఆధారంగా రూపొందించబడింది మరియు దానికి బదులుగా ప్రణాళిక చేయబడింది. ఈ డిజైన్ తక్కువ ఖర్చు, అధిక విశ్వసనీయత మరియు సిద్ధపడని వైమానిక క్షేత్రాల నుండి పనిచేస్తుంది. టి -101 10 మంది"&amp;" ప్రయాణీకులను లేదా 1600 కిలోల సరుకును రవాణా చేయగలదు. వ్యవసాయ, పెట్రోలింగ్, వైమానిక ఫోటోగ్రఫీ, సెర్చ్ అండ్ రెస్క్యూ, ఎయిర్బోర్న్ మరియు ఇతర యుటిలిటీ ఫంక్షన్ల కోసం దీనిని ఉపయోగించవచ్చు. T-101 లో స్ట్రట్-బ్రెడ్ హై-వింగ్, తోక చక్రంతో స్థిర ల్యాండింగ్ గేర్ మరియ"&amp;"ు ముక్కులో ఒకే ఇంజిన్ ఉన్నాయి. జేన్ యొక్క అన్ని ప్రపంచ విమానాల నుండి డేటా 2004-05 [1] సాధారణ లక్షణాల పనితీరు")</f>
        <v>లైట్ మల్టీపర్పస్ విమానం టి -101 "గ్రాచ్" లేదా "రూక్" ఆంగ్లంలో, AN-2 బైప్‌లేన్ ఆధారంగా రూపొందించబడింది మరియు దానికి బదులుగా ప్రణాళిక చేయబడింది. ఈ డిజైన్ తక్కువ ఖర్చు, అధిక విశ్వసనీయత మరియు సిద్ధపడని వైమానిక క్షేత్రాల నుండి పనిచేస్తుంది. టి -101 10 మంది ప్రయాణీకులను లేదా 1600 కిలోల సరుకును రవాణా చేయగలదు. వ్యవసాయ, పెట్రోలింగ్, వైమానిక ఫోటోగ్రఫీ, సెర్చ్ అండ్ రెస్క్యూ, ఎయిర్బోర్న్ మరియు ఇతర యుటిలిటీ ఫంక్షన్ల కోసం దీనిని ఉపయోగించవచ్చు. T-101 లో స్ట్రట్-బ్రెడ్ హై-వింగ్, తోక చక్రంతో స్థిర ల్యాండింగ్ గేర్ మరియు ముక్కులో ఒకే ఇంజిన్ ఉన్నాయి. జేన్ యొక్క అన్ని ప్రపంచ విమానాల నుండి డేటా 2004-05 [1] సాధారణ లక్షణాల పనితీరు</v>
      </c>
      <c r="E56" s="1" t="s">
        <v>777</v>
      </c>
      <c r="F56" s="1" t="str">
        <f>IFERROR(__xludf.DUMMYFUNCTION("GOOGLETRANSLATE(E:E, ""en"", ""te"")"),"లైట్ యుటిలిటీ మోనోప్లేన్")</f>
        <v>లైట్ యుటిలిటీ మోనోప్లేన్</v>
      </c>
      <c r="H56" s="1" t="s">
        <v>778</v>
      </c>
      <c r="I56" s="1" t="str">
        <f>IFERROR(__xludf.DUMMYFUNCTION("GOOGLETRANSLATE(H:H, ""en"", ""te"")"),"రష్యా")</f>
        <v>రష్యా</v>
      </c>
      <c r="K56" s="1" t="s">
        <v>779</v>
      </c>
      <c r="L56" s="2" t="str">
        <f>IFERROR(__xludf.DUMMYFUNCTION("GOOGLETRANSLATE(K:K, ""en"", ""te"")"),"క్రునిచెవ్ ఓక్బ్")</f>
        <v>క్రునిచెవ్ ఓక్బ్</v>
      </c>
      <c r="Q56" s="1" t="s">
        <v>780</v>
      </c>
      <c r="R56" s="1" t="s">
        <v>781</v>
      </c>
      <c r="S56" s="1" t="s">
        <v>782</v>
      </c>
      <c r="T56" s="1">
        <v>7.6</v>
      </c>
      <c r="U56" s="1" t="s">
        <v>783</v>
      </c>
      <c r="X56" s="1" t="s">
        <v>784</v>
      </c>
      <c r="Z56" s="1" t="s">
        <v>785</v>
      </c>
      <c r="AB56" s="1" t="s">
        <v>786</v>
      </c>
      <c r="AD56" s="6">
        <v>34675.0</v>
      </c>
      <c r="AE56" s="1">
        <v>2.0</v>
      </c>
      <c r="AF56" s="1" t="s">
        <v>787</v>
      </c>
      <c r="AG56" s="1" t="s">
        <v>788</v>
      </c>
      <c r="AH56" s="1" t="s">
        <v>789</v>
      </c>
      <c r="AI56" s="1" t="s">
        <v>790</v>
      </c>
      <c r="AJ56" s="1" t="s">
        <v>791</v>
      </c>
      <c r="AL56" s="1" t="s">
        <v>792</v>
      </c>
      <c r="AP56" s="1" t="s">
        <v>793</v>
      </c>
      <c r="AQ56" s="1" t="s">
        <v>794</v>
      </c>
      <c r="AR56" s="1" t="s">
        <v>795</v>
      </c>
      <c r="AS56" s="1" t="s">
        <v>796</v>
      </c>
      <c r="AU56" s="1" t="s">
        <v>797</v>
      </c>
      <c r="BN56" s="1" t="s">
        <v>798</v>
      </c>
    </row>
    <row r="57">
      <c r="A57" s="1" t="s">
        <v>799</v>
      </c>
      <c r="B57" s="1" t="str">
        <f>IFERROR(__xludf.DUMMYFUNCTION("GOOGLETRANSLATE(A:A, ""en"", ""te"")"),"DFW మార్స్")</f>
        <v>DFW మార్స్</v>
      </c>
      <c r="C57" s="1" t="s">
        <v>800</v>
      </c>
      <c r="D57" s="1" t="str">
        <f>IFERROR(__xludf.DUMMYFUNCTION("GOOGLETRANSLATE(C:C, ""en"", ""te"")"),"DFW మార్స్ 1913 లో నిర్మించిన ప్రారంభ జర్మన్ మిలిటరీ యుటిలిటీ విమానం మరియు ఇది DFW చేత తయారు చేయబడిన మొదటి అసలు రూపకల్పన. ఈ విమానం మోనోప్లేన్ మరియు బిప్‌లేన్ వెర్షన్లలో ఉత్పత్తి చేయబడింది, ఇది ఒక సాధారణ ఫ్యూజ్‌లేజ్ మరియు ఎంపెనేజ్‌ను పంచుకుంది. మోనోప్లేన్ "&amp;"వెర్షన్‌లో రెక్కలు ఉన్నాయి, ఇవి ఫార్వర్డ్ ఫ్యూజ్‌లేజ్‌పై కింగ్‌పోస్ట్‌కు వైర్-బ్రెస్ చేయబడ్డాయి మరియు 71 కిలోవాట్ల (90 హెచ్‌పి) నాగ్ ఇంజిన్‌తో శక్తినిచ్చాయి. అంకితమైన ట్రైనర్ విమానంగా నిర్మించిన మోనోప్లేన్ యొక్క ఉదాహరణలు కూడా రెక్కల క్రింద రీన్ఫోర్సింగ్ ట"&amp;"్రస్‌ను కలిగి ఉన్నాయి. బిప్‌లేన్‌లో అసమానమైన మూడు-బే రెక్కలు ఉన్నాయి మరియు ఇది 75 కిలోవాట్ల (100 హెచ్‌పి) మెర్సిడెస్ ఇంజిన్‌తో శక్తిని పొందింది. మోనోప్లేన్ మరియు బిప్‌లేన్ సంస్కరణల రెక్కలు ప్రముఖ స్వీప్‌బ్యాక్‌ను కలిగి ఉన్నాయి. మార్స్ విమానం యుద్ధానికి పూ"&amp;"ర్వపు ప్రయాణీకుల మోగిన విజయాలు మరియు విశ్వసనీయత ట్రయల్స్‌లో తమను తాము గుర్తించింది మరియు వీటిని జర్మన్ మిలిటరీ మరియు బ్రిటిష్ అడ్మిరల్టీ రెండూ కొనుగోలు చేశాయి, ఇది RNA లకు ఒక ఉదాహరణను కొనుగోలు చేసింది. టర్కిష్ మార్స్ విమానం 1912-1913లో మొదటి మరియు రెండవ బ"&amp;"ాల్కన్ యుద్ధాలలో ఎగురవేయబడింది మరియు అందువల్ల ఈ రకం క్రియాశీల సైనిక సేవను చూసిన మొదటి జర్మన్ నిర్మించిన విమానం అని నమ్ముతారు. సాధారణ లక్షణాల పనితీరు")</f>
        <v>DFW మార్స్ 1913 లో నిర్మించిన ప్రారంభ జర్మన్ మిలిటరీ యుటిలిటీ విమానం మరియు ఇది DFW చేత తయారు చేయబడిన మొదటి అసలు రూపకల్పన. ఈ విమానం మోనోప్లేన్ మరియు బిప్‌లేన్ వెర్షన్లలో ఉత్పత్తి చేయబడింది, ఇది ఒక సాధారణ ఫ్యూజ్‌లేజ్ మరియు ఎంపెనేజ్‌ను పంచుకుంది. మోనోప్లేన్ వెర్షన్‌లో రెక్కలు ఉన్నాయి, ఇవి ఫార్వర్డ్ ఫ్యూజ్‌లేజ్‌పై కింగ్‌పోస్ట్‌కు వైర్-బ్రెస్ చేయబడ్డాయి మరియు 71 కిలోవాట్ల (90 హెచ్‌పి) నాగ్ ఇంజిన్‌తో శక్తినిచ్చాయి. అంకితమైన ట్రైనర్ విమానంగా నిర్మించిన మోనోప్లేన్ యొక్క ఉదాహరణలు కూడా రెక్కల క్రింద రీన్ఫోర్సింగ్ ట్రస్‌ను కలిగి ఉన్నాయి. బిప్‌లేన్‌లో అసమానమైన మూడు-బే రెక్కలు ఉన్నాయి మరియు ఇది 75 కిలోవాట్ల (100 హెచ్‌పి) మెర్సిడెస్ ఇంజిన్‌తో శక్తిని పొందింది. మోనోప్లేన్ మరియు బిప్‌లేన్ సంస్కరణల రెక్కలు ప్రముఖ స్వీప్‌బ్యాక్‌ను కలిగి ఉన్నాయి. మార్స్ విమానం యుద్ధానికి పూర్వపు ప్రయాణీకుల మోగిన విజయాలు మరియు విశ్వసనీయత ట్రయల్స్‌లో తమను తాము గుర్తించింది మరియు వీటిని జర్మన్ మిలిటరీ మరియు బ్రిటిష్ అడ్మిరల్టీ రెండూ కొనుగోలు చేశాయి, ఇది RNA లకు ఒక ఉదాహరణను కొనుగోలు చేసింది. టర్కిష్ మార్స్ విమానం 1912-1913లో మొదటి మరియు రెండవ బాల్కన్ యుద్ధాలలో ఎగురవేయబడింది మరియు అందువల్ల ఈ రకం క్రియాశీల సైనిక సేవను చూసిన మొదటి జర్మన్ నిర్మించిన విమానం అని నమ్ముతారు. సాధారణ లక్షణాల పనితీరు</v>
      </c>
      <c r="E57" s="1" t="s">
        <v>801</v>
      </c>
      <c r="F57" s="1" t="str">
        <f>IFERROR(__xludf.DUMMYFUNCTION("GOOGLETRANSLATE(E:E, ""en"", ""te"")"),"మిలిటరీ యుటిలిటీ విమానం")</f>
        <v>మిలిటరీ యుటిలిటీ విమానం</v>
      </c>
      <c r="K57" s="1" t="s">
        <v>802</v>
      </c>
      <c r="L57" s="2" t="str">
        <f>IFERROR(__xludf.DUMMYFUNCTION("GOOGLETRANSLATE(K:K, ""en"", ""te"")"),"Dfw")</f>
        <v>Dfw</v>
      </c>
      <c r="M57" s="3" t="s">
        <v>803</v>
      </c>
      <c r="Q57" s="1" t="s">
        <v>804</v>
      </c>
      <c r="R57" s="1" t="s">
        <v>805</v>
      </c>
      <c r="S57" s="1" t="s">
        <v>806</v>
      </c>
      <c r="U57" s="1" t="s">
        <v>807</v>
      </c>
      <c r="X57" s="1" t="s">
        <v>808</v>
      </c>
      <c r="AD57" s="1">
        <v>1913.0</v>
      </c>
      <c r="AF57" s="1" t="s">
        <v>809</v>
      </c>
      <c r="AI57" s="1" t="s">
        <v>810</v>
      </c>
      <c r="AL57" s="1" t="s">
        <v>811</v>
      </c>
      <c r="BP57" s="1" t="s">
        <v>812</v>
      </c>
      <c r="CT57" s="3" t="s">
        <v>813</v>
      </c>
    </row>
    <row r="58">
      <c r="A58" s="1" t="s">
        <v>814</v>
      </c>
      <c r="B58" s="1" t="str">
        <f>IFERROR(__xludf.DUMMYFUNCTION("GOOGLETRANSLATE(A:A, ""en"", ""te"")"),"మొజ్హేస్కీ విమానం")</f>
        <v>మొజ్హేస్కీ విమానం</v>
      </c>
      <c r="C58" s="1" t="s">
        <v>815</v>
      </c>
      <c r="D58" s="1" t="str">
        <f>IFERROR(__xludf.DUMMYFUNCTION("GOOGLETRANSLATE(C:C, ""en"", ""te"")"),"మొజ్హేస్కీ యొక్క విమానం (రష్యన్: самолёт можайское) అనేది ఒక నావికాదళ అధికారి అలెగ్జాండర్ మొజ్హేస్కీ (మొజాసికి, మొజాస్కి, మొజైస్కి మరియు మొజాయిస్కీగా కూడా అనువాదం) రూపొందించిన మరియు నిర్మించిన ఒక ప్రయోగాత్మక రష్యన్ విమానం. రెండు ఆవిరి ఇంజిన్లతో నడిచే, మోన"&amp;"ోప్లేన్ డిజైన్ 1884 లో రష్యాలోని క్రాస్నోయ్ సెలో సమీపంలో 20 మరియు 30 మీ (66-98 అడుగులు) మధ్య ఎగురుతూ, రాంప్ వాడకం ద్వారా సహాయకారిగా పనిచేసింది. ఈ విమానం మొదట రెండు శక్తితో పనిచేసింది మొత్తం 30 హార్స్‌పవర్ (22 కిలోవాట్) శక్తితో ఆవిరి ఇంజన్లు. ఇది 40 కిమీ/గ"&amp;"ం (22 కెఎన్; . 1882 నుండి చాలా సంవత్సరాలుగా పరీక్షలు జరిగాయి. రష్యన్ యుద్ధ మంత్రిత్వ శాఖ యొక్క మిలిటరీ ఇంజనీరింగ్ బోర్డ్ చీఫ్ యొక్క గమనిక, 1883 లో పరీక్ష ఫలితాలను వివరిస్తుంది: ""మేము దీనిని చర్యలో చూశాము ... కానీ అది చేయలేకపోయింది టేకాఫ్ "". [1] 21 జనవరి"&amp;" 1883 న మొజ్హేస్కీ తన ప్రాజెక్టును రష్యన్ టెక్నాలజీ సొసైటీ యొక్క ఏడవ డివిజన్ (ఏరోనాటిక్స్) కు సమర్పించారు. ప్రత్యేక ప్రదర్శన ఇవ్వబడింది మరియు ఫలితంగా మూల్యాంకన కమిషన్ కేటాయించబడింది, ఇందులో డివిజన్ II (మెకానికల్) ప్రతినిధి ఉన్నారు. అయినప్పటికీ, ఈ విమానం వ"&amp;"ిమానానికి తగినంత శక్తివంతమైనది కాదు, మరియు సాంకేతిక సమాజం లేదా యుద్ధ మంత్రిత్వ శాఖ మొజాస్కీకి సహాయపడలేదు. 1885 లో మొజాసేస్కీ కమిషన్ మిలిటరీ ఇంజనీరింగ్ చీఫ్‌కు అప్పీల్ చేసింది, కాని అభ్యర్థన అంగీకరించబడలేదు. అదే సంవత్సరం, విమానం దాని మెకానిక్ I. N. గోలుబియ"&amp;"ోవ్ చేత పైలట్ చేయబడిన అధికారుల సమక్షంలో బయలుదేరడానికి ప్రయత్నించింది. ఫ్లైట్ ట్రయల్ సమయంలో ఒక చెక్క సభ్యుడు విఫలమయ్యాడు, ఫలితంగా రెక్క విరిగింది. 1979 మరియు 1981 లలో మాస్కోలోని సోవియట్ సెంట్రల్ ఏరోహైడ్రోడైనమిక్ ఇన్స్టిట్యూట్ (రష్యన్: цаги) చారిత్రక పరిశోధ"&amp;"నలో, స్థిరత్వం లేకపోవడం వల్ల విమానాన్ని స్థాయి విమానంలో ఉంచడం అసాధ్యమని తేలింది. ఏదేమైనా, 1909 వార్తాపత్రికలో, [1] మరియు 1916 నాటి ""మిలిటరీ ఎన్సైక్లోపీడియా"" లో కూడా చేర్చబడినట్లుగా, మొజాసేస్కీ యొక్క విమానం విమానంలో సాధించిందని చారిత్రక డేటా ఉద్భవించింది"&amp;". [2] టెస్ట్ ఫ్లైట్ విఫలమైన తరువాత, మొజాస్కీ తన విమానాలను రిపేర్ చేయడానికి మరియు కొత్త ఇంజిన్లతో సన్నద్ధం చేయడానికి ప్రయత్నించాడు. సెంట్రల్ ఏరోహైడ్రోడైనమిక్ ఇన్స్టిట్యూట్ 1982 లో కొత్త ఇంజిన్లతో ఇది బయలుదేరవచ్చు. [1] కొత్త ఆవిరి ఇంజన్లు మొత్తం 50 హార్స్‌ప"&amp;"వర్ (37 కిలోవాట్) కలిగి ఉన్నాయి, కాని 1890 లో మొజాస్కీ మరణానికి ముందు సిద్ధంగా లేవు. ఈ విమానం తరువాత కూల్చివేయబడి సమీపంలోని వోలోగ్డాకు రవాణా చేయబడింది. విమాన రూపకల్పన డ్రాయింగ్‌లు అదృశ్యమయ్యాయి, అయినప్పటికీ చేతితో తయారు చేసిన భాగాల యొక్క వివిధ చిత్తుప్రతు"&amp;"లు మరియు వాటి వివరణలు ఇరవయ్యవ శతాబ్దం అంతా కనుగొనబడ్డాయి. విమానం యొక్క ప్రస్తుత నమూనాలు ఆ డ్రాఫ్ట్ డ్రాయింగ్ల నుండి తీసుకోబడ్డాయి. మొజ్హేస్కీ యొక్క రూపకల్పన లిఫ్ట్ కోసం తగినంత వేగాన్ని సృష్టించడానికి ఇంజిన్ శక్తి కంటే ర్యాంప్‌పై ఆధారపడింది. అతని విమానం యొ"&amp;"క్క రెక్కల రూపకల్పనకు తగినంత లిఫ్ట్ ఉత్పత్తి చేయడానికి అవసరమైన ఎయిర్‌ఫాయిల్ కాంబర్ లేదు. ర్యాంప్ నుండి ప్రారంభించిన తరువాత మొజ్హేస్కీ యొక్క రెక్కలు తన మోనోప్లేన్ యొక్క సంతతిని మందగించే అవకాశం ఉన్నప్పటికీ, రెక్కలు ఎప్పుడూ నిరంతర విమానానికి తగినంత లిఫ్ట్ అం"&amp;"దించే అవకాశం లేదు, దాడి కోణాలలో ఉపయోగించకపోతే, అది అసాధ్యమైనదిగా ఉండేది, అప్పుడు మొజ్స్కీకి అందుబాటులో ఉంది . అతను దాడి యొక్క వివిధ కోణాలతో కూడా ప్రయోగాలు చేశాడు. ఆండ్రీ వీమర్న్ ప్రకారం, మొజాసేస్కీ యొక్క విమానం సిద్ధాంతపరంగా అతనికి హెడ్ విండ్ ఉంటే బయలుదేర"&amp;"వచ్చు, ఇది జూలై 20 న సంభవించి ఉండవచ్చు, అయినప్పటికీ ఆ తేదీ స్పష్టంగా స్థాపించబడలేదు. ఆ రోజున పుల్కోవో వద్ద ఉన్న వాతావరణ కేంద్రం గాలి వేగాన్ని సెకనుకు 10 మీటర్ల (19 kn; 22 mph) కొలుస్తుంది, కాబట్టి ఇది విమానానికి సరిపోతుంది. [3] ఈ విమానం 1884 లో క్రాస్నోయ్"&amp;" సెలోలో తొలి విమానంలో చేసినట్లు పేర్కొన్నారు. 1909 లో, రష్యా వార్తాపత్రిక మొజ్స్కీ యొక్క హాప్ మొదటి శక్తితో కూడిన విమానమని పేర్కొంది. 1971-1981లో త్సాగి ఈ అంశంపై పరిశోధన చేసి దావాను ఖండించారు. మొజాసేస్కీ యొక్క అసలు విమానం తక్కువ ఇంజిన్ సామర్థ్యం కారణంగా ల"&amp;"ిఫ్ట్ ఉత్పత్తి చేయలేకపోయింది. మోజాస్కీ తన మరణానికి కొద్దిసేపటి క్రితం ప్లాన్ చేసిన మరింత శక్తివంతమైన ఇంజిన్‌తో, విమానం ఎగరగలిగిందని కూడా చూపబడింది. [4] [5]")</f>
        <v>మొజ్హేస్కీ యొక్క విమానం (రష్యన్: самолёт можайское) అనేది ఒక నావికాదళ అధికారి అలెగ్జాండర్ మొజ్హేస్కీ (మొజాసికి, మొజాస్కి, మొజైస్కి మరియు మొజాయిస్కీగా కూడా అనువాదం) రూపొందించిన మరియు నిర్మించిన ఒక ప్రయోగాత్మక రష్యన్ విమానం. రెండు ఆవిరి ఇంజిన్లతో నడిచే, మోనోప్లేన్ డిజైన్ 1884 లో రష్యాలోని క్రాస్నోయ్ సెలో సమీపంలో 20 మరియు 30 మీ (66-98 అడుగులు) మధ్య ఎగురుతూ, రాంప్ వాడకం ద్వారా సహాయకారిగా పనిచేసింది. ఈ విమానం మొదట రెండు శక్తితో పనిచేసింది మొత్తం 30 హార్స్‌పవర్ (22 కిలోవాట్) శక్తితో ఆవిరి ఇంజన్లు. ఇది 40 కిమీ/గం (22 కెఎన్; . 1882 నుండి చాలా సంవత్సరాలుగా పరీక్షలు జరిగాయి. రష్యన్ యుద్ధ మంత్రిత్వ శాఖ యొక్క మిలిటరీ ఇంజనీరింగ్ బోర్డ్ చీఫ్ యొక్క గమనిక, 1883 లో పరీక్ష ఫలితాలను వివరిస్తుంది: "మేము దీనిని చర్యలో చూశాము ... కానీ అది చేయలేకపోయింది టేకాఫ్ ". [1] 21 జనవరి 1883 న మొజ్హేస్కీ తన ప్రాజెక్టును రష్యన్ టెక్నాలజీ సొసైటీ యొక్క ఏడవ డివిజన్ (ఏరోనాటిక్స్) కు సమర్పించారు. ప్రత్యేక ప్రదర్శన ఇవ్వబడింది మరియు ఫలితంగా మూల్యాంకన కమిషన్ కేటాయించబడింది, ఇందులో డివిజన్ II (మెకానికల్) ప్రతినిధి ఉన్నారు. అయినప్పటికీ, ఈ విమానం విమానానికి తగినంత శక్తివంతమైనది కాదు, మరియు సాంకేతిక సమాజం లేదా యుద్ధ మంత్రిత్వ శాఖ మొజాస్కీకి సహాయపడలేదు. 1885 లో మొజాసేస్కీ కమిషన్ మిలిటరీ ఇంజనీరింగ్ చీఫ్‌కు అప్పీల్ చేసింది, కాని అభ్యర్థన అంగీకరించబడలేదు. అదే సంవత్సరం, విమానం దాని మెకానిక్ I. N. గోలుబియోవ్ చేత పైలట్ చేయబడిన అధికారుల సమక్షంలో బయలుదేరడానికి ప్రయత్నించింది. ఫ్లైట్ ట్రయల్ సమయంలో ఒక చెక్క సభ్యుడు విఫలమయ్యాడు, ఫలితంగా రెక్క విరిగింది. 1979 మరియు 1981 లలో మాస్కోలోని సోవియట్ సెంట్రల్ ఏరోహైడ్రోడైనమిక్ ఇన్స్టిట్యూట్ (రష్యన్: цаги) చారిత్రక పరిశోధనలో, స్థిరత్వం లేకపోవడం వల్ల విమానాన్ని స్థాయి విమానంలో ఉంచడం అసాధ్యమని తేలింది. ఏదేమైనా, 1909 వార్తాపత్రికలో, [1] మరియు 1916 నాటి "మిలిటరీ ఎన్సైక్లోపీడియా" లో కూడా చేర్చబడినట్లుగా, మొజాసేస్కీ యొక్క విమానం విమానంలో సాధించిందని చారిత్రక డేటా ఉద్భవించింది. [2] టెస్ట్ ఫ్లైట్ విఫలమైన తరువాత, మొజాస్కీ తన విమానాలను రిపేర్ చేయడానికి మరియు కొత్త ఇంజిన్లతో సన్నద్ధం చేయడానికి ప్రయత్నించాడు. సెంట్రల్ ఏరోహైడ్రోడైనమిక్ ఇన్స్టిట్యూట్ 1982 లో కొత్త ఇంజిన్లతో ఇది బయలుదేరవచ్చు. [1] కొత్త ఆవిరి ఇంజన్లు మొత్తం 50 హార్స్‌పవర్ (37 కిలోవాట్) కలిగి ఉన్నాయి, కాని 1890 లో మొజాస్కీ మరణానికి ముందు సిద్ధంగా లేవు. ఈ విమానం తరువాత కూల్చివేయబడి సమీపంలోని వోలోగ్డాకు రవాణా చేయబడింది. విమాన రూపకల్పన డ్రాయింగ్‌లు అదృశ్యమయ్యాయి, అయినప్పటికీ చేతితో తయారు చేసిన భాగాల యొక్క వివిధ చిత్తుప్రతులు మరియు వాటి వివరణలు ఇరవయ్యవ శతాబ్దం అంతా కనుగొనబడ్డాయి. విమానం యొక్క ప్రస్తుత నమూనాలు ఆ డ్రాఫ్ట్ డ్రాయింగ్ల నుండి తీసుకోబడ్డాయి. మొజ్హేస్కీ యొక్క రూపకల్పన లిఫ్ట్ కోసం తగినంత వేగాన్ని సృష్టించడానికి ఇంజిన్ శక్తి కంటే ర్యాంప్‌పై ఆధారపడింది. అతని విమానం యొక్క రెక్కల రూపకల్పనకు తగినంత లిఫ్ట్ ఉత్పత్తి చేయడానికి అవసరమైన ఎయిర్‌ఫాయిల్ కాంబర్ లేదు. ర్యాంప్ నుండి ప్రారంభించిన తరువాత మొజ్హేస్కీ యొక్క రెక్కలు తన మోనోప్లేన్ యొక్క సంతతిని మందగించే అవకాశం ఉన్నప్పటికీ, రెక్కలు ఎప్పుడూ నిరంతర విమానానికి తగినంత లిఫ్ట్ అందించే అవకాశం లేదు, దాడి కోణాలలో ఉపయోగించకపోతే, అది అసాధ్యమైనదిగా ఉండేది, అప్పుడు మొజ్స్కీకి అందుబాటులో ఉంది . అతను దాడి యొక్క వివిధ కోణాలతో కూడా ప్రయోగాలు చేశాడు. ఆండ్రీ వీమర్న్ ప్రకారం, మొజాసేస్కీ యొక్క విమానం సిద్ధాంతపరంగా అతనికి హెడ్ విండ్ ఉంటే బయలుదేరవచ్చు, ఇది జూలై 20 న సంభవించి ఉండవచ్చు, అయినప్పటికీ ఆ తేదీ స్పష్టంగా స్థాపించబడలేదు. ఆ రోజున పుల్కోవో వద్ద ఉన్న వాతావరణ కేంద్రం గాలి వేగాన్ని సెకనుకు 10 మీటర్ల (19 kn; 22 mph) కొలుస్తుంది, కాబట్టి ఇది విమానానికి సరిపోతుంది. [3] ఈ విమానం 1884 లో క్రాస్నోయ్ సెలోలో తొలి విమానంలో చేసినట్లు పేర్కొన్నారు. 1909 లో, రష్యా వార్తాపత్రిక మొజ్స్కీ యొక్క హాప్ మొదటి శక్తితో కూడిన విమానమని పేర్కొంది. 1971-1981లో త్సాగి ఈ అంశంపై పరిశోధన చేసి దావాను ఖండించారు. మొజాసేస్కీ యొక్క అసలు విమానం తక్కువ ఇంజిన్ సామర్థ్యం కారణంగా లిఫ్ట్ ఉత్పత్తి చేయలేకపోయింది. మోజాస్కీ తన మరణానికి కొద్దిసేపటి క్రితం ప్లాన్ చేసిన మరింత శక్తివంతమైన ఇంజిన్‌తో, విమానం ఎగరగలిగిందని కూడా చూపబడింది. [4] [5]</v>
      </c>
      <c r="E58" s="1" t="s">
        <v>816</v>
      </c>
      <c r="F58" s="1" t="str">
        <f>IFERROR(__xludf.DUMMYFUNCTION("GOOGLETRANSLATE(E:E, ""en"", ""te"")"),"ప్రయోగాత్మక మోనోప్లేన్")</f>
        <v>ప్రయోగాత్మక మోనోప్లేన్</v>
      </c>
      <c r="G58" s="1" t="s">
        <v>817</v>
      </c>
      <c r="K58" s="1" t="s">
        <v>818</v>
      </c>
      <c r="L58" s="2" t="str">
        <f>IFERROR(__xludf.DUMMYFUNCTION("GOOGLETRANSLATE(K:K, ""en"", ""te"")"),"అలెగ్జాండర్ మొజ్హేస్కీ")</f>
        <v>అలెగ్జాండర్ మొజ్హేస్కీ</v>
      </c>
      <c r="M58" s="1" t="s">
        <v>819</v>
      </c>
      <c r="N58" s="1" t="s">
        <v>820</v>
      </c>
      <c r="O58" s="1" t="str">
        <f>IFERROR(__xludf.DUMMYFUNCTION("GOOGLETRANSLATE(N:N, ""en"", ""te"")"),"తెలియదు")</f>
        <v>తెలియదు</v>
      </c>
      <c r="AB58" s="1" t="s">
        <v>818</v>
      </c>
      <c r="AD58" s="1" t="s">
        <v>821</v>
      </c>
      <c r="AE58" s="1">
        <v>1.0</v>
      </c>
      <c r="AL58" s="1" t="s">
        <v>822</v>
      </c>
    </row>
    <row r="59">
      <c r="A59" s="1" t="s">
        <v>823</v>
      </c>
      <c r="B59" s="1" t="str">
        <f>IFERROR(__xludf.DUMMYFUNCTION("GOOGLETRANSLATE(A:A, ""en"", ""te"")"),"సాండర్స్-రో sr.177")</f>
        <v>సాండర్స్-రో sr.177</v>
      </c>
      <c r="C59" s="1" t="s">
        <v>824</v>
      </c>
      <c r="D59" s="1" t="str">
        <f>IFERROR(__xludf.DUMMYFUNCTION("GOOGLETRANSLATE(C:C, ""en"", ""te"")"),"సాండర్స్-రో SR.177 అనేది రాయల్ ఎయిర్ ఫోర్స్ (RAF) మరియు రాయల్ నేవీ కోసం సంయుక్త జెట్- మరియు రాకెట్-శక్తితో పనిచేసే ఇంటర్‌కప్టర్ విమానాలను అభివృద్ధి చేయడానికి 1950 ల ప్రాజెక్ట్. ఇది సాండర్స్-రో SR.53 యొక్క విస్తరించిన ఉత్పన్నం, ఇది ఒక ప్రయోగాత్మక జెట్-అండ్"&amp;"-రాకెట్ ఇంటర్‌కెక్టర్ విమానం. SR.177 ప్రధానంగా ముక్కు-మౌంటెడ్ వాయుమార్గాన అంతరాయ రాడార్ యూనిట్‌ను స్వీకరించడంలో చిన్న SR.53 నుండి భిన్నంగా ఉంది, ఇది స్కాన్ చేయడానికి మరియు దాని స్వంత లక్ష్యాలను లాక్ చేయడానికి అనుమతించింది; మరింత శక్తివంతమైన టర్బోజెట్ ఇంజి"&amp;"న్ కూడా విలీనం చేయబడింది. విమానంలో బ్రిటిష్ ప్రయోజనాలతో పాటు, జర్మన్ నావికాదళం కూడా ఈ ప్రాజెక్టుపై తమ ఆసక్తిని వ్యక్తం చేసింది మరియు దాని పురోగతిని దాని సంభావ్య సేకరణ వైపు ఒక కన్నుతో నిశితంగా అంచనా వేసింది. ఏదేమైనా, 1957 లో బ్రిటన్ యొక్క సైనిక విధానాలలో మ"&amp;"ార్పుల ఫలితంగా SR.177 చివరికి రద్దు చేయబడింది. SR.177 యొక్క చాలా పెద్ద ఉత్పన్నం అధ్యయనం చేయబడింది, ఇది SR.187 గా నియమించబడింది మరియు ఉద్దేశ్యంతో అభివృద్ధి చేయబడింది కార్యాచరణ అవసరం యొక్క అవసరాలను తీర్చడం F.155. ఏదేమైనా, ఈ పని 1957 లో కూడా రద్దు చేయబడింది."&amp;" రద్దు చేసే సమయానికి, మొదటి నమూనాలో సుమారు 90 శాతం పూర్తయింది, అనేక ఇతర ప్రోటోటైప్‌లు పూర్తయిన వివిధ రాష్ట్రాల్లో ఉన్నాయి. [1] ప్రోటోటైప్‌లు చాలా సంవత్సరాలు నిల్వ చేయబడ్డాయి, అయితే ప్రాజెక్టును పునరుద్ధరించడానికి ప్రయత్నాలు జరిగాయి; జపాన్‌తో సహా ఆసక్తి ఉన"&amp;"్నప్పటికీ, ఈ ప్రాజెక్ట్ గురించి ఇంకేమీ రాలేదు మరియు మిగిలిన ఆస్తులు విచ్ఛిన్నమయ్యాయి. 1952 లో, సాండర్స్-రోకు సంయుక్త రాకెట్-అండ్-జెట్-చోదక ఇంటర్‌కప్టర్ విమానాలను అభివృద్ధి చేయడానికి ఒక ఒప్పందం లభించింది, దీనిని సాండర్స్-రో SR.53 గా నియమించారు. [2] ఏదేమైనా"&amp;", ప్రాజెక్టుపై అభివృద్ధి పనులు అభివృద్ధి చెందుతున్నప్పుడు, డిజైన్ యొక్క లోపాలు స్పష్టంగా కనిపించాయి. ముఖ్యంగా, రెండవ ప్రపంచ యుద్ధం యొక్క జర్మన్ రాకెట్-శక్తితో పనిచేసే ఇంటర్‌సెప్టర్ల మాదిరిగానే, అటువంటి విమానం యొక్క శ్రేణి మరియు ఓర్పు రాకెట్ ఇంజిన్ ద్వారా "&amp;"అధిక ఇంధన వినియోగం ద్వారా పరిమితం చేయబడ్డాయి. ఏదేమైనా, టర్బోజెట్ ఇంజన్లు అభివృద్ధి చెందాయి మరియు మరింత శక్తివంతమైనవి మరియు సమర్థవంతంగా మారినప్పుడు, కొత్త పవర్‌ప్లాంట్లు త్వరగా అందుబాటులోకి వస్తున్నాయి, అది అటువంటి విమానాలను మరింత ఆచరణాత్మకంగా చేస్తుంది. ["&amp;"3] SR.53 యొక్క చీఫ్ డిజైనర్ మారిస్ బ్రెన్నాన్, ఒక వాయుమార్గాన రాడార్ యూనిట్ విమానం చేత నిర్వహించాల్సిన అవసరాన్ని కూడా ఒప్పించారు, ఎందుకంటే SR.53 భూమి-ఆధారిత రాడార్ గైడెన్స్ మరియు పైలట్ యొక్క సొంత దృష్టిపై ఆధారపడింది విమానాన్ని అడ్డగించడానికి. [2] ముఖ్యంగా"&amp;", పైలట్లు 60,000 అడుగుల (18,000 మీ) ఎత్తులో తమ కళ్ళను సరిగ్గా కేంద్రీకరించలేరని భయపడ్డారు, SR.53 సామర్థ్యం కలిగి ఉంది. విమానాన్ని రాడార్ యూనిట్‌తో సన్నద్ధం చేయాలనే సంయుక్త కోరిక నుండి మరియు టర్బోజెట్ శక్తిని ఎక్కువగా ఉపయోగించుకోవటానికి, మరింత ప్రతిష్టాత్మ"&amp;"క డిజైన్ రూపొందించడం ప్రారంభమైంది. [4] ఇది SR.53 కోసం అధునాతన డిజైన్ కాన్సెప్ట్‌గా ప్రారంభమైనప్పటికీ, మే 1955 లో రక్షణ మంత్రిత్వ శాఖ అభివృద్ధి ఒప్పందం కుదుర్చుకున్న తరువాత (స్పెసిఫికేషన్ F.155 ను తీర్చడానికి), ఈ ప్రాజెక్టుకు SR గా దాని స్వంత హోదా ఇవ్వబడిం"&amp;"ది. 177. [5] SR.53 లో పని కొనసాగుతున్నప్పుడు, SR.177 లో పనిచేయడానికి సాండర్స్-రో చేత ప్రత్యేక హై స్పీడ్ డెవలప్‌మెంట్ విభాగం ఏర్పడింది. [6] ప్రారంభంలో, SR.177 SR.53 యొక్క సూటిగా అభివృద్ధి, అదే కాన్ఫిగరేషన్ మరియు పరికరాలను చాలావరకు పంచుకుంటుంది, మరియు మొదటి"&amp;" పరీక్ష ఫ్లైట్ 1957 మొదటి భాగంలో జరుగుతుందని vision హించబడింది. అయితే, ఫిబ్రవరి 1955 లో, SR.177 యొక్క విస్తృతమైన పున es రూపకల్పన, RAF మరియు రాయల్ నేవీ రెండింటినీ ఉపయోగించడానికి అనువైన రకాన్ని చేయాలనే లక్ష్యంతో ప్రారంభమైంది. [7] విమానంలో చేసిన మార్పులలో, ప"&amp;"్రధాన తేడాలు జెట్ ఇంజిన్ యొక్క దిగువ ఫ్యూజ్‌లేజ్ లోబ్‌కు పున osition స్థాపనను కలిగి ఉన్నాయి, ఇది ఇప్పుడు పెద్ద, గడ్డం-మౌంటెడ్ తీసుకోవడం ద్వారా గాలితో ఇవ్వబడింది; రెక్క కూడా విస్తరించింది మరియు ఎగిరిన ఫ్లాప్‌లను స్వీకరించారు. ఎంచుకున్న టర్బోజెట్ ఇంజిన్ డి "&amp;"హవిలాండ్ గైరాన్ జూనియర్, ఇది 8,000 ఎల్బిఎఫ్ (36,000 ఎన్) థ్రస్ట్ ఉత్పత్తి చేయగలదు. [7] సెప్టెంబర్ 1955 లో, సాండర్స్-రో బ్రిటిష్ సరఫరా మంత్రిత్వ శాఖ నుండి SR.177 లో కొనసాగడానికి సూచనలు అందుకున్నారు. [7] మాక్-అప్‌లు, విండ్‌టన్నెల్ పరీక్షలు మరియు ప్రారంభ బ్య"&amp;"ాచ్ విమానాల తయారీకి నిర్మాణ జిగ్‌ల అభివృద్ధికి మంత్రిత్వ శాఖ సూచనలను ఇచ్చింది. [8] ప్రారంభం నుండి, SR.177 AVRO 720 యొక్క విస్తరించిన ఉత్పన్నాల రూపంలో పోటీని ఎదుర్కొంది, ఇది చిన్న SR.53 కు వ్యతిరేకంగా పోటీదారుగా రూపొందించబడింది. అవ్రో 720 ను రాయల్ నేవీకి ప"&amp;"దోన్నతి పొందాడు, SR.177 నుండి అనుకూలంగా గెలవాలని ఆశతో, ఈ సమయానికి ఇది వివరాల రూపకల్పన దశకు చేరుకుంది. [9] మంత్రిత్వ శాఖ చివరికి AVRO 720 లో అన్ని పనులను రద్దు చేయాలని నిర్ణయించుకుంది, ప్రధానంగా ఖర్చు-సేవింగ్ కొలతగా, అలాగే SR.53 మరియు SR.177 ను శక్తివంతం చ"&amp;"ేసే HTP- ఆధారిత రాకెట్ మోటారులపై అభివృద్ధి పనులను కేంద్రీకరించడానికి. [10 ] SR.53 మరియు SR.177 ల మధ్య చాలా ముఖ్యమైన వ్యత్యాసం ఏమిటంటే, జెట్ ఇంజిన్‌ను ఉపయోగించడం, మునుపటి కోసం స్వీకరించిన దాని యొక్క దాదాపు ఐదు రెట్లు ఎక్కువ. SR.53 ఎక్కడానికి దాని రాకెట్ ఇం"&amp;"జిన్‌పై ఎక్కువగా ఆధారపడినప్పటికీ, SR.177 దాని రాకెట్ కోసం డాష్ కోసం దాని రాకెట్ ఉపయోగించడం ద్వారా గణనీయమైన ఓర్పును జోడించగలదు. [4] అదనపు ఓర్పు SR.177 ను స్వచ్ఛమైన అంతరాయం కాకుండా ఇతర పాత్రలు చేయడానికి అనుమతిస్తుందని was హించబడింది; ఈ పాత్రలలో సమ్మె మరియు "&amp;"నిఘా మిషన్లు ఉంటాయి. SR.53 డిజైన్ కొత్త ఇంజిన్‌కు అనుగుణంగా గణనీయంగా విస్తరించింది, మరియు చిన్-మౌంటెడ్ గాలి తీసుకోవడం కోసం అసలు సొగసైన పంక్తులు జప్తు చేయబడ్డాయి. [11] మే 1957 లో SR.53 యొక్క తొలి విమాన ప్రయాణం తరువాత, SR.177 యొక్క అభివృద్ధి సాండర్స్-రో వద్"&amp;"ద కార్యకలాపాల యొక్క ప్రధాన కేంద్రంగా మారింది. [12] ఈ సమయంలో, ఈ ప్రాజెక్ట్ గణనీయమైన పెద్ద ఎత్తున సంభావ్యతను కలిగి ఉంది, ఎందుకంటే RAF మరియు రాయల్ నేవీ రెండూ SR.177 కోసం వినియోగదారులుగా సెట్ చేయబడ్డాయి. RAF ఇన్కమింగ్ ఇంగ్లీష్ ఎలక్ట్రిక్ మెరుపు ఇంటర్‌సెప్టర్ల"&amp;"తో పాటు దీనిని ఆపరేట్ చేయడానికి ప్రయత్నించింది, ఏవియేషన్ రచయిత డెరెక్ వుడ్ ప్రకారం, రాయల్ నేవీ కూడా ఈ కార్యక్రమంలో చాలా ఆసక్తిని కలిగి ఉంది. [12] మే 1955 లో అభివృద్ధి ఒప్పందం జారీ చేయబడినప్పుడు, ఇది ఈ ద్వంద్వ ఆసక్తిని ప్రతిబింబిస్తుంది. నేవీ యొక్క అవసరాలు"&amp;" Na.47 లో నిర్వచించబడ్డాయి, అయితే RAF యొక్క అవసరాలు OR.337 లో పేర్కొనబడ్డాయి, వీటిని సరఫరా మంత్రిత్వ శాఖ కార్యాచరణ అవసరాలకు F.155 గా జారీ చేసింది. [12] రెండు సేవలకు ఉమ్మడి విమానం అభివృద్ధి చేయవచ్చని ఆశావాదం ఉంది, గణనీయమైన ఖర్చు, సమయం మరియు కృషిని ఆదా చేస్"&amp;"తుంది. [13] ఈ సేవ కోరిన విమానాల యొక్క ఖచ్చితమైన సంఖ్యపై చర్చలు దీర్ఘకాలికంగా ఉన్నాయి; కానీ 27 SR.177 విమానాల ప్రారంభ బ్యాచ్ కోసం డిమాండ్ ఉందని, మరియు ప్రోగ్రామ్‌ను పూర్తి-రేటు ఉత్పత్తికి వేగంగా మార్చడానికి తగిన సాధనం ఉత్పత్తి చేయాలని నిర్ధారించబడింది. [13"&amp;"] ఏప్రిల్ 1956 నాటికి, మొదటి ఐదు SR.177 లు జనవరి 1958 నాటికి పూర్తి కావాలంటే, ఈ విమానాలు ఎటువంటి A.I లేకుండా ఉత్పత్తి చేయబడతాయి. రాడార్ లేదా ఆయుధాలకు మద్దతు ఇచ్చే సామర్థ్యం. [13] జూలై 1956 లో, 27 విమానాలకు నిధులు సమకూర్చబడ్డాయి, వీటిలో మొదటిది ఏప్రిల్ నాట"&amp;"ికి (తరువాత అక్టోబర్ వరకు వాయిదా పడింది) 1958 లో ఎగురుతుందని భావిస్తున్నారు. 4 సెప్టెంబర్ 1956 న, 27 విమానాలకు ఒక అధికారిక ఒప్పందం జారీ చేయబడింది, ఇది ఉప ఉంది -ఒక పద్దెనిమిది మంది మూల్యాంకనానికి లోబడి ఉన్నప్పటికీ, వరుసగా ఐదు, నాలుగు, నాలుగు మరియు పద్నాలుగ"&amp;"ులలో నాలుగు బ్యాచ్‌లుగా విభజించబడింది. [13] 1957 లో, SR.177 కోసం అభివృద్ధి ఒప్పందాన్ని రాయల్ నేవీతో ఉపయోగించినందుకు ప్రకటించారు. [14] జనవరి 1957 నాటికి, ప్రధాన భాగం జిగ్స్ రూపకల్పన 70 శాతం పూర్తయింది, కాంపోనెంట్ అసెంబ్లీ జిగ్స్ దాదాపు 50 శాతం పూర్తయ్యాయి;"&amp;" పరిమాణ ఉత్పత్తి బ్యాచ్ తయారీకి దగ్గరగా ఉంది, ఇది సాండర్స్-రో యొక్క కౌస్ సదుపాయంలో అధిక స్థాయి పనిభారం కారణంగా మరొక విమానయాన సంస్థకు ఉప కాంట్రాక్ట్ చేయబడి ఉండవచ్చు. [15] అప్పటికే SR.177 యొక్క ప్రాథమిక వింగ్ డిజైన్‌లో పనిని చేపట్టిన ఆర్మ్‌స్ట్రాంగ్ విట్‌వర"&amp;"్త్, ఈ రకానికి రెండవ ఉత్పత్తి అవుట్‌లెట్‌గా ఎంపికయ్యాడు. SR.177 కోసం ఉత్పత్తి కేంద్రం యొక్క ఎంపిక అనుకూలమైన సంఘటన ద్వారా సంక్లిష్టంగా ఉంది; పశ్చిమ జర్మన్ ప్రభుత్వం నుండి కార్యక్రమంపై ఆసక్తి. [15] 1955 నుండి, పునరుద్ధరించబడిన జర్మన్ వైమానిక దళం తనను తాను స"&amp;"న్నద్ధం చేసుకోవడానికి తగిన అధిక పనితీరు గల విమానాన్ని కోరింది, మరియు SR.177 సహకార యూరోపియన్ ఫైటర్ కార్యక్రమానికి పునాదిగా మారగలదని ఆశలు ఉన్నాయి. [15] జర్మన్ రక్షణ మంత్రిత్వ శాఖ మొదట అక్టోబర్ 1955 లో SR.177 పై ఆసక్తిని వ్యక్తం చేసింది; ఫిబ్రవరి 1956 లో, భద"&amp;"్రతాపై బ్రిటిష్ ప్రభుత్వ కమిటీ సీనియర్ .177 న జరిగిన చర్చలకు అంగీకరించింది. [16] కోలుకుంటున్న జర్మన్ విమానాల పరిశ్రమ ద్వారా జర్మనీలో లైసెన్స్ కింద 200 విమానాలు, మరియు SR.177 కోసం ఒక పెద్ద జర్మన్ ఆర్డర్ యొక్క అవకాశాలు త్వరలో ప్రసారం అవుతున్నాయి, వీటిలో బ్ర"&amp;"ిటిష్ ప్రభుత్వం తన బహిరంగతను ప్రకటించింది. [[[[ 17] జనవరి 1957 లో, ఆంగ్లో-జర్మన్ స్టాండింగ్ కమిటీ ఆన్ ఆర్మ్స్ సప్లై కమిటీ, జర్మన్ వైమానిక దళం యొక్క కమాండర్-ఇన్-చీఫ్ జనరల్ కమ్హుబెర్, ఏప్రిల్ 1958 వరకు అందుబాటులో ఉన్న ఫైనాన్సింగ్ లేకపోవడం వల్ల, డెలివరీ టైమ్"&amp;"‌టేబుల్ కాకపోవచ్చు అని ఆందోళన చెందింది. సంతృప్తికరంగా ఉండండి. వుడ్ ప్రకారం, జర్మనీ ఈ సమయానికి వీలైనంత త్వరగా ఒక ఉత్తర్వు జారీ చేయడానికి ఆసక్తి చూపింది. [18] 1957 లో, SR.177 యొక్క విధి బ్రిటన్లో ఎయిర్ డిఫెన్స్ ఫిలాసఫీ యొక్క భారీగా ఆలోచించటానికి లోబడి ఉండాల"&amp;"ి, ప్రధానంగా 1957 డిఫెన్స్ వైట్ పేపర్‌లో వివరించబడింది, ఇది మనుషుల పోరాట విమానాలను క్షిపణుల స్థానంలో ఉంచాలని పిలుపునిచ్చింది. చాలా కొద్దిసేపటి తరువాత, OR.337 రద్దు చేయబడింది మరియు RAF నుండి వచ్చిన ఆర్డర్ యొక్క అవకాశాలు ఆవిరైపోయాయి. [19] ఇది తీవ్రమైన దెబ్బ"&amp;", ఇది రాయల్ నేవీ మరియు జర్మనీ SR.177 కు సంభావ్య కస్టమర్లుగా మిగిలిపోగా, రెండు పార్టీల విశ్వాసం ఈ చర్యతో కదిలింది. [20] SR.177 లో పనులు కొంచెం ఎక్కువ కాలం కొనసాగాయి, అయినప్పటికీ, జర్మనీ నుండి నిరంతర ఆసక్తిని in హించి. సెప్టెంబర్ 1957 లో, సరఫరా మంత్రి ఆబ్రే"&amp;" జోన్స్ ఈ కార్యక్రమానికి మద్దతు ఇవ్వడానికి ఆసక్తి చూపారు మరియు ఆరు ప్రోటోటైప్‌లలో ఐదుగురు నిధుల అభివృద్ధిని కొనసాగించడానికి అంగీకరించారు. [20] ఏదేమైనా, వుడ్ ప్రకారం, సీనియర్ .177 రక్షణ శ్వేతపత్రం యొక్క ప్రధాన న్యాయవాదిగా పనిచేసిన మంత్రి ఆబ్రే జోన్స్ మరియు"&amp;" డంకన్ శాండిస్ మధ్య రాజకీయ పోరాటాలకు లోబడి ఉంది. SR.177 ప్రాజెక్ట్ కొనసాగుతోందని జోన్స్ జర్మన్ అధికారులకు హామీ ఇవ్వగా, విమానం సమర్థవంతంగా చనిపోయిందని వారికి తెలియజేయడానికి శాండిస్ వారిని సంప్రదించారు. [20] ఈ మిశ్రమ సందేశాలు జర్మన్ రక్షణ మంత్రిత్వ శాఖలో గణ"&amp;"నీయమైన గందరగోళం మరియు భయానికి దారితీశాయి. రోల్స్ రాయిస్ లిమిటెడ్ లాబీయింగ్‌కు ప్రతిస్పందనగా, రోల్స్ రాయిస్ RB.153 ఇంజిన్‌ను గైరాన్ జూనియర్ స్థానంలో ఉపయోగించాలని జర్మన్ ప్రభుత్వం పట్టుబట్టింది, దీనివల్ల సాండర్స్-రో మరింత తొందరపాటు పున es రూపకల్పనలో పని చేయ"&amp;"డానికి జర్మన్ ప్రభుత్వం పట్టుబట్టింది. Sr.177. [20] [21] జర్మనీ ప్రభుత్వం తన ప్రాధాన్యతలను ఒక ఇంటర్‌సెప్టర్ విమానాన్ని కోరడం నుండి బదులుగా సమ్మె ఫైటర్‌ను సంపాదించాలని నిర్ణయించుకుంది, ఈ పాత్ర కోసం విమానాన్ని పున es రూపకల్పన చేయడానికి సాండర్స్-రోను నడిపించ"&amp;"ింది. ఏదేమైనా, హీంకెల్ స్థానికంగా SR.177 ను లైసెన్స్ కింద తయారు చేయడానికి సిద్ధమవుతున్నప్పటికీ, జర్మనీ డిసెంబర్ 1957 లో వెంచర్ నుండి మద్దతును ఉపసంహరించుకోవడానికి ఎంచుకుంది. [21] 1957 నవంబర్లో జర్మన్ ప్రభుత్వాన్ని మంత్రి సందర్శించారు, ఎందుకంటే జర్మన్లు ​​త"&amp;"మ ప్రభుత్వం మరియు సాండర్స్-రోల మధ్య కాకుండా ప్రభుత్వాల మధ్య ఏర్పాట్లు ఉండాలని కోరుకున్నారు. [22] పరిశీలనలో ఉన్న మిగిలిన విమానాలలో, పశ్చిమ జర్మన్ ప్రభుత్వం అమెరికన్ లాక్‌హీడ్ ఎఫ్ -104 స్టార్‌ఫైటర్ ఇంటర్‌సెప్టర్ యొక్క అభివృద్ధిని కొనుగోలు చేయడానికి ఎంచుకుంద"&amp;"ి, బదులుగా ""హై-ఎలిట్యూడ్ రికనైసెన్స్ మెషిన్, వ్యూహాత్మక ఫైటర్-బాంబర్ మరియు ఆల్-వెదర్ ఫైటర్ పాత్రను తీర్చడానికి "", [22] యూరోపియన్ ప్రభుత్వాలలో ఎక్కువ భాగం. ""డీల్ ఆఫ్ ది సెంచరీ"" అని పిలువబడే ఈ లాక్‌హీడ్ తిరుగుబాటు ఐరోపాలో పెద్ద రాజకీయ వివాదాలకు కారణమైంద"&amp;"ి మరియు పశ్చిమ జర్మన్ రక్షణ మంత్రి ఫ్రాంజ్ జోసెఫ్ స్ట్రాస్ ఈ అంశంపై దాదాపు రాజీనామా చేయవలసి వచ్చింది. లాక్‌హీడ్ యొక్క వ్యాపార పద్ధతులపై తరువాత దర్యాప్తులో, ఈ ఒప్పందాన్ని పొందటానికి లాక్‌హీడ్ ఈ దేశాలలో ""అమ్మకాల ప్రోత్సాహకాలలో"" మిలియన్ డాలర్లను చెల్లించిన"&amp;"ట్లు కనుగొనబడింది. నెదర్లాండ్స్ ప్రిన్స్ బెర్న్‌హార్డ్ లాక్‌హీడ్ నుండి ఒక మిలియన్ డాలర్లకు పైగా లంచం తీసుకున్నట్లు ఒప్పుకున్నాడు. [23] జర్మన్ ఆసక్తిని ఉపసంహరించుకున్న తరువాత మరియు SR.177 RAF చేత అవసరం లేదు, ప్రస్తుతం ఉన్న రాయల్ నేవీ అవసరం కొనసాగడానికి విల"&amp;"ువైనది కాదు. దీని ప్రకారం, సరఫరా మంత్రిత్వ శాఖ త్వరలో ఈ ప్రాజెక్టును రద్దు చేయడానికి ఎంచుకుంది. 24 డిసెంబర్ 1957 న, మంత్రిత్వ శాఖ నుండి ఒక లేఖను సాండర్స్-రో అందుకుంది, ముగించే నిర్ణయాన్ని ప్రకటించింది. [24] రద్దు ఫలితంగా 1,000 మంది కార్మికులను అనవసరంగా చే"&amp;"స్తారని సాండర్స్-రో ప్రకటించింది. నూతన సంవత్సరంలో జిగ్స్ మరియు సమీప-పూర్తి విమానం విడదీయబడినందున, ఈ ప్రాజెక్ట్ పునరుద్ధరించబడిన సందర్భంలో విమాన సమావేశాలను నిల్వ చేయాలని నిర్ణయించారు. [24] 1958 లో, రాకెట్-జెట్ ఫైటర్‌ను అభివృద్ధి చేయడానికి ఆసక్తి ఉన్న జపాన్"&amp;", రెండు ప్రోటోటైప్ SR.53 ల కొనుగోలు కోసం కొటేషన్ల కోసం ఒక అభ్యర్థనతో బ్రిటన్‌ను సంప్రదించినప్పుడు, SR.177 లో చివరి ఆసక్తి లభించింది. రెండు sr.177s. [24] ఏదేమైనా, బ్రిటిష్ ప్రభుత్వం నుండి మద్దతు లేకపోవడం వల్ల, ఈ చొరవ ఏమీ రాలేదు; జపనీయులు చివరికి F-104 వైపు"&amp;" కూడా మారారు. వుడ్స్ SR.177 ను రద్దు చేయడాన్ని ఇలా సంగ్రహిస్తుంది: ""... ఇది చివరికి వందల లేదా వేలలో నిర్మించబడి ఉండవచ్చు. హాస్యాస్పదమైన రక్షణ విధానాలు మరియు టెక్నాలజీ రంగంలో వైట్హాల్ ఇంటర్-డిపార్ట్‌మెంటల్ సహకారం పూర్తిగా లేకపోవడం వల్ల ఇది చాలా ఎక్కువ ఒక "&amp;"దశాబ్దంలో మంచి ప్రాజెక్టులు నాశనమయ్యాయి "". [24] [25] సాధారణ లక్షణాల నుండి డేటా పనితీరు ఆయుధాల ఏవియానిక్స్ AI.23 ఎయిర్బోర్న్ ఇంటర్‌సెప్షన్ రాడార్ సంబంధిత అభివృద్ధి విమానం పోల్చదగిన పాత్ర, కాన్ఫిగరేషన్ మరియు ERA")</f>
        <v>సాండర్స్-రో SR.177 అనేది రాయల్ ఎయిర్ ఫోర్స్ (RAF) మరియు రాయల్ నేవీ కోసం సంయుక్త జెట్- మరియు రాకెట్-శక్తితో పనిచేసే ఇంటర్‌కప్టర్ విమానాలను అభివృద్ధి చేయడానికి 1950 ల ప్రాజెక్ట్. ఇది సాండర్స్-రో SR.53 యొక్క విస్తరించిన ఉత్పన్నం, ఇది ఒక ప్రయోగాత్మక జెట్-అండ్-రాకెట్ ఇంటర్‌కెక్టర్ విమానం. SR.177 ప్రధానంగా ముక్కు-మౌంటెడ్ వాయుమార్గాన అంతరాయ రాడార్ యూనిట్‌ను స్వీకరించడంలో చిన్న SR.53 నుండి భిన్నంగా ఉంది, ఇది స్కాన్ చేయడానికి మరియు దాని స్వంత లక్ష్యాలను లాక్ చేయడానికి అనుమతించింది; మరింత శక్తివంతమైన టర్బోజెట్ ఇంజిన్ కూడా విలీనం చేయబడింది. విమానంలో బ్రిటిష్ ప్రయోజనాలతో పాటు, జర్మన్ నావికాదళం కూడా ఈ ప్రాజెక్టుపై తమ ఆసక్తిని వ్యక్తం చేసింది మరియు దాని పురోగతిని దాని సంభావ్య సేకరణ వైపు ఒక కన్నుతో నిశితంగా అంచనా వేసింది. ఏదేమైనా, 1957 లో బ్రిటన్ యొక్క సైనిక విధానాలలో మార్పుల ఫలితంగా SR.177 చివరికి రద్దు చేయబడింది. SR.177 యొక్క చాలా పెద్ద ఉత్పన్నం అధ్యయనం చేయబడింది, ఇది SR.187 గా నియమించబడింది మరియు ఉద్దేశ్యంతో అభివృద్ధి చేయబడింది కార్యాచరణ అవసరం యొక్క అవసరాలను తీర్చడం F.155. ఏదేమైనా, ఈ పని 1957 లో కూడా రద్దు చేయబడింది. రద్దు చేసే సమయానికి, మొదటి నమూనాలో సుమారు 90 శాతం పూర్తయింది, అనేక ఇతర ప్రోటోటైప్‌లు పూర్తయిన వివిధ రాష్ట్రాల్లో ఉన్నాయి. [1] ప్రోటోటైప్‌లు చాలా సంవత్సరాలు నిల్వ చేయబడ్డాయి, అయితే ప్రాజెక్టును పునరుద్ధరించడానికి ప్రయత్నాలు జరిగాయి; జపాన్‌తో సహా ఆసక్తి ఉన్నప్పటికీ, ఈ ప్రాజెక్ట్ గురించి ఇంకేమీ రాలేదు మరియు మిగిలిన ఆస్తులు విచ్ఛిన్నమయ్యాయి. 1952 లో, సాండర్స్-రోకు సంయుక్త రాకెట్-అండ్-జెట్-చోదక ఇంటర్‌కప్టర్ విమానాలను అభివృద్ధి చేయడానికి ఒక ఒప్పందం లభించింది, దీనిని సాండర్స్-రో SR.53 గా నియమించారు. [2] ఏదేమైనా, ప్రాజెక్టుపై అభివృద్ధి పనులు అభివృద్ధి చెందుతున్నప్పుడు, డిజైన్ యొక్క లోపాలు స్పష్టంగా కనిపించాయి. ముఖ్యంగా, రెండవ ప్రపంచ యుద్ధం యొక్క జర్మన్ రాకెట్-శక్తితో పనిచేసే ఇంటర్‌సెప్టర్ల మాదిరిగానే, అటువంటి విమానం యొక్క శ్రేణి మరియు ఓర్పు రాకెట్ ఇంజిన్ ద్వారా అధిక ఇంధన వినియోగం ద్వారా పరిమితం చేయబడ్డాయి. ఏదేమైనా, టర్బోజెట్ ఇంజన్లు అభివృద్ధి చెందాయి మరియు మరింత శక్తివంతమైనవి మరియు సమర్థవంతంగా మారినప్పుడు, కొత్త పవర్‌ప్లాంట్లు త్వరగా అందుబాటులోకి వస్తున్నాయి, అది అటువంటి విమానాలను మరింత ఆచరణాత్మకంగా చేస్తుంది. [3] SR.53 యొక్క చీఫ్ డిజైనర్ మారిస్ బ్రెన్నాన్, ఒక వాయుమార్గాన రాడార్ యూనిట్ విమానం చేత నిర్వహించాల్సిన అవసరాన్ని కూడా ఒప్పించారు, ఎందుకంటే SR.53 భూమి-ఆధారిత రాడార్ గైడెన్స్ మరియు పైలట్ యొక్క సొంత దృష్టిపై ఆధారపడింది విమానాన్ని అడ్డగించడానికి. [2] ముఖ్యంగా, పైలట్లు 60,000 అడుగుల (18,000 మీ) ఎత్తులో తమ కళ్ళను సరిగ్గా కేంద్రీకరించలేరని భయపడ్డారు, SR.53 సామర్థ్యం కలిగి ఉంది. విమానాన్ని రాడార్ యూనిట్‌తో సన్నద్ధం చేయాలనే సంయుక్త కోరిక నుండి మరియు టర్బోజెట్ శక్తిని ఎక్కువగా ఉపయోగించుకోవటానికి, మరింత ప్రతిష్టాత్మక డిజైన్ రూపొందించడం ప్రారంభమైంది. [4] ఇది SR.53 కోసం అధునాతన డిజైన్ కాన్సెప్ట్‌గా ప్రారంభమైనప్పటికీ, మే 1955 లో రక్షణ మంత్రిత్వ శాఖ అభివృద్ధి ఒప్పందం కుదుర్చుకున్న తరువాత (స్పెసిఫికేషన్ F.155 ను తీర్చడానికి), ఈ ప్రాజెక్టుకు SR గా దాని స్వంత హోదా ఇవ్వబడింది. 177. [5] SR.53 లో పని కొనసాగుతున్నప్పుడు, SR.177 లో పనిచేయడానికి సాండర్స్-రో చేత ప్రత్యేక హై స్పీడ్ డెవలప్‌మెంట్ విభాగం ఏర్పడింది. [6] ప్రారంభంలో, SR.177 SR.53 యొక్క సూటిగా అభివృద్ధి, అదే కాన్ఫిగరేషన్ మరియు పరికరాలను చాలావరకు పంచుకుంటుంది, మరియు మొదటి పరీక్ష ఫ్లైట్ 1957 మొదటి భాగంలో జరుగుతుందని vision హించబడింది. అయితే, ఫిబ్రవరి 1955 లో, SR.177 యొక్క విస్తృతమైన పున es రూపకల్పన, RAF మరియు రాయల్ నేవీ రెండింటినీ ఉపయోగించడానికి అనువైన రకాన్ని చేయాలనే లక్ష్యంతో ప్రారంభమైంది. [7] విమానంలో చేసిన మార్పులలో, ప్రధాన తేడాలు జెట్ ఇంజిన్ యొక్క దిగువ ఫ్యూజ్‌లేజ్ లోబ్‌కు పున osition స్థాపనను కలిగి ఉన్నాయి, ఇది ఇప్పుడు పెద్ద, గడ్డం-మౌంటెడ్ తీసుకోవడం ద్వారా గాలితో ఇవ్వబడింది; రెక్క కూడా విస్తరించింది మరియు ఎగిరిన ఫ్లాప్‌లను స్వీకరించారు. ఎంచుకున్న టర్బోజెట్ ఇంజిన్ డి హవిలాండ్ గైరాన్ జూనియర్, ఇది 8,000 ఎల్బిఎఫ్ (36,000 ఎన్) థ్రస్ట్ ఉత్పత్తి చేయగలదు. [7] సెప్టెంబర్ 1955 లో, సాండర్స్-రో బ్రిటిష్ సరఫరా మంత్రిత్వ శాఖ నుండి SR.177 లో కొనసాగడానికి సూచనలు అందుకున్నారు. [7] మాక్-అప్‌లు, విండ్‌టన్నెల్ పరీక్షలు మరియు ప్రారంభ బ్యాచ్ విమానాల తయారీకి నిర్మాణ జిగ్‌ల అభివృద్ధికి మంత్రిత్వ శాఖ సూచనలను ఇచ్చింది. [8] ప్రారంభం నుండి, SR.177 AVRO 720 యొక్క విస్తరించిన ఉత్పన్నాల రూపంలో పోటీని ఎదుర్కొంది, ఇది చిన్న SR.53 కు వ్యతిరేకంగా పోటీదారుగా రూపొందించబడింది. అవ్రో 720 ను రాయల్ నేవీకి పదోన్నతి పొందాడు, SR.177 నుండి అనుకూలంగా గెలవాలని ఆశతో, ఈ సమయానికి ఇది వివరాల రూపకల్పన దశకు చేరుకుంది. [9] మంత్రిత్వ శాఖ చివరికి AVRO 720 లో అన్ని పనులను రద్దు చేయాలని నిర్ణయించుకుంది, ప్రధానంగా ఖర్చు-సేవింగ్ కొలతగా, అలాగే SR.53 మరియు SR.177 ను శక్తివంతం చేసే HTP- ఆధారిత రాకెట్ మోటారులపై అభివృద్ధి పనులను కేంద్రీకరించడానికి. [10 ] SR.53 మరియు SR.177 ల మధ్య చాలా ముఖ్యమైన వ్యత్యాసం ఏమిటంటే, జెట్ ఇంజిన్‌ను ఉపయోగించడం, మునుపటి కోసం స్వీకరించిన దాని యొక్క దాదాపు ఐదు రెట్లు ఎక్కువ. SR.53 ఎక్కడానికి దాని రాకెట్ ఇంజిన్‌పై ఎక్కువగా ఆధారపడినప్పటికీ, SR.177 దాని రాకెట్ కోసం డాష్ కోసం దాని రాకెట్ ఉపయోగించడం ద్వారా గణనీయమైన ఓర్పును జోడించగలదు. [4] అదనపు ఓర్పు SR.177 ను స్వచ్ఛమైన అంతరాయం కాకుండా ఇతర పాత్రలు చేయడానికి అనుమతిస్తుందని was హించబడింది; ఈ పాత్రలలో సమ్మె మరియు నిఘా మిషన్లు ఉంటాయి. SR.53 డిజైన్ కొత్త ఇంజిన్‌కు అనుగుణంగా గణనీయంగా విస్తరించింది, మరియు చిన్-మౌంటెడ్ గాలి తీసుకోవడం కోసం అసలు సొగసైన పంక్తులు జప్తు చేయబడ్డాయి. [11] మే 1957 లో SR.53 యొక్క తొలి విమాన ప్రయాణం తరువాత, SR.177 యొక్క అభివృద్ధి సాండర్స్-రో వద్ద కార్యకలాపాల యొక్క ప్రధాన కేంద్రంగా మారింది. [12] ఈ సమయంలో, ఈ ప్రాజెక్ట్ గణనీయమైన పెద్ద ఎత్తున సంభావ్యతను కలిగి ఉంది, ఎందుకంటే RAF మరియు రాయల్ నేవీ రెండూ SR.177 కోసం వినియోగదారులుగా సెట్ చేయబడ్డాయి. RAF ఇన్కమింగ్ ఇంగ్లీష్ ఎలక్ట్రిక్ మెరుపు ఇంటర్‌సెప్టర్లతో పాటు దీనిని ఆపరేట్ చేయడానికి ప్రయత్నించింది, ఏవియేషన్ రచయిత డెరెక్ వుడ్ ప్రకారం, రాయల్ నేవీ కూడా ఈ కార్యక్రమంలో చాలా ఆసక్తిని కలిగి ఉంది. [12] మే 1955 లో అభివృద్ధి ఒప్పందం జారీ చేయబడినప్పుడు, ఇది ఈ ద్వంద్వ ఆసక్తిని ప్రతిబింబిస్తుంది. నేవీ యొక్క అవసరాలు Na.47 లో నిర్వచించబడ్డాయి, అయితే RAF యొక్క అవసరాలు OR.337 లో పేర్కొనబడ్డాయి, వీటిని సరఫరా మంత్రిత్వ శాఖ కార్యాచరణ అవసరాలకు F.155 గా జారీ చేసింది. [12] రెండు సేవలకు ఉమ్మడి విమానం అభివృద్ధి చేయవచ్చని ఆశావాదం ఉంది, గణనీయమైన ఖర్చు, సమయం మరియు కృషిని ఆదా చేస్తుంది. [13] ఈ సేవ కోరిన విమానాల యొక్క ఖచ్చితమైన సంఖ్యపై చర్చలు దీర్ఘకాలికంగా ఉన్నాయి; కానీ 27 SR.177 విమానాల ప్రారంభ బ్యాచ్ కోసం డిమాండ్ ఉందని, మరియు ప్రోగ్రామ్‌ను పూర్తి-రేటు ఉత్పత్తికి వేగంగా మార్చడానికి తగిన సాధనం ఉత్పత్తి చేయాలని నిర్ధారించబడింది. [13] ఏప్రిల్ 1956 నాటికి, మొదటి ఐదు SR.177 లు జనవరి 1958 నాటికి పూర్తి కావాలంటే, ఈ విమానాలు ఎటువంటి A.I లేకుండా ఉత్పత్తి చేయబడతాయి. రాడార్ లేదా ఆయుధాలకు మద్దతు ఇచ్చే సామర్థ్యం. [13] జూలై 1956 లో, 27 విమానాలకు నిధులు సమకూర్చబడ్డాయి, వీటిలో మొదటిది ఏప్రిల్ నాటికి (తరువాత అక్టోబర్ వరకు వాయిదా పడింది) 1958 లో ఎగురుతుందని భావిస్తున్నారు. 4 సెప్టెంబర్ 1956 న, 27 విమానాలకు ఒక అధికారిక ఒప్పందం జారీ చేయబడింది, ఇది ఉప ఉంది -ఒక పద్దెనిమిది మంది మూల్యాంకనానికి లోబడి ఉన్నప్పటికీ, వరుసగా ఐదు, నాలుగు, నాలుగు మరియు పద్నాలుగులలో నాలుగు బ్యాచ్‌లుగా విభజించబడింది. [13] 1957 లో, SR.177 కోసం అభివృద్ధి ఒప్పందాన్ని రాయల్ నేవీతో ఉపయోగించినందుకు ప్రకటించారు. [14] జనవరి 1957 నాటికి, ప్రధాన భాగం జిగ్స్ రూపకల్పన 70 శాతం పూర్తయింది, కాంపోనెంట్ అసెంబ్లీ జిగ్స్ దాదాపు 50 శాతం పూర్తయ్యాయి; పరిమాణ ఉత్పత్తి బ్యాచ్ తయారీకి దగ్గరగా ఉంది, ఇది సాండర్స్-రో యొక్క కౌస్ సదుపాయంలో అధిక స్థాయి పనిభారం కారణంగా మరొక విమానయాన సంస్థకు ఉప కాంట్రాక్ట్ చేయబడి ఉండవచ్చు. [15] అప్పటికే SR.177 యొక్క ప్రాథమిక వింగ్ డిజైన్‌లో పనిని చేపట్టిన ఆర్మ్‌స్ట్రాంగ్ విట్‌వర్త్, ఈ రకానికి రెండవ ఉత్పత్తి అవుట్‌లెట్‌గా ఎంపికయ్యాడు. SR.177 కోసం ఉత్పత్తి కేంద్రం యొక్క ఎంపిక అనుకూలమైన సంఘటన ద్వారా సంక్లిష్టంగా ఉంది; పశ్చిమ జర్మన్ ప్రభుత్వం నుండి కార్యక్రమంపై ఆసక్తి. [15] 1955 నుండి, పునరుద్ధరించబడిన జర్మన్ వైమానిక దళం తనను తాను సన్నద్ధం చేసుకోవడానికి తగిన అధిక పనితీరు గల విమానాన్ని కోరింది, మరియు SR.177 సహకార యూరోపియన్ ఫైటర్ కార్యక్రమానికి పునాదిగా మారగలదని ఆశలు ఉన్నాయి. [15] జర్మన్ రక్షణ మంత్రిత్వ శాఖ మొదట అక్టోబర్ 1955 లో SR.177 పై ఆసక్తిని వ్యక్తం చేసింది; ఫిబ్రవరి 1956 లో, భద్రతాపై బ్రిటిష్ ప్రభుత్వ కమిటీ సీనియర్ .177 న జరిగిన చర్చలకు అంగీకరించింది. [16] కోలుకుంటున్న జర్మన్ విమానాల పరిశ్రమ ద్వారా జర్మనీలో లైసెన్స్ కింద 200 విమానాలు, మరియు SR.177 కోసం ఒక పెద్ద జర్మన్ ఆర్డర్ యొక్క అవకాశాలు త్వరలో ప్రసారం అవుతున్నాయి, వీటిలో బ్రిటిష్ ప్రభుత్వం తన బహిరంగతను ప్రకటించింది. [[[[ 17] జనవరి 1957 లో, ఆంగ్లో-జర్మన్ స్టాండింగ్ కమిటీ ఆన్ ఆర్మ్స్ సప్లై కమిటీ, జర్మన్ వైమానిక దళం యొక్క కమాండర్-ఇన్-చీఫ్ జనరల్ కమ్హుబెర్, ఏప్రిల్ 1958 వరకు అందుబాటులో ఉన్న ఫైనాన్సింగ్ లేకపోవడం వల్ల, డెలివరీ టైమ్‌టేబుల్ కాకపోవచ్చు అని ఆందోళన చెందింది. సంతృప్తికరంగా ఉండండి. వుడ్ ప్రకారం, జర్మనీ ఈ సమయానికి వీలైనంత త్వరగా ఒక ఉత్తర్వు జారీ చేయడానికి ఆసక్తి చూపింది. [18] 1957 లో, SR.177 యొక్క విధి బ్రిటన్లో ఎయిర్ డిఫెన్స్ ఫిలాసఫీ యొక్క భారీగా ఆలోచించటానికి లోబడి ఉండాలి, ప్రధానంగా 1957 డిఫెన్స్ వైట్ పేపర్‌లో వివరించబడింది, ఇది మనుషుల పోరాట విమానాలను క్షిపణుల స్థానంలో ఉంచాలని పిలుపునిచ్చింది. చాలా కొద్దిసేపటి తరువాత, OR.337 రద్దు చేయబడింది మరియు RAF నుండి వచ్చిన ఆర్డర్ యొక్క అవకాశాలు ఆవిరైపోయాయి. [19] ఇది తీవ్రమైన దెబ్బ, ఇది రాయల్ నేవీ మరియు జర్మనీ SR.177 కు సంభావ్య కస్టమర్లుగా మిగిలిపోగా, రెండు పార్టీల విశ్వాసం ఈ చర్యతో కదిలింది. [20] SR.177 లో పనులు కొంచెం ఎక్కువ కాలం కొనసాగాయి, అయినప్పటికీ, జర్మనీ నుండి నిరంతర ఆసక్తిని in హించి. సెప్టెంబర్ 1957 లో, సరఫరా మంత్రి ఆబ్రే జోన్స్ ఈ కార్యక్రమానికి మద్దతు ఇవ్వడానికి ఆసక్తి చూపారు మరియు ఆరు ప్రోటోటైప్‌లలో ఐదుగురు నిధుల అభివృద్ధిని కొనసాగించడానికి అంగీకరించారు. [20] ఏదేమైనా, వుడ్ ప్రకారం, సీనియర్ .177 రక్షణ శ్వేతపత్రం యొక్క ప్రధాన న్యాయవాదిగా పనిచేసిన మంత్రి ఆబ్రే జోన్స్ మరియు డంకన్ శాండిస్ మధ్య రాజకీయ పోరాటాలకు లోబడి ఉంది. SR.177 ప్రాజెక్ట్ కొనసాగుతోందని జోన్స్ జర్మన్ అధికారులకు హామీ ఇవ్వగా, విమానం సమర్థవంతంగా చనిపోయిందని వారికి తెలియజేయడానికి శాండిస్ వారిని సంప్రదించారు. [20] ఈ మిశ్రమ సందేశాలు జర్మన్ రక్షణ మంత్రిత్వ శాఖలో గణనీయమైన గందరగోళం మరియు భయానికి దారితీశాయి. రోల్స్ రాయిస్ లిమిటెడ్ లాబీయింగ్‌కు ప్రతిస్పందనగా, రోల్స్ రాయిస్ RB.153 ఇంజిన్‌ను గైరాన్ జూనియర్ స్థానంలో ఉపయోగించాలని జర్మన్ ప్రభుత్వం పట్టుబట్టింది, దీనివల్ల సాండర్స్-రో మరింత తొందరపాటు పున es రూపకల్పనలో పని చేయడానికి జర్మన్ ప్రభుత్వం పట్టుబట్టింది. Sr.177. [20] [21] జర్మనీ ప్రభుత్వం తన ప్రాధాన్యతలను ఒక ఇంటర్‌సెప్టర్ విమానాన్ని కోరడం నుండి బదులుగా సమ్మె ఫైటర్‌ను సంపాదించాలని నిర్ణయించుకుంది, ఈ పాత్ర కోసం విమానాన్ని పున es రూపకల్పన చేయడానికి సాండర్స్-రోను నడిపించింది. ఏదేమైనా, హీంకెల్ స్థానికంగా SR.177 ను లైసెన్స్ కింద తయారు చేయడానికి సిద్ధమవుతున్నప్పటికీ, జర్మనీ డిసెంబర్ 1957 లో వెంచర్ నుండి మద్దతును ఉపసంహరించుకోవడానికి ఎంచుకుంది. [21] 1957 నవంబర్లో జర్మన్ ప్రభుత్వాన్ని మంత్రి సందర్శించారు, ఎందుకంటే జర్మన్లు ​​తమ ప్రభుత్వం మరియు సాండర్స్-రోల మధ్య కాకుండా ప్రభుత్వాల మధ్య ఏర్పాట్లు ఉండాలని కోరుకున్నారు. [22] పరిశీలనలో ఉన్న మిగిలిన విమానాలలో, పశ్చిమ జర్మన్ ప్రభుత్వం అమెరికన్ లాక్‌హీడ్ ఎఫ్ -104 స్టార్‌ఫైటర్ ఇంటర్‌సెప్టర్ యొక్క అభివృద్ధిని కొనుగోలు చేయడానికి ఎంచుకుంది, బదులుగా "హై-ఎలిట్యూడ్ రికనైసెన్స్ మెషిన్, వ్యూహాత్మక ఫైటర్-బాంబర్ మరియు ఆల్-వెదర్ ఫైటర్ పాత్రను తీర్చడానికి ", [22] యూరోపియన్ ప్రభుత్వాలలో ఎక్కువ భాగం. "డీల్ ఆఫ్ ది సెంచరీ" అని పిలువబడే ఈ లాక్‌హీడ్ తిరుగుబాటు ఐరోపాలో పెద్ద రాజకీయ వివాదాలకు కారణమైంది మరియు పశ్చిమ జర్మన్ రక్షణ మంత్రి ఫ్రాంజ్ జోసెఫ్ స్ట్రాస్ ఈ అంశంపై దాదాపు రాజీనామా చేయవలసి వచ్చింది. లాక్‌హీడ్ యొక్క వ్యాపార పద్ధతులపై తరువాత దర్యాప్తులో, ఈ ఒప్పందాన్ని పొందటానికి లాక్‌హీడ్ ఈ దేశాలలో "అమ్మకాల ప్రోత్సాహకాలలో" మిలియన్ డాలర్లను చెల్లించినట్లు కనుగొనబడింది. నెదర్లాండ్స్ ప్రిన్స్ బెర్న్‌హార్డ్ లాక్‌హీడ్ నుండి ఒక మిలియన్ డాలర్లకు పైగా లంచం తీసుకున్నట్లు ఒప్పుకున్నాడు. [23] జర్మన్ ఆసక్తిని ఉపసంహరించుకున్న తరువాత మరియు SR.177 RAF చేత అవసరం లేదు, ప్రస్తుతం ఉన్న రాయల్ నేవీ అవసరం కొనసాగడానికి విలువైనది కాదు. దీని ప్రకారం, సరఫరా మంత్రిత్వ శాఖ త్వరలో ఈ ప్రాజెక్టును రద్దు చేయడానికి ఎంచుకుంది. 24 డిసెంబర్ 1957 న, మంత్రిత్వ శాఖ నుండి ఒక లేఖను సాండర్స్-రో అందుకుంది, ముగించే నిర్ణయాన్ని ప్రకటించింది. [24] రద్దు ఫలితంగా 1,000 మంది కార్మికులను అనవసరంగా చేస్తారని సాండర్స్-రో ప్రకటించింది. నూతన సంవత్సరంలో జిగ్స్ మరియు సమీప-పూర్తి విమానం విడదీయబడినందున, ఈ ప్రాజెక్ట్ పునరుద్ధరించబడిన సందర్భంలో విమాన సమావేశాలను నిల్వ చేయాలని నిర్ణయించారు. [24] 1958 లో, రాకెట్-జెట్ ఫైటర్‌ను అభివృద్ధి చేయడానికి ఆసక్తి ఉన్న జపాన్, రెండు ప్రోటోటైప్ SR.53 ల కొనుగోలు కోసం కొటేషన్ల కోసం ఒక అభ్యర్థనతో బ్రిటన్‌ను సంప్రదించినప్పుడు, SR.177 లో చివరి ఆసక్తి లభించింది. రెండు sr.177s. [24] ఏదేమైనా, బ్రిటిష్ ప్రభుత్వం నుండి మద్దతు లేకపోవడం వల్ల, ఈ చొరవ ఏమీ రాలేదు; జపనీయులు చివరికి F-104 వైపు కూడా మారారు. వుడ్స్ SR.177 ను రద్దు చేయడాన్ని ఇలా సంగ్రహిస్తుంది: "... ఇది చివరికి వందల లేదా వేలలో నిర్మించబడి ఉండవచ్చు. హాస్యాస్పదమైన రక్షణ విధానాలు మరియు టెక్నాలజీ రంగంలో వైట్హాల్ ఇంటర్-డిపార్ట్‌మెంటల్ సహకారం పూర్తిగా లేకపోవడం వల్ల ఇది చాలా ఎక్కువ ఒక దశాబ్దంలో మంచి ప్రాజెక్టులు నాశనమయ్యాయి ". [24] [25] సాధారణ లక్షణాల నుండి డేటా పనితీరు ఆయుధాల ఏవియానిక్స్ AI.23 ఎయిర్బోర్న్ ఇంటర్‌సెప్షన్ రాడార్ సంబంధిత అభివృద్ధి విమానం పోల్చదగిన పాత్ర, కాన్ఫిగరేషన్ మరియు ERA</v>
      </c>
      <c r="E59" s="1" t="s">
        <v>825</v>
      </c>
      <c r="F59" s="1" t="str">
        <f>IFERROR(__xludf.DUMMYFUNCTION("GOOGLETRANSLATE(E:E, ""en"", ""te"")"),"మిశ్రమ శక్తి ఇంటర్‌సెప్టర్")</f>
        <v>మిశ్రమ శక్తి ఇంటర్‌సెప్టర్</v>
      </c>
      <c r="G59" s="1" t="s">
        <v>826</v>
      </c>
      <c r="K59" s="1" t="s">
        <v>827</v>
      </c>
      <c r="L59" s="2" t="str">
        <f>IFERROR(__xludf.DUMMYFUNCTION("GOOGLETRANSLATE(K:K, ""en"", ""te"")"),"సాండర్స్-రో")</f>
        <v>సాండర్స్-రో</v>
      </c>
      <c r="M59" s="3" t="s">
        <v>828</v>
      </c>
      <c r="R59" s="1" t="s">
        <v>829</v>
      </c>
      <c r="S59" s="1" t="s">
        <v>830</v>
      </c>
      <c r="U59" s="1" t="s">
        <v>831</v>
      </c>
      <c r="X59" s="1" t="s">
        <v>832</v>
      </c>
      <c r="Y59" s="1" t="s">
        <v>833</v>
      </c>
      <c r="AB59" s="1" t="s">
        <v>834</v>
      </c>
      <c r="AE59" s="1">
        <v>0.0</v>
      </c>
      <c r="AG59" s="1" t="s">
        <v>835</v>
      </c>
      <c r="AI59" s="1" t="s">
        <v>836</v>
      </c>
      <c r="AK59" s="1" t="s">
        <v>837</v>
      </c>
      <c r="AL59" s="1" t="s">
        <v>838</v>
      </c>
      <c r="AQ59" s="1" t="s">
        <v>839</v>
      </c>
      <c r="AR59" s="1" t="s">
        <v>840</v>
      </c>
      <c r="BO59" s="1" t="s">
        <v>841</v>
      </c>
      <c r="BP59" s="1" t="s">
        <v>842</v>
      </c>
      <c r="BR59" s="1" t="s">
        <v>843</v>
      </c>
      <c r="BS59" s="1" t="s">
        <v>844</v>
      </c>
      <c r="CX59" s="1" t="s">
        <v>845</v>
      </c>
      <c r="CY59" s="1" t="s">
        <v>846</v>
      </c>
    </row>
    <row r="60">
      <c r="A60" s="1" t="s">
        <v>847</v>
      </c>
      <c r="B60" s="1" t="str">
        <f>IFERROR(__xludf.DUMMYFUNCTION("GOOGLETRANSLATE(A:A, ""en"", ""te"")"),"కవాసాకి కెడిఎ -3")</f>
        <v>కవాసాకి కెడిఎ -3</v>
      </c>
      <c r="C60" s="1" t="s">
        <v>848</v>
      </c>
      <c r="D60" s="1" t="str">
        <f>IFERROR(__xludf.DUMMYFUNCTION("GOOGLETRANSLATE(C:C, ""en"", ""te"")"),"కవాసాకి కెడిఎ -3 సింగిల్-ఇంజిన్, పారాసోల్ వింగ్, డోర్నియర్ ఇంజనీర్ డాక్టర్ రిచర్డ్ వోగ్ట్ రూపొందించిన సింగిల్ సీట్ ప్రయోగాత్మక ఫైటర్ విమానం మరియు జపనీస్ ఇంపీరియల్ ఆర్మీ కోసం కవాసాకి నిర్మించారు, మొదట 1928 లో ఎగురుతూ ఉంది. KDA-3 స్థానంలో ఉంది. KO-4 కానీ మూ"&amp;"డు ప్రోటోటైప్‌లు మాత్రమే నిర్మించబడ్డాయి మరియు అది ఉత్పత్తికి ఆదేశించబడలేదు. మార్చి 1927 లో, రికుగన్ కోకు హోంబు [1] వృద్ధాప్య KO-4 (న్యూపోర్ట్-డిలేజ్ NID 29) స్థానంలో పోటీ ప్రాతిపదికన సింగిల్-సీట్ల ఫైటర్ రూపకల్పనను పరిశోధించాలని కవాసాకి, నకాజిమా మరియు మిత"&amp;"్సుబిషిని ఆదేశించారు. కవాసాకి ప్రవేశం పారాసోల్-వింగ్ సింగిల్-ఇంజిన్ కవాసాకి కెడిఎ -3. మిత్సుబిషి 1 ఎంఎఫ్ 2 హయాబుసా మరియు నకాజిమా ఎన్‌సి ఇతర పోటీదారులు. ప్రతి సంస్థ నుండి మూడు ప్రోటోటైప్ విమానాలను పరీక్ష కోసం టోకోరోజావా ఆర్మీ టెస్ట్ సెంటర్‌కు పంపించాల్సి ఉ"&amp;"ంది. కొత్త విమానాలను రూపకల్పన చేయడంలో ఆ సంస్థకు సహాయపడటానికి వోగ్ట్‌ను కవాసాకి నియమించారు. అతను మరియు అతని అసిస్టెంట్ ఇంజనీర్ మరియు ప్రాధమిక విద్యార్థి, కవాసాకి యొక్క టేకో డోయి, KDA-3 డిజైన్‌కు ప్రారంభ బిందువుగా హై-వింగ్ జర్మన్ డోర్నియర్ డో హెచ్‌ను ఉపయోగి"&amp;"ంచారు. KDA-3 డోర్నియర్ కంటే ఎక్కువ పనితీరును కలిగి ఉంది. మొట్టమొదటి నమూనా KDA-3 ఏప్రిల్ 1, 1928 న పంపిణీ చేయవలసి ఉంది, కాని డెలివరీ చేయడానికి ముందు ల్యాండింగ్ గేర్ కూలిపోయింది. మిత్సుబిషి హయాబుసా గరిష్టంగా 270 కిమీ/గం (170 mph) 3,000 మీ (9,843 అడుగులు) వద"&amp;"్ద నమోదు చేసినప్పటికీ, డైవింగ్ పరీక్షలో మిత్సుబిషి ఫైటర్ 400 కిమీ/గం (250 mph) కంటే ఎక్కువగా ఉన్న తరువాత గాలిలో విరిగింది. రికుగన్ కోకు హోంబు పోటీ రకాలను మూల్యాంకనం చేసి, ప్రోగ్రామ్‌ను రద్దు చేసి, ఇతర ప్రోటోటైప్‌లను విధ్వంసానికి పరీక్షించడం ప్రారంభించింది"&amp;". దురదృష్టవశాత్తు కవాసాకి కోసం, నకాజిమా వారి స్వంత రూపకల్పనతో పట్టుదలతో ఉంది మరియు మరో ఆరు ప్రోటోటైప్‌లను నిర్మించింది, చివరిగా జపాన్ సైన్యం విస్తృతంగా పరీక్షించబడుతోంది, చివరికి నకాజిమా ఆర్మీ టైప్ 91 ఫైటర్‌గా ఉత్పత్తికి అంగీకరించబడటానికి ముందు. ఇంపీరియల్"&amp;" జపనీస్ సైన్యం అదే సంవత్సరం జాతీయవాదం వైపు తిరగడం ప్రారంభించింది, మరియు చాలా కాలం ముందు, జపాన్‌లో రూపకల్పన చేయని మరియు నిర్మించని విమానాలను ఇకపై కొనుగోలు చేయని అత్యున్నత స్థాయిలో ఒక నిర్ణయం తీసుకోబడింది మరియు ఇకపై విదేశీ ఇంజనీర్లు లేదా డిజైనర్లను నియమించక"&amp;"ూడదు. KDA-3 రూపకల్పన మరియు నిర్మించడంలో అనుభవం కోల్పోలేదు, కానీ వాస్తవానికి డిజైనర్లకు చాలా ప్రయోజనం ఉంది, ఎందుకంటే వారు కవాసాకి KDA-5 రూపకల్పన మరియు నిర్మాణంలో KDA-3 ను అభివృద్ధి చేసిన జ్ఞానాన్ని ఉపయోగించారు, సమానమైనది స్పాన్ బిప్‌లేన్, దీనిని జపనీస్ సైన"&amp;"్యం కవాసాకి ఆర్మీ టైప్ 92 మోడల్ 1 ఫైటర్‌గా అంగీకరించింది. మూడింటిలో ఒకటి (2 వ లేదా 3 వ నిర్మించిన) KDA-3 లలో జపనీస్ సివిల్ రిజిస్ట్రేషన్ J-Beyf అందుకుంది. [2] జపనీస్ విమానం నుండి డేటా 1910-1941 [3] సాధారణ లక్షణాలు పనితీరు ఆయుధాలు")</f>
        <v>కవాసాకి కెడిఎ -3 సింగిల్-ఇంజిన్, పారాసోల్ వింగ్, డోర్నియర్ ఇంజనీర్ డాక్టర్ రిచర్డ్ వోగ్ట్ రూపొందించిన సింగిల్ సీట్ ప్రయోగాత్మక ఫైటర్ విమానం మరియు జపనీస్ ఇంపీరియల్ ఆర్మీ కోసం కవాసాకి నిర్మించారు, మొదట 1928 లో ఎగురుతూ ఉంది. KDA-3 స్థానంలో ఉంది. KO-4 కానీ మూడు ప్రోటోటైప్‌లు మాత్రమే నిర్మించబడ్డాయి మరియు అది ఉత్పత్తికి ఆదేశించబడలేదు. మార్చి 1927 లో, రికుగన్ కోకు హోంబు [1] వృద్ధాప్య KO-4 (న్యూపోర్ట్-డిలేజ్ NID 29) స్థానంలో పోటీ ప్రాతిపదికన సింగిల్-సీట్ల ఫైటర్ రూపకల్పనను పరిశోధించాలని కవాసాకి, నకాజిమా మరియు మిత్సుబిషిని ఆదేశించారు. కవాసాకి ప్రవేశం పారాసోల్-వింగ్ సింగిల్-ఇంజిన్ కవాసాకి కెడిఎ -3. మిత్సుబిషి 1 ఎంఎఫ్ 2 హయాబుసా మరియు నకాజిమా ఎన్‌సి ఇతర పోటీదారులు. ప్రతి సంస్థ నుండి మూడు ప్రోటోటైప్ విమానాలను పరీక్ష కోసం టోకోరోజావా ఆర్మీ టెస్ట్ సెంటర్‌కు పంపించాల్సి ఉంది. కొత్త విమానాలను రూపకల్పన చేయడంలో ఆ సంస్థకు సహాయపడటానికి వోగ్ట్‌ను కవాసాకి నియమించారు. అతను మరియు అతని అసిస్టెంట్ ఇంజనీర్ మరియు ప్రాధమిక విద్యార్థి, కవాసాకి యొక్క టేకో డోయి, KDA-3 డిజైన్‌కు ప్రారంభ బిందువుగా హై-వింగ్ జర్మన్ డోర్నియర్ డో హెచ్‌ను ఉపయోగించారు. KDA-3 డోర్నియర్ కంటే ఎక్కువ పనితీరును కలిగి ఉంది. మొట్టమొదటి నమూనా KDA-3 ఏప్రిల్ 1, 1928 న పంపిణీ చేయవలసి ఉంది, కాని డెలివరీ చేయడానికి ముందు ల్యాండింగ్ గేర్ కూలిపోయింది. మిత్సుబిషి హయాబుసా గరిష్టంగా 270 కిమీ/గం (170 mph) 3,000 మీ (9,843 అడుగులు) వద్ద నమోదు చేసినప్పటికీ, డైవింగ్ పరీక్షలో మిత్సుబిషి ఫైటర్ 400 కిమీ/గం (250 mph) కంటే ఎక్కువగా ఉన్న తరువాత గాలిలో విరిగింది. రికుగన్ కోకు హోంబు పోటీ రకాలను మూల్యాంకనం చేసి, ప్రోగ్రామ్‌ను రద్దు చేసి, ఇతర ప్రోటోటైప్‌లను విధ్వంసానికి పరీక్షించడం ప్రారంభించింది. దురదృష్టవశాత్తు కవాసాకి కోసం, నకాజిమా వారి స్వంత రూపకల్పనతో పట్టుదలతో ఉంది మరియు మరో ఆరు ప్రోటోటైప్‌లను నిర్మించింది, చివరిగా జపాన్ సైన్యం విస్తృతంగా పరీక్షించబడుతోంది, చివరికి నకాజిమా ఆర్మీ టైప్ 91 ఫైటర్‌గా ఉత్పత్తికి అంగీకరించబడటానికి ముందు. ఇంపీరియల్ జపనీస్ సైన్యం అదే సంవత్సరం జాతీయవాదం వైపు తిరగడం ప్రారంభించింది, మరియు చాలా కాలం ముందు, జపాన్‌లో రూపకల్పన చేయని మరియు నిర్మించని విమానాలను ఇకపై కొనుగోలు చేయని అత్యున్నత స్థాయిలో ఒక నిర్ణయం తీసుకోబడింది మరియు ఇకపై విదేశీ ఇంజనీర్లు లేదా డిజైనర్లను నియమించకూడదు. KDA-3 రూపకల్పన మరియు నిర్మించడంలో అనుభవం కోల్పోలేదు, కానీ వాస్తవానికి డిజైనర్లకు చాలా ప్రయోజనం ఉంది, ఎందుకంటే వారు కవాసాకి KDA-5 రూపకల్పన మరియు నిర్మాణంలో KDA-3 ను అభివృద్ధి చేసిన జ్ఞానాన్ని ఉపయోగించారు, సమానమైనది స్పాన్ బిప్‌లేన్, దీనిని జపనీస్ సైన్యం కవాసాకి ఆర్మీ టైప్ 92 మోడల్ 1 ఫైటర్‌గా అంగీకరించింది. మూడింటిలో ఒకటి (2 వ లేదా 3 వ నిర్మించిన) KDA-3 లలో జపనీస్ సివిల్ రిజిస్ట్రేషన్ J-Beyf అందుకుంది. [2] జపనీస్ విమానం నుండి డేటా 1910-1941 [3] సాధారణ లక్షణాలు పనితీరు ఆయుధాలు</v>
      </c>
      <c r="E60" s="1" t="s">
        <v>849</v>
      </c>
      <c r="F60" s="1" t="str">
        <f>IFERROR(__xludf.DUMMYFUNCTION("GOOGLETRANSLATE(E:E, ""en"", ""te"")"),"ప్రయోగాత్మక ఫైటర్")</f>
        <v>ప్రయోగాత్మక ఫైటర్</v>
      </c>
      <c r="H60" s="1" t="s">
        <v>850</v>
      </c>
      <c r="I60" s="1" t="str">
        <f>IFERROR(__xludf.DUMMYFUNCTION("GOOGLETRANSLATE(H:H, ""en"", ""te"")"),"జపాన్")</f>
        <v>జపాన్</v>
      </c>
      <c r="K60" s="1" t="s">
        <v>851</v>
      </c>
      <c r="L60" s="2" t="str">
        <f>IFERROR(__xludf.DUMMYFUNCTION("GOOGLETRANSLATE(K:K, ""en"", ""te"")"),"కవాసాకి")</f>
        <v>కవాసాకి</v>
      </c>
      <c r="Q60" s="1">
        <v>1.0</v>
      </c>
      <c r="R60" s="1" t="s">
        <v>852</v>
      </c>
      <c r="S60" s="1" t="s">
        <v>853</v>
      </c>
      <c r="U60" s="1" t="s">
        <v>854</v>
      </c>
      <c r="X60" s="1" t="s">
        <v>855</v>
      </c>
      <c r="Y60" s="1" t="s">
        <v>856</v>
      </c>
      <c r="AB60" s="1" t="s">
        <v>857</v>
      </c>
      <c r="AD60" s="1">
        <v>1928.0</v>
      </c>
      <c r="AE60" s="1">
        <v>3.0</v>
      </c>
      <c r="AF60" s="1" t="s">
        <v>858</v>
      </c>
      <c r="AG60" s="1" t="s">
        <v>859</v>
      </c>
      <c r="AI60" s="1" t="s">
        <v>860</v>
      </c>
      <c r="AJ60" s="1" t="s">
        <v>861</v>
      </c>
      <c r="AK60" s="1" t="s">
        <v>862</v>
      </c>
      <c r="AL60" s="1" t="s">
        <v>863</v>
      </c>
      <c r="AQ60" s="1" t="s">
        <v>864</v>
      </c>
      <c r="BS60" s="1" t="s">
        <v>865</v>
      </c>
      <c r="CZ60" s="1" t="s">
        <v>866</v>
      </c>
      <c r="DA60" s="1" t="s">
        <v>867</v>
      </c>
    </row>
    <row r="61">
      <c r="A61" s="1" t="s">
        <v>868</v>
      </c>
      <c r="B61" s="1" t="str">
        <f>IFERROR(__xludf.DUMMYFUNCTION("GOOGLETRANSLATE(A:A, ""en"", ""te"")"),"LWD żak")</f>
        <v>LWD żak</v>
      </c>
      <c r="C61" s="1" t="s">
        <v>869</v>
      </c>
      <c r="D61" s="1" t="str">
        <f>IFERROR(__xludf.DUMMYFUNCTION("GOOGLETRANSLATE(C:C, ""en"", ""te"")"),"LWD żAK 1940 ల చివరలో పోలిష్ టూరింగ్ మరియు ట్రైనర్ విమానం, ఇది LWD లో రూపొందించబడింది మరియు ఒక చిన్న సిరీస్‌లో నిర్మించబడింది. Żak (పాత-కాలపు ""విద్యార్థి"") ను లాట్నిక్జీ వార్‌జ్‌టాటి డోవియాడిక్జల్నే (ఎల్‌డబ్ల్యుడి, ఏవియేషన్ ఎక్స్‌పెరిమెంటల్ వర్క్‌షాప్‌ల"&amp;"ు) ఓడోలో రూపొందించారు, దీనిని 1946 లో టాయిడియస్జ్ సోస్సైక్ దర్శకత్వం వహించింది, ఇది యుద్ధానంతర విమానంలో మొదటిది. ఇది మిశ్రమ నిర్మాణం యొక్క తేలికపాటి తక్కువ-వింగ్ కాంటిలివర్ మోనోప్లేన్, ఇద్దరు సిబ్బంది, పక్కపక్కనే కూర్చొని, సాంప్రదాయిక ల్యాండింగ్ గేర్ స్థి"&amp;"ర. మొట్టమొదటి ప్రోటోటైప్ żak-1 మొట్టమొదట మార్చి 23, 1947 న ఎగురవేయబడింది. ఇది చెకోస్లోవాక్ 65 హెచ్‌పి స్ట్రెయిట్ ఇంజిన్ వాల్టర్ మిక్రోన్ III చేత శక్తిని పొందింది మరియు గుర్తులు SP-AAC ను తీసుకువెళ్లారు. రెండవ ప్రోటోటైప్ żak-2 65 HP ఫ్లాట్ ఇంజిన్ కాంటినెంట"&amp;"ల్ A-65 చేత శక్తిని పొందింది మరియు ఓపెన్ కాక్‌పిట్ కలిగి ఉంది. ఇది నవంబర్ 27, 1947 న ఎగురవేయబడింది మరియు గుర్తులు SP-AAE ని తీసుకువెళ్లారు. డిజైన్ విజయవంతమైంది మరియు కమ్యూనికేషన్ మంత్రిత్వ శాఖ 10 విమానాల శ్రేణిని ఆదేశించింది. అవి లైసెన్స్-నిర్మించిన A-65 "&amp;"ఇంజిన్ల ద్వారా శక్తిని పొందవలసి ఉంది, కాని ఇంజిన్ ఉత్పత్తి ప్రణాళికలు వదిలివేయబడినందున, వాటిని వాల్టర్ మిక్రాన్ ఇంజిన్లతో సరిపోయేలా నిర్ణయించారు. వాటిని క్లోజ్డ్ పందిరితో అమర్చారు, వెనుకకు స్లైడింగ్ మరియు żak-3 అని పేరు పెట్టారు. పది విమానాలను 1948 చివరిల"&amp;"ో ఎల్‌డబ్ల్యుడి నిర్మించింది, వాటిలో మొదటిది నవంబర్ 8, 1948 న ప్రయాణించారు. వారికి గుర్తులు ఉన్నాయి: SP-AAS నుండి SP-AAZ, మరియు SP-BAA నుండి SP-BAC కు. కనీసం ఒకటి (SP-AAX) ఇంజిన్ తరువాత 85 HP (63 kW) సిరస్ F.III తో భర్తీ చేయబడింది. 1955 వరకు పోలిష్ ప్రాంత"&amp;"ీయ ఏరో క్లబ్‌లలో వీటిని ఉపయోగించారు. అక్టోబర్ 20, 1948 న, గ్లైడర్ వెళ్ళుట కోసం ఉద్దేశించిన చివరి వేరియంట్ żak-4 యొక్క నమూనాను ఎగురవేశారు. ఇది బలమైన 105 హెచ్‌పి వాల్టర్ ఇంజిన్ మరియు ఓపెన్ పందిరిని కలిగి ఉంది. ఇది గ్లైడర్ వెళ్ళుటకు అనుచితమైనదని చూపించినందున"&amp;", మరియు పాత పోలికార్పోవ్ పిఒ -2 ఈ ప్రయోజనం కోసం మెరుగైన విమానం కనిపించింది, żak-4 సిరీస్‌లో నిర్మించబడలేదు, మరియు ప్రోటోటైప్ తిరిగి మూసివేసిన పందిరితో అమర్చబడి ఏరోలో టూరింగ్ విమానం గా ఉపయోగించబడింది క్లబ్ (గుర్తులు sp-bae). ŻAK-3 SP-AAX క్రాకోవ్‌లోని పోలి"&amp;"ష్ ఏవియేషన్ మ్యూజియంలో (2007 నాటికి విడదీయబడింది) జేన్ యొక్క అన్ని ప్రపంచ విమానాల నుండి డేటాను సంరక్షించారు 1953-54 [1] పోల్చదగిన పాత్ర, కాన్ఫిగరేషన్ మరియు ERA యొక్క సాధారణ లక్షణాల పనితీరు విమానం పనితీరు విమానం")</f>
        <v>LWD żAK 1940 ల చివరలో పోలిష్ టూరింగ్ మరియు ట్రైనర్ విమానం, ఇది LWD లో రూపొందించబడింది మరియు ఒక చిన్న సిరీస్‌లో నిర్మించబడింది. Żak (పాత-కాలపు "విద్యార్థి") ను లాట్నిక్జీ వార్‌జ్‌టాటి డోవియాడిక్జల్నే (ఎల్‌డబ్ల్యుడి, ఏవియేషన్ ఎక్స్‌పెరిమెంటల్ వర్క్‌షాప్‌లు) ఓడోలో రూపొందించారు, దీనిని 1946 లో టాయిడియస్జ్ సోస్సైక్ దర్శకత్వం వహించింది, ఇది యుద్ధానంతర విమానంలో మొదటిది. ఇది మిశ్రమ నిర్మాణం యొక్క తేలికపాటి తక్కువ-వింగ్ కాంటిలివర్ మోనోప్లేన్, ఇద్దరు సిబ్బంది, పక్కపక్కనే కూర్చొని, సాంప్రదాయిక ల్యాండింగ్ గేర్ స్థిర. మొట్టమొదటి ప్రోటోటైప్ żak-1 మొట్టమొదట మార్చి 23, 1947 న ఎగురవేయబడింది. ఇది చెకోస్లోవాక్ 65 హెచ్‌పి స్ట్రెయిట్ ఇంజిన్ వాల్టర్ మిక్రోన్ III చేత శక్తిని పొందింది మరియు గుర్తులు SP-AAC ను తీసుకువెళ్లారు. రెండవ ప్రోటోటైప్ żak-2 65 HP ఫ్లాట్ ఇంజిన్ కాంటినెంటల్ A-65 చేత శక్తిని పొందింది మరియు ఓపెన్ కాక్‌పిట్ కలిగి ఉంది. ఇది నవంబర్ 27, 1947 న ఎగురవేయబడింది మరియు గుర్తులు SP-AAE ని తీసుకువెళ్లారు. డిజైన్ విజయవంతమైంది మరియు కమ్యూనికేషన్ మంత్రిత్వ శాఖ 10 విమానాల శ్రేణిని ఆదేశించింది. అవి లైసెన్స్-నిర్మించిన A-65 ఇంజిన్ల ద్వారా శక్తిని పొందవలసి ఉంది, కాని ఇంజిన్ ఉత్పత్తి ప్రణాళికలు వదిలివేయబడినందున, వాటిని వాల్టర్ మిక్రాన్ ఇంజిన్లతో సరిపోయేలా నిర్ణయించారు. వాటిని క్లోజ్డ్ పందిరితో అమర్చారు, వెనుకకు స్లైడింగ్ మరియు żak-3 అని పేరు పెట్టారు. పది విమానాలను 1948 చివరిలో ఎల్‌డబ్ల్యుడి నిర్మించింది, వాటిలో మొదటిది నవంబర్ 8, 1948 న ప్రయాణించారు. వారికి గుర్తులు ఉన్నాయి: SP-AAS నుండి SP-AAZ, మరియు SP-BAA నుండి SP-BAC కు. కనీసం ఒకటి (SP-AAX) ఇంజిన్ తరువాత 85 HP (63 kW) సిరస్ F.III తో భర్తీ చేయబడింది. 1955 వరకు పోలిష్ ప్రాంతీయ ఏరో క్లబ్‌లలో వీటిని ఉపయోగించారు. అక్టోబర్ 20, 1948 న, గ్లైడర్ వెళ్ళుట కోసం ఉద్దేశించిన చివరి వేరియంట్ żak-4 యొక్క నమూనాను ఎగురవేశారు. ఇది బలమైన 105 హెచ్‌పి వాల్టర్ ఇంజిన్ మరియు ఓపెన్ పందిరిని కలిగి ఉంది. ఇది గ్లైడర్ వెళ్ళుటకు అనుచితమైనదని చూపించినందున, మరియు పాత పోలికార్పోవ్ పిఒ -2 ఈ ప్రయోజనం కోసం మెరుగైన విమానం కనిపించింది, żak-4 సిరీస్‌లో నిర్మించబడలేదు, మరియు ప్రోటోటైప్ తిరిగి మూసివేసిన పందిరితో అమర్చబడి ఏరోలో టూరింగ్ విమానం గా ఉపయోగించబడింది క్లబ్ (గుర్తులు sp-bae). ŻAK-3 SP-AAX క్రాకోవ్‌లోని పోలిష్ ఏవియేషన్ మ్యూజియంలో (2007 నాటికి విడదీయబడింది) జేన్ యొక్క అన్ని ప్రపంచ విమానాల నుండి డేటాను సంరక్షించారు 1953-54 [1] పోల్చదగిన పాత్ర, కాన్ఫిగరేషన్ మరియు ERA యొక్క సాధారణ లక్షణాల పనితీరు విమానం పనితీరు విమానం</v>
      </c>
      <c r="E61" s="1" t="s">
        <v>870</v>
      </c>
      <c r="F61" s="1" t="str">
        <f>IFERROR(__xludf.DUMMYFUNCTION("GOOGLETRANSLATE(E:E, ""en"", ""te"")"),"టూరింగ్ మరియు ట్రైనర్ విమానం")</f>
        <v>టూరింగ్ మరియు ట్రైనర్ విమానం</v>
      </c>
      <c r="K61" s="1" t="s">
        <v>871</v>
      </c>
      <c r="L61" s="2" t="str">
        <f>IFERROR(__xludf.DUMMYFUNCTION("GOOGLETRANSLATE(K:K, ""en"", ""te"")"),"LWD")</f>
        <v>LWD</v>
      </c>
      <c r="M61" s="3" t="s">
        <v>872</v>
      </c>
      <c r="P61" s="1" t="s">
        <v>873</v>
      </c>
      <c r="Q61" s="1">
        <v>2.0</v>
      </c>
      <c r="R61" s="1" t="s">
        <v>874</v>
      </c>
      <c r="S61" s="1" t="s">
        <v>875</v>
      </c>
      <c r="U61" s="1" t="s">
        <v>546</v>
      </c>
      <c r="W61" s="1" t="s">
        <v>177</v>
      </c>
      <c r="X61" s="1" t="s">
        <v>876</v>
      </c>
      <c r="Y61" s="1" t="s">
        <v>877</v>
      </c>
      <c r="Z61" s="1" t="s">
        <v>878</v>
      </c>
      <c r="AA61" s="1" t="s">
        <v>879</v>
      </c>
      <c r="AB61" s="1" t="s">
        <v>880</v>
      </c>
      <c r="AC61" s="1">
        <v>1947.0</v>
      </c>
      <c r="AD61" s="4">
        <v>17249.0</v>
      </c>
      <c r="AE61" s="1">
        <v>13.0</v>
      </c>
      <c r="AF61" s="1" t="s">
        <v>881</v>
      </c>
      <c r="AG61" s="1" t="s">
        <v>882</v>
      </c>
      <c r="AI61" s="1" t="s">
        <v>883</v>
      </c>
      <c r="AL61" s="1" t="s">
        <v>884</v>
      </c>
      <c r="AP61" s="1" t="s">
        <v>885</v>
      </c>
      <c r="AQ61" s="1" t="s">
        <v>886</v>
      </c>
      <c r="BP61" s="1" t="s">
        <v>887</v>
      </c>
      <c r="BS61" s="1" t="s">
        <v>888</v>
      </c>
      <c r="CZ61" s="1" t="s">
        <v>889</v>
      </c>
      <c r="DB61" s="1">
        <v>1955.0</v>
      </c>
    </row>
    <row r="62">
      <c r="A62" s="1" t="s">
        <v>890</v>
      </c>
      <c r="B62" s="1" t="str">
        <f>IFERROR(__xludf.DUMMYFUNCTION("GOOGLETRANSLATE(A:A, ""en"", ""te"")"),"RWD 21")</f>
        <v>RWD 21</v>
      </c>
      <c r="C62" s="1" t="s">
        <v>891</v>
      </c>
      <c r="D62" s="1" t="str">
        <f>IFERROR(__xludf.DUMMYFUNCTION("GOOGLETRANSLATE(C:C, ""en"", ""te"")"),"RWD 16BIS మరియు RWD 21 1930 ల చివరలో పోలిష్ రెండు-సీట్ల తక్కువ-వింగ్ టూరింగ్ మరియు స్పోర్ట్స్ విమానాలు, RWD బ్యూరో నిర్మించి, అదే నిర్మాణాన్ని పంచుకున్నాయి, RWD 21 యొక్క ప్రధాన వ్యత్యాసం బలమైన ఇంజిన్. RWD 16BIS ను 1938 లో RWD బ్యూరోకు చెందిన ఆండ్రేజ్ అన్‌"&amp;"జుటిన్ తేలికపాటి మరియు ఆర్థిక పర్యటన మరియు స్పోర్ట్స్ ప్లేన్‌గా రూపొందించారు, విజయవంతం కాని మునుపటి డిజైన్ RWD నుండి అనుభవాన్ని ఉపయోగించుకుంది. హోదా ఉన్నప్పటికీ, RWD 16BIS రూపకల్పన కొత్తది, కొంత భాగం మాత్రమే RWD 16 నిర్మాణంపై ఆధారపడి ఉంటుంది. దీనికి విరుద"&amp;"్ధంగా, ఇది మంచి నిర్వహణ మరియు పనితీరు మరియు ఎగిరే సౌలభ్యంతో విజయవంతమైన డిజైన్‌గా కనిపించింది. ఇది ఒక చెక్క తక్కువ-వింగ్ మోనోప్లేన్, క్లోజ్డ్ కాక్‌పిట్‌లో రెండు సీట్లు పక్కపక్కనే ఉన్నాయి. మొట్టమొదటి నమూనా జూన్-జూలై 1938 (రిజిస్ట్రేషన్ ఎస్పి-బిఎన్ఎమ్) లో ని"&amp;"ర్మించబడింది మరియు మొదట రెండవ ప్రోటోటైప్ (ఎస్పి-బిపిసి). రెండూ పోలిష్ రూపొందించిన 63 హెచ్‌పి ఏవియా 3 స్ట్రెయిట్ ఇంజిన్‌తో పనిచేశాయి. సిరీస్‌లో, 62 హెచ్‌పి వాల్టర్ మిక్రోన్ II స్ట్రెయిట్ ఇంజిన్ was హించబడింది. LOPP పారామిలిటరీ సంస్థ 20 విమానాలను ఆదేశించింద"&amp;"ి, మొదటిది మే 1939 నాటికి నిర్మించాల్సి ఉంది. రెండవ ప్రపంచ యుద్ధం వ్యాప్తి చెందడం ద్వారా కొన్ని పూర్తయ్యాయి, కాని ఎటువంటి ఆధారాలు లేవు. [1] RWD 21 బలమైన 90 HP ఇంజిన్ సిరస్ మైనర్ మరియు కొన్ని చిన్న మార్పులతో అభివృద్ధి వేరియంట్, ఎక్కువగా పందిరికి. ఈ నమూనా ఫ"&amp;"ిబ్రవరి 1939 లో ఎగురవేయబడింది (రిజిస్ట్రేషన్ ఎస్పి-బిపిఇ). 10 విమానాల మొదటి శ్రేణిని ఆదేశించారు మరియు కనీసం ఆరు పూర్తయ్యాయి మరియు యుద్ధ వ్యాప్తికి ముందు నమోదు చేయబడ్డాయి (SP-BRE, BRF, BRG, BRH, BRM, KAR) [2] రెండు విమానాలు LOPP పారామిలిటరీ సంస్థ విజయవంతమై"&amp;"న ఆర్థికంగా కనుగొనబడ్డాయి విమానాలు, పోలాండ్‌లో ప్రైవేట్ విమానయాన అభివృద్ధికి సబ్సిడీ ఇచ్చే ప్రణాళికకు అనువైనవి. 9,500 Zł (మధ్యతరగతి కారు ధర) కోసం ప్రైవేట్ యజమానులకు ఎయిర్‌ఫ్రేమ్‌లను విక్రయించడానికి, వాటి ఇంజిన్‌లను రుణాలు ఇవ్వడానికి, RWD 16BIS శ్రేణిని 17"&amp;",800 Złoty (ఇంజిన్ 6,200 Zł తో సహా) ధర వద్ద LOPP చేత ఆదేశించింది. RWD 21 ధర 20,500 Zł (ఇంజిన్ 8,000 Zł తో సహా). రెండవ ప్రపంచ యుద్ధం ప్రారంభంలో, ఒక RWD 21 విల్నో ఏరో క్లబ్ (SP-BRF), మూడు LOPP (SP-BRE, BRG, BRH), ఒకటి ప్రైవేట్ యజమాని (SP-KAR) చేత కలిగి ఉంది"&amp;" మరియు రెండు ఉన్నాయి ఫ్యాక్టరీ (SP-BPE, BRM). [3] పోలాండ్‌పై జర్మన్ దండయాత్ర తరువాత, సెప్టెంబర్ 1939 లో, రెండు RWD 21 లు (SP-BPE మరియు BRM [3]) కర్మాగారం నుండి రొమేనియాకు తరలించబడ్డాయి (వాటిలో ఒకటి గ్లైడర్ పైలట్ బ్రోనిస్సా żurakowski, ముందు ఒక విమానం ఎగరల"&amp;"ేదు) . వాటిలో కనీసం ఒకటి (ఎస్పి-బిపిఇ) రొమేనియాలో గుర్తులు యర్-వెర్లతో ఉపయోగించబడింది మరియు యుద్ధం తరువాత పోలాండ్కు తిరిగి వచ్చింది. ఇది తరువాత 1950 ల మధ్య వరకు కొత్త గుర్తులు SP-AKG తో ఉపయోగించబడింది. ఇది ప్రస్తుతం క్రాకోవ్‌లోని పోలిష్ ఏవియేషన్ మ్యూజియంల"&amp;"ో పునరుద్ధరించబడింది మరియు భద్రపరచబడింది. ఒక RWD 21 ను లాట్వియాకు తరలించారు, దాని విధి తెలియదు. చెక్క నిర్మాణం తక్కువ-వింగ్ కాంటిలివర్ మోనోప్లేన్, లేఅవుట్లో సాంప్రదాయిక, స్థిర ల్యాండింగ్ గేర్ మరియు క్లోజ్డ్ కాక్‌పిట్‌తో. ఫ్యూజ్‌లేజ్ సెమీ-మోనోకోక్, ప్లైవుడ"&amp;"్-కప్పబడిన, ఫ్రంట్ ఇంజన్ విభాగంలో డ్యూరాలిమిన్. గుండ్రని చిట్కాలతో సింగిల్-పార్ట్ ట్రాపెజాయిడ్ రెక్కలు, రెండు-స్పేర్, ప్లైవుడ్ (ముందు) మరియు కాన్వాస్ కప్పబడి, స్ప్లిట్ ఫ్లాప్‌లతో అమర్చబడి ఉంటాయి. సాంప్రదాయ కాంటిలివర్ ఎంపెనేజ్, ప్లైవుడ్ (రెక్కలు) మరియు కాన"&amp;"్వాస్ (ఎలివేటర్లు మరియు చుక్కాని) కవర్ చేయబడ్డాయి. రెండు సీట్లు పక్కపక్కనే, జంట నియంత్రణలతో, పందిరి కింద, స్థిర విండ్‌షీల్డ్‌తో. కాక్‌పిట్ వెనుక, సామాను కోసం ఒక స్థలం. సాంప్రదాయిక స్థిర ల్యాండింగ్ గేర్ వెనుక స్కిడ్‌తో, కవర్లలో ప్రధాన గేర్. ముందు 4-సిలిండర"&amp;"్ స్ట్రెయిట్ ఇంజిన్, రెండు-బ్లేడ్ స్థిర పిచ్ స్జోమస్కి చెక్క ప్రొపెల్లర్‌ను నడుపుతోంది, సెంటర్-సెక్షన్‌లో 73 ఎల్ (19 యుఎస్ గాల్; 16 ఇంప్ గల్) ఇంధన ట్యాంక్‌తో, సిబ్బంది సీట్ల క్రింద. పోలిష్ విమానం నుండి డేటా 1893-1939 [4]")</f>
        <v>RWD 16BIS మరియు RWD 21 1930 ల చివరలో పోలిష్ రెండు-సీట్ల తక్కువ-వింగ్ టూరింగ్ మరియు స్పోర్ట్స్ విమానాలు, RWD బ్యూరో నిర్మించి, అదే నిర్మాణాన్ని పంచుకున్నాయి, RWD 21 యొక్క ప్రధాన వ్యత్యాసం బలమైన ఇంజిన్. RWD 16BIS ను 1938 లో RWD బ్యూరోకు చెందిన ఆండ్రేజ్ అన్‌జుటిన్ తేలికపాటి మరియు ఆర్థిక పర్యటన మరియు స్పోర్ట్స్ ప్లేన్‌గా రూపొందించారు, విజయవంతం కాని మునుపటి డిజైన్ RWD నుండి అనుభవాన్ని ఉపయోగించుకుంది. హోదా ఉన్నప్పటికీ, RWD 16BIS రూపకల్పన కొత్తది, కొంత భాగం మాత్రమే RWD 16 నిర్మాణంపై ఆధారపడి ఉంటుంది. దీనికి విరుద్ధంగా, ఇది మంచి నిర్వహణ మరియు పనితీరు మరియు ఎగిరే సౌలభ్యంతో విజయవంతమైన డిజైన్‌గా కనిపించింది. ఇది ఒక చెక్క తక్కువ-వింగ్ మోనోప్లేన్, క్లోజ్డ్ కాక్‌పిట్‌లో రెండు సీట్లు పక్కపక్కనే ఉన్నాయి. మొట్టమొదటి నమూనా జూన్-జూలై 1938 (రిజిస్ట్రేషన్ ఎస్పి-బిఎన్ఎమ్) లో నిర్మించబడింది మరియు మొదట రెండవ ప్రోటోటైప్ (ఎస్పి-బిపిసి). రెండూ పోలిష్ రూపొందించిన 63 హెచ్‌పి ఏవియా 3 స్ట్రెయిట్ ఇంజిన్‌తో పనిచేశాయి. సిరీస్‌లో, 62 హెచ్‌పి వాల్టర్ మిక్రోన్ II స్ట్రెయిట్ ఇంజిన్ was హించబడింది. LOPP పారామిలిటరీ సంస్థ 20 విమానాలను ఆదేశించింది, మొదటిది మే 1939 నాటికి నిర్మించాల్సి ఉంది. రెండవ ప్రపంచ యుద్ధం వ్యాప్తి చెందడం ద్వారా కొన్ని పూర్తయ్యాయి, కాని ఎటువంటి ఆధారాలు లేవు. [1] RWD 21 బలమైన 90 HP ఇంజిన్ సిరస్ మైనర్ మరియు కొన్ని చిన్న మార్పులతో అభివృద్ధి వేరియంట్, ఎక్కువగా పందిరికి. ఈ నమూనా ఫిబ్రవరి 1939 లో ఎగురవేయబడింది (రిజిస్ట్రేషన్ ఎస్పి-బిపిఇ). 10 విమానాల మొదటి శ్రేణిని ఆదేశించారు మరియు కనీసం ఆరు పూర్తయ్యాయి మరియు యుద్ధ వ్యాప్తికి ముందు నమోదు చేయబడ్డాయి (SP-BRE, BRF, BRG, BRH, BRM, KAR) [2] రెండు విమానాలు LOPP పారామిలిటరీ సంస్థ విజయవంతమైన ఆర్థికంగా కనుగొనబడ్డాయి విమానాలు, పోలాండ్‌లో ప్రైవేట్ విమానయాన అభివృద్ధికి సబ్సిడీ ఇచ్చే ప్రణాళికకు అనువైనవి. 9,500 Zł (మధ్యతరగతి కారు ధర) కోసం ప్రైవేట్ యజమానులకు ఎయిర్‌ఫ్రేమ్‌లను విక్రయించడానికి, వాటి ఇంజిన్‌లను రుణాలు ఇవ్వడానికి, RWD 16BIS శ్రేణిని 17,800 Złoty (ఇంజిన్ 6,200 Zł తో సహా) ధర వద్ద LOPP చేత ఆదేశించింది. RWD 21 ధర 20,500 Zł (ఇంజిన్ 8,000 Zł తో సహా). రెండవ ప్రపంచ యుద్ధం ప్రారంభంలో, ఒక RWD 21 విల్నో ఏరో క్లబ్ (SP-BRF), మూడు LOPP (SP-BRE, BRG, BRH), ఒకటి ప్రైవేట్ యజమాని (SP-KAR) చేత కలిగి ఉంది మరియు రెండు ఉన్నాయి ఫ్యాక్టరీ (SP-BPE, BRM). [3] పోలాండ్‌పై జర్మన్ దండయాత్ర తరువాత, సెప్టెంబర్ 1939 లో, రెండు RWD 21 లు (SP-BPE మరియు BRM [3]) కర్మాగారం నుండి రొమేనియాకు తరలించబడ్డాయి (వాటిలో ఒకటి గ్లైడర్ పైలట్ బ్రోనిస్సా żurakowski, ముందు ఒక విమానం ఎగరలేదు) . వాటిలో కనీసం ఒకటి (ఎస్పి-బిపిఇ) రొమేనియాలో గుర్తులు యర్-వెర్లతో ఉపయోగించబడింది మరియు యుద్ధం తరువాత పోలాండ్కు తిరిగి వచ్చింది. ఇది తరువాత 1950 ల మధ్య వరకు కొత్త గుర్తులు SP-AKG తో ఉపయోగించబడింది. ఇది ప్రస్తుతం క్రాకోవ్‌లోని పోలిష్ ఏవియేషన్ మ్యూజియంలో పునరుద్ధరించబడింది మరియు భద్రపరచబడింది. ఒక RWD 21 ను లాట్వియాకు తరలించారు, దాని విధి తెలియదు. చెక్క నిర్మాణం తక్కువ-వింగ్ కాంటిలివర్ మోనోప్లేన్, లేఅవుట్లో సాంప్రదాయిక, స్థిర ల్యాండింగ్ గేర్ మరియు క్లోజ్డ్ కాక్‌పిట్‌తో. ఫ్యూజ్‌లేజ్ సెమీ-మోనోకోక్, ప్లైవుడ్-కప్పబడిన, ఫ్రంట్ ఇంజన్ విభాగంలో డ్యూరాలిమిన్. గుండ్రని చిట్కాలతో సింగిల్-పార్ట్ ట్రాపెజాయిడ్ రెక్కలు, రెండు-స్పేర్, ప్లైవుడ్ (ముందు) మరియు కాన్వాస్ కప్పబడి, స్ప్లిట్ ఫ్లాప్‌లతో అమర్చబడి ఉంటాయి. సాంప్రదాయ కాంటిలివర్ ఎంపెనేజ్, ప్లైవుడ్ (రెక్కలు) మరియు కాన్వాస్ (ఎలివేటర్లు మరియు చుక్కాని) కవర్ చేయబడ్డాయి. రెండు సీట్లు పక్కపక్కనే, జంట నియంత్రణలతో, పందిరి కింద, స్థిర విండ్‌షీల్డ్‌తో. కాక్‌పిట్ వెనుక, సామాను కోసం ఒక స్థలం. సాంప్రదాయిక స్థిర ల్యాండింగ్ గేర్ వెనుక స్కిడ్‌తో, కవర్లలో ప్రధాన గేర్. ముందు 4-సిలిండర్ స్ట్రెయిట్ ఇంజిన్, రెండు-బ్లేడ్ స్థిర పిచ్ స్జోమస్కి చెక్క ప్రొపెల్లర్‌ను నడుపుతోంది, సెంటర్-సెక్షన్‌లో 73 ఎల్ (19 యుఎస్ గాల్; 16 ఇంప్ గల్) ఇంధన ట్యాంక్‌తో, సిబ్బంది సీట్ల క్రింద. పోలిష్ విమానం నుండి డేటా 1893-1939 [4]</v>
      </c>
      <c r="E62" s="1" t="s">
        <v>892</v>
      </c>
      <c r="F62" s="1" t="str">
        <f>IFERROR(__xludf.DUMMYFUNCTION("GOOGLETRANSLATE(E:E, ""en"", ""te"")"),"టూరింగ్ మరియు స్పోర్ట్స్ విమానం")</f>
        <v>టూరింగ్ మరియు స్పోర్ట్స్ విమానం</v>
      </c>
      <c r="H62" s="1" t="s">
        <v>893</v>
      </c>
      <c r="I62" s="1" t="str">
        <f>IFERROR(__xludf.DUMMYFUNCTION("GOOGLETRANSLATE(H:H, ""en"", ""te"")"),"పోలాండ్")</f>
        <v>పోలాండ్</v>
      </c>
      <c r="K62" s="1" t="s">
        <v>894</v>
      </c>
      <c r="L62" s="2" t="str">
        <f>IFERROR(__xludf.DUMMYFUNCTION("GOOGLETRANSLATE(K:K, ""en"", ""te"")"),"DWL")</f>
        <v>DWL</v>
      </c>
      <c r="M62" s="3" t="s">
        <v>895</v>
      </c>
      <c r="P62" s="1" t="s">
        <v>896</v>
      </c>
      <c r="Q62" s="1">
        <v>1.0</v>
      </c>
      <c r="R62" s="1" t="s">
        <v>218</v>
      </c>
      <c r="S62" s="1" t="s">
        <v>897</v>
      </c>
      <c r="U62" s="1" t="s">
        <v>898</v>
      </c>
      <c r="X62" s="1" t="s">
        <v>899</v>
      </c>
      <c r="Y62" s="1" t="s">
        <v>900</v>
      </c>
      <c r="Z62" s="1" t="s">
        <v>901</v>
      </c>
      <c r="AA62" s="1" t="s">
        <v>902</v>
      </c>
      <c r="AB62" s="1" t="s">
        <v>903</v>
      </c>
      <c r="AC62" s="1">
        <v>1938.0</v>
      </c>
      <c r="AD62" s="1" t="s">
        <v>904</v>
      </c>
      <c r="AE62" s="1" t="s">
        <v>905</v>
      </c>
      <c r="AF62" s="1" t="s">
        <v>557</v>
      </c>
      <c r="AG62" s="1" t="s">
        <v>906</v>
      </c>
      <c r="AH62" s="1" t="s">
        <v>651</v>
      </c>
      <c r="AI62" s="1" t="s">
        <v>907</v>
      </c>
      <c r="AJ62" s="1" t="s">
        <v>908</v>
      </c>
      <c r="AK62" s="1" t="s">
        <v>909</v>
      </c>
      <c r="AL62" s="1" t="s">
        <v>910</v>
      </c>
      <c r="AM62" s="1">
        <v>1.0</v>
      </c>
      <c r="AP62" s="1" t="s">
        <v>911</v>
      </c>
      <c r="AQ62" s="1" t="s">
        <v>912</v>
      </c>
      <c r="AR62" s="1" t="s">
        <v>913</v>
      </c>
      <c r="AS62" s="1" t="s">
        <v>914</v>
      </c>
      <c r="AU62" s="1" t="s">
        <v>915</v>
      </c>
      <c r="BN62" s="1" t="s">
        <v>916</v>
      </c>
      <c r="BO62" s="1" t="s">
        <v>917</v>
      </c>
      <c r="BR62" s="1" t="s">
        <v>918</v>
      </c>
      <c r="BS62" s="1" t="s">
        <v>919</v>
      </c>
      <c r="CT62" s="1" t="s">
        <v>920</v>
      </c>
      <c r="CZ62" s="1" t="s">
        <v>893</v>
      </c>
      <c r="DB62" s="1">
        <v>1950.0</v>
      </c>
    </row>
    <row r="63">
      <c r="A63" s="1" t="s">
        <v>921</v>
      </c>
      <c r="B63" s="1" t="str">
        <f>IFERROR(__xludf.DUMMYFUNCTION("GOOGLETRANSLATE(A:A, ""en"", ""te"")"),"బెల్ డి -188 ఎ")</f>
        <v>బెల్ డి -188 ఎ</v>
      </c>
      <c r="C63" s="1" t="s">
        <v>922</v>
      </c>
      <c r="D63" s="1" t="str">
        <f>IFERROR(__xludf.DUMMYFUNCTION("GOOGLETRANSLATE(C:C, ""en"", ""te"")"),"బెల్ D-188A (అనధికారిక సైనిక హోదా XF-109/XF3L) ప్రతిపాదిత ఎనిమిది-ఇంజిన్ మాక్ 2-కెపబుల్ నిలువు టేకాఫ్ మరియు ల్యాండింగ్ (VTOL) టిల్ట్‌జెట్ ఫైటర్, ఇది మాక్-అప్ దశలో ఎప్పుడూ ముందుకు సాగలేదు. 1955 లో, బెల్ విమానాన్ని USAF మరియు US నేవీ రెండూ VTOL/STOVL సూపర్స"&amp;"ోనిక్, ఆల్-వెదర్ ఫైటర్-బాంబర్ మరియు డిఫెన్స్ ఇంటర్‌సెప్టర్‌ను అభివృద్ధి చేయమని అభ్యర్థించాయి. ఈ ప్రాజెక్ట్ చాలా ప్రతిష్టాత్మకమైనది మరియు రెండు వేర్వేరు సేవలకు అనేక పాత్రలను నెరవేర్చడానికి రూపొందించబడింది. ఈ విమానం మోడల్ 2000 గా నియమించబడింది మరియు రెండు వ"&amp;"ేర్వేరు వెర్షన్లలో అందించబడింది-నేవీకి D-188 మరియు వైమానిక దళానికి D-188A. బెల్ ఆశాజనకంగా నేవీ వెర్షన్ XF3L-1 మరియు ఎయిర్ ఫోర్స్ వెర్షన్ XF-109 అని పిలిచారు, అయితే ఈ హోదా రెండూ అధికారికవి కావు. XF-109 ప్రోగ్రామ్‌ను నెట్టడానికి క్రమం చేయండి. [1] 5 డిసెంబర్"&amp;" 1960 న, బెల్ ఈ డిజైన్‌ను ఎక్స్‌ఎఫ్ -109-ఎయిర్ ఫోర్స్ వెర్షన్ వలె బహిరంగంగా చూపించాడు, ఎందుకంటే నావికాదళం సంవత్సరం ముందు ఆసక్తిని కోల్పోయింది, అయితే 1961 వసంతకాలంలో, యుఎస్ వైమానిక దళం ఈ కార్యక్రమాన్ని రద్దు చేసింది మరియు ఉదాహరణలు లేవు నిర్మించబడింది. సైని"&amp;"క హోదా అధికారికం కాదు మరియు బెల్ యొక్క spec హాజనితంగా ఉండేవి. [సైటేషన్ అవసరం] నేవీ యొక్క XF3L-1 కేటాయించబడలేదు, కానీ విమానం నిర్మించబడి ఉంటే D-188 యొక్క హోదా ఉండేది, ఎందుకంటే ఇది తదుపరిది యుఎస్ నేవీ నంబర్ సిరీస్. వైమానిక దళం XF-109 హోదాను గతంలో ప్రతిపాదిత"&amp;" కాన్వెయిర్ F-106B వేరియంట్‌కు కేటాయించారు, అయినప్పటికీ, తరువాత, బెల్ bal హించబడింది-D-188A నిర్మించబడితే-ఇది విమానానికి కేటాయించబడిందని. చాలా రిఫరెన్స్ రచనలు దాని ప్రయోగాత్మక సిరీస్ సంఖ్య ద్వారా D-188A ను సూచిస్తాయి, కాని వాస్తవానికి XF-109 డిజైనర్ ఎప్పు"&amp;"డూ కేటాయించబడలేదు. [సైటేషన్ అవసరం] విమానం అసాధారణమైనది, మరియు పొడవైన, సన్నని, ప్రాంతం పాలించిన ఫ్యూజ్‌లేజ్‌ను కలిగి ఉంటుంది. తోకలో పెద్ద ఫిన్ మరియు ఆల్-కదిలే స్టెబిలిటర్లు. సింగిల్ సీట్ కాక్‌పిట్ విపరీతమైన ముక్కులో ఉంది మరియు చిన్న-స్పాన్ వింగ్ ఫ్యూజ్‌లేజ"&amp;"్‌పై ఎత్తులో అమర్చబడింది. ప్రతి రెక్క చివర్లలో పాడ్లు ఉన్నాయి, వీటిలో రెండు టర్బోజెట్లు ఉన్నాయి. ఈ పాడ్‌లు 100 ° (క్షితిజ సమాంతర నుండి 10 ° గత నిలువు) ఆర్క్ ద్వారా వీవెల్ చేయడానికి రూపొందించబడ్డాయి, క్షితిజ సమాంతర మరియు నిలువు విమానాలను అనుమతిస్తాయి. నిలు"&amp;"వుగా తీయడానికి, ఇంజిన్ యొక్క థ్రస్ట్‌ను క్రిందికి దర్శకత్వం వహించడానికి పాడ్‌లు తిప్పబడ్డాయి, క్షితిజ సమాంతర విమానానికి పాడ్‌లు తిరిగి క్షితిజ సమాంతరంగా తిప్పబడ్డాయి. పాడ్‌లు మెరుగైన ల్యాండింగ్ విన్యాసాలకు కొంచెం ముందుకు దర్శకత్వం వహించగలవు. నాలుగు వింగ్ "&amp;"ఇంజిన్లతో పాటు, నాలుగు ఇంజన్లు కూడా ఫ్యూజ్‌లేజ్‌లో అమర్చబడ్డాయి - రెండు వేర్వేరు తోక నాళాల నుండి వెనుక భాగంలో రెండు, మరియు రెండు లిఫ్ట్‌జెట్లు నేరుగా కాక్‌పిట్ వెనుకబడి, VTOL ఆపరేషన్‌లో సహాయపడటానికి నిలువుగా ఉంచబడ్డాయి, రెండు నుండి అయిపోతాయి వెంట్రల్ నాళా"&amp;"లు. D-188A లో నిలువు లిఫ్ట్ మరియు యుక్తికి సహాయపడటానికి ఇంజిన్ బ్లీడ్ సిస్టమ్‌ను కలిగి ఉంది. ఫ్యూజ్‌లేజ్ ఇంజిన్ కంప్రెషర్‌ల నుండి బ్లీడ్ ఎయిర్ ముక్కులో ఒక జత థ్రస్టర్‌లను మరియు పిచ్, రోల్ మరియు యా కదలికలకు సహాయపడటానికి తోకలో మరో రెండు థ్రస్టర్‌లకు పంపబడుత"&amp;"ుంది. ఆయుధాలు ఫ్యూజ్‌లేజ్‌లో రెండు 20 మిమీ ఫిరంగి, అంతర్గత ఆయుధాల బే మరియు క్షిపణులు మరియు ఇతర ఆర్డినెన్స్ కోసం ఎనిమిది వింగ్ హార్డ్ పాయింట్లను కలిగి ఉంటాయి. USAF ఫాక్ట్‌షీట్ యొక్క నేషనల్ మ్యూజియం నుండి డేటా. [2] సాధారణ లక్షణాలు పనితీరు ఆయుధాలు, కాన్ఫిగరే"&amp;"షన్ మరియు ERA సంబంధిత జాబితాల ఆయుధ విమానం")</f>
        <v>బెల్ D-188A (అనధికారిక సైనిక హోదా XF-109/XF3L) ప్రతిపాదిత ఎనిమిది-ఇంజిన్ మాక్ 2-కెపబుల్ నిలువు టేకాఫ్ మరియు ల్యాండింగ్ (VTOL) టిల్ట్‌జెట్ ఫైటర్, ఇది మాక్-అప్ దశలో ఎప్పుడూ ముందుకు సాగలేదు. 1955 లో, బెల్ విమానాన్ని USAF మరియు US నేవీ రెండూ VTOL/STOVL సూపర్సోనిక్, ఆల్-వెదర్ ఫైటర్-బాంబర్ మరియు డిఫెన్స్ ఇంటర్‌సెప్టర్‌ను అభివృద్ధి చేయమని అభ్యర్థించాయి. ఈ ప్రాజెక్ట్ చాలా ప్రతిష్టాత్మకమైనది మరియు రెండు వేర్వేరు సేవలకు అనేక పాత్రలను నెరవేర్చడానికి రూపొందించబడింది. ఈ విమానం మోడల్ 2000 గా నియమించబడింది మరియు రెండు వేర్వేరు వెర్షన్లలో అందించబడింది-నేవీకి D-188 మరియు వైమానిక దళానికి D-188A. బెల్ ఆశాజనకంగా నేవీ వెర్షన్ XF3L-1 మరియు ఎయిర్ ఫోర్స్ వెర్షన్ XF-109 అని పిలిచారు, అయితే ఈ హోదా రెండూ అధికారికవి కావు. XF-109 ప్రోగ్రామ్‌ను నెట్టడానికి క్రమం చేయండి. [1] 5 డిసెంబర్ 1960 న, బెల్ ఈ డిజైన్‌ను ఎక్స్‌ఎఫ్ -109-ఎయిర్ ఫోర్స్ వెర్షన్ వలె బహిరంగంగా చూపించాడు, ఎందుకంటే నావికాదళం సంవత్సరం ముందు ఆసక్తిని కోల్పోయింది, అయితే 1961 వసంతకాలంలో, యుఎస్ వైమానిక దళం ఈ కార్యక్రమాన్ని రద్దు చేసింది మరియు ఉదాహరణలు లేవు నిర్మించబడింది. సైనిక హోదా అధికారికం కాదు మరియు బెల్ యొక్క spec హాజనితంగా ఉండేవి. [సైటేషన్ అవసరం] నేవీ యొక్క XF3L-1 కేటాయించబడలేదు, కానీ విమానం నిర్మించబడి ఉంటే D-188 యొక్క హోదా ఉండేది, ఎందుకంటే ఇది తదుపరిది యుఎస్ నేవీ నంబర్ సిరీస్. వైమానిక దళం XF-109 హోదాను గతంలో ప్రతిపాదిత కాన్వెయిర్ F-106B వేరియంట్‌కు కేటాయించారు, అయినప్పటికీ, తరువాత, బెల్ bal హించబడింది-D-188A నిర్మించబడితే-ఇది విమానానికి కేటాయించబడిందని. చాలా రిఫరెన్స్ రచనలు దాని ప్రయోగాత్మక సిరీస్ సంఖ్య ద్వారా D-188A ను సూచిస్తాయి, కాని వాస్తవానికి XF-109 డిజైనర్ ఎప్పుడూ కేటాయించబడలేదు. [సైటేషన్ అవసరం] విమానం అసాధారణమైనది, మరియు పొడవైన, సన్నని, ప్రాంతం పాలించిన ఫ్యూజ్‌లేజ్‌ను కలిగి ఉంటుంది. తోకలో పెద్ద ఫిన్ మరియు ఆల్-కదిలే స్టెబిలిటర్లు. సింగిల్ సీట్ కాక్‌పిట్ విపరీతమైన ముక్కులో ఉంది మరియు చిన్న-స్పాన్ వింగ్ ఫ్యూజ్‌లేజ్‌పై ఎత్తులో అమర్చబడింది. ప్రతి రెక్క చివర్లలో పాడ్లు ఉన్నాయి, వీటిలో రెండు టర్బోజెట్లు ఉన్నాయి. ఈ పాడ్‌లు 100 ° (క్షితిజ సమాంతర నుండి 10 ° గత నిలువు) ఆర్క్ ద్వారా వీవెల్ చేయడానికి రూపొందించబడ్డాయి, క్షితిజ సమాంతర మరియు నిలువు విమానాలను అనుమతిస్తాయి. నిలువుగా తీయడానికి, ఇంజిన్ యొక్క థ్రస్ట్‌ను క్రిందికి దర్శకత్వం వహించడానికి పాడ్‌లు తిప్పబడ్డాయి, క్షితిజ సమాంతర విమానానికి పాడ్‌లు తిరిగి క్షితిజ సమాంతరంగా తిప్పబడ్డాయి. పాడ్‌లు మెరుగైన ల్యాండింగ్ విన్యాసాలకు కొంచెం ముందుకు దర్శకత్వం వహించగలవు. నాలుగు వింగ్ ఇంజిన్లతో పాటు, నాలుగు ఇంజన్లు కూడా ఫ్యూజ్‌లేజ్‌లో అమర్చబడ్డాయి - రెండు వేర్వేరు తోక నాళాల నుండి వెనుక భాగంలో రెండు, మరియు రెండు లిఫ్ట్‌జెట్లు నేరుగా కాక్‌పిట్ వెనుకబడి, VTOL ఆపరేషన్‌లో సహాయపడటానికి నిలువుగా ఉంచబడ్డాయి, రెండు నుండి అయిపోతాయి వెంట్రల్ నాళాలు. D-188A లో నిలువు లిఫ్ట్ మరియు యుక్తికి సహాయపడటానికి ఇంజిన్ బ్లీడ్ సిస్టమ్‌ను కలిగి ఉంది. ఫ్యూజ్‌లేజ్ ఇంజిన్ కంప్రెషర్‌ల నుండి బ్లీడ్ ఎయిర్ ముక్కులో ఒక జత థ్రస్టర్‌లను మరియు పిచ్, రోల్ మరియు యా కదలికలకు సహాయపడటానికి తోకలో మరో రెండు థ్రస్టర్‌లకు పంపబడుతుంది. ఆయుధాలు ఫ్యూజ్‌లేజ్‌లో రెండు 20 మిమీ ఫిరంగి, అంతర్గత ఆయుధాల బే మరియు క్షిపణులు మరియు ఇతర ఆర్డినెన్స్ కోసం ఎనిమిది వింగ్ హార్డ్ పాయింట్లను కలిగి ఉంటాయి. USAF ఫాక్ట్‌షీట్ యొక్క నేషనల్ మ్యూజియం నుండి డేటా. [2] సాధారణ లక్షణాలు పనితీరు ఆయుధాలు, కాన్ఫిగరేషన్ మరియు ERA సంబంధిత జాబితాల ఆయుధ విమానం</v>
      </c>
      <c r="E63" s="1" t="s">
        <v>923</v>
      </c>
      <c r="F63" s="1" t="str">
        <f>IFERROR(__xludf.DUMMYFUNCTION("GOOGLETRANSLATE(E:E, ""en"", ""te"")"),"VTOL ఫైటర్")</f>
        <v>VTOL ఫైటర్</v>
      </c>
      <c r="G63" s="1" t="s">
        <v>924</v>
      </c>
      <c r="K63" s="1" t="s">
        <v>925</v>
      </c>
      <c r="L63" s="2" t="str">
        <f>IFERROR(__xludf.DUMMYFUNCTION("GOOGLETRANSLATE(K:K, ""en"", ""te"")"),"బెల్ ఎయిర్క్రాఫ్ట్ కార్పొరేషన్")</f>
        <v>బెల్ ఎయిర్క్రాఫ్ట్ కార్పొరేషన్</v>
      </c>
      <c r="M63" s="1" t="s">
        <v>926</v>
      </c>
      <c r="N63" s="1" t="s">
        <v>927</v>
      </c>
      <c r="O63" s="1" t="str">
        <f>IFERROR(__xludf.DUMMYFUNCTION("GOOGLETRANSLATE(N:N, ""en"", ""te"")"),"రద్దు చేయబడింది 1961")</f>
        <v>రద్దు చేయబడింది 1961</v>
      </c>
      <c r="Q63" s="1">
        <v>1.0</v>
      </c>
      <c r="R63" s="1" t="s">
        <v>928</v>
      </c>
      <c r="S63" s="1" t="s">
        <v>929</v>
      </c>
      <c r="U63" s="1" t="s">
        <v>930</v>
      </c>
      <c r="X63" s="1" t="s">
        <v>931</v>
      </c>
      <c r="Y63" s="1" t="s">
        <v>932</v>
      </c>
      <c r="AE63" s="1" t="s">
        <v>933</v>
      </c>
      <c r="AF63" s="1" t="s">
        <v>934</v>
      </c>
      <c r="AG63" s="1" t="s">
        <v>935</v>
      </c>
      <c r="AI63" s="1" t="s">
        <v>936</v>
      </c>
      <c r="AL63" s="1" t="s">
        <v>937</v>
      </c>
      <c r="AP63" s="1" t="s">
        <v>938</v>
      </c>
      <c r="AQ63" s="1" t="s">
        <v>939</v>
      </c>
      <c r="AW63" s="1">
        <v>0.87</v>
      </c>
      <c r="CU63" s="1" t="s">
        <v>940</v>
      </c>
      <c r="CV63" s="1" t="s">
        <v>941</v>
      </c>
      <c r="DA63" s="1" t="s">
        <v>942</v>
      </c>
      <c r="DC63" s="1" t="s">
        <v>943</v>
      </c>
      <c r="DD63" s="1" t="s">
        <v>944</v>
      </c>
      <c r="DE63" s="1" t="s">
        <v>945</v>
      </c>
    </row>
    <row r="64">
      <c r="A64" s="1" t="s">
        <v>946</v>
      </c>
      <c r="B64" s="1" t="str">
        <f>IFERROR(__xludf.DUMMYFUNCTION("GOOGLETRANSLATE(A:A, ""en"", ""te"")"),"టెమ్కో టి -35 బుకరూ")</f>
        <v>టెమ్కో టి -35 బుకరూ</v>
      </c>
      <c r="C64" s="1" t="s">
        <v>947</v>
      </c>
      <c r="D64" s="1" t="str">
        <f>IFERROR(__xludf.DUMMYFUNCTION("GOOGLETRANSLATE(C:C, ""en"", ""te"")"),"టెమ్కో టి -35 బుకరూ (కంపెనీ హోదా టీ -1) 1940 ల చివరలో వాణిజ్య మరియు సైనిక మార్కెట్లకు చాలా తక్కువ ఖర్చుతో కూడిన శిక్షకుడిగా రూపొందించబడింది. బక్కారూ కోసం అమెరికా వైమానిక దళం ఆర్డర్‌ను భద్రపరచడంలో టెమ్కో విఫలమైతే యు.ఎస్. కానివారిని తిప్పికొట్టవలసి వచ్చింది"&amp;". 1948 ప్రారంభంలో, టెమ్కో అధ్యక్షుడు రాబర్ట్ మెక్‌కలోచ్, ఫిలిప్పీన్స్ ప్రభుత్వం నుండి స్విఫ్ట్ యొక్క టెన్డం ట్రైనర్ వెర్షన్‌పై ఆసక్తిని వ్యక్తం చేశారు. మొట్టమొదటి TE-1A అనేది స్విఫ్ట్ GC-1B యొక్క మార్పు, కఠినమైన లేఅవుట్ డ్రాయింగ్‌లకు చేతితో నిర్మించబడింది"&amp;", ప్రదర్శనలో ప్రధాన వ్యత్యాసం టెన్డం సీటింగ్ అమరిక, దీని ఫలితంగా ఇరుకైన విండ్‌షీల్డ్ మరియు స్థిర బబుల్ తో పొడుగుచేసిన రెండు ముక్కల పందిరి ఏర్పడింది. వెనుక భాగంలో. ఈ TE-1A ప్రోటోటైప్ 1948 చివరిలో పూర్తయింది. ప్రారంభ విమాన పరీక్షల తరువాత 145-HP కాంటినెంటల్ "&amp;"ఇంజిన్ అసలు 125-HP సంస్థాపనను భర్తీ చేసింది. 1949 ప్రారంభంలో, టెమ్కో యొక్క నిర్వహణ అమెరికా వైమానిక దళం (యుఎస్ఎఎఫ్) కొత్త ప్రాధమిక/ప్రాథమిక శిక్షకుడి కోసం పోటీని నిర్వహించాలని యోచిస్తోంది. టెమ్కో ఈ పోటీ కోసం రెండు అదనపు ప్రోటోటైప్‌లను నిర్మించింది, సమయం అన"&amp;"ుమతించినట్లుగా కొన్ని చిన్న మెరుగుదలలను జోడించింది. మూడు విమానాలను వైమానిక దళం YT-35 గా నియమించారు. టెమ్కో మరో రెండు శిక్షణా విమానాలతో పోటీ పడుతోంది, అవి ఫెయిర్‌చైల్డ్ XNQ-1/T-31 మరియు బీచ్‌క్రాఫ్ట్ మోడల్ 45. 24 ఫిబ్రవరి 1949 న, వైమానిక దళం ట్రైనర్ ఎవాల్య"&amp;"ుయేషన్ బోర్డు బీచ్ మోడల్ 45 ను నాలుగు నుండి ఒక ఓటుతో ఎంచుకుంది. టెమ్కో యొక్క టీ -1 ఎ సుదూర మూడవది. బడ్జెట్ కోతలు కారణంగా, USAF ప్రోగ్రామ్ చివరికి ఆ సంవత్సరం రద్దు చేయబడింది. [1] TE-1A కి వ్యతిరేకంగా USAF నిర్ణయించినప్పటికీ, విదేశీ ప్రభుత్వాల నుండి, ముఖ్యం"&amp;"గా రిపబ్లిక్ ఆఫ్ ఫిలిప్పీన్స్లో వడ్డీ పెరిగింది. పోటీ మూల్యాంకనం యొక్క అధ్యయనం తరువాత, టెమ్కో TE-1A ను మెరుగుపరచడానికి ఒక ప్రోగ్రామ్‌తో కొనసాగాలని నిర్ణయించుకుంది. పున es రూపకల్పనలో కొన్ని ఉన్నాయి: ఈ పున es రూపకల్పనతో సమానంగా, టెమ్కో 145-హెచ్‌పి ఇంజన్లతో "&amp;"నడిచే ఈ ఉత్పత్తి మోడళ్లలో 10 ulation హాగానాలపై నిర్మించాలని నిర్ణయించుకుంది. 1949 చివరలో ఇంజనీరింగ్ మరియు సాధన 75% పూర్తయింది, TE-1AS పున es రూపకల్పన చేసిన YT-35 లో మూడు 1950 లో ప్రారంభమైన USAF ట్రైనర్ పోటీలో ప్రవేశించబడ్డాయి. [1] ఎగురుతున్న పోటీ విమానాలన"&amp;"ు ఉపయోగించి మూల్యాంకన కార్యక్రమం రాండోల్ఫ్ ఎయిర్ ఫోర్స్ బేస్ వద్ద జరుగుతుంది. USAF ఆర్డర్ అందుకున్న తరువాత, TE-1A లో చేసిన విస్తృతమైన మార్పులతో పాటు, 165-HP ఫ్రాంక్లిన్ ఇంజిన్ వ్యవస్థాపించబడుతుందని టెమ్కో నిర్ణయించింది. ఈ మోడల్ TE-1B ని నియమించి, “బుకరూ” "&amp;"అనే పేరును USAF ఈ మార్పుకు అంగీకరించింది. TE-1A మరియు TE-1B యొక్క అభివృద్ధి ఏకకాలంలో కొనసాగింది. TE-1A ఎగుమతి కోసం నియమించబడింది, మరియు TE-1B USAF కోసం. ఒక TE-1A ను ఇజ్రాయెల్ వైమానిక దళం కొనుగోలు చేసింది మరియు రెండవదాన్ని గ్రీకు వైమానిక దళం కొనుగోలు చేసిం"&amp;"ది. [1] జూలై 1950 లో, YT-34 గురువు, ఫెయిర్‌చైల్డ్ T-31, బౌల్టన్ పాల్ బల్లియోల్ మరియు డి హవిలాండ్ DHC-1B చిప్‌మంక్ ట్రైనర్‌లతో పోటీ పడటానికి మూడు YT-35 బుకరూలను రాండోల్ఫ్ AFB కి పంపిణీ చేశారు. తరువాత 1950 లో, కొరియా యుద్ధం YT-35 మూల్యాంకనంతో సహా అనేక యు.ఎస"&amp;"్. సైనిక కార్యక్రమాలకు అంతరాయం కలిగించింది. ఈ విమానం జేమ్స్ కొన్నల్లి ఎయిర్ ఫోర్స్ బేస్ వద్ద ముగిసింది, దీనిని ఇప్పుడు టెక్సాస్‌లోని వాకో సమీపంలో టిఎస్‌టిసి వాకో విమానాశ్రయం అని పిలుస్తారు. 10 నెలల కఠినమైన పరీక్షల తరువాత, ఫ్యాక్టరీ సమగ్ర కోసం మూడు YT-35 ల"&amp;"ను జూలై 1951 చివరలో టెమ్కోకు తిరిగి ఇచ్చారు. అప్పుడు వారిని గుడ్‌ఫెలో ఎయిర్ ఫోర్స్ బేస్కు కేటాయించారు, తరువాత ముగ్గురినీ మిగులుగా విక్రయించారు. మ్యూచువల్ డిఫెన్స్ ఎయిడ్ ప్రోగ్రాం కింద యుఎస్ఎఎఫ్ ద్వారా ఎక్కువ మంది టిఇ -1 బిబిఎస్ సౌదీ అరేబియాకు (టి -35 ఎ ని"&amp;"యమించబడిన టి -35 ఎ) విక్రయించబడ్డారు. సౌదీలతో టెమ్కో యొక్క ఒప్పందం పది టి -35 ఎ విమానాలను పిలుపునిచ్చింది మరియు వాటిని సంవత్సరాలుగా ఎగురుతూ ఉండటానికి తగినంత విడిభాగాలు. సౌదీ అరేబియా టి -35 ఎ విమానంలో రెండు 30-క్యాలిబర్ మెషిన్ గన్స్ ఉన్నాయి, ఒకటి ప్రతి రెక"&amp;"్క లోపల అమర్చబడి, పది 2.75-అంగుళాల రాకెట్లు, ఐదు ప్రతి రెక్క కింద అమర్చబడి ఉంటాయి. ఇటలీ మరియు ఇజ్రాయెల్ రెండూ 1948 లో ఒకే TE-1B బుకరూను కొనుగోలు చేశాయి. [1] 1950 లో, IAF ఫ్లైట్ స్కూల్‌తో శిక్షకుడిగా ఉపయోగించటానికి ఫోకర్ బోధకుడు మరియు DHC-1 చిప్‌మంక్‌పై ఇజ"&amp;"్రాయెల్ విమానం అంచనా వేయబడింది. పోటీని కోల్పోయిన సింగిల్ బుకరూ 1950 చివరలో లేదా 1951 ప్రారంభంలో రిటైర్ అయ్యింది. సౌదీ అరేబియాలోని రియాద్‌లో ఒక టి -35 ఎ ప్రదర్శనలో ఉంది. సౌదీ ఎడారి ""బోనియార్డ్"" నుండి కోలుకున్న రెండు టి -35 లు అమెరికాలోని టేనస్సీలోని ఏథెన"&amp;"్స్లో ఇంటర్నేషనల్ స్విఫ్ట్ అసోసియేషన్ [1] యాజమాన్యంలో ఉన్నాయి. ప్రస్తుతం ఐదు బుకరూలు అమెరికాలో నమోదు చేయబడ్డాయి. [4] జేన్ యొక్క ఆల్ ది వరల్డ్ విమానాల నుండి డేటా 1953–54 [5] సాధారణ లక్షణాలు పనితీరు ఆయుధాలు పోల్చదగిన పాత్ర, కాన్ఫిగరేషన్ మరియు ERA సంబంధిత జా"&amp;"బితాల విమానం")</f>
        <v>టెమ్కో టి -35 బుకరూ (కంపెనీ హోదా టీ -1) 1940 ల చివరలో వాణిజ్య మరియు సైనిక మార్కెట్లకు చాలా తక్కువ ఖర్చుతో కూడిన శిక్షకుడిగా రూపొందించబడింది. బక్కారూ కోసం అమెరికా వైమానిక దళం ఆర్డర్‌ను భద్రపరచడంలో టెమ్కో విఫలమైతే యు.ఎస్. కానివారిని తిప్పికొట్టవలసి వచ్చింది. 1948 ప్రారంభంలో, టెమ్కో అధ్యక్షుడు రాబర్ట్ మెక్‌కలోచ్, ఫిలిప్పీన్స్ ప్రభుత్వం నుండి స్విఫ్ట్ యొక్క టెన్డం ట్రైనర్ వెర్షన్‌పై ఆసక్తిని వ్యక్తం చేశారు. మొట్టమొదటి TE-1A అనేది స్విఫ్ట్ GC-1B యొక్క మార్పు, కఠినమైన లేఅవుట్ డ్రాయింగ్‌లకు చేతితో నిర్మించబడింది, ప్రదర్శనలో ప్రధాన వ్యత్యాసం టెన్డం సీటింగ్ అమరిక, దీని ఫలితంగా ఇరుకైన విండ్‌షీల్డ్ మరియు స్థిర బబుల్ తో పొడుగుచేసిన రెండు ముక్కల పందిరి ఏర్పడింది. వెనుక భాగంలో. ఈ TE-1A ప్రోటోటైప్ 1948 చివరిలో పూర్తయింది. ప్రారంభ విమాన పరీక్షల తరువాత 145-HP కాంటినెంటల్ ఇంజిన్ అసలు 125-HP సంస్థాపనను భర్తీ చేసింది. 1949 ప్రారంభంలో, టెమ్కో యొక్క నిర్వహణ అమెరికా వైమానిక దళం (యుఎస్ఎఎఫ్) కొత్త ప్రాధమిక/ప్రాథమిక శిక్షకుడి కోసం పోటీని నిర్వహించాలని యోచిస్తోంది. టెమ్కో ఈ పోటీ కోసం రెండు అదనపు ప్రోటోటైప్‌లను నిర్మించింది, సమయం అనుమతించినట్లుగా కొన్ని చిన్న మెరుగుదలలను జోడించింది. మూడు విమానాలను వైమానిక దళం YT-35 గా నియమించారు. టెమ్కో మరో రెండు శిక్షణా విమానాలతో పోటీ పడుతోంది, అవి ఫెయిర్‌చైల్డ్ XNQ-1/T-31 మరియు బీచ్‌క్రాఫ్ట్ మోడల్ 45. 24 ఫిబ్రవరి 1949 న, వైమానిక దళం ట్రైనర్ ఎవాల్యుయేషన్ బోర్డు బీచ్ మోడల్ 45 ను నాలుగు నుండి ఒక ఓటుతో ఎంచుకుంది. టెమ్కో యొక్క టీ -1 ఎ సుదూర మూడవది. బడ్జెట్ కోతలు కారణంగా, USAF ప్రోగ్రామ్ చివరికి ఆ సంవత్సరం రద్దు చేయబడింది. [1] TE-1A కి వ్యతిరేకంగా USAF నిర్ణయించినప్పటికీ, విదేశీ ప్రభుత్వాల నుండి, ముఖ్యంగా రిపబ్లిక్ ఆఫ్ ఫిలిప్పీన్స్లో వడ్డీ పెరిగింది. పోటీ మూల్యాంకనం యొక్క అధ్యయనం తరువాత, టెమ్కో TE-1A ను మెరుగుపరచడానికి ఒక ప్రోగ్రామ్‌తో కొనసాగాలని నిర్ణయించుకుంది. పున es రూపకల్పనలో కొన్ని ఉన్నాయి: ఈ పున es రూపకల్పనతో సమానంగా, టెమ్కో 145-హెచ్‌పి ఇంజన్లతో నడిచే ఈ ఉత్పత్తి మోడళ్లలో 10 ulation హాగానాలపై నిర్మించాలని నిర్ణయించుకుంది. 1949 చివరలో ఇంజనీరింగ్ మరియు సాధన 75% పూర్తయింది, TE-1AS పున es రూపకల్పన చేసిన YT-35 లో మూడు 1950 లో ప్రారంభమైన USAF ట్రైనర్ పోటీలో ప్రవేశించబడ్డాయి. [1] ఎగురుతున్న పోటీ విమానాలను ఉపయోగించి మూల్యాంకన కార్యక్రమం రాండోల్ఫ్ ఎయిర్ ఫోర్స్ బేస్ వద్ద జరుగుతుంది. USAF ఆర్డర్ అందుకున్న తరువాత, TE-1A లో చేసిన విస్తృతమైన మార్పులతో పాటు, 165-HP ఫ్రాంక్లిన్ ఇంజిన్ వ్యవస్థాపించబడుతుందని టెమ్కో నిర్ణయించింది. ఈ మోడల్ TE-1B ని నియమించి, “బుకరూ” అనే పేరును USAF ఈ మార్పుకు అంగీకరించింది. TE-1A మరియు TE-1B యొక్క అభివృద్ధి ఏకకాలంలో కొనసాగింది. TE-1A ఎగుమతి కోసం నియమించబడింది, మరియు TE-1B USAF కోసం. ఒక TE-1A ను ఇజ్రాయెల్ వైమానిక దళం కొనుగోలు చేసింది మరియు రెండవదాన్ని గ్రీకు వైమానిక దళం కొనుగోలు చేసింది. [1] జూలై 1950 లో, YT-34 గురువు, ఫెయిర్‌చైల్డ్ T-31, బౌల్టన్ పాల్ బల్లియోల్ మరియు డి హవిలాండ్ DHC-1B చిప్‌మంక్ ట్రైనర్‌లతో పోటీ పడటానికి మూడు YT-35 బుకరూలను రాండోల్ఫ్ AFB కి పంపిణీ చేశారు. తరువాత 1950 లో, కొరియా యుద్ధం YT-35 మూల్యాంకనంతో సహా అనేక యు.ఎస్. సైనిక కార్యక్రమాలకు అంతరాయం కలిగించింది. ఈ విమానం జేమ్స్ కొన్నల్లి ఎయిర్ ఫోర్స్ బేస్ వద్ద ముగిసింది, దీనిని ఇప్పుడు టెక్సాస్‌లోని వాకో సమీపంలో టిఎస్‌టిసి వాకో విమానాశ్రయం అని పిలుస్తారు. 10 నెలల కఠినమైన పరీక్షల తరువాత, ఫ్యాక్టరీ సమగ్ర కోసం మూడు YT-35 లను జూలై 1951 చివరలో టెమ్కోకు తిరిగి ఇచ్చారు. అప్పుడు వారిని గుడ్‌ఫెలో ఎయిర్ ఫోర్స్ బేస్కు కేటాయించారు, తరువాత ముగ్గురినీ మిగులుగా విక్రయించారు. మ్యూచువల్ డిఫెన్స్ ఎయిడ్ ప్రోగ్రాం కింద యుఎస్ఎఎఫ్ ద్వారా ఎక్కువ మంది టిఇ -1 బిబిఎస్ సౌదీ అరేబియాకు (టి -35 ఎ నియమించబడిన టి -35 ఎ) విక్రయించబడ్డారు. సౌదీలతో టెమ్కో యొక్క ఒప్పందం పది టి -35 ఎ విమానాలను పిలుపునిచ్చింది మరియు వాటిని సంవత్సరాలుగా ఎగురుతూ ఉండటానికి తగినంత విడిభాగాలు. సౌదీ అరేబియా టి -35 ఎ విమానంలో రెండు 30-క్యాలిబర్ మెషిన్ గన్స్ ఉన్నాయి, ఒకటి ప్రతి రెక్క లోపల అమర్చబడి, పది 2.75-అంగుళాల రాకెట్లు, ఐదు ప్రతి రెక్క కింద అమర్చబడి ఉంటాయి. ఇటలీ మరియు ఇజ్రాయెల్ రెండూ 1948 లో ఒకే TE-1B బుకరూను కొనుగోలు చేశాయి. [1] 1950 లో, IAF ఫ్లైట్ స్కూల్‌తో శిక్షకుడిగా ఉపయోగించటానికి ఫోకర్ బోధకుడు మరియు DHC-1 చిప్‌మంక్‌పై ఇజ్రాయెల్ విమానం అంచనా వేయబడింది. పోటీని కోల్పోయిన సింగిల్ బుకరూ 1950 చివరలో లేదా 1951 ప్రారంభంలో రిటైర్ అయ్యింది. సౌదీ అరేబియాలోని రియాద్‌లో ఒక టి -35 ఎ ప్రదర్శనలో ఉంది. సౌదీ ఎడారి "బోనియార్డ్" నుండి కోలుకున్న రెండు టి -35 లు అమెరికాలోని టేనస్సీలోని ఏథెన్స్లో ఇంటర్నేషనల్ స్విఫ్ట్ అసోసియేషన్ [1] యాజమాన్యంలో ఉన్నాయి. ప్రస్తుతం ఐదు బుకరూలు అమెరికాలో నమోదు చేయబడ్డాయి. [4] జేన్ యొక్క ఆల్ ది వరల్డ్ విమానాల నుండి డేటా 1953–54 [5] సాధారణ లక్షణాలు పనితీరు ఆయుధాలు పోల్చదగిన పాత్ర, కాన్ఫిగరేషన్ మరియు ERA సంబంధిత జాబితాల విమానం</v>
      </c>
      <c r="E64" s="1" t="s">
        <v>948</v>
      </c>
      <c r="F64" s="1" t="str">
        <f>IFERROR(__xludf.DUMMYFUNCTION("GOOGLETRANSLATE(E:E, ""en"", ""te"")"),"శిక్షకుడు")</f>
        <v>శిక్షకుడు</v>
      </c>
      <c r="G64" s="3" t="s">
        <v>949</v>
      </c>
      <c r="H64" s="1" t="s">
        <v>227</v>
      </c>
      <c r="I64" s="1" t="str">
        <f>IFERROR(__xludf.DUMMYFUNCTION("GOOGLETRANSLATE(H:H, ""en"", ""te"")"),"అమెరికా")</f>
        <v>అమెరికా</v>
      </c>
      <c r="K64" s="1" t="s">
        <v>950</v>
      </c>
      <c r="L64" s="2" t="str">
        <f>IFERROR(__xludf.DUMMYFUNCTION("GOOGLETRANSLATE(K:K, ""en"", ""te"")"),"టెమ్కో విమానం")</f>
        <v>టెమ్కో విమానం</v>
      </c>
      <c r="M64" s="1" t="s">
        <v>951</v>
      </c>
      <c r="Q64" s="1">
        <v>2.0</v>
      </c>
      <c r="R64" s="1" t="s">
        <v>952</v>
      </c>
      <c r="S64" s="1" t="s">
        <v>953</v>
      </c>
      <c r="U64" s="1" t="s">
        <v>954</v>
      </c>
      <c r="W64" s="1" t="s">
        <v>177</v>
      </c>
      <c r="X64" s="1" t="s">
        <v>955</v>
      </c>
      <c r="Y64" s="1" t="s">
        <v>956</v>
      </c>
      <c r="AC64" s="1">
        <v>1948.0</v>
      </c>
      <c r="AD64" s="1" t="s">
        <v>957</v>
      </c>
      <c r="AE64" s="1" t="s">
        <v>958</v>
      </c>
      <c r="AF64" s="1" t="s">
        <v>959</v>
      </c>
      <c r="AG64" s="1" t="s">
        <v>960</v>
      </c>
      <c r="AH64" s="1" t="s">
        <v>961</v>
      </c>
      <c r="AI64" s="1" t="s">
        <v>962</v>
      </c>
      <c r="AK64" s="1" t="s">
        <v>963</v>
      </c>
      <c r="AL64" s="1" t="s">
        <v>964</v>
      </c>
      <c r="AP64" s="1" t="s">
        <v>965</v>
      </c>
      <c r="AQ64" s="1" t="s">
        <v>966</v>
      </c>
      <c r="AS64" s="1" t="s">
        <v>967</v>
      </c>
      <c r="BO64" s="1" t="s">
        <v>968</v>
      </c>
      <c r="BP64" s="1" t="s">
        <v>969</v>
      </c>
      <c r="BR64" s="1" t="s">
        <v>970</v>
      </c>
      <c r="CZ64" s="1" t="s">
        <v>971</v>
      </c>
      <c r="DA64" s="1" t="s">
        <v>972</v>
      </c>
      <c r="DD64" s="1" t="s">
        <v>973</v>
      </c>
      <c r="DF64" s="1" t="s">
        <v>974</v>
      </c>
      <c r="DG64" s="1" t="s">
        <v>975</v>
      </c>
    </row>
    <row r="65">
      <c r="A65" s="1" t="s">
        <v>976</v>
      </c>
      <c r="B65" s="1" t="str">
        <f>IFERROR(__xludf.DUMMYFUNCTION("GOOGLETRANSLATE(A:A, ""en"", ""te"")"),"లిప్నూర్ బెలాలాంగ్")</f>
        <v>లిప్నూర్ బెలాలాంగ్</v>
      </c>
      <c r="C65" s="1" t="s">
        <v>977</v>
      </c>
      <c r="D65" s="1" t="str">
        <f>IFERROR(__xludf.DUMMYFUNCTION("GOOGLETRANSLATE(C:C, ""en"", ""te"")"),"లిప్నూర్ బెలాలాంగ్ (ఇండోనేషియా: మిడత) 1950 ల చివరలో ఇండోనేషియాలో లిప్నూర్ చేత తక్కువ సంఖ్యలో నిర్మించిన సైనిక శిక్షకుల విమానం. ఇది తప్పనిసరిగా పైపర్ L-4J మిడత, దీనికి తక్కువ రెక్కను ఇస్తుంది. NU-85 ప్రోటోటైప్ 17 ఏప్రిల్ 1958 న మొదటిసారిగా ఎగిరింది మరియు N"&amp;"U-90 యొక్క మొదటి ఉత్పత్తి 1959 లో జరిగింది. [2] ఈ విమానం ఇండోనేషియా వైమానిక దళం నిర్వహించింది. [2] ఇండోనేషియా సైన్యం మరియు ఇండోనేషియా సివిల్ ఏవియేషన్ ఇన్స్టిట్యూట్, క్యూరగ్, టాంగెరాంగ్ కూడా ఈ విమానాన్ని ఉపయోగించారు. [3] 1949-1950 కాలంలో, ఇండోనేషియా వైమాని"&amp;"క దళం (అప్పుడు ARRI అని పిలుస్తారు) సార్వభౌమాధికారం బదిలీలో భాగంగా రాయల్ నెదర్లాండ్స్ ఈస్ట్ ఇండీస్ వైమానిక దళం నుండి 60 పైపర్ ఎల్ -4 జె మిడతలను అందుకుంది. [4] ఉరి వాటిని అనుసంధానం మరియు ప్రాధమిక శిక్షకుల విమానంగా ఉపయోగించారు. [4] 1957 లో, 65 హెచ్‌పి కాంటి"&amp;"నెంటల్ ఓ -170 చేత శక్తినిచ్చే వారి మాజీ డచ్ ఎల్ -4 జెలను అప్పటికే వృద్ధాప్యం చేసి, భర్తీ చేయాల్సిన అవసరం ఉందని ur ర్ నిర్ణయించింది. L-4JS కూడా హై వింగ్ కలిగి ఉంది కాబట్టి దాని ఏరోబాటిక్ పనితీరు చాలా పరిమితం. [3] బాండుంగ్‌లోని ఆండిర్ ఎయిర్‌ఫీల్డ్‌లో ఆరి యొ"&amp;"క్క ఎయిర్ ఇంజనీరింగ్ మెయింటెనెన్స్ డిపో హెడ్ నూర్తానియో ప్రింగ్గోడైరియో, వృద్ధాప్య ఎల్ -4జెలను సవరించాలని నిర్ణయించుకున్నారు, ఎందుకంటే దీనిని వేగంగా మరియు తక్కువ సాంకేతిక పరిజ్ఞానంతో అభివృద్ధి చేయవచ్చు, తద్వారా ఉత్పత్తి వ్యయం చౌకగా ఉంటుంది. [3] ఒక L-4J అప"&amp;"్పుడు దానిని ""V"" లిఫ్ట్ స్ట్రట్‌లతో తక్కువ వింగ్ డిజైన్‌గా మార్చడం ద్వారా సవరించబడుతుంది మరియు 85 HP కాంటినెంటల్ సి -85 నాలుగు-సిలిండర్‌తో హారిజంట్‌గా-వ్యతిరేక పిస్టన్ ఇంజిన్‌తో సెన్సెనిచ్ రెండు-బ్లేడెడ్ ఫిక్స్‌డ్-పిచ్ ప్రొపెల్లర్‌తో ఇన్‌స్టాల్ చేయబడింద"&amp;"ి. [[ 5] విమానం దాని పాత పందిరిని కొనసాగించింది, కాని కొత్త రెక్కల నిర్మాణం కారణంగా పందిరి కుడి వైపుకు తెరిచి ఉంది. [3] ఈ నమూనా అప్పుడు ను -85 బెలాలాంగ్ గా నియమించబడింది. 85 85 హెచ్‌పి ఇంజిన్ నుండి తీసుకోబడింది, అయితే బెలాలాంగ్ (మిడత) అనే పేరు అతని సింగిల"&amp;"్-ఇంజిన్ డిజైన్లకు కీటకాల పేరు పెట్టబడింది. [3] NU-85 ప్రోటోటైప్ మొదట 17 ఏప్రిల్ 1958 న ఎగిరింది. మరొక మూలం దీనిని 26 ఏప్రిల్ 1958 న ఎగురవేసినట్లు పేర్కొంది, ఇది నూర్తానియో చేత పైలట్ చేయబడింది. [3] పరీక్ష తరువాత, ప్రాధమిక శిక్షకుడిగా వారి పాత్రలో NU-85 L-"&amp;"4J ల కంటే మెరుగ్గా పనిచేస్తుందని నిర్ధారించబడింది. [5] పనితీరు గమనించినప్పటికీ, నూర్తానియో దీనికి ఇంకా మరింత శుద్ధీకరణ అవసరమని నిర్ణయించింది. [3] అప్పుడు 1959 లో, నూర్తానియో NU-90 ను రూపొందించారు. [3] దాని పూర్వీకుల నుండి తేడాలు ఇది మరింత శక్తివంతమైన 90 హ"&amp;"ెచ్‌పి కాంటినెంటల్ సి -90-12 ఎఫ్ ఫ్లాట్-ఫోర్ డైరెక్ట్-డ్రైవ్ ఇంజిన్ ద్వారా శక్తిని పొందింది. [5] ఇది బబుల్ పందిరిని కలిగి ఉంది, అవి రెండు విభాగాలుగా విభజించబడ్డాయి, ఫార్వర్డ్ విభాగం కుడి వైపున ఉంది మరియు వెనుక విభాగం వెనుకకు జారిపోయింది. [5] ఇది L-4J యొక్"&amp;"క అనేక లక్షణాలను కలిగి ఉంది, దాని USA-35B ఎయిర్‌ఫాయిల్ వంటి సవరించినప్పటికీ, ఫ్లాప్‌లు తొలగించబడినప్పటికీ, స్ప్లిట్-యాక్సిల్ మెయిన్‌వీల్స్ 10 సెం.మీ. రెక్కలు ఫ్యూజ్‌లేజ్ లాంగన్స్ యొక్క ఎగువ విభాగం నుండి V- స్ట్రట్‌లతో కలుపుతారు మరియు రూట్ వద్ద 1 ° 37 ’సంభ"&amp;"వం మరియు 5 ° డైహెడ్రల్. [5] నియంత్రణ ఉపరితలాలు ఫైబర్గ్లాస్‌తో కప్పబడిన అల్యూమినియం-అల్లాయ్-ఫ్రేమ్‌ను కలిగి ఉన్నాయి. [5] ఫ్యూజ్‌లేజ్ ఫైబర్‌గ్లాస్‌తో కప్పబడిన వెల్డెడ్ స్టీల్ నిర్మాణం, నిలువు స్టెబిలైజర్ ఫాబ్రిక్ కప్పబడిన వెల్డెడ్ స్టీల్. [5] మూడు ప్రీ-ప్రొ"&amp;"డక్షన్ విమానాలను మూల్యాంకనం కోసం యోగ్యకార్తాలోని ఇండోనేషియా వైమానిక దళం అకాడమీకి పంపారు. విమానం ఇంకా మూల్యాంకన దశలో ఉన్నప్పటికీ, ఎనిమిది మంది క్యాడెట్లు మూడు బెలాంగ్‌లతో శిక్షణ పొందిన తరువాత సోలో ఫ్లై చేయగలిగారు. [3] మూడు విమానాలను తిరిగి బండుంగ్ వద్ద ఉన్"&amp;"న లిప్నూర్ సదుపాయానికి తిరిగి పంపించారు మరియు సరిదిద్దారు. [3] ఆ విమానాలను టాంగెరాంగ్‌లోని క్యూగ్‌లోని ఇండోనేషియా ఏవియేషన్ సివిల్ ఇనిస్టిట్యూట్‌కు బదిలీ చేశారు. [3] విమానం యొక్క పనితీరుతో సంతృప్తి చెందిన ఇండోనేషియా వైమానిక దళం ఎల్ -4 జె మిడతలను భర్తీ చేయమ"&amp;"ని 50 యూనిట్ల బెలాలాంగ్‌ను ఆదేశించింది, కాని ఆ సమయంలో లిప్నూర్ సదుపాయాన్ని భారీగా ఉత్పత్తి చేయడానికి సాధనాలు లేనందున ఈ ఉత్తర్వులను నెరవేర్చలేదు. [3] ఇండోనేషియా ఆర్మీ ఏవియేషన్ కమాండ్ కూడా బెలాలాంగ్‌తో ఆసక్తిని వ్యక్తం చేసింది. సెమరాంగ్‌లోని కాలిబాంటెంగ్ ఎయ"&amp;"ిర్‌ఫీల్డ్‌లోని ఇండోనేషియా ఆర్మీ ఏవియేషన్ స్కూల్ ప్రాధమిక శిక్షకులుగా ఉపయోగించటానికి 5 బెలాంగ్‌లను అందుకుంది. [3] జేన్ యొక్క అన్ని ప్రపంచ విమానాల నుండి డేటా 1965-66 [1] సాధారణ లక్షణాల పనితీరు")</f>
        <v>లిప్నూర్ బెలాలాంగ్ (ఇండోనేషియా: మిడత) 1950 ల చివరలో ఇండోనేషియాలో లిప్నూర్ చేత తక్కువ సంఖ్యలో నిర్మించిన సైనిక శిక్షకుల విమానం. ఇది తప్పనిసరిగా పైపర్ L-4J మిడత, దీనికి తక్కువ రెక్కను ఇస్తుంది. NU-85 ప్రోటోటైప్ 17 ఏప్రిల్ 1958 న మొదటిసారిగా ఎగిరింది మరియు NU-90 యొక్క మొదటి ఉత్పత్తి 1959 లో జరిగింది. [2] ఈ విమానం ఇండోనేషియా వైమానిక దళం నిర్వహించింది. [2] ఇండోనేషియా సైన్యం మరియు ఇండోనేషియా సివిల్ ఏవియేషన్ ఇన్స్టిట్యూట్, క్యూరగ్, టాంగెరాంగ్ కూడా ఈ విమానాన్ని ఉపయోగించారు. [3] 1949-1950 కాలంలో, ఇండోనేషియా వైమానిక దళం (అప్పుడు ARRI అని పిలుస్తారు) సార్వభౌమాధికారం బదిలీలో భాగంగా రాయల్ నెదర్లాండ్స్ ఈస్ట్ ఇండీస్ వైమానిక దళం నుండి 60 పైపర్ ఎల్ -4 జె మిడతలను అందుకుంది. [4] ఉరి వాటిని అనుసంధానం మరియు ప్రాధమిక శిక్షకుల విమానంగా ఉపయోగించారు. [4] 1957 లో, 65 హెచ్‌పి కాంటినెంటల్ ఓ -170 చేత శక్తినిచ్చే వారి మాజీ డచ్ ఎల్ -4 జెలను అప్పటికే వృద్ధాప్యం చేసి, భర్తీ చేయాల్సిన అవసరం ఉందని ur ర్ నిర్ణయించింది. L-4JS కూడా హై వింగ్ కలిగి ఉంది కాబట్టి దాని ఏరోబాటిక్ పనితీరు చాలా పరిమితం. [3] బాండుంగ్‌లోని ఆండిర్ ఎయిర్‌ఫీల్డ్‌లో ఆరి యొక్క ఎయిర్ ఇంజనీరింగ్ మెయింటెనెన్స్ డిపో హెడ్ నూర్తానియో ప్రింగ్గోడైరియో, వృద్ధాప్య ఎల్ -4జెలను సవరించాలని నిర్ణయించుకున్నారు, ఎందుకంటే దీనిని వేగంగా మరియు తక్కువ సాంకేతిక పరిజ్ఞానంతో అభివృద్ధి చేయవచ్చు, తద్వారా ఉత్పత్తి వ్యయం చౌకగా ఉంటుంది. [3] ఒక L-4J అప్పుడు దానిని "V" లిఫ్ట్ స్ట్రట్‌లతో తక్కువ వింగ్ డిజైన్‌గా మార్చడం ద్వారా సవరించబడుతుంది మరియు 85 HP కాంటినెంటల్ సి -85 నాలుగు-సిలిండర్‌తో హారిజంట్‌గా-వ్యతిరేక పిస్టన్ ఇంజిన్‌తో సెన్సెనిచ్ రెండు-బ్లేడెడ్ ఫిక్స్‌డ్-పిచ్ ప్రొపెల్లర్‌తో ఇన్‌స్టాల్ చేయబడింది. [[ 5] విమానం దాని పాత పందిరిని కొనసాగించింది, కాని కొత్త రెక్కల నిర్మాణం కారణంగా పందిరి కుడి వైపుకు తెరిచి ఉంది. [3] ఈ నమూనా అప్పుడు ను -85 బెలాలాంగ్ గా నియమించబడింది. 85 85 హెచ్‌పి ఇంజిన్ నుండి తీసుకోబడింది, అయితే బెలాలాంగ్ (మిడత) అనే పేరు అతని సింగిల్-ఇంజిన్ డిజైన్లకు కీటకాల పేరు పెట్టబడింది. [3] NU-85 ప్రోటోటైప్ మొదట 17 ఏప్రిల్ 1958 న ఎగిరింది. మరొక మూలం దీనిని 26 ఏప్రిల్ 1958 న ఎగురవేసినట్లు పేర్కొంది, ఇది నూర్తానియో చేత పైలట్ చేయబడింది. [3] పరీక్ష తరువాత, ప్రాధమిక శిక్షకుడిగా వారి పాత్రలో NU-85 L-4J ల కంటే మెరుగ్గా పనిచేస్తుందని నిర్ధారించబడింది. [5] పనితీరు గమనించినప్పటికీ, నూర్తానియో దీనికి ఇంకా మరింత శుద్ధీకరణ అవసరమని నిర్ణయించింది. [3] అప్పుడు 1959 లో, నూర్తానియో NU-90 ను రూపొందించారు. [3] దాని పూర్వీకుల నుండి తేడాలు ఇది మరింత శక్తివంతమైన 90 హెచ్‌పి కాంటినెంటల్ సి -90-12 ఎఫ్ ఫ్లాట్-ఫోర్ డైరెక్ట్-డ్రైవ్ ఇంజిన్ ద్వారా శక్తిని పొందింది. [5] ఇది బబుల్ పందిరిని కలిగి ఉంది, అవి రెండు విభాగాలుగా విభజించబడ్డాయి, ఫార్వర్డ్ విభాగం కుడి వైపున ఉంది మరియు వెనుక విభాగం వెనుకకు జారిపోయింది. [5] ఇది L-4J యొక్క అనేక లక్షణాలను కలిగి ఉంది, దాని USA-35B ఎయిర్‌ఫాయిల్ వంటి సవరించినప్పటికీ, ఫ్లాప్‌లు తొలగించబడినప్పటికీ, స్ప్లిట్-యాక్సిల్ మెయిన్‌వీల్స్ 10 సెం.మీ. రెక్కలు ఫ్యూజ్‌లేజ్ లాంగన్స్ యొక్క ఎగువ విభాగం నుండి V- స్ట్రట్‌లతో కలుపుతారు మరియు రూట్ వద్ద 1 ° 37 ’సంభవం మరియు 5 ° డైహెడ్రల్. [5] నియంత్రణ ఉపరితలాలు ఫైబర్గ్లాస్‌తో కప్పబడిన అల్యూమినియం-అల్లాయ్-ఫ్రేమ్‌ను కలిగి ఉన్నాయి. [5] ఫ్యూజ్‌లేజ్ ఫైబర్‌గ్లాస్‌తో కప్పబడిన వెల్డెడ్ స్టీల్ నిర్మాణం, నిలువు స్టెబిలైజర్ ఫాబ్రిక్ కప్పబడిన వెల్డెడ్ స్టీల్. [5] మూడు ప్రీ-ప్రొడక్షన్ విమానాలను మూల్యాంకనం కోసం యోగ్యకార్తాలోని ఇండోనేషియా వైమానిక దళం అకాడమీకి పంపారు. విమానం ఇంకా మూల్యాంకన దశలో ఉన్నప్పటికీ, ఎనిమిది మంది క్యాడెట్లు మూడు బెలాంగ్‌లతో శిక్షణ పొందిన తరువాత సోలో ఫ్లై చేయగలిగారు. [3] మూడు విమానాలను తిరిగి బండుంగ్ వద్ద ఉన్న లిప్నూర్ సదుపాయానికి తిరిగి పంపించారు మరియు సరిదిద్దారు. [3] ఆ విమానాలను టాంగెరాంగ్‌లోని క్యూగ్‌లోని ఇండోనేషియా ఏవియేషన్ సివిల్ ఇనిస్టిట్యూట్‌కు బదిలీ చేశారు. [3] విమానం యొక్క పనితీరుతో సంతృప్తి చెందిన ఇండోనేషియా వైమానిక దళం ఎల్ -4 జె మిడతలను భర్తీ చేయమని 50 యూనిట్ల బెలాలాంగ్‌ను ఆదేశించింది, కాని ఆ సమయంలో లిప్నూర్ సదుపాయాన్ని భారీగా ఉత్పత్తి చేయడానికి సాధనాలు లేనందున ఈ ఉత్తర్వులను నెరవేర్చలేదు. [3] ఇండోనేషియా ఆర్మీ ఏవియేషన్ కమాండ్ కూడా బెలాలాంగ్‌తో ఆసక్తిని వ్యక్తం చేసింది. సెమరాంగ్‌లోని కాలిబాంటెంగ్ ఎయిర్‌ఫీల్డ్‌లోని ఇండోనేషియా ఆర్మీ ఏవియేషన్ స్కూల్ ప్రాధమిక శిక్షకులుగా ఉపయోగించటానికి 5 బెలాంగ్‌లను అందుకుంది. [3] జేన్ యొక్క అన్ని ప్రపంచ విమానాల నుండి డేటా 1965-66 [1] సాధారణ లక్షణాల పనితీరు</v>
      </c>
      <c r="E65" s="1" t="s">
        <v>978</v>
      </c>
      <c r="F65" s="1" t="str">
        <f>IFERROR(__xludf.DUMMYFUNCTION("GOOGLETRANSLATE(E:E, ""en"", ""te"")"),"మిలిటరీ ట్రైనర్")</f>
        <v>మిలిటరీ ట్రైనర్</v>
      </c>
      <c r="G65" s="1" t="s">
        <v>979</v>
      </c>
      <c r="H65" s="1" t="s">
        <v>980</v>
      </c>
      <c r="I65" s="1" t="str">
        <f>IFERROR(__xludf.DUMMYFUNCTION("GOOGLETRANSLATE(H:H, ""en"", ""te"")"),"ఇండోనేషియా")</f>
        <v>ఇండోనేషియా</v>
      </c>
      <c r="J65" s="3" t="s">
        <v>981</v>
      </c>
      <c r="K65" s="1" t="s">
        <v>982</v>
      </c>
      <c r="L65" s="2" t="str">
        <f>IFERROR(__xludf.DUMMYFUNCTION("GOOGLETRANSLATE(K:K, ""en"", ""te"")"),"అంగ్కటన్ ఉదారా రిపబ్లిక్ ఇండోనేషియా, డిపో పెన్జెలిడికాన్, పెర్ట్జోబాన్ డాన్ పెంబుటాన్/లిప్నూర్")</f>
        <v>అంగ్కటన్ ఉదారా రిపబ్లిక్ ఇండోనేషియా, డిపో పెన్జెలిడికాన్, పెర్ట్జోబాన్ డాన్ పెంబుటాన్/లిప్నూర్</v>
      </c>
      <c r="M65" s="1" t="s">
        <v>983</v>
      </c>
      <c r="N65" s="1" t="s">
        <v>99</v>
      </c>
      <c r="O65" s="1" t="str">
        <f>IFERROR(__xludf.DUMMYFUNCTION("GOOGLETRANSLATE(N:N, ""en"", ""te"")"),"రిటైర్డ్")</f>
        <v>రిటైర్డ్</v>
      </c>
      <c r="Q65" s="1">
        <v>2.0</v>
      </c>
      <c r="R65" s="1" t="s">
        <v>706</v>
      </c>
      <c r="S65" s="1" t="s">
        <v>984</v>
      </c>
      <c r="T65" s="1">
        <v>6.0</v>
      </c>
      <c r="U65" s="1" t="s">
        <v>985</v>
      </c>
      <c r="W65" s="1" t="s">
        <v>986</v>
      </c>
      <c r="X65" s="1" t="s">
        <v>987</v>
      </c>
      <c r="Y65" s="1" t="s">
        <v>988</v>
      </c>
      <c r="Z65" s="1" t="s">
        <v>989</v>
      </c>
      <c r="AB65" s="1" t="s">
        <v>990</v>
      </c>
      <c r="AC65" s="1">
        <v>1959.0</v>
      </c>
      <c r="AD65" s="1" t="s">
        <v>991</v>
      </c>
      <c r="AE65" s="1" t="s">
        <v>992</v>
      </c>
      <c r="AF65" s="1" t="s">
        <v>993</v>
      </c>
      <c r="AG65" s="1" t="s">
        <v>994</v>
      </c>
      <c r="AH65" s="1" t="s">
        <v>995</v>
      </c>
      <c r="AI65" s="1" t="s">
        <v>996</v>
      </c>
      <c r="AJ65" s="1" t="s">
        <v>997</v>
      </c>
      <c r="AP65" s="1" t="s">
        <v>998</v>
      </c>
      <c r="AQ65" s="1" t="s">
        <v>999</v>
      </c>
      <c r="AS65" s="1" t="s">
        <v>1000</v>
      </c>
      <c r="BO65" s="1" t="s">
        <v>1001</v>
      </c>
      <c r="BP65" s="1" t="s">
        <v>1002</v>
      </c>
      <c r="BR65" s="1" t="s">
        <v>1003</v>
      </c>
      <c r="BS65" s="1" t="s">
        <v>1004</v>
      </c>
      <c r="CU65" s="1" t="s">
        <v>1005</v>
      </c>
      <c r="CV65" s="1" t="s">
        <v>1006</v>
      </c>
    </row>
    <row r="66">
      <c r="A66" s="1" t="s">
        <v>1007</v>
      </c>
      <c r="B66" s="1" t="str">
        <f>IFERROR(__xludf.DUMMYFUNCTION("GOOGLETRANSLATE(A:A, ""en"", ""te"")"),"MKEK-4")</f>
        <v>MKEK-4</v>
      </c>
      <c r="C66" s="1" t="s">
        <v>1008</v>
      </c>
      <c r="D66" s="1" t="str">
        <f>IFERROR(__xludf.DUMMYFUNCTION("GOOGLETRANSLATE(C:C, ""en"", ""te"")"),"MKEK-4 ఉజుర్ (టర్కిష్: ""లక్"") అనేది ఒక ప్రాథమిక శిక్షకుల విమానం, దీనిని 1955-1963 మధ్య టర్కిష్ వైమానిక దళం ఉపయోగించింది. వాస్తవానికి THK-15 గా అభివృద్ధి చేయబడింది, మొత్తం 57 ఉయర్స్ టర్కీలో ఉత్పత్తి చేయబడ్డాయి, ఇవన్నీ టర్కిష్ AF ఫ్లైట్ స్కూల్‌లో మూడు మిన"&amp;"హా ఉపయోగించబడ్డాయి, వీటిని రాయల్ జోర్డాన్ వైమానిక దళానికి విరాళంగా ఇచ్చారు. లక్కీ లేదా నాట్ నుండి డేటా?")</f>
        <v>MKEK-4 ఉజుర్ (టర్కిష్: "లక్") అనేది ఒక ప్రాథమిక శిక్షకుల విమానం, దీనిని 1955-1963 మధ్య టర్కిష్ వైమానిక దళం ఉపయోగించింది. వాస్తవానికి THK-15 గా అభివృద్ధి చేయబడింది, మొత్తం 57 ఉయర్స్ టర్కీలో ఉత్పత్తి చేయబడ్డాయి, ఇవన్నీ టర్కిష్ AF ఫ్లైట్ స్కూల్‌లో మూడు మినహా ఉపయోగించబడ్డాయి, వీటిని రాయల్ జోర్డాన్ వైమానిక దళానికి విరాళంగా ఇచ్చారు. లక్కీ లేదా నాట్ నుండి డేటా?</v>
      </c>
      <c r="E66" s="1" t="s">
        <v>375</v>
      </c>
      <c r="F66" s="1" t="str">
        <f>IFERROR(__xludf.DUMMYFUNCTION("GOOGLETRANSLATE(E:E, ""en"", ""te"")"),"శిక్షకుడు")</f>
        <v>శిక్షకుడు</v>
      </c>
      <c r="H66" s="1" t="s">
        <v>1009</v>
      </c>
      <c r="I66" s="1" t="str">
        <f>IFERROR(__xludf.DUMMYFUNCTION("GOOGLETRANSLATE(H:H, ""en"", ""te"")"),"టర్కీ")</f>
        <v>టర్కీ</v>
      </c>
      <c r="J66" s="3" t="s">
        <v>1010</v>
      </c>
      <c r="K66" s="1" t="s">
        <v>1011</v>
      </c>
      <c r="L66" s="2" t="str">
        <f>IFERROR(__xludf.DUMMYFUNCTION("GOOGLETRANSLATE(K:K, ""en"", ""te"")"),"Mkek")</f>
        <v>Mkek</v>
      </c>
      <c r="M66" s="3" t="s">
        <v>1012</v>
      </c>
      <c r="Q66" s="1">
        <v>2.0</v>
      </c>
      <c r="R66" s="1" t="s">
        <v>706</v>
      </c>
      <c r="S66" s="1" t="s">
        <v>1013</v>
      </c>
      <c r="T66" s="1">
        <v>5.7</v>
      </c>
      <c r="U66" s="1" t="s">
        <v>1014</v>
      </c>
      <c r="X66" s="1" t="s">
        <v>1015</v>
      </c>
      <c r="Y66" s="1" t="s">
        <v>1016</v>
      </c>
      <c r="Z66" s="1" t="s">
        <v>1017</v>
      </c>
      <c r="AA66" s="1" t="s">
        <v>1018</v>
      </c>
      <c r="AE66" s="1">
        <v>57.0</v>
      </c>
      <c r="AF66" s="1" t="s">
        <v>1019</v>
      </c>
      <c r="AG66" s="1" t="s">
        <v>1020</v>
      </c>
      <c r="AH66" s="1" t="s">
        <v>1021</v>
      </c>
      <c r="AI66" s="1" t="s">
        <v>1022</v>
      </c>
      <c r="AJ66" s="1" t="s">
        <v>1023</v>
      </c>
      <c r="AL66" s="1" t="s">
        <v>1024</v>
      </c>
      <c r="AP66" s="1" t="s">
        <v>1025</v>
      </c>
      <c r="AQ66" s="1" t="s">
        <v>1026</v>
      </c>
      <c r="AS66" s="1" t="s">
        <v>1027</v>
      </c>
      <c r="BK66" s="1" t="s">
        <v>1028</v>
      </c>
      <c r="BP66" s="1" t="s">
        <v>1029</v>
      </c>
      <c r="CU66" s="1" t="s">
        <v>1030</v>
      </c>
      <c r="CV66" s="1" t="s">
        <v>1031</v>
      </c>
      <c r="DH66" s="1" t="s">
        <v>1032</v>
      </c>
      <c r="DI66" s="1" t="s">
        <v>1033</v>
      </c>
    </row>
    <row r="67">
      <c r="A67" s="1" t="s">
        <v>1034</v>
      </c>
      <c r="B67" s="1" t="str">
        <f>IFERROR(__xludf.DUMMYFUNCTION("GOOGLETRANSLATE(A:A, ""en"", ""te"")"),"లావిల్లే డి -4")</f>
        <v>లావిల్లే డి -4</v>
      </c>
      <c r="C67" s="1" t="s">
        <v>1035</v>
      </c>
      <c r="D67" s="1" t="str">
        <f>IFERROR(__xludf.DUMMYFUNCTION("GOOGLETRANSLATE(C:C, ""en"", ""te"")"),"లావిల్లే DI-4 (రష్యన్: лавиль -4) 1930 లలో సోవియట్ యూనియన్‌లో అభివృద్ధి చేయబడిన రెండు-సీట్ల ఫైటర్ విమానం. చీఫ్ డిజైనర్ హెన్రీ లావిల్లే సోవియట్ యూనియన్‌లో పనిచేయడానికి ఆహ్వానించబడిన అనేక మంది ఫ్రెంచ్ విమానయాన నిపుణులలో ఒకరు మరియు ఆశ్చర్యకరంగా DI-4 లేఅవుట్ "&amp;"ఆ సమయంలో ఫ్రెంచ్ ధోరణికి విలక్షణమైనది (మొదట సోవియట్ విమానానికి) మరియు ఆల్-మెటల్ నిర్మాణం. టెస్ట్ ఫ్లైట్ ప్రోగ్రామ్ 1933 లో పూర్తయింది, అయితే మంచి పనితీరు ఉన్నప్పటికీ, ఈ విమానం భారీ ఉత్పత్తిలో ప్రవేశించలేదు, ఎందుకంటే సోవియట్ యూనియన్ కర్టిస్ V-1570 ఇంజిన్‌న"&amp;"ు కొనుగోలు చేసే ఆలోచనలు లేవు. [1] ISTORIA KONSONGTUKTSKII SAMOLETOV V SSSR DO 1938 [1] సాధారణ లక్షణాల పనితీరు ఆయుధాలు")</f>
        <v>లావిల్లే DI-4 (రష్యన్: лавиль -4) 1930 లలో సోవియట్ యూనియన్‌లో అభివృద్ధి చేయబడిన రెండు-సీట్ల ఫైటర్ విమానం. చీఫ్ డిజైనర్ హెన్రీ లావిల్లే సోవియట్ యూనియన్‌లో పనిచేయడానికి ఆహ్వానించబడిన అనేక మంది ఫ్రెంచ్ విమానయాన నిపుణులలో ఒకరు మరియు ఆశ్చర్యకరంగా DI-4 లేఅవుట్ ఆ సమయంలో ఫ్రెంచ్ ధోరణికి విలక్షణమైనది (మొదట సోవియట్ విమానానికి) మరియు ఆల్-మెటల్ నిర్మాణం. టెస్ట్ ఫ్లైట్ ప్రోగ్రామ్ 1933 లో పూర్తయింది, అయితే మంచి పనితీరు ఉన్నప్పటికీ, ఈ విమానం భారీ ఉత్పత్తిలో ప్రవేశించలేదు, ఎందుకంటే సోవియట్ యూనియన్ కర్టిస్ V-1570 ఇంజిన్‌ను కొనుగోలు చేసే ఆలోచనలు లేవు. [1] ISTORIA KONSONGTUKTSKII SAMOLETOV V SSSR DO 1938 [1] సాధారణ లక్షణాల పనితీరు ఆయుధాలు</v>
      </c>
      <c r="E67" s="1" t="s">
        <v>724</v>
      </c>
      <c r="F67" s="1" t="str">
        <f>IFERROR(__xludf.DUMMYFUNCTION("GOOGLETRANSLATE(E:E, ""en"", ""te"")"),"యుద్ధ")</f>
        <v>యుద్ధ</v>
      </c>
      <c r="H67" s="1" t="s">
        <v>1036</v>
      </c>
      <c r="I67" s="1" t="str">
        <f>IFERROR(__xludf.DUMMYFUNCTION("GOOGLETRANSLATE(H:H, ""en"", ""te"")"),"సోవియట్ యూనియన్")</f>
        <v>సోవియట్ యూనియన్</v>
      </c>
      <c r="J67" s="1" t="s">
        <v>1037</v>
      </c>
      <c r="L67" s="2"/>
      <c r="Q67" s="1">
        <v>2.0</v>
      </c>
      <c r="R67" s="1" t="s">
        <v>1038</v>
      </c>
      <c r="S67" s="1" t="s">
        <v>1039</v>
      </c>
      <c r="U67" s="1" t="s">
        <v>1040</v>
      </c>
      <c r="X67" s="1" t="s">
        <v>1041</v>
      </c>
      <c r="Y67" s="1" t="s">
        <v>1042</v>
      </c>
      <c r="AB67" s="1" t="s">
        <v>1043</v>
      </c>
      <c r="AD67" s="4">
        <v>11692.0</v>
      </c>
      <c r="AE67" s="1" t="s">
        <v>212</v>
      </c>
      <c r="AF67" s="1" t="s">
        <v>1044</v>
      </c>
      <c r="AI67" s="1" t="s">
        <v>1045</v>
      </c>
      <c r="AJ67" s="1" t="s">
        <v>636</v>
      </c>
      <c r="AK67" s="1" t="s">
        <v>1046</v>
      </c>
      <c r="AL67" s="1" t="s">
        <v>1047</v>
      </c>
      <c r="AP67" s="1" t="s">
        <v>1048</v>
      </c>
      <c r="AQ67" s="1" t="s">
        <v>1049</v>
      </c>
      <c r="AU67" s="1" t="s">
        <v>1050</v>
      </c>
      <c r="BN67" s="1" t="s">
        <v>1051</v>
      </c>
      <c r="CT67" s="1" t="s">
        <v>1052</v>
      </c>
      <c r="DJ67" s="1" t="s">
        <v>1053</v>
      </c>
    </row>
    <row r="68">
      <c r="A68" s="1" t="s">
        <v>1054</v>
      </c>
      <c r="B68" s="1" t="str">
        <f>IFERROR(__xludf.DUMMYFUNCTION("GOOGLETRANSLATE(A:A, ""en"", ""te"")"),"ఏరో సినర్జీ J300 జోకర్")</f>
        <v>ఏరో సినర్జీ J300 జోకర్</v>
      </c>
      <c r="C68" s="1" t="s">
        <v>1055</v>
      </c>
      <c r="D68" s="1" t="str">
        <f>IFERROR(__xludf.DUMMYFUNCTION("GOOGLETRANSLATE(C:C, ""en"", ""te"")"),"ఏరో సినర్జీ J300 జోకర్ ఒక ఫ్రెంచ్ అల్ట్రాలైట్ విమానం, దీనిని సాపర్/భిక్ష మరియు తరువాత ఏరో సినర్జీ రూపొందించారు మరియు ఉత్పత్తి చేశారు. ఈ విమానం te త్సాహిక నిర్మాణానికి కిట్‌గా మరియు పూర్తి రెడీ-టు-ఫ్లై విమానం వలె సరఫరా చేయబడింది. [1] ఈ విమానం ఫెడెరేషన్ ఏరో"&amp;"నటిక్ ఇంటర్నేషనల్ మైక్రోలైట్ నిబంధనలకు అనుగుణంగా రూపొందించబడింది. ఇది స్ట్రట్-బ్రేస్డ్ హై-వింగ్, సైడ్-బై-సైడ్ కాన్ఫిగరేషన్ పరివేష్టిత కాక్‌పిట్, ట్రైసైకిల్ ల్యాండింగ్ గేర్ లేదా సాంప్రదాయిక ల్యాండింగ్ గేర్ మరియు ట్రాక్టర్ కాన్ఫిగరేషన్‌లో ఒకే ఇంజిన్. [1] ఈ "&amp;"విమానం వెల్డెడ్ స్టీల్ గొట్టాల నుండి తయారవుతుంది, ఇది డోప్డ్ ఎయిర్క్రాఫ్ట్ ఫాబ్రిక్లో కప్పబడి ఉంటుంది. దీని 9.04 మీ (29.7 అడుగులు) స్పాన్ వింగ్ ద్వంద్వ సమాంతర స్ట్రట్‌లను ఉపయోగిస్తుంది. అమర్చిన ప్రామాణిక ఇంజిన్ 80 HP (60 kW) రోటాక్స్ 912UL ఫోర్-స్ట్రోక్ ప"&amp;"వర్‌ప్లాంట్, 100 HP (75 kW) రోటాక్స్ 912ULS ఐచ్ఛికం. [1] వాస్తవానికి సాపర్/భిక్ష చేత ఉత్పత్తి చేయబడిన ఈ డిజైన్‌ను తరువాత ఏరో సినర్జీ తయారు చేసింది. ఉత్పత్తి సిర్కా 2011 ను నిలిపివేసింది, అయినప్పటికీ 2012 లో భాగాలు ఇప్పటికీ అందుబాటులో ఉన్నాయి. [2] ఐరోపా మర"&amp;"ియు ఆఫ్రికాలో శిక్షకుడిగా జనాదరణ పొందినది, దాని సరళమైన నిర్మాణం మరియు నిర్వహణ సౌలభ్యం కారణంగా ఇది వ్యక్తిగత విమానంగా ఉపయోగించబడింది. [1] బేయర్ల్ నుండి డేటా [1] సాధారణ లక్షణాల పనితీరు")</f>
        <v>ఏరో సినర్జీ J300 జోకర్ ఒక ఫ్రెంచ్ అల్ట్రాలైట్ విమానం, దీనిని సాపర్/భిక్ష మరియు తరువాత ఏరో సినర్జీ రూపొందించారు మరియు ఉత్పత్తి చేశారు. ఈ విమానం te త్సాహిక నిర్మాణానికి కిట్‌గా మరియు పూర్తి రెడీ-టు-ఫ్లై విమానం వలె సరఫరా చేయబడింది. [1] ఈ విమానం ఫెడెరేషన్ ఏరోనటిక్ ఇంటర్నేషనల్ మైక్రోలైట్ నిబంధనలకు అనుగుణంగా రూపొందించబడింది. ఇది స్ట్రట్-బ్రేస్డ్ హై-వింగ్, సైడ్-బై-సైడ్ కాన్ఫిగరేషన్ పరివేష్టిత కాక్‌పిట్, ట్రైసైకిల్ ల్యాండింగ్ గేర్ లేదా సాంప్రదాయిక ల్యాండింగ్ గేర్ మరియు ట్రాక్టర్ కాన్ఫిగరేషన్‌లో ఒకే ఇంజిన్. [1] ఈ విమానం వెల్డెడ్ స్టీల్ గొట్టాల నుండి తయారవుతుంది, ఇది డోప్డ్ ఎయిర్క్రాఫ్ట్ ఫాబ్రిక్లో కప్పబడి ఉంటుంది. దీని 9.04 మీ (29.7 అడుగులు) స్పాన్ వింగ్ ద్వంద్వ సమాంతర స్ట్రట్‌లను ఉపయోగిస్తుంది. అమర్చిన ప్రామాణిక ఇంజిన్ 80 HP (60 kW) రోటాక్స్ 912UL ఫోర్-స్ట్రోక్ పవర్‌ప్లాంట్, 100 HP (75 kW) రోటాక్స్ 912ULS ఐచ్ఛికం. [1] వాస్తవానికి సాపర్/భిక్ష చేత ఉత్పత్తి చేయబడిన ఈ డిజైన్‌ను తరువాత ఏరో సినర్జీ తయారు చేసింది. ఉత్పత్తి సిర్కా 2011 ను నిలిపివేసింది, అయినప్పటికీ 2012 లో భాగాలు ఇప్పటికీ అందుబాటులో ఉన్నాయి. [2] ఐరోపా మరియు ఆఫ్రికాలో శిక్షకుడిగా జనాదరణ పొందినది, దాని సరళమైన నిర్మాణం మరియు నిర్వహణ సౌలభ్యం కారణంగా ఇది వ్యక్తిగత విమానంగా ఉపయోగించబడింది. [1] బేయర్ల్ నుండి డేటా [1] సాధారణ లక్షణాల పనితీరు</v>
      </c>
      <c r="E68" s="1" t="s">
        <v>1056</v>
      </c>
      <c r="F68" s="1" t="str">
        <f>IFERROR(__xludf.DUMMYFUNCTION("GOOGLETRANSLATE(E:E, ""en"", ""te"")"),"అల్ట్రాలైట్ విమానం")</f>
        <v>అల్ట్రాలైట్ విమానం</v>
      </c>
      <c r="G68" s="1" t="s">
        <v>1057</v>
      </c>
      <c r="H68" s="1" t="s">
        <v>208</v>
      </c>
      <c r="I68" s="1" t="str">
        <f>IFERROR(__xludf.DUMMYFUNCTION("GOOGLETRANSLATE(H:H, ""en"", ""te"")"),"ఫ్రాన్స్")</f>
        <v>ఫ్రాన్స్</v>
      </c>
      <c r="J68" s="3" t="s">
        <v>209</v>
      </c>
      <c r="K68" s="1" t="s">
        <v>1058</v>
      </c>
      <c r="L68" s="2" t="str">
        <f>IFERROR(__xludf.DUMMYFUNCTION("GOOGLETRANSLATE(K:K, ""en"", ""te"")"),"సినర్జీ")</f>
        <v>సినర్జీ</v>
      </c>
      <c r="M68" s="1" t="s">
        <v>1059</v>
      </c>
      <c r="N68" s="1" t="s">
        <v>171</v>
      </c>
      <c r="O68" s="1" t="str">
        <f>IFERROR(__xludf.DUMMYFUNCTION("GOOGLETRANSLATE(N:N, ""en"", ""te"")"),"ఉత్పత్తి పూర్తయింది")</f>
        <v>ఉత్పత్తి పూర్తయింది</v>
      </c>
      <c r="Q68" s="1" t="s">
        <v>162</v>
      </c>
      <c r="R68" s="1" t="s">
        <v>1060</v>
      </c>
      <c r="S68" s="1" t="s">
        <v>1061</v>
      </c>
      <c r="U68" s="1" t="s">
        <v>555</v>
      </c>
      <c r="X68" s="1" t="s">
        <v>1062</v>
      </c>
      <c r="Y68" s="1" t="s">
        <v>1063</v>
      </c>
      <c r="Z68" s="1" t="s">
        <v>1064</v>
      </c>
      <c r="AA68" s="1" t="s">
        <v>581</v>
      </c>
      <c r="AC68" s="1" t="s">
        <v>1065</v>
      </c>
      <c r="AI68" s="1" t="s">
        <v>1066</v>
      </c>
      <c r="AM68" s="1" t="s">
        <v>330</v>
      </c>
      <c r="AS68" s="1" t="s">
        <v>1067</v>
      </c>
      <c r="BP68" s="1" t="s">
        <v>1068</v>
      </c>
    </row>
    <row r="69">
      <c r="A69" s="1" t="s">
        <v>1069</v>
      </c>
      <c r="B69" s="1" t="str">
        <f>IFERROR(__xludf.DUMMYFUNCTION("GOOGLETRANSLATE(A:A, ""en"", ""te"")"),"ఏరోకాడ్ ఏరోకానార్డ్")</f>
        <v>ఏరోకాడ్ ఏరోకానార్డ్</v>
      </c>
      <c r="C69" s="1" t="s">
        <v>1070</v>
      </c>
      <c r="D69" s="1" t="str">
        <f>IFERROR(__xludf.DUMMYFUNCTION("GOOGLETRANSLATE(C:C, ""en"", ""te"")"),"ఏరోకాడ్ ఏరోకానార్డ్ అనేది అమెరికన్ te త్సాహిక-నిర్మిత విమానం యొక్క కుటుంబం, ఇది మిస్సౌరీలోని ఫ్లోరిసెంట్ యొక్క ఏరోకాడ్ చేత రూపొందించబడింది మరియు ఉత్పత్తి చేస్తుంది. ఈ విమానం te త్సాహిక నిర్మాణానికి కిట్‌గా సరఫరా చేయబడుతుంది. [1] [2] ఏరోకానార్డ్ లైన్ ఆఫ్ ఎ"&amp;"యిర్క్రాఫ్ట్ అన్నీ కాంటిలివర్ మిడ్-వింగ్, కానార్డ్ తోక, నాలుగు సీట్ల పరివేష్టిత క్యాబిన్ మరియు పషర్ కాన్ఫిగరేషన్‌లో ఒకే ఇంజిన్ ఉన్నాయి. ట్రైసైకిల్ ల్యాండింగ్ గేర్ మోడల్‌ను బట్టి స్థిర ప్రధాన చక్రాలు మరియు ముడుచుకునే ముక్కు చక్రం లేదా పూర్తిగా ముడుచుకునే గ"&amp;"ేర్‌ను కలిగి ఉంటుంది. [1] [2] విమానం మిశ్రమాల నుండి తయారవుతుంది. దాని 28.1 అడుగుల (8.6 మీ) స్పాన్ వింగ్ 102.3 చదరపు అడుగుల (9.50 మీ 2) విస్తీర్ణంలో ఉంది. విమానం యొక్క సిఫార్సు చేసిన ఇంజిన్ శక్తి శ్రేణి 160 నుండి 200 హెచ్‌పి (119 నుండి 149 కిలోవాట్) ప్రామా"&amp;"ణిక ఇంజిన్‌తో 200 హెచ్‌పి (149 కిలోవాట్) లైమింగ్ IO-360 ఫోర్-స్ట్రోక్ పవర్‌ప్లాంట్‌ను ఉపయోగించింది. [1] [2] అక్టోబర్ 2012 నాటికి నాలుగు ఉదాహరణలు ఫెడరల్ ఏవియేషన్ అడ్మినిస్ట్రేషన్తో అమెరికాలో నమోదు చేయబడ్డాయి. [3] కిట్‌ప్లాన్‌ల నుండి డేటా [1] సాధారణ లక్షణాల"&amp;" పనితీరు")</f>
        <v>ఏరోకాడ్ ఏరోకానార్డ్ అనేది అమెరికన్ te త్సాహిక-నిర్మిత విమానం యొక్క కుటుంబం, ఇది మిస్సౌరీలోని ఫ్లోరిసెంట్ యొక్క ఏరోకాడ్ చేత రూపొందించబడింది మరియు ఉత్పత్తి చేస్తుంది. ఈ విమానం te త్సాహిక నిర్మాణానికి కిట్‌గా సరఫరా చేయబడుతుంది. [1] [2] ఏరోకానార్డ్ లైన్ ఆఫ్ ఎయిర్క్రాఫ్ట్ అన్నీ కాంటిలివర్ మిడ్-వింగ్, కానార్డ్ తోక, నాలుగు సీట్ల పరివేష్టిత క్యాబిన్ మరియు పషర్ కాన్ఫిగరేషన్‌లో ఒకే ఇంజిన్ ఉన్నాయి. ట్రైసైకిల్ ల్యాండింగ్ గేర్ మోడల్‌ను బట్టి స్థిర ప్రధాన చక్రాలు మరియు ముడుచుకునే ముక్కు చక్రం లేదా పూర్తిగా ముడుచుకునే గేర్‌ను కలిగి ఉంటుంది. [1] [2] విమానం మిశ్రమాల నుండి తయారవుతుంది. దాని 28.1 అడుగుల (8.6 మీ) స్పాన్ వింగ్ 102.3 చదరపు అడుగుల (9.50 మీ 2) విస్తీర్ణంలో ఉంది. విమానం యొక్క సిఫార్సు చేసిన ఇంజిన్ శక్తి శ్రేణి 160 నుండి 200 హెచ్‌పి (119 నుండి 149 కిలోవాట్) ప్రామాణిక ఇంజిన్‌తో 200 హెచ్‌పి (149 కిలోవాట్) లైమింగ్ IO-360 ఫోర్-స్ట్రోక్ పవర్‌ప్లాంట్‌ను ఉపయోగించింది. [1] [2] అక్టోబర్ 2012 నాటికి నాలుగు ఉదాహరణలు ఫెడరల్ ఏవియేషన్ అడ్మినిస్ట్రేషన్తో అమెరికాలో నమోదు చేయబడ్డాయి. [3] కిట్‌ప్లాన్‌ల నుండి డేటా [1] సాధారణ లక్షణాల పనితీరు</v>
      </c>
      <c r="E69" s="1" t="s">
        <v>1071</v>
      </c>
      <c r="F69" s="1" t="str">
        <f>IFERROR(__xludf.DUMMYFUNCTION("GOOGLETRANSLATE(E:E, ""en"", ""te"")"),"Te త్సాహిక నిర్మించిన విమానం")</f>
        <v>Te త్సాహిక నిర్మించిన విమానం</v>
      </c>
      <c r="G69" s="1" t="s">
        <v>1072</v>
      </c>
      <c r="H69" s="1" t="s">
        <v>227</v>
      </c>
      <c r="I69" s="1" t="str">
        <f>IFERROR(__xludf.DUMMYFUNCTION("GOOGLETRANSLATE(H:H, ""en"", ""te"")"),"అమెరికా")</f>
        <v>అమెరికా</v>
      </c>
      <c r="J69" s="3" t="s">
        <v>228</v>
      </c>
      <c r="K69" s="1" t="s">
        <v>1073</v>
      </c>
      <c r="L69" s="2" t="str">
        <f>IFERROR(__xludf.DUMMYFUNCTION("GOOGLETRANSLATE(K:K, ""en"", ""te"")"),"ఏరోకాడ్")</f>
        <v>ఏరోకాడ్</v>
      </c>
      <c r="M69" s="3" t="s">
        <v>1074</v>
      </c>
      <c r="N69" s="1" t="s">
        <v>1075</v>
      </c>
      <c r="O69" s="1" t="str">
        <f>IFERROR(__xludf.DUMMYFUNCTION("GOOGLETRANSLATE(N:N, ""en"", ""te"")"),"ఉత్పత్తిలో (2012)")</f>
        <v>ఉత్పత్తిలో (2012)</v>
      </c>
      <c r="Q69" s="1" t="s">
        <v>162</v>
      </c>
      <c r="R69" s="1" t="s">
        <v>1076</v>
      </c>
      <c r="S69" s="1" t="s">
        <v>1077</v>
      </c>
      <c r="W69" s="1" t="s">
        <v>177</v>
      </c>
      <c r="X69" s="1" t="s">
        <v>955</v>
      </c>
      <c r="Y69" s="1" t="s">
        <v>1078</v>
      </c>
      <c r="Z69" s="1" t="s">
        <v>1079</v>
      </c>
      <c r="AA69" s="1" t="s">
        <v>1080</v>
      </c>
      <c r="AE69" s="1">
        <v>24.0</v>
      </c>
      <c r="AF69" s="1" t="s">
        <v>1081</v>
      </c>
      <c r="AI69" s="1" t="s">
        <v>1082</v>
      </c>
      <c r="AJ69" s="1" t="s">
        <v>1083</v>
      </c>
      <c r="AM69" s="1" t="s">
        <v>1084</v>
      </c>
      <c r="AP69" s="1" t="s">
        <v>1085</v>
      </c>
      <c r="AS69" s="1" t="s">
        <v>1086</v>
      </c>
      <c r="AU69" s="1" t="s">
        <v>1087</v>
      </c>
      <c r="BP69" s="1" t="s">
        <v>1088</v>
      </c>
    </row>
    <row r="70">
      <c r="A70" s="1" t="s">
        <v>1089</v>
      </c>
      <c r="B70" s="1" t="str">
        <f>IFERROR(__xludf.DUMMYFUNCTION("GOOGLETRANSLATE(A:A, ""en"", ""te"")"),"ఎరోస్ పోరాటం")</f>
        <v>ఎరోస్ పోరాటం</v>
      </c>
      <c r="C70" s="1" t="s">
        <v>1090</v>
      </c>
      <c r="D70" s="1" t="str">
        <f>IFERROR(__xludf.DUMMYFUNCTION("GOOGLETRANSLATE(C:C, ""en"", ""te"")"),"EROS పోరాటం ఉక్రేనియన్ హై-వింగ్, సింగిల్-ప్లేస్, హాంగ్ గ్లైడర్స్ యొక్క కుటుంబం, ఇది కీవ్ యొక్క EROS చేత రూపొందించబడింది మరియు 2000 లో పరిచయం చేయబడింది. [1] [2] పోరాట శ్రేణి సింగిల్-ప్లేస్ కాంపిటీషన్ హాంగ్ గ్లైడర్‌గా భావించబడింది మరియు దీనిని పోటీగా ఉంచడాన"&amp;"ికి వరుస నవీకరణల ద్వారా వెళ్ళింది. [1] [2] లైన్ యొక్క విలక్షణమైన, పోరాట 2 13 మోడల్ అల్యూమినియం గొట్టాల నుండి తయారవుతుంది, రెక్క డాక్రాన్ సెయిల్‌క్లాత్‌లో కప్పబడి ఉంటుంది. దాని 10.35 మీ (34.0 అడుగులు) స్పాన్ వింగ్ కేబుల్ బ్రేస్డ్, కానీ కింగ్‌పోస్ట్ మరియు ఎ"&amp;"గువ రిగ్గింగ్ లేకుండా. ముక్కు కోణం 131 ° మరియు కారక నిష్పత్తి 7.95: 1. [1] రెక్కను EROS యాంటా నానోట్రైక్, అలాగే ఫ్లైలైట్ లిబెల్లె మరియు ఫ్లైలైట్ మోటారుఫ్లోటర్, బ్రిటిష్ అల్ట్రాలైట్ ట్రైక్స్, దాని పోరాట టి కాన్ఫిగరేషన్‌లో కూడా ఉపయోగిస్తారు. [3] [4] 2005 లో"&amp;" ఒలేగ్ బోడ్నార్కుక్ హాంగ్ గ్లైడింగ్ ప్రపంచ ఛాంపియన్, పోరాట ఎల్. [1] [2] బెర్ట్రాండ్ నుండి డేటా [1] సాధారణ లక్షణాలు")</f>
        <v>EROS పోరాటం ఉక్రేనియన్ హై-వింగ్, సింగిల్-ప్లేస్, హాంగ్ గ్లైడర్స్ యొక్క కుటుంబం, ఇది కీవ్ యొక్క EROS చేత రూపొందించబడింది మరియు 2000 లో పరిచయం చేయబడింది. [1] [2] పోరాట శ్రేణి సింగిల్-ప్లేస్ కాంపిటీషన్ హాంగ్ గ్లైడర్‌గా భావించబడింది మరియు దీనిని పోటీగా ఉంచడానికి వరుస నవీకరణల ద్వారా వెళ్ళింది. [1] [2] లైన్ యొక్క విలక్షణమైన, పోరాట 2 13 మోడల్ అల్యూమినియం గొట్టాల నుండి తయారవుతుంది, రెక్క డాక్రాన్ సెయిల్‌క్లాత్‌లో కప్పబడి ఉంటుంది. దాని 10.35 మీ (34.0 అడుగులు) స్పాన్ వింగ్ కేబుల్ బ్రేస్డ్, కానీ కింగ్‌పోస్ట్ మరియు ఎగువ రిగ్గింగ్ లేకుండా. ముక్కు కోణం 131 ° మరియు కారక నిష్పత్తి 7.95: 1. [1] రెక్కను EROS యాంటా నానోట్రైక్, అలాగే ఫ్లైలైట్ లిబెల్లె మరియు ఫ్లైలైట్ మోటారుఫ్లోటర్, బ్రిటిష్ అల్ట్రాలైట్ ట్రైక్స్, దాని పోరాట టి కాన్ఫిగరేషన్‌లో కూడా ఉపయోగిస్తారు. [3] [4] 2005 లో ఒలేగ్ బోడ్నార్కుక్ హాంగ్ గ్లైడింగ్ ప్రపంచ ఛాంపియన్, పోరాట ఎల్. [1] [2] బెర్ట్రాండ్ నుండి డేటా [1] సాధారణ లక్షణాలు</v>
      </c>
      <c r="E70" s="1" t="s">
        <v>1091</v>
      </c>
      <c r="F70" s="1" t="str">
        <f>IFERROR(__xludf.DUMMYFUNCTION("GOOGLETRANSLATE(E:E, ""en"", ""te"")"),"గ్లైడర్ హాంగ్")</f>
        <v>గ్లైడర్ హాంగ్</v>
      </c>
      <c r="G70" s="1" t="s">
        <v>1092</v>
      </c>
      <c r="H70" s="1" t="s">
        <v>1093</v>
      </c>
      <c r="I70" s="1" t="str">
        <f>IFERROR(__xludf.DUMMYFUNCTION("GOOGLETRANSLATE(H:H, ""en"", ""te"")"),"ఉక్రెయిన్")</f>
        <v>ఉక్రెయిన్</v>
      </c>
      <c r="J70" s="3" t="s">
        <v>1094</v>
      </c>
      <c r="K70" s="1" t="s">
        <v>1095</v>
      </c>
      <c r="L70" s="2" t="str">
        <f>IFERROR(__xludf.DUMMYFUNCTION("GOOGLETRANSLATE(K:K, ""en"", ""te"")"),"ఎరోస్")</f>
        <v>ఎరోస్</v>
      </c>
      <c r="M70" s="3" t="s">
        <v>1096</v>
      </c>
      <c r="N70" s="1" t="s">
        <v>584</v>
      </c>
      <c r="O70" s="1" t="str">
        <f>IFERROR(__xludf.DUMMYFUNCTION("GOOGLETRANSLATE(N:N, ""en"", ""te"")"),"ఉత్పత్తిలో")</f>
        <v>ఉత్పత్తిలో</v>
      </c>
      <c r="Q70" s="1" t="s">
        <v>162</v>
      </c>
      <c r="R70" s="1" t="s">
        <v>1097</v>
      </c>
      <c r="S70" s="1" t="s">
        <v>1098</v>
      </c>
      <c r="T70" s="1">
        <v>7.85</v>
      </c>
      <c r="W70" s="1" t="s">
        <v>177</v>
      </c>
      <c r="AC70" s="1">
        <v>2000.0</v>
      </c>
    </row>
    <row r="71">
      <c r="A71" s="1" t="s">
        <v>1099</v>
      </c>
      <c r="B71" s="1" t="str">
        <f>IFERROR(__xludf.DUMMYFUNCTION("GOOGLETRANSLATE(A:A, ""en"", ""te"")"),"ఏరో &amp; టెక్ నెక్స్త్")</f>
        <v>ఏరో &amp; టెక్ నెక్స్త్</v>
      </c>
      <c r="C71" s="1" t="s">
        <v>1100</v>
      </c>
      <c r="D71" s="1" t="str">
        <f>IFERROR(__xludf.DUMMYFUNCTION("GOOGLETRANSLATE(C:C, ""en"", ""te"")"),"ఏరో &amp; టెక్ నెక్స్త్ (లేదా కొన్నిసార్లు నెక్స్ట్-హెచ్ [2]) అనేది మోరెల్లి లూకా [2] చేత రూపొందించబడిన ఇటాలియన్ అల్ట్రాలైట్ విమానం మరియు ఫోకాటో డి వికో యొక్క ఏరో &amp; టెక్ చేత ఉత్పత్తి చేయబడింది. 2011 లో ఫ్రీడ్రిచ్‌షాఫెన్‌లో జరిగిన ఏరో షోలో ప్రవేశపెట్టిన ఈ విమా"&amp;"నం పూర్తి రెడీ-టు-ఫ్లై విమానంగా సరఫరా చేయటానికి ఉద్దేశించబడింది. [1] [3] నెక్స్త్ Fédération aéronautique ఇంటర్నేషనల్ మైక్రోలైట్ నిబంధనలకు అనుగుణంగా ఉంటుంది. [1] [3] తరువాతి సంస్కరణ యుఎస్ లైట్-స్పోర్ట్ విమాన నియమాలకు అనుగుణంగా ఉంటుంది. [1] [3] ఈ డిజైన్‌లో"&amp;" కాంటిలివర్ మిడ్-వింగ్, సైడ్-బై-సైడ్ కాన్ఫిగరేషన్‌లో రెండు సీట్లు, టైటానియం నుండి తయారైన ముడుచుకునే ట్రైసైకిల్ ల్యాండింగ్ గేర్ మరియు ఒకే 100 హెచ్‌పి (75 కిలోవాట్ ట్రాక్టర్ కాన్ఫిగరేషన్. కాక్‌పిట్ యాక్సెస్ రెండు గల్ వింగ్ తలుపుల ద్వారా పైభాగంలో ఉంది. [1] ["&amp;"3] +9 మరియు -4.5 గ్రా. [3] [4] తో సహా ఏరోబాటిక్ వర్గ అవసరాలను తీర్చడానికి ఈ విమానం రూపొందించబడింది. ఫార్ములా వన్ రేసింగ్ నిర్మాణ పద్ధతుల ఆధారంగా విమానం ఫ్యూజ్‌లేజ్ అల్యూమినియం షీట్ కవర్ స్టీల్ స్పేస్ ఫ్రేమ్. దీని 7.90 మీ (25.9 అడుగులు) స్పాన్ వింగ్ వింగ్ల"&amp;"ెట్స్ మరియు ఫ్లాప్‌లను ఉపయోగిస్తుంది. ఇంధనాన్ని ఒకే ఫ్యూజ్‌లేజ్ ట్యాంక్‌లో తీసుకువెళతారు మరియు మొత్తం 130 లీటర్లు (29 ఇంప్ గల్; 34 యుఎస్ గాల్), ఇది 1,700 కిమీ (1,056 మైళ్ళు) కంటే ఎక్కువ ఇస్తుంది. [1] మారినో బోరిక్, వరల్డ్ డైరెక్టరీ ఆఫ్ లీజర్ ఏవియేషన్ లో ర"&amp;"ాయడం నెక్స్త్ ఫ్యూజ్‌లేజ్ స్టీల్త్ ఫైటర్ డిజైన్‌ను గుర్తుచేసే అసాధారణమైన బహుముఖ ఆకారం అని పేర్కొంది. నమూనా నల్లగా పెయింట్ చేయబడింది, ఇది పోలికను పెంచుతుంది. [1] [3] బేయర్ల్ మరియు ఏరో &amp; టెక్ నుండి డేటా [1] [4] సాధారణ లక్షణాల పనితీరు")</f>
        <v>ఏరో &amp; టెక్ నెక్స్త్ (లేదా కొన్నిసార్లు నెక్స్ట్-హెచ్ [2]) అనేది మోరెల్లి లూకా [2] చేత రూపొందించబడిన ఇటాలియన్ అల్ట్రాలైట్ విమానం మరియు ఫోకాటో డి వికో యొక్క ఏరో &amp; టెక్ చేత ఉత్పత్తి చేయబడింది. 2011 లో ఫ్రీడ్రిచ్‌షాఫెన్‌లో జరిగిన ఏరో షోలో ప్రవేశపెట్టిన ఈ విమానం పూర్తి రెడీ-టు-ఫ్లై విమానంగా సరఫరా చేయటానికి ఉద్దేశించబడింది. [1] [3] నెక్స్త్ Fédération aéronautique ఇంటర్నేషనల్ మైక్రోలైట్ నిబంధనలకు అనుగుణంగా ఉంటుంది. [1] [3] తరువాతి సంస్కరణ యుఎస్ లైట్-స్పోర్ట్ విమాన నియమాలకు అనుగుణంగా ఉంటుంది. [1] [3] ఈ డిజైన్‌లో కాంటిలివర్ మిడ్-వింగ్, సైడ్-బై-సైడ్ కాన్ఫిగరేషన్‌లో రెండు సీట్లు, టైటానియం నుండి తయారైన ముడుచుకునే ట్రైసైకిల్ ల్యాండింగ్ గేర్ మరియు ఒకే 100 హెచ్‌పి (75 కిలోవాట్ ట్రాక్టర్ కాన్ఫిగరేషన్. కాక్‌పిట్ యాక్సెస్ రెండు గల్ వింగ్ తలుపుల ద్వారా పైభాగంలో ఉంది. [1] [3] +9 మరియు -4.5 గ్రా. [3] [4] తో సహా ఏరోబాటిక్ వర్గ అవసరాలను తీర్చడానికి ఈ విమానం రూపొందించబడింది. ఫార్ములా వన్ రేసింగ్ నిర్మాణ పద్ధతుల ఆధారంగా విమానం ఫ్యూజ్‌లేజ్ అల్యూమినియం షీట్ కవర్ స్టీల్ స్పేస్ ఫ్రేమ్. దీని 7.90 మీ (25.9 అడుగులు) స్పాన్ వింగ్ వింగ్లెట్స్ మరియు ఫ్లాప్‌లను ఉపయోగిస్తుంది. ఇంధనాన్ని ఒకే ఫ్యూజ్‌లేజ్ ట్యాంక్‌లో తీసుకువెళతారు మరియు మొత్తం 130 లీటర్లు (29 ఇంప్ గల్; 34 యుఎస్ గాల్), ఇది 1,700 కిమీ (1,056 మైళ్ళు) కంటే ఎక్కువ ఇస్తుంది. [1] మారినో బోరిక్, వరల్డ్ డైరెక్టరీ ఆఫ్ లీజర్ ఏవియేషన్ లో రాయడం నెక్స్త్ ఫ్యూజ్‌లేజ్ స్టీల్త్ ఫైటర్ డిజైన్‌ను గుర్తుచేసే అసాధారణమైన బహుముఖ ఆకారం అని పేర్కొంది. నమూనా నల్లగా పెయింట్ చేయబడింది, ఇది పోలికను పెంచుతుంది. [1] [3] బేయర్ల్ మరియు ఏరో &amp; టెక్ నుండి డేటా [1] [4] సాధారణ లక్షణాల పనితీరు</v>
      </c>
      <c r="E71" s="1" t="s">
        <v>1101</v>
      </c>
      <c r="F71" s="1" t="str">
        <f>IFERROR(__xludf.DUMMYFUNCTION("GOOGLETRANSLATE(E:E, ""en"", ""te"")"),"యూరోపియన్ FAI మైక్రోలైట్ క్లాస్ మరియు లైట్-స్పోర్ట్ విమానం [1]")</f>
        <v>యూరోపియన్ FAI మైక్రోలైట్ క్లాస్ మరియు లైట్-స్పోర్ట్ విమానం [1]</v>
      </c>
      <c r="G71" s="1" t="s">
        <v>1102</v>
      </c>
      <c r="H71" s="1" t="s">
        <v>1103</v>
      </c>
      <c r="I71" s="1" t="str">
        <f>IFERROR(__xludf.DUMMYFUNCTION("GOOGLETRANSLATE(H:H, ""en"", ""te"")"),"ఇటలీ [1]")</f>
        <v>ఇటలీ [1]</v>
      </c>
      <c r="J71" s="1" t="s">
        <v>1104</v>
      </c>
      <c r="K71" s="1" t="s">
        <v>1105</v>
      </c>
      <c r="L71" s="2" t="str">
        <f>IFERROR(__xludf.DUMMYFUNCTION("GOOGLETRANSLATE(K:K, ""en"", ""te"")"),"ఏరో &amp; టెక్ [1]")</f>
        <v>ఏరో &amp; టెక్ [1]</v>
      </c>
      <c r="M71" s="1" t="s">
        <v>1106</v>
      </c>
      <c r="N71" s="1" t="s">
        <v>1107</v>
      </c>
      <c r="O71" s="1" t="str">
        <f>IFERROR(__xludf.DUMMYFUNCTION("GOOGLETRANSLATE(N:N, ""en"", ""te"")"),"ఉత్పత్తిలో [2]")</f>
        <v>ఉత్పత్తిలో [2]</v>
      </c>
      <c r="Q71" s="1" t="s">
        <v>162</v>
      </c>
      <c r="R71" s="1" t="s">
        <v>1108</v>
      </c>
      <c r="S71" s="1" t="s">
        <v>1109</v>
      </c>
      <c r="U71" s="1" t="s">
        <v>711</v>
      </c>
      <c r="Y71" s="1" t="s">
        <v>1063</v>
      </c>
      <c r="Z71" s="1" t="s">
        <v>1110</v>
      </c>
      <c r="AA71" s="1" t="s">
        <v>356</v>
      </c>
      <c r="AB71" s="1" t="s">
        <v>1111</v>
      </c>
      <c r="AC71" s="1" t="s">
        <v>1112</v>
      </c>
      <c r="AD71" s="1" t="s">
        <v>1113</v>
      </c>
      <c r="AI71" s="1" t="s">
        <v>1066</v>
      </c>
      <c r="AL71" s="1" t="s">
        <v>1114</v>
      </c>
      <c r="AM71" s="1" t="s">
        <v>330</v>
      </c>
      <c r="AP71" s="1" t="s">
        <v>1115</v>
      </c>
      <c r="AQ71" s="1" t="s">
        <v>1116</v>
      </c>
      <c r="AS71" s="1" t="s">
        <v>1117</v>
      </c>
      <c r="BJ71" s="1" t="s">
        <v>1118</v>
      </c>
      <c r="BL71" s="1" t="s">
        <v>1119</v>
      </c>
      <c r="BP71" s="1" t="s">
        <v>1120</v>
      </c>
      <c r="BS71" s="1" t="s">
        <v>1121</v>
      </c>
    </row>
    <row r="72">
      <c r="A72" s="1" t="s">
        <v>1122</v>
      </c>
      <c r="B72" s="1" t="str">
        <f>IFERROR(__xludf.DUMMYFUNCTION("GOOGLETRANSLATE(A:A, ""en"", ""te"")"),"ఏరో సినర్గీ జోడెల్ డి 20")</f>
        <v>ఏరో సినర్గీ జోడెల్ డి 20</v>
      </c>
      <c r="C72" s="1" t="s">
        <v>1123</v>
      </c>
      <c r="D72" s="1" t="str">
        <f>IFERROR(__xludf.DUMMYFUNCTION("GOOGLETRANSLATE(C:C, ""en"", ""te"")"),"ఏరో సినర్గీ జోడెల్ డి 20 అనేది ఫ్రెంచ్ అల్ట్రాలైట్ విమానం, దీనిని జీన్ డెలేమోంటెజ్ రూపొందించారు మరియు విల్లెఫ్రాంచె-డి-రౌర్గు యొక్క ఏరో సినర్జీ నిర్మించారు. ఈ విమానం te త్సాహిక నిర్మాణానికి లేదా పూర్తి చేసిన విమానం కోసం కిట్‌గా సరఫరా చేయబడింది. [1] ఏరో సి"&amp;"నర్జీ ఇకపై D20 ను అందించదు. ఈ విమానం Fédération aéronautique ఇంటర్నేషనల్ మైక్రోలైట్ నిబంధనలకు అనుగుణంగా ఉంటుంది. ఇది కాంటిలివర్ లో వింగ్, సైడ్-బై-సైడ్ కాన్ఫిగరేషన్ పరివేష్టిత కాక్‌పిట్‌లో రెండు సీట్లు, ట్రైసైకిల్ ల్యాండింగ్ గేర్ లేదా సాంప్రదాయిక ల్యాండింగ"&amp;"్ గేర్ ఎంపిక మరియు ట్రాక్టర్ కాన్ఫిగరేషన్‌లో ఒకే ఇంజిన్ ఉన్నాయి. [1] ఈ విమానం డోప్డ్ ఎయిర్‌క్రాఫ్ట్ ఫాబ్రిక్‌తో కప్పబడిన చెక్క ఎయిర్‌ఫ్రేమ్‌ను కలిగి ఉంది. చాలా జోడెల్ మాదిరిగానే దాని 7.5 మీ (24.6 అడుగులు) స్పాన్ వింగ్ బయటి సగం మాత్రమే డైహెడ్రల్ను ఉపయోగిస్"&amp;"తుంది. ఉపయోగించిన ప్రామాణిక ఇంజన్లు 100 హెచ్‌పి (75 కిలోవాట్ల) రోటాక్స్ 912లు నాలుగు-స్ట్రోక్ మరియు 85 హెచ్‌పి (63 కిలోవాట్) జబిరు 2200 పవర్‌ప్లాంట్. సారూప్య విద్యుత్ ఉత్పత్తి యొక్క ఇతర ఇంజిన్లను కూడా ఉపయోగించవచ్చు. [1] సమీక్షకులు రాబీ బేయర్ల్ మరియు ఇతరుల"&amp;"ు. విమానాన్ని ""విమానంలో గొప్ప పనితీరు మరియు పాపము చేయని ప్రవర్తన"" కలిగి ఉన్నట్లుగా వివరించండి. [1] బేయర్ల్ నుండి డేటా [1] వికీమీడియా కామన్స్ వద్ద జోడెల్ డి 20 కు సంబంధించిన సాధారణ లక్షణాల పనితీరు మీడియా")</f>
        <v>ఏరో సినర్గీ జోడెల్ డి 20 అనేది ఫ్రెంచ్ అల్ట్రాలైట్ విమానం, దీనిని జీన్ డెలేమోంటెజ్ రూపొందించారు మరియు విల్లెఫ్రాంచె-డి-రౌర్గు యొక్క ఏరో సినర్జీ నిర్మించారు. ఈ విమానం te త్సాహిక నిర్మాణానికి లేదా పూర్తి చేసిన విమానం కోసం కిట్‌గా సరఫరా చేయబడింది. [1] ఏరో సినర్జీ ఇకపై D20 ను అందించదు. ఈ విమానం Fédération aéronautique ఇంటర్నేషనల్ మైక్రోలైట్ నిబంధనలకు అనుగుణంగా ఉంటుంది. ఇది కాంటిలివర్ లో వింగ్, సైడ్-బై-సైడ్ కాన్ఫిగరేషన్ పరివేష్టిత కాక్‌పిట్‌లో రెండు సీట్లు, ట్రైసైకిల్ ల్యాండింగ్ గేర్ లేదా సాంప్రదాయిక ల్యాండింగ్ గేర్ ఎంపిక మరియు ట్రాక్టర్ కాన్ఫిగరేషన్‌లో ఒకే ఇంజిన్ ఉన్నాయి. [1] ఈ విమానం డోప్డ్ ఎయిర్‌క్రాఫ్ట్ ఫాబ్రిక్‌తో కప్పబడిన చెక్క ఎయిర్‌ఫ్రేమ్‌ను కలిగి ఉంది. చాలా జోడెల్ మాదిరిగానే దాని 7.5 మీ (24.6 అడుగులు) స్పాన్ వింగ్ బయటి సగం మాత్రమే డైహెడ్రల్ను ఉపయోగిస్తుంది. ఉపయోగించిన ప్రామాణిక ఇంజన్లు 100 హెచ్‌పి (75 కిలోవాట్ల) రోటాక్స్ 912లు నాలుగు-స్ట్రోక్ మరియు 85 హెచ్‌పి (63 కిలోవాట్) జబిరు 2200 పవర్‌ప్లాంట్. సారూప్య విద్యుత్ ఉత్పత్తి యొక్క ఇతర ఇంజిన్లను కూడా ఉపయోగించవచ్చు. [1] సమీక్షకులు రాబీ బేయర్ల్ మరియు ఇతరులు. విమానాన్ని "విమానంలో గొప్ప పనితీరు మరియు పాపము చేయని ప్రవర్తన" కలిగి ఉన్నట్లుగా వివరించండి. [1] బేయర్ల్ నుండి డేటా [1] వికీమీడియా కామన్స్ వద్ద జోడెల్ డి 20 కు సంబంధించిన సాధారణ లక్షణాల పనితీరు మీడియా</v>
      </c>
      <c r="E72" s="1" t="s">
        <v>1056</v>
      </c>
      <c r="F72" s="1" t="str">
        <f>IFERROR(__xludf.DUMMYFUNCTION("GOOGLETRANSLATE(E:E, ""en"", ""te"")"),"అల్ట్రాలైట్ విమానం")</f>
        <v>అల్ట్రాలైట్ విమానం</v>
      </c>
      <c r="G72" s="1" t="s">
        <v>1057</v>
      </c>
      <c r="H72" s="1" t="s">
        <v>208</v>
      </c>
      <c r="I72" s="1" t="str">
        <f>IFERROR(__xludf.DUMMYFUNCTION("GOOGLETRANSLATE(H:H, ""en"", ""te"")"),"ఫ్రాన్స్")</f>
        <v>ఫ్రాన్స్</v>
      </c>
      <c r="J72" s="3" t="s">
        <v>209</v>
      </c>
      <c r="K72" s="1" t="s">
        <v>1124</v>
      </c>
      <c r="L72" s="2" t="str">
        <f>IFERROR(__xludf.DUMMYFUNCTION("GOOGLETRANSLATE(K:K, ""en"", ""te"")"),"ఏరో సినర్జీ")</f>
        <v>ఏరో సినర్జీ</v>
      </c>
      <c r="M72" s="1" t="s">
        <v>1125</v>
      </c>
      <c r="N72" s="1" t="s">
        <v>171</v>
      </c>
      <c r="O72" s="1" t="str">
        <f>IFERROR(__xludf.DUMMYFUNCTION("GOOGLETRANSLATE(N:N, ""en"", ""te"")"),"ఉత్పత్తి పూర్తయింది")</f>
        <v>ఉత్పత్తి పూర్తయింది</v>
      </c>
      <c r="Q72" s="1" t="s">
        <v>162</v>
      </c>
      <c r="R72" s="1" t="s">
        <v>1019</v>
      </c>
      <c r="S72" s="1" t="s">
        <v>1126</v>
      </c>
      <c r="U72" s="1" t="s">
        <v>1127</v>
      </c>
      <c r="X72" s="1" t="s">
        <v>1128</v>
      </c>
      <c r="Y72" s="1" t="s">
        <v>1063</v>
      </c>
      <c r="Z72" s="1" t="s">
        <v>1129</v>
      </c>
      <c r="AA72" s="1" t="s">
        <v>356</v>
      </c>
      <c r="AB72" s="1" t="s">
        <v>1130</v>
      </c>
      <c r="AI72" s="1" t="s">
        <v>1066</v>
      </c>
      <c r="AL72" s="1" t="s">
        <v>1131</v>
      </c>
      <c r="AM72" s="1" t="s">
        <v>330</v>
      </c>
      <c r="AS72" s="1" t="s">
        <v>1132</v>
      </c>
      <c r="BP72" s="1" t="s">
        <v>1133</v>
      </c>
      <c r="BS72" s="1" t="s">
        <v>1134</v>
      </c>
    </row>
    <row r="73">
      <c r="A73" s="1" t="s">
        <v>1135</v>
      </c>
      <c r="B73" s="1" t="str">
        <f>IFERROR(__xludf.DUMMYFUNCTION("GOOGLETRANSLATE(A:A, ""en"", ""te"")"),"ఎరోస్ క్రాస్ కంట్రీ")</f>
        <v>ఎరోస్ క్రాస్ కంట్రీ</v>
      </c>
      <c r="C73" s="1" t="s">
        <v>1136</v>
      </c>
      <c r="D73" s="1" t="str">
        <f>IFERROR(__xludf.DUMMYFUNCTION("GOOGLETRANSLATE(C:C, ""en"", ""te"")"),"ఎరోస్ క్రాస్ కంట్రీ, కొన్నిసార్లు ఎరోస్ క్రాస్ కంట్రీ అని పిలుస్తారు, ఇది ఉక్రేనియన్ అల్ట్రాలైట్ ట్రైక్, ఇది కీవ్ యొక్క ఎరోస్ చేత రూపొందించబడింది మరియు నిర్మించింది. ఈ విమానం పూర్తి రెడీ-టు-ఫ్లై విమానం లేదా te త్సాహిక నిర్మాణానికి కిట్‌గా సరఫరా చేయబడుతుంద"&amp;"ి. [1] [2] [3] ఆఫ్-విమానాశ్రయం ఉపయోగం కోసం ఏరోస్ -2 కంటే ఎక్కువ ప్రాథమిక మోడల్‌గా ఉద్దేశించబడింది, క్రాస్ కంట్రీలో కేబుల్-బ్రెస్డ్ హాంగ్ గ్లైడర్-స్టైల్ హై-వింగ్, వెయిట్-షిఫ్ట్ కంట్రోల్స్, రెండు-సీట్ల టెన్డం ఓపెన్ కాక్‌పిట్, ట్రైసైకిల్ ఉన్నాయి ల్యాండింగ్ గ"&amp;"ేర్ మరియు పషర్ కాన్ఫిగరేషన్‌లో ఒకే ఇంజిన్. [1] [2] [3] ఈ విమానం గొట్టాల నుండి తయారవుతుంది, దాని రెక్క డాక్రాన్ సెయిల్‌క్లాత్‌లో కప్పబడి ఉంటుంది. దీని 10.3 మీ (33.8 అడుగులు) స్పాన్ వింగ్‌కు ఒకే ట్యూబ్-రకం కింగ్‌పోస్ట్ మద్దతు ఇస్తుంది మరియు ""ఎ"" ఫ్రేమ్ కంట"&amp;"్రోల్ బార్‌ను ఉపయోగిస్తుంది. ఏరోస్ -2 మాదిరిగా కాకుండా క్రాస్ కంట్రీకి కాక్‌పిట్ ఫెయిరింగ్ మరియు స్పోర్ట్స్ హెవీ డ్యూటీ మెయిన్ వీల్ సస్పెన్షన్ లేదు. [1] [2] [3] అందుబాటులో ఉన్న ఇంజిన్లలో ట్విన్ సిలిండర్, టూ-స్ట్రోక్, ఎయిర్-కూల్డ్ 50 హెచ్‌పి (37 కిలోవాట్) "&amp;"రోటాక్స్ 503, లిక్విడ్-కూల్డ్ 64 హెచ్‌పి (48 కిలోవాట్ మరియు 100 HP (75 kW) 912ULS లేదా సర్టిఫైడ్ 912A లేదా S. క్యారేజీకి జతకట్టడానికి అందుబాటులో ఉన్న రెక్కలు ఎరోస్ ప్రొఫెసర్, ఎరోస్ స్ట్రేంజర్, ఎరోస్ స్ట్రీమ్ మరియు ఎరోస్ ఇప్పటికీ ఉన్నాయి. [1] [2] [3] [4] ప"&amp;"ంట స్ప్రేయింగ్‌ను అనుమతించడానికి ఏరియల్ అప్లికేషన్ కిట్ ఒక ఎంపికగా లభిస్తుంది. [1] EROS నుండి డేటా [5] సాధారణ లక్షణాల పనితీరు")</f>
        <v>ఎరోస్ క్రాస్ కంట్రీ, కొన్నిసార్లు ఎరోస్ క్రాస్ కంట్రీ అని పిలుస్తారు, ఇది ఉక్రేనియన్ అల్ట్రాలైట్ ట్రైక్, ఇది కీవ్ యొక్క ఎరోస్ చేత రూపొందించబడింది మరియు నిర్మించింది. ఈ విమానం పూర్తి రెడీ-టు-ఫ్లై విమానం లేదా te త్సాహిక నిర్మాణానికి కిట్‌గా సరఫరా చేయబడుతుంది. [1] [2] [3] ఆఫ్-విమానాశ్రయం ఉపయోగం కోసం ఏరోస్ -2 కంటే ఎక్కువ ప్రాథమిక మోడల్‌గా ఉద్దేశించబడింది, క్రాస్ కంట్రీలో కేబుల్-బ్రెస్డ్ హాంగ్ గ్లైడర్-స్టైల్ హై-వింగ్, వెయిట్-షిఫ్ట్ కంట్రోల్స్, రెండు-సీట్ల టెన్డం ఓపెన్ కాక్‌పిట్, ట్రైసైకిల్ ఉన్నాయి ల్యాండింగ్ గేర్ మరియు పషర్ కాన్ఫిగరేషన్‌లో ఒకే ఇంజిన్. [1] [2] [3] ఈ విమానం గొట్టాల నుండి తయారవుతుంది, దాని రెక్క డాక్రాన్ సెయిల్‌క్లాత్‌లో కప్పబడి ఉంటుంది. దీని 10.3 మీ (33.8 అడుగులు) స్పాన్ వింగ్‌కు ఒకే ట్యూబ్-రకం కింగ్‌పోస్ట్ మద్దతు ఇస్తుంది మరియు "ఎ" ఫ్రేమ్ కంట్రోల్ బార్‌ను ఉపయోగిస్తుంది. ఏరోస్ -2 మాదిరిగా కాకుండా క్రాస్ కంట్రీకి కాక్‌పిట్ ఫెయిరింగ్ మరియు స్పోర్ట్స్ హెవీ డ్యూటీ మెయిన్ వీల్ సస్పెన్షన్ లేదు. [1] [2] [3] అందుబాటులో ఉన్న ఇంజిన్లలో ట్విన్ సిలిండర్, టూ-స్ట్రోక్, ఎయిర్-కూల్డ్ 50 హెచ్‌పి (37 కిలోవాట్) రోటాక్స్ 503, లిక్విడ్-కూల్డ్ 64 హెచ్‌పి (48 కిలోవాట్ మరియు 100 HP (75 kW) 912ULS లేదా సర్టిఫైడ్ 912A లేదా S. క్యారేజీకి జతకట్టడానికి అందుబాటులో ఉన్న రెక్కలు ఎరోస్ ప్రొఫెసర్, ఎరోస్ స్ట్రేంజర్, ఎరోస్ స్ట్రీమ్ మరియు ఎరోస్ ఇప్పటికీ ఉన్నాయి. [1] [2] [3] [4] పంట స్ప్రేయింగ్‌ను అనుమతించడానికి ఏరియల్ అప్లికేషన్ కిట్ ఒక ఎంపికగా లభిస్తుంది. [1] EROS నుండి డేటా [5] సాధారణ లక్షణాల పనితీరు</v>
      </c>
      <c r="E73" s="1" t="s">
        <v>1137</v>
      </c>
      <c r="F73" s="1" t="str">
        <f>IFERROR(__xludf.DUMMYFUNCTION("GOOGLETRANSLATE(E:E, ""en"", ""te"")"),"అల్ట్రాలైట్ ట్రైక్")</f>
        <v>అల్ట్రాలైట్ ట్రైక్</v>
      </c>
      <c r="G73" s="1" t="s">
        <v>1138</v>
      </c>
      <c r="H73" s="1" t="s">
        <v>1093</v>
      </c>
      <c r="I73" s="1" t="str">
        <f>IFERROR(__xludf.DUMMYFUNCTION("GOOGLETRANSLATE(H:H, ""en"", ""te"")"),"ఉక్రెయిన్")</f>
        <v>ఉక్రెయిన్</v>
      </c>
      <c r="J73" s="3" t="s">
        <v>1094</v>
      </c>
      <c r="K73" s="1" t="s">
        <v>1095</v>
      </c>
      <c r="L73" s="2" t="str">
        <f>IFERROR(__xludf.DUMMYFUNCTION("GOOGLETRANSLATE(K:K, ""en"", ""te"")"),"ఎరోస్")</f>
        <v>ఎరోస్</v>
      </c>
      <c r="M73" s="3" t="s">
        <v>1096</v>
      </c>
      <c r="N73" s="1" t="s">
        <v>584</v>
      </c>
      <c r="O73" s="1" t="str">
        <f>IFERROR(__xludf.DUMMYFUNCTION("GOOGLETRANSLATE(N:N, ""en"", ""te"")"),"ఉత్పత్తిలో")</f>
        <v>ఉత్పత్తిలో</v>
      </c>
      <c r="Q73" s="1" t="s">
        <v>162</v>
      </c>
      <c r="S73" s="1" t="s">
        <v>1139</v>
      </c>
      <c r="X73" s="1" t="s">
        <v>1140</v>
      </c>
      <c r="Y73" s="1" t="s">
        <v>1063</v>
      </c>
      <c r="Z73" s="1" t="s">
        <v>1141</v>
      </c>
      <c r="AA73" s="1" t="s">
        <v>252</v>
      </c>
      <c r="AI73" s="1" t="s">
        <v>1142</v>
      </c>
      <c r="AM73" s="1" t="s">
        <v>330</v>
      </c>
      <c r="AQ73" s="1" t="s">
        <v>886</v>
      </c>
      <c r="AS73" s="1" t="s">
        <v>1143</v>
      </c>
      <c r="BJ73" s="1" t="s">
        <v>878</v>
      </c>
      <c r="BL73" s="1" t="s">
        <v>1144</v>
      </c>
      <c r="BM73" s="1">
        <v>5.0</v>
      </c>
      <c r="BP73" s="1" t="s">
        <v>1145</v>
      </c>
    </row>
    <row r="74">
      <c r="A74" s="1" t="s">
        <v>1146</v>
      </c>
      <c r="B74" s="1" t="str">
        <f>IFERROR(__xludf.DUMMYFUNCTION("GOOGLETRANSLATE(A:A, ""en"", ""te"")"),"ఎరోస్ డిస్కస్")</f>
        <v>ఎరోస్ డిస్కస్</v>
      </c>
      <c r="C74" s="1" t="s">
        <v>1147</v>
      </c>
      <c r="D74" s="1" t="str">
        <f>IFERROR(__xludf.DUMMYFUNCTION("GOOGLETRANSLATE(C:C, ""en"", ""te"")"),"ఎరోస్ డిస్కస్ అనేది ఉక్రేనియన్ హై-వింగ్, సింగిల్-ప్లేస్, హాంగ్ గ్లైడర్స్ యొక్క కుటుంబం, ఇది కీవ్ యొక్క EROS చేత రూపొందించబడింది మరియు 2002 లో పరిచయం చేయబడింది. [1] [2] డిస్కస్ సిరీస్ వినోద క్రాస్ కంట్రీ ఫ్లయింగ్ కోసం సింగిల్-ప్లేస్ ఇంటర్మీడియట్ హాంగ్ గ్లై"&amp;"డర్‌గా భావించబడింది. [1] [2] ఎరోస్ డిజైన్ పాత్రను వివరిస్తాడు: మాస్టర్స్ పోటీలలో పాల్గొనే కోరిక లేదా సామర్థ్యం ప్రతి ఒక్కరికీ లేదు. చాలా మంది పైలట్లు ప్రారంభకులకు హాంగ్ గ్లైడర్ యొక్క పరిమితులను అనుభవించకుండా క్రాస్ కంట్రీని ఎగురుతూ లేదా సుపరిచితమైన ప్రదేశ"&amp;"ాలలో ఎగరడం ఆనందిస్తారు. ఈ సమస్య ఇంటర్మీడియట్ గ్లైడర్ సహాయంతో సులభంగా పరిష్కరించబడుతుంది. ఇటువంటి గ్లైడర్‌లు సాధారణ పైలటింగ్ మరియు నిర్వహణతో అధిక పనితీరును మిళితం చేస్తాయి. వారు పోటీ గ్లైడర్‌ల కంటే గాలిలో మరింత సౌకర్యంగా ఉంటారు మరియు దిగడం సులభం. [3] లైన్ "&amp;"యొక్క విలక్షణమైన, డిస్కస్ 148 మోడల్ అల్యూమినియం గొట్టాల నుండి తయారవుతుంది, రెక్క డాక్రాన్ సెయిల్‌క్లాత్‌లో కప్పబడి ఉంటుంది. దాని 10.0 మీ (32.8 అడుగులు) స్పాన్ వింగ్ కింగ్‌పోస్ట్‌తో బ్రేస్ చేయబడిన కేబుల్. ముక్కు కోణం 128 ° మరియు కారక నిష్పత్తి 7.3: 1. [1] "&amp;"రెక్కను EROS ANT మరియు బ్రిటిష్ ఫ్లైలైట్ డ్రాగన్‌ఫ్లై, ఫ్లైలైట్ మోటర్‌ఫ్లోటర్ మరియు ఫ్లైలైట్ ఇ-డ్రాగన్ అల్ట్రాలైట్ ట్రైక్‌లపై దాని డిస్కస్ టి కాన్ఫిగరేషన్‌లో కూడా ఉపయోగిస్తారు. [4] [5] బెర్ట్రాండ్ నుండి డేటా [1] సాధారణ లక్షణాలు")</f>
        <v>ఎరోస్ డిస్కస్ అనేది ఉక్రేనియన్ హై-వింగ్, సింగిల్-ప్లేస్, హాంగ్ గ్లైడర్స్ యొక్క కుటుంబం, ఇది కీవ్ యొక్క EROS చేత రూపొందించబడింది మరియు 2002 లో పరిచయం చేయబడింది. [1] [2] డిస్కస్ సిరీస్ వినోద క్రాస్ కంట్రీ ఫ్లయింగ్ కోసం సింగిల్-ప్లేస్ ఇంటర్మీడియట్ హాంగ్ గ్లైడర్‌గా భావించబడింది. [1] [2] ఎరోస్ డిజైన్ పాత్రను వివరిస్తాడు: మాస్టర్స్ పోటీలలో పాల్గొనే కోరిక లేదా సామర్థ్యం ప్రతి ఒక్కరికీ లేదు. చాలా మంది పైలట్లు ప్రారంభకులకు హాంగ్ గ్లైడర్ యొక్క పరిమితులను అనుభవించకుండా క్రాస్ కంట్రీని ఎగురుతూ లేదా సుపరిచితమైన ప్రదేశాలలో ఎగరడం ఆనందిస్తారు. ఈ సమస్య ఇంటర్మీడియట్ గ్లైడర్ సహాయంతో సులభంగా పరిష్కరించబడుతుంది. ఇటువంటి గ్లైడర్‌లు సాధారణ పైలటింగ్ మరియు నిర్వహణతో అధిక పనితీరును మిళితం చేస్తాయి. వారు పోటీ గ్లైడర్‌ల కంటే గాలిలో మరింత సౌకర్యంగా ఉంటారు మరియు దిగడం సులభం. [3] లైన్ యొక్క విలక్షణమైన, డిస్కస్ 148 మోడల్ అల్యూమినియం గొట్టాల నుండి తయారవుతుంది, రెక్క డాక్రాన్ సెయిల్‌క్లాత్‌లో కప్పబడి ఉంటుంది. దాని 10.0 మీ (32.8 అడుగులు) స్పాన్ వింగ్ కింగ్‌పోస్ట్‌తో బ్రేస్ చేయబడిన కేబుల్. ముక్కు కోణం 128 ° మరియు కారక నిష్పత్తి 7.3: 1. [1] రెక్కను EROS ANT మరియు బ్రిటిష్ ఫ్లైలైట్ డ్రాగన్‌ఫ్లై, ఫ్లైలైట్ మోటర్‌ఫ్లోటర్ మరియు ఫ్లైలైట్ ఇ-డ్రాగన్ అల్ట్రాలైట్ ట్రైక్‌లపై దాని డిస్కస్ టి కాన్ఫిగరేషన్‌లో కూడా ఉపయోగిస్తారు. [4] [5] బెర్ట్రాండ్ నుండి డేటా [1] సాధారణ లక్షణాలు</v>
      </c>
      <c r="E74" s="1" t="s">
        <v>1091</v>
      </c>
      <c r="F74" s="1" t="str">
        <f>IFERROR(__xludf.DUMMYFUNCTION("GOOGLETRANSLATE(E:E, ""en"", ""te"")"),"గ్లైడర్ హాంగ్")</f>
        <v>గ్లైడర్ హాంగ్</v>
      </c>
      <c r="G74" s="1" t="s">
        <v>1092</v>
      </c>
      <c r="H74" s="1" t="s">
        <v>1093</v>
      </c>
      <c r="I74" s="1" t="str">
        <f>IFERROR(__xludf.DUMMYFUNCTION("GOOGLETRANSLATE(H:H, ""en"", ""te"")"),"ఉక్రెయిన్")</f>
        <v>ఉక్రెయిన్</v>
      </c>
      <c r="J74" s="3" t="s">
        <v>1094</v>
      </c>
      <c r="K74" s="1" t="s">
        <v>1095</v>
      </c>
      <c r="L74" s="2" t="str">
        <f>IFERROR(__xludf.DUMMYFUNCTION("GOOGLETRANSLATE(K:K, ""en"", ""te"")"),"ఎరోస్")</f>
        <v>ఎరోస్</v>
      </c>
      <c r="M74" s="3" t="s">
        <v>1096</v>
      </c>
      <c r="N74" s="1" t="s">
        <v>584</v>
      </c>
      <c r="O74" s="1" t="str">
        <f>IFERROR(__xludf.DUMMYFUNCTION("GOOGLETRANSLATE(N:N, ""en"", ""te"")"),"ఉత్పత్తిలో")</f>
        <v>ఉత్పత్తిలో</v>
      </c>
      <c r="Q74" s="1" t="s">
        <v>162</v>
      </c>
      <c r="R74" s="1" t="s">
        <v>1148</v>
      </c>
      <c r="S74" s="1" t="s">
        <v>1149</v>
      </c>
      <c r="T74" s="1">
        <v>7.3</v>
      </c>
      <c r="W74" s="1" t="s">
        <v>177</v>
      </c>
      <c r="AC74" s="1">
        <v>2002.0</v>
      </c>
    </row>
    <row r="75">
      <c r="A75" s="1" t="s">
        <v>1150</v>
      </c>
      <c r="B75" s="1" t="str">
        <f>IFERROR(__xludf.DUMMYFUNCTION("GOOGLETRANSLATE(A:A, ""en"", ""te"")"),"EROS లక్ష్యం")</f>
        <v>EROS లక్ష్యం</v>
      </c>
      <c r="C75" s="1" t="s">
        <v>1151</v>
      </c>
      <c r="D75" s="1" t="str">
        <f>IFERROR(__xludf.DUMMYFUNCTION("GOOGLETRANSLATE(C:C, ""en"", ""te"")"),"EROS టార్గెట్ ఉక్రేనియన్ హై-వింగ్, సింగిల్ మరియు రెండు-ప్లేస్ హాంగ్ గ్లైడర్స్ యొక్క కుటుంబం, ఇది కీవ్ యొక్క EROS చేత రూపొందించబడింది మరియు ఉత్పత్తి చేయబడింది మరియు 1995 లో ప్రవేశపెట్టబడింది. రెండు-స్థాన లక్ష్యం 21 టెన్డం 2012 లో ఉత్పత్తిలో ఉంది. [1] [2 నట"&amp;"ించు టార్గెట్ సిరీస్ విమాన శిక్షణ మరియు వినోదభరితమైన ఫ్లయింగ్ కోసం సింగిల్-ప్లేస్ బిగినర్స్ హాంగ్ గ్లైడర్‌గా భావించబడింది మరియు అందువల్ల ఇది సున్నితమైన ఎగిరే లక్షణాలను కలిగి ఉంది. ఈ డిజైన్ 1995 లో బ్రిటిష్ హాంగ్ గ్లైడింగ్ అండ్ పారాగ్లైడింగ్ అసోసియేషన్ (బి"&amp;"హెచ్‌పిఎ) ధృవీకరణను పొందింది. కాలక్రమేణా లైన్ శుద్ధి చేయబడింది మరియు 2012 లో లక్ష్యం 21 టెన్డం ఇప్పటికీ ఉత్పత్తిలో ఉన్న రేఖలో చివరిది. [2] 2003 మోడల్ టార్గెట్ 162 లైన్‌కు విలక్షణమైనది. ఇది డాక్రాన్ సెయిల్‌క్లాత్‌లో కప్పబడిన సింగిల్-ఉపరితల విభాగంతో అల్యూమి"&amp;"నియం గొట్టాలను బోల్టెడ్ నుండి నిర్మించారు. కింగ్‌పోస్ట్ నుండి సస్పెండ్ చేయబడిన తంతులు రెక్కకు మద్దతు ఇస్తున్నాయి. ఈ విమానం వెయిట్-షిఫ్ట్ నియంత్రణలను కలిగి ఉంది, ""ఫ్రేమ్ కంట్రోల్ బార్ అయినప్పటికీ పనిచేస్తుంది. దీని 9.6 మీ (31.5 అడుగులు) స్పాన్ వింగ్ 16.2 "&amp;"మీ 2 (174 చదరపు అడుగులు), ముక్కు కోణం 120 ° మరియు ఒక కారక నిష్పత్తి 5.7: 1. పైలట్ హుక్-ఇన్ బరువు పరిధి 60 నుండి 100 కిలోలు (132 నుండి 220 పౌండ్లు). లక్ష్యం 162 2003 లో 90 1790 కు అమ్ముడైంది. [1] లక్ష్యం యొక్క సింగిల్-ప్లేస్ వెర్షన్లు కంపెనీ లైన్‌లో ఎరోస్ "&amp;"ఫాక్స్ చేత భర్తీ చేయబడ్డాయి. [4] బెర్ట్రాండ్ నుండి డేటా [1] సాధారణ లక్షణాలు")</f>
        <v>EROS టార్గెట్ ఉక్రేనియన్ హై-వింగ్, సింగిల్ మరియు రెండు-ప్లేస్ హాంగ్ గ్లైడర్స్ యొక్క కుటుంబం, ఇది కీవ్ యొక్క EROS చేత రూపొందించబడింది మరియు ఉత్పత్తి చేయబడింది మరియు 1995 లో ప్రవేశపెట్టబడింది. రెండు-స్థాన లక్ష్యం 21 టెన్డం 2012 లో ఉత్పత్తిలో ఉంది. [1] [2 నటించు టార్గెట్ సిరీస్ విమాన శిక్షణ మరియు వినోదభరితమైన ఫ్లయింగ్ కోసం సింగిల్-ప్లేస్ బిగినర్స్ హాంగ్ గ్లైడర్‌గా భావించబడింది మరియు అందువల్ల ఇది సున్నితమైన ఎగిరే లక్షణాలను కలిగి ఉంది. ఈ డిజైన్ 1995 లో బ్రిటిష్ హాంగ్ గ్లైడింగ్ అండ్ పారాగ్లైడింగ్ అసోసియేషన్ (బిహెచ్‌పిఎ) ధృవీకరణను పొందింది. కాలక్రమేణా లైన్ శుద్ధి చేయబడింది మరియు 2012 లో లక్ష్యం 21 టెన్డం ఇప్పటికీ ఉత్పత్తిలో ఉన్న రేఖలో చివరిది. [2] 2003 మోడల్ టార్గెట్ 162 లైన్‌కు విలక్షణమైనది. ఇది డాక్రాన్ సెయిల్‌క్లాత్‌లో కప్పబడిన సింగిల్-ఉపరితల విభాగంతో అల్యూమినియం గొట్టాలను బోల్టెడ్ నుండి నిర్మించారు. కింగ్‌పోస్ట్ నుండి సస్పెండ్ చేయబడిన తంతులు రెక్కకు మద్దతు ఇస్తున్నాయి. ఈ విమానం వెయిట్-షిఫ్ట్ నియంత్రణలను కలిగి ఉంది, "ఫ్రేమ్ కంట్రోల్ బార్ అయినప్పటికీ పనిచేస్తుంది. దీని 9.6 మీ (31.5 అడుగులు) స్పాన్ వింగ్ 16.2 మీ 2 (174 చదరపు అడుగులు), ముక్కు కోణం 120 ° మరియు ఒక కారక నిష్పత్తి 5.7: 1. పైలట్ హుక్-ఇన్ బరువు పరిధి 60 నుండి 100 కిలోలు (132 నుండి 220 పౌండ్లు). లక్ష్యం 162 2003 లో 90 1790 కు అమ్ముడైంది. [1] లక్ష్యం యొక్క సింగిల్-ప్లేస్ వెర్షన్లు కంపెనీ లైన్‌లో ఎరోస్ ఫాక్స్ చేత భర్తీ చేయబడ్డాయి. [4] బెర్ట్రాండ్ నుండి డేటా [1] సాధారణ లక్షణాలు</v>
      </c>
      <c r="E75" s="1" t="s">
        <v>1091</v>
      </c>
      <c r="F75" s="1" t="str">
        <f>IFERROR(__xludf.DUMMYFUNCTION("GOOGLETRANSLATE(E:E, ""en"", ""te"")"),"గ్లైడర్ హాంగ్")</f>
        <v>గ్లైడర్ హాంగ్</v>
      </c>
      <c r="G75" s="1" t="s">
        <v>1092</v>
      </c>
      <c r="H75" s="1" t="s">
        <v>1093</v>
      </c>
      <c r="I75" s="1" t="str">
        <f>IFERROR(__xludf.DUMMYFUNCTION("GOOGLETRANSLATE(H:H, ""en"", ""te"")"),"ఉక్రెయిన్")</f>
        <v>ఉక్రెయిన్</v>
      </c>
      <c r="J75" s="3" t="s">
        <v>1094</v>
      </c>
      <c r="K75" s="1" t="s">
        <v>1095</v>
      </c>
      <c r="L75" s="2" t="str">
        <f>IFERROR(__xludf.DUMMYFUNCTION("GOOGLETRANSLATE(K:K, ""en"", ""te"")"),"ఎరోస్")</f>
        <v>ఎరోస్</v>
      </c>
      <c r="M75" s="3" t="s">
        <v>1096</v>
      </c>
      <c r="N75" s="1" t="s">
        <v>1152</v>
      </c>
      <c r="O75" s="1" t="str">
        <f>IFERROR(__xludf.DUMMYFUNCTION("GOOGLETRANSLATE(N:N, ""en"", ""te"")"),"టార్గెట్ 21 ఉత్పత్తిలో")</f>
        <v>టార్గెట్ 21 ఉత్పత్తిలో</v>
      </c>
      <c r="Q75" s="1" t="s">
        <v>162</v>
      </c>
      <c r="R75" s="1" t="s">
        <v>1153</v>
      </c>
      <c r="S75" s="1" t="s">
        <v>1154</v>
      </c>
      <c r="T75" s="1">
        <v>5.6</v>
      </c>
      <c r="W75" s="1" t="s">
        <v>177</v>
      </c>
      <c r="AC75" s="1">
        <v>1995.0</v>
      </c>
    </row>
    <row r="76">
      <c r="A76" s="1" t="s">
        <v>1155</v>
      </c>
      <c r="B76" s="1" t="str">
        <f>IFERROR(__xludf.DUMMYFUNCTION("GOOGLETRANSLATE(A:A, ""en"", ""te"")"),"అధునాతన దాడి హెలికాప్టర్")</f>
        <v>అధునాతన దాడి హెలికాప్టర్</v>
      </c>
      <c r="C76" s="1" t="s">
        <v>1156</v>
      </c>
      <c r="D76" s="1" t="str">
        <f>IFERROR(__xludf.DUMMYFUNCTION("GOOGLETRANSLATE(C:C, ""en"", ""te"")"),"అడ్వాన్స్‌డ్ అటాక్ హెలికాప్టర్ (AAH) 1972 నుండి అధునాతన గ్రౌండ్ అటాక్ హెలికాప్టర్‌ను అభివృద్ధి చేయడానికి అమెరికా ఆర్మీ కార్యక్రమం. అధునాతన దాడి హెలికాప్టర్ కార్యక్రమం లాక్‌హీడ్ AH-56 చెయెన్నెను రద్దు చేసింది. పరిశ్రమ ప్రతిపాదనలను అంచనా వేసిన తరువాత, AAH ప"&amp;"ోటీ బెల్ మరియు హ్యూస్ నుండి సమర్పణలకు తగ్గించబడింది. ప్రోటోటైప్‌ల యొక్క విమాన పరీక్ష మూల్యాంకనం తరువాత, హ్యూస్ యొక్క యాహ్ -64 డిసెంబర్ 1976 లో ఎంపిక చేయబడింది. [1] 1960 ల మధ్యలో, అమెరికా సైన్యం అడ్వాన్స్‌డ్ ఏరియల్ ఫైర్ సపోర్ట్ సిస్టమ్ (AAFSS) కార్యక్రమాన్"&amp;"ని ప్రారంభించింది, ఇది లాక్హీడ్ AH-56 చెయెన్నే ట్యాంక్ వ్యతిరేక గన్‌షిప్ పాత్రలో ఉపయోగం కోసం అభివృద్ధి చెందడానికి దారితీసింది. యుఎస్ సైన్యం AH-1G హ్యూకోబ్రాను ""జంగిల్ ఫైటింగ్"" పాత్రకు ""మధ్యంతర రకం"" గా అనుసరించింది. ఏదేమైనా, సైన్యం యొక్క విస్తృత ఆందోళన"&amp;" పశ్చిమ ఐరోపాను లెజియన్స్ ఆఫ్ వార్సా ఒప్పంద కవచం నుండి తూర్పున రక్షించే పని. [2] [3] ప్రచ్ఛన్నా వైస్‌బాడెన్‌కు దక్షిణాన ఉన్న రైన్ యొక్క వెస్ట్‌వార్డ్ బెండ్: మొత్తం 85 మైళ్ల దూరం), లేదా ఉత్తర జర్మన్ మైదానం దాటండి (మ్యాప్ చూడండి). అటువంటి దాడికి వ్యతిరేకంగా"&amp;" రక్షించాల్సిన అవసరం నుండి అధునాతన దాడి హెలికాప్టర్ ఉద్భవించింది. 1971 లో, క్లోజ్ ఎయిర్ సపోర్ట్ (CAS) మిషన్ పై సైన్యం మరియు వైమానిక దళం మధ్య రాజకీయ ఘర్షణ పెరిగింది. [4] 1948 యొక్క కీ వెస్ట్ ఒప్పందంతో తప్పనిసరి చేయబడిన సైన్యానికి మద్దతుగా చెయెన్నే వైమానిక "&amp;"దళం యొక్క CAS మిషన్‌ను ఉల్లంఘిస్తుందని వైమానిక దళం నొక్కి చెప్పింది. [5] డిపార్ట్మెంట్ ఆఫ్ డిఫెన్స్ (DOD) ఒక అధ్యయనం నిర్వహించింది, ఇది వైమానిక దళం యొక్క A-X ప్రోగ్రామ్, నేవీ యొక్క ప్రతిపాదిత హారియర్ మరియు చెయెన్నే గణనీయంగా భిన్నంగా ఉన్నాయని మరియు అవి సామ"&amp;"ర్థ్యాల నకిలీగా ఉండలేదని తేల్చారు. [6] దాడి హెలికాప్టర్ యొక్క అవసరాలను పున val పరిశీలించడానికి, జనవరి 1972 లో ఆర్మీ జనరల్ మార్క్స్ కింద ఒక ప్రత్యేక టాస్క్‌ఫోర్స్‌ను ఏర్పాటు చేసింది. [6] టాస్క్ ఫోర్స్ AH-56 యొక్క విమాన మూల్యాంకనాలను, పోలిక కోసం రెండు పరిశ్"&amp;"రమల ప్రత్యామ్నాయాలతో పాటు నిర్వహించింది; బెల్ 309 కింగ్‌కోబ్రా మరియు సికోర్స్కీ ఎస్ -67 బ్లాక్‌హాక్. [6] 1972 లో, సైన్యం 1972 వసంతకాలం నుండి జూలై 1972 వరకు హెలికాప్టర్ల పోటీ ఫ్లై-ఆఫ్ నిర్వహించింది. [2] మూడు హెలికాప్టర్లు దాని అవసరాలను తీర్చలేవని సైన్యం ని"&amp;"ర్ణయించింది. [6] [7] [8] ఏప్రిల్ 1972 లో, సెనేట్ తన నివేదికను CAS పై ప్రచురించింది. వైమానిక దళం యొక్క A-X ప్రోగ్రామ్‌కు నిధులు సమకూర్చాలని నివేదిక సిఫార్సు చేసింది, ఇది A-10 థండర్ బోల్ట్ II గా మారుతుంది మరియు నేవీ కోసం హారియర్ యొక్క పరిమిత సేకరణ. ఈ నివేది"&amp;"క చెయెన్నెను పేరు ద్వారా సూచించలేదు మరియు దాడి హెలికాప్టర్లను సేకరించడానికి సైన్యం కోసం ఒక మోస్తరు సిఫార్సును మాత్రమే ఇచ్చింది, వారి మనుగడ మెరుగుపరచబడినంతవరకు. [9] 9 ఆగస్టు 1972 న చెయెన్నే కార్యక్రమాన్ని సైన్యం రద్దు చేసింది. [6] [10] హెలికాప్టర్ యొక్క పె"&amp;"ద్ద పరిమాణం మరియు సరిపోని రాత్రి/అన్ని వాతావరణ సామర్ధ్యం రద్దు చేయడానికి సైన్యం పేర్కొన్న కారణాలు. [10] AH-56 చెయెన్నే రద్దు చేసిన తరువాత, యుఎస్ ఆర్మీ ఆర్మర్ వ్యతిరేక దాడి పాత్రను పూరించడానికి ఒక విమానం కోరింది. ఫైర్‌పవర్, పనితీరు మరియు పరిధిలో AH-1 కోబ్ర"&amp;"ా కంటే సైన్యం ఒక విమానం కోరుకుంది. ఇది నాప్-ఆఫ్-ది-ఎర్త్ (NOE) మిషన్లను ఎగరడానికి యుక్తిని కలిగి ఉంటుంది. [1] 17 ఆగస్టు 1972 న, సైన్యం అడ్వాన్స్‌డ్ అటాక్ హెలికాప్టర్ (AAH) కార్యక్రమాన్ని ప్రారంభించింది. [11] వియత్నాంలో పోరాట అనుభవం ఆధారంగా AAH దాడి హెలికా"&amp;"ప్టర్ కోరింది, తక్కువ వేగంతో 145 నాట్లు (269 కిమీ/గం) మరియు మెరుగైన మనుగడ కోసం జంట ఇంజన్లు తక్కువ. [12] ఈ మేరకు, యుఎస్ సైన్యం 15 నవంబర్ 1972 న అధునాతన దాడి హెలికాప్టర్ (AAH) కోసం ప్రతిపాదనల కోసం (RFP) ఒక అభ్యర్థనను జారీ చేసింది. [11] విశ్వసనీయత, మనుగడ మరి"&amp;"యు జీవిత చక్ర ఖర్చుల కోసం AAH అవసరాలు UTTAS అవసరాలకు చాలా పోలి ఉంటాయి. [13] 1,500 ఎస్‌హెచ్‌పి (1,120 కిలోవాట్) ఉత్పత్తి చేసే ట్విన్ జనరల్ ఎలక్ట్రిక్ టి 700 టర్బోషాఫ్ట్ ఇంజన్లు AAH ను నడిపించాలని సైన్యం పేర్కొంది. T700 అనేది కొత్త ఆర్మీ యుటిలిటీ హెలికాప్టర"&amp;"్ పోటీకి పేర్కొన్న అదే పవర్‌ప్లాంట్ ఫిట్, దీనిని UH-60 బ్లాక్ హాక్ గెలుచుకుంటుంది. AAH 30 మిల్లీమీటర్ల ఫిరంగి మరియు 16 టో ట్యాంక్ యాంటీ-ట్యాంక్ క్షిపణులతో సాయుధమవుతుంది. క్షిపణి ఆయుధ స్పెసిఫికేషన్ తరువాత 16 లేజర్-గైడెడ్ AGM-114 హెల్ఫైర్ యాంటీ-ట్యాంక్ క్షి"&amp;"పణుల ప్రత్యామ్నాయ లోడ్‌ను చేర్చడానికి సవరించబడింది. హెల్ఫైర్ అప్పుడు అభివృద్ధిలో ఉంది మరియు టో కంటే ఎక్కువ పరిధి మరియు ప్రాణాంతకతను వాగ్దానం చేసింది. [14] ఐదు తయారీదారులు ప్రతిపాదనలను సమర్పించారు: బెల్, బోయింగ్-వెర్టోల్ (గ్రుమ్మన్ తో జతకట్టారు), హ్యూస్ వి"&amp;"మానం, లాక్హీడ్ మరియు సికోర్స్కీ. జూన్ 1973 లో, బెల్ మరియు హ్యూస్ ఎయిర్‌క్రాఫ్ట్ యొక్క టూల్‌కో ఎయిర్‌క్రాఫ్ట్ డివిజన్ (తరువాత హ్యూస్ హెలికాప్టర్లు) ఫైనలిస్టులుగా ఎంపిక చేయబడ్డాయి మరియు ప్రతి ఒక్కరికి రెండు ప్రోటోటైప్ విమానాల నిర్మాణానికి ఒప్పందాలు ఇవ్వబడ్డ"&amp;"ాయి. [14] ఇది పోటీ యొక్క దశ 1 ను ప్రారంభించింది. [1] ప్రతి సంస్థ విమాన పరీక్షా కార్యక్రమం కోసం రెండు ప్రోటోటైప్ హెలికాప్టర్లను నిర్మించింది. [1] బెల్ యొక్క మోడల్ 409/యాహ్ -63 ఎ ప్రోటోటైప్ మూడు చక్రాల ల్యాండింగ్ గేర్‌ను ట్రైసైకిల్ అమరికలో కలిగి ఉంది మరియు "&amp;"భూమి ఎగురుతున్న ఎన్ఎపికి సహాయపడటానికి పైలట్‌ను సాధారణ వెనుక సీటుకు బదులుగా కాక్‌పిట్ ఫ్రంట్‌లో ఉంచింది. [15] హ్యూస్ యొక్క మోడల్ 77/YAH-64A ప్రోటోటైప్‌లో మూడు-చక్రాల ల్యాండింగ్ గేర్‌ను కలిగి ఉంది, దాని తోక వద్ద మూడవ గేర్‌తో. దాని కాక్‌పిట్ పైలట్‌ను వెనుక స"&amp;"ీటులో ఉంచింది. [1] సెప్టెంబర్ చివరలో విమాన గడువును ఎదుర్కొన్నారు, [16] హ్యూస్ యొక్క యాహ్ -64 మొదటిసారి 30 సెప్టెంబర్ 1975 న ప్రయాణించారు, బెల్ యొక్క యాహ్ -63 మొదట అక్టోబర్ 1 న ఎగిరింది. [1] [16] రెండవ YAH-64 యొక్క మొదటి ఫ్లైట్ నవంబర్ 22 న, మరియు రెండవ YAH"&amp;"-63 21 డిసెంబర్ 1975 న ప్రయాణించారు. [17] మొదటి YAH-63 జూన్ 1976 లో క్రాష్ అయ్యింది, కాని స్టాటిక్ టెస్ట్ ప్రోటోటైప్ ఫ్లైట్ స్టాండర్డ్ వరకు తీసుకురాబడింది మరియు రెండవ నమూనాతో పాటు, హ్యూస్ యొక్క YAH-64 లకు వ్యతిరేకంగా ఫ్లైఆఫ్‌లోకి ప్రవేశించింది. [14] సైన్య"&amp;"ం నాలుగు హెలికాప్టర్లను 1976 లో విమాన పరీక్ష యొక్క డిమాండ్ కార్యక్రమం ద్వారా ఉంచింది. [1] ఆర్మీ ఫ్లైఆఫ్ అదే సంవత్సరం జూన్లో ప్రారంభమైంది. [18] [19] మార్టిన్ మారియెట్టా మరియు నార్త్రోప్ నవంబర్ 1976 లో ప్రతిపాదనలను సమర్పించే సెన్సార్ మరియు టార్గెటింగ్ సూట్ "&amp;"కోసం సెన్సార్ మరియు టార్గెటింగ్ సూట్ కోసం ప్రత్యేక పోటీ జరిగింది. [17] ప్రోటోటైప్ మూల్యాంకనం సమయంలో, సైన్యం AAH ప్రాధమిక యాంటిటాంక్ ఆయుధాన్ని నిరూపితమైన టో వైర్-గైడెడ్ క్షిపణి నుండి కొత్త హెల్ఫైర్ లేజర్-గైడెడ్ క్షిపణికి మార్చింది, రెండు రెట్లు ప్రభావవంతమై"&amp;"న పరిధిలో ఉంది. [1] ఇది ప్రమాదకరమే ఎందుకంటే ఆ సమయంలో హెల్ఫైర్ కూడా ఎగురవేయబడలేదు, రాక్వెల్ ఇంటర్నేషనల్ తో ప్రారంభ అభివృద్ధి ఒప్పందం అక్టోబర్ 1976 లో సంతకం చేయబడింది. [17] పరీక్ష ఫలితాలను అంచనా వేసిన తరువాత, ఆర్మీ 10 డిసెంబర్ 1976 న బెల్ యొక్క YAH-63A ​​పై"&amp;" హ్యూస్ యొక్క YAH-64A ను ఎంచుకుంది. రెండు నమూనాలు మంచివిగా పరిగణించబడ్డాయి, కాని హ్యూస్ డిజైన్ మనుగడలో ఒక అంచు ఉన్నట్లు అనిపించింది. [17] YAH-64A ను ఎన్నుకోవటానికి కారణాలు దాని మరింత నష్టం కలిగించే నాలుగు-బ్లేడ్ మెయిన్ రోటర్ మరియు YAH-63 యొక్క ట్రైసైకిల్ "&amp;"ల్యాండింగ్ గేర్ అమరిక యొక్క స్థిరత్వాన్ని తగ్గించాయి. [20] AH-64A అప్పుడు AAH ప్రోగ్రామ్ యొక్క 2 వ దశలో ప్రవేశించింది. ఇది మూడు ప్రిప్రొడక్షన్ AH-64 లను నిర్మించాలని పిలుపునిచ్చింది మరియు రెండు YAH-64A ఫ్లైట్ ప్రోటోటైప్స్ మరియు గ్రౌండ్ టెస్ట్ యూనిట్‌ను ఒక"&amp;"ే ప్రమాణం వరకు అప్‌గ్రేడ్ చేసింది. [17] ఈ సమయంలో ఆయుధాలు మరియు సెన్సార్ వ్యవస్థలు విలీనం చేయబడ్డాయి మరియు పరీక్షించబడ్డాయి, [1] కొత్త హెల్ఫైర్ క్షిపణితో సహా. [17] దశ 2 కార్యక్రమం వివిధ కారణాల వల్ల అనేక ఆలస్యం ద్వారా బాధపడింది మరియు ఐదేళ్ళకు పైగా విస్తరించ"&amp;"ింది. మొదటి దశ 2 ఫ్లైట్, అప్‌గ్రేడ్ చేసిన ప్రారంభ నమూనా, 28 నవంబర్ 1977 న, 31 అక్టోబర్ 1979 న న్యూబిల్డ్ ప్రిప్రొడక్షన్ ప్రోటోటైప్ యొక్క మొదటి విమానంతో. ప్రారంభ హెల్ఫైర్ లాంచ్‌లు అప్పటికే ఏప్రిల్ 1979 లో మొదటి కాల్పులతో జరిగాయి. ప్రీప్రొడక్షన్ హెలికాప్టర్"&amp;"ల యొక్క పోటీ మూల్యాంకనం, ఒకటి మార్టిన్ మారియెట్టా సెన్సార్ / టార్గెటింగ్ సూట్‌తో అమర్చబడి, మరొకటి నార్త్రోప్ సూట్‌తో అమర్చబడి ఉంది, మార్టిన్ మారియెట్టా ఏప్రిల్ 1980 లో పోటీని గెలుచుకుంది. 11 ""AH-64A అపాచీ"" కోసం ప్రారంభ ఉత్పత్తి క్రమం. దాడి హెలికాప్టర్లు"&amp;" 26 మార్చి 1982 న జారీ చేయబడ్డాయి. [17]")</f>
        <v>అడ్వాన్స్‌డ్ అటాక్ హెలికాప్టర్ (AAH) 1972 నుండి అధునాతన గ్రౌండ్ అటాక్ హెలికాప్టర్‌ను అభివృద్ధి చేయడానికి అమెరికా ఆర్మీ కార్యక్రమం. అధునాతన దాడి హెలికాప్టర్ కార్యక్రమం లాక్‌హీడ్ AH-56 చెయెన్నెను రద్దు చేసింది. పరిశ్రమ ప్రతిపాదనలను అంచనా వేసిన తరువాత, AAH పోటీ బెల్ మరియు హ్యూస్ నుండి సమర్పణలకు తగ్గించబడింది. ప్రోటోటైప్‌ల యొక్క విమాన పరీక్ష మూల్యాంకనం తరువాత, హ్యూస్ యొక్క యాహ్ -64 డిసెంబర్ 1976 లో ఎంపిక చేయబడింది. [1] 1960 ల మధ్యలో, అమెరికా సైన్యం అడ్వాన్స్‌డ్ ఏరియల్ ఫైర్ సపోర్ట్ సిస్టమ్ (AAFSS) కార్యక్రమాన్ని ప్రారంభించింది, ఇది లాక్హీడ్ AH-56 చెయెన్నే ట్యాంక్ వ్యతిరేక గన్‌షిప్ పాత్రలో ఉపయోగం కోసం అభివృద్ధి చెందడానికి దారితీసింది. యుఎస్ సైన్యం AH-1G హ్యూకోబ్రాను "జంగిల్ ఫైటింగ్" పాత్రకు "మధ్యంతర రకం" గా అనుసరించింది. ఏదేమైనా, సైన్యం యొక్క విస్తృత ఆందోళన పశ్చిమ ఐరోపాను లెజియన్స్ ఆఫ్ వార్సా ఒప్పంద కవచం నుండి తూర్పున రక్షించే పని. [2] [3] ప్రచ్ఛన్నా వైస్‌బాడెన్‌కు దక్షిణాన ఉన్న రైన్ యొక్క వెస్ట్‌వార్డ్ బెండ్: మొత్తం 85 మైళ్ల దూరం), లేదా ఉత్తర జర్మన్ మైదానం దాటండి (మ్యాప్ చూడండి). అటువంటి దాడికి వ్యతిరేకంగా రక్షించాల్సిన అవసరం నుండి అధునాతన దాడి హెలికాప్టర్ ఉద్భవించింది. 1971 లో, క్లోజ్ ఎయిర్ సపోర్ట్ (CAS) మిషన్ పై సైన్యం మరియు వైమానిక దళం మధ్య రాజకీయ ఘర్షణ పెరిగింది. [4] 1948 యొక్క కీ వెస్ట్ ఒప్పందంతో తప్పనిసరి చేయబడిన సైన్యానికి మద్దతుగా చెయెన్నే వైమానిక దళం యొక్క CAS మిషన్‌ను ఉల్లంఘిస్తుందని వైమానిక దళం నొక్కి చెప్పింది. [5] డిపార్ట్మెంట్ ఆఫ్ డిఫెన్స్ (DOD) ఒక అధ్యయనం నిర్వహించింది, ఇది వైమానిక దళం యొక్క A-X ప్రోగ్రామ్, నేవీ యొక్క ప్రతిపాదిత హారియర్ మరియు చెయెన్నే గణనీయంగా భిన్నంగా ఉన్నాయని మరియు అవి సామర్థ్యాల నకిలీగా ఉండలేదని తేల్చారు. [6] దాడి హెలికాప్టర్ యొక్క అవసరాలను పున val పరిశీలించడానికి, జనవరి 1972 లో ఆర్మీ జనరల్ మార్క్స్ కింద ఒక ప్రత్యేక టాస్క్‌ఫోర్స్‌ను ఏర్పాటు చేసింది. [6] టాస్క్ ఫోర్స్ AH-56 యొక్క విమాన మూల్యాంకనాలను, పోలిక కోసం రెండు పరిశ్రమల ప్రత్యామ్నాయాలతో పాటు నిర్వహించింది; బెల్ 309 కింగ్‌కోబ్రా మరియు సికోర్స్కీ ఎస్ -67 బ్లాక్‌హాక్. [6] 1972 లో, సైన్యం 1972 వసంతకాలం నుండి జూలై 1972 వరకు హెలికాప్టర్ల పోటీ ఫ్లై-ఆఫ్ నిర్వహించింది. [2] మూడు హెలికాప్టర్లు దాని అవసరాలను తీర్చలేవని సైన్యం నిర్ణయించింది. [6] [7] [8] ఏప్రిల్ 1972 లో, సెనేట్ తన నివేదికను CAS పై ప్రచురించింది. వైమానిక దళం యొక్క A-X ప్రోగ్రామ్‌కు నిధులు సమకూర్చాలని నివేదిక సిఫార్సు చేసింది, ఇది A-10 థండర్ బోల్ట్ II గా మారుతుంది మరియు నేవీ కోసం హారియర్ యొక్క పరిమిత సేకరణ. ఈ నివేదిక చెయెన్నెను పేరు ద్వారా సూచించలేదు మరియు దాడి హెలికాప్టర్లను సేకరించడానికి సైన్యం కోసం ఒక మోస్తరు సిఫార్సును మాత్రమే ఇచ్చింది, వారి మనుగడ మెరుగుపరచబడినంతవరకు. [9] 9 ఆగస్టు 1972 న చెయెన్నే కార్యక్రమాన్ని సైన్యం రద్దు చేసింది. [6] [10] హెలికాప్టర్ యొక్క పెద్ద పరిమాణం మరియు సరిపోని రాత్రి/అన్ని వాతావరణ సామర్ధ్యం రద్దు చేయడానికి సైన్యం పేర్కొన్న కారణాలు. [10] AH-56 చెయెన్నే రద్దు చేసిన తరువాత, యుఎస్ ఆర్మీ ఆర్మర్ వ్యతిరేక దాడి పాత్రను పూరించడానికి ఒక విమానం కోరింది. ఫైర్‌పవర్, పనితీరు మరియు పరిధిలో AH-1 కోబ్రా కంటే సైన్యం ఒక విమానం కోరుకుంది. ఇది నాప్-ఆఫ్-ది-ఎర్త్ (NOE) మిషన్లను ఎగరడానికి యుక్తిని కలిగి ఉంటుంది. [1] 17 ఆగస్టు 1972 న, సైన్యం అడ్వాన్స్‌డ్ అటాక్ హెలికాప్టర్ (AAH) కార్యక్రమాన్ని ప్రారంభించింది. [11] వియత్నాంలో పోరాట అనుభవం ఆధారంగా AAH దాడి హెలికాప్టర్ కోరింది, తక్కువ వేగంతో 145 నాట్లు (269 కిమీ/గం) మరియు మెరుగైన మనుగడ కోసం జంట ఇంజన్లు తక్కువ. [12] ఈ మేరకు, యుఎస్ సైన్యం 15 నవంబర్ 1972 న అధునాతన దాడి హెలికాప్టర్ (AAH) కోసం ప్రతిపాదనల కోసం (RFP) ఒక అభ్యర్థనను జారీ చేసింది. [11] విశ్వసనీయత, మనుగడ మరియు జీవిత చక్ర ఖర్చుల కోసం AAH అవసరాలు UTTAS అవసరాలకు చాలా పోలి ఉంటాయి. [13] 1,500 ఎస్‌హెచ్‌పి (1,120 కిలోవాట్) ఉత్పత్తి చేసే ట్విన్ జనరల్ ఎలక్ట్రిక్ టి 700 టర్బోషాఫ్ట్ ఇంజన్లు AAH ను నడిపించాలని సైన్యం పేర్కొంది. T700 అనేది కొత్త ఆర్మీ యుటిలిటీ హెలికాప్టర్ పోటీకి పేర్కొన్న అదే పవర్‌ప్లాంట్ ఫిట్, దీనిని UH-60 బ్లాక్ హాక్ గెలుచుకుంటుంది. AAH 30 మిల్లీమీటర్ల ఫిరంగి మరియు 16 టో ట్యాంక్ యాంటీ-ట్యాంక్ క్షిపణులతో సాయుధమవుతుంది. క్షిపణి ఆయుధ స్పెసిఫికేషన్ తరువాత 16 లేజర్-గైడెడ్ AGM-114 హెల్ఫైర్ యాంటీ-ట్యాంక్ క్షిపణుల ప్రత్యామ్నాయ లోడ్‌ను చేర్చడానికి సవరించబడింది. హెల్ఫైర్ అప్పుడు అభివృద్ధిలో ఉంది మరియు టో కంటే ఎక్కువ పరిధి మరియు ప్రాణాంతకతను వాగ్దానం చేసింది. [14] ఐదు తయారీదారులు ప్రతిపాదనలను సమర్పించారు: బెల్, బోయింగ్-వెర్టోల్ (గ్రుమ్మన్ తో జతకట్టారు), హ్యూస్ విమానం, లాక్హీడ్ మరియు సికోర్స్కీ. జూన్ 1973 లో, బెల్ మరియు హ్యూస్ ఎయిర్‌క్రాఫ్ట్ యొక్క టూల్‌కో ఎయిర్‌క్రాఫ్ట్ డివిజన్ (తరువాత హ్యూస్ హెలికాప్టర్లు) ఫైనలిస్టులుగా ఎంపిక చేయబడ్డాయి మరియు ప్రతి ఒక్కరికి రెండు ప్రోటోటైప్ విమానాల నిర్మాణానికి ఒప్పందాలు ఇవ్వబడ్డాయి. [14] ఇది పోటీ యొక్క దశ 1 ను ప్రారంభించింది. [1] ప్రతి సంస్థ విమాన పరీక్షా కార్యక్రమం కోసం రెండు ప్రోటోటైప్ హెలికాప్టర్లను నిర్మించింది. [1] బెల్ యొక్క మోడల్ 409/యాహ్ -63 ఎ ప్రోటోటైప్ మూడు చక్రాల ల్యాండింగ్ గేర్‌ను ట్రైసైకిల్ అమరికలో కలిగి ఉంది మరియు భూమి ఎగురుతున్న ఎన్ఎపికి సహాయపడటానికి పైలట్‌ను సాధారణ వెనుక సీటుకు బదులుగా కాక్‌పిట్ ఫ్రంట్‌లో ఉంచింది. [15] హ్యూస్ యొక్క మోడల్ 77/YAH-64A ప్రోటోటైప్‌లో మూడు-చక్రాల ల్యాండింగ్ గేర్‌ను కలిగి ఉంది, దాని తోక వద్ద మూడవ గేర్‌తో. దాని కాక్‌పిట్ పైలట్‌ను వెనుక సీటులో ఉంచింది. [1] సెప్టెంబర్ చివరలో విమాన గడువును ఎదుర్కొన్నారు, [16] హ్యూస్ యొక్క యాహ్ -64 మొదటిసారి 30 సెప్టెంబర్ 1975 న ప్రయాణించారు, బెల్ యొక్క యాహ్ -63 మొదట అక్టోబర్ 1 న ఎగిరింది. [1] [16] రెండవ YAH-64 యొక్క మొదటి ఫ్లైట్ నవంబర్ 22 న, మరియు రెండవ YAH-63 21 డిసెంబర్ 1975 న ప్రయాణించారు. [17] మొదటి YAH-63 జూన్ 1976 లో క్రాష్ అయ్యింది, కాని స్టాటిక్ టెస్ట్ ప్రోటోటైప్ ఫ్లైట్ స్టాండర్డ్ వరకు తీసుకురాబడింది మరియు రెండవ నమూనాతో పాటు, హ్యూస్ యొక్క YAH-64 లకు వ్యతిరేకంగా ఫ్లైఆఫ్‌లోకి ప్రవేశించింది. [14] సైన్యం నాలుగు హెలికాప్టర్లను 1976 లో విమాన పరీక్ష యొక్క డిమాండ్ కార్యక్రమం ద్వారా ఉంచింది. [1] ఆర్మీ ఫ్లైఆఫ్ అదే సంవత్సరం జూన్లో ప్రారంభమైంది. [18] [19] మార్టిన్ మారియెట్టా మరియు నార్త్రోప్ నవంబర్ 1976 లో ప్రతిపాదనలను సమర్పించే సెన్సార్ మరియు టార్గెటింగ్ సూట్ కోసం సెన్సార్ మరియు టార్గెటింగ్ సూట్ కోసం ప్రత్యేక పోటీ జరిగింది. [17] ప్రోటోటైప్ మూల్యాంకనం సమయంలో, సైన్యం AAH ప్రాధమిక యాంటిటాంక్ ఆయుధాన్ని నిరూపితమైన టో వైర్-గైడెడ్ క్షిపణి నుండి కొత్త హెల్ఫైర్ లేజర్-గైడెడ్ క్షిపణికి మార్చింది, రెండు రెట్లు ప్రభావవంతమైన పరిధిలో ఉంది. [1] ఇది ప్రమాదకరమే ఎందుకంటే ఆ సమయంలో హెల్ఫైర్ కూడా ఎగురవేయబడలేదు, రాక్వెల్ ఇంటర్నేషనల్ తో ప్రారంభ అభివృద్ధి ఒప్పందం అక్టోబర్ 1976 లో సంతకం చేయబడింది. [17] పరీక్ష ఫలితాలను అంచనా వేసిన తరువాత, ఆర్మీ 10 డిసెంబర్ 1976 న బెల్ యొక్క YAH-63A ​​పై హ్యూస్ యొక్క YAH-64A ను ఎంచుకుంది. రెండు నమూనాలు మంచివిగా పరిగణించబడ్డాయి, కాని హ్యూస్ డిజైన్ మనుగడలో ఒక అంచు ఉన్నట్లు అనిపించింది. [17] YAH-64A ను ఎన్నుకోవటానికి కారణాలు దాని మరింత నష్టం కలిగించే నాలుగు-బ్లేడ్ మెయిన్ రోటర్ మరియు YAH-63 యొక్క ట్రైసైకిల్ ల్యాండింగ్ గేర్ అమరిక యొక్క స్థిరత్వాన్ని తగ్గించాయి. [20] AH-64A అప్పుడు AAH ప్రోగ్రామ్ యొక్క 2 వ దశలో ప్రవేశించింది. ఇది మూడు ప్రిప్రొడక్షన్ AH-64 లను నిర్మించాలని పిలుపునిచ్చింది మరియు రెండు YAH-64A ఫ్లైట్ ప్రోటోటైప్స్ మరియు గ్రౌండ్ టెస్ట్ యూనిట్‌ను ఒకే ప్రమాణం వరకు అప్‌గ్రేడ్ చేసింది. [17] ఈ సమయంలో ఆయుధాలు మరియు సెన్సార్ వ్యవస్థలు విలీనం చేయబడ్డాయి మరియు పరీక్షించబడ్డాయి, [1] కొత్త హెల్ఫైర్ క్షిపణితో సహా. [17] దశ 2 కార్యక్రమం వివిధ కారణాల వల్ల అనేక ఆలస్యం ద్వారా బాధపడింది మరియు ఐదేళ్ళకు పైగా విస్తరించింది. మొదటి దశ 2 ఫ్లైట్, అప్‌గ్రేడ్ చేసిన ప్రారంభ నమూనా, 28 నవంబర్ 1977 న, 31 అక్టోబర్ 1979 న న్యూబిల్డ్ ప్రిప్రొడక్షన్ ప్రోటోటైప్ యొక్క మొదటి విమానంతో. ప్రారంభ హెల్ఫైర్ లాంచ్‌లు అప్పటికే ఏప్రిల్ 1979 లో మొదటి కాల్పులతో జరిగాయి. ప్రీప్రొడక్షన్ హెలికాప్టర్ల యొక్క పోటీ మూల్యాంకనం, ఒకటి మార్టిన్ మారియెట్టా సెన్సార్ / టార్గెటింగ్ సూట్‌తో అమర్చబడి, మరొకటి నార్త్రోప్ సూట్‌తో అమర్చబడి ఉంది, మార్టిన్ మారియెట్టా ఏప్రిల్ 1980 లో పోటీని గెలుచుకుంది. 11 "AH-64A అపాచీ" కోసం ప్రారంభ ఉత్పత్తి క్రమం. దాడి హెలికాప్టర్లు 26 మార్చి 1982 న జారీ చేయబడ్డాయి. [17]</v>
      </c>
      <c r="L76" s="2"/>
      <c r="AL76" s="1" t="s">
        <v>1157</v>
      </c>
      <c r="DK76" s="1" t="s">
        <v>1158</v>
      </c>
      <c r="DL76" s="1" t="s">
        <v>1159</v>
      </c>
      <c r="DM76" s="1" t="s">
        <v>1160</v>
      </c>
      <c r="DN76" s="1" t="s">
        <v>1161</v>
      </c>
      <c r="DO76" s="1" t="s">
        <v>1162</v>
      </c>
      <c r="DP76" s="1" t="s">
        <v>1163</v>
      </c>
      <c r="DQ76" s="1" t="s">
        <v>1164</v>
      </c>
      <c r="DR76" s="1" t="s">
        <v>1165</v>
      </c>
      <c r="DS76" s="1" t="s">
        <v>1166</v>
      </c>
      <c r="DT76" s="1" t="s">
        <v>1167</v>
      </c>
      <c r="DU76" s="1" t="s">
        <v>1168</v>
      </c>
    </row>
    <row r="77">
      <c r="A77" s="1" t="s">
        <v>1169</v>
      </c>
      <c r="B77" s="1" t="str">
        <f>IFERROR(__xludf.DUMMYFUNCTION("GOOGLETRANSLATE(A:A, ""en"", ""te"")"),"అధునాతన వ్యూహాత్మక పోరాట యోధుడు")</f>
        <v>అధునాతన వ్యూహాత్మక పోరాట యోధుడు</v>
      </c>
      <c r="C77" s="1" t="s">
        <v>1170</v>
      </c>
      <c r="D77" s="1" t="str">
        <f>IFERROR(__xludf.DUMMYFUNCTION("GOOGLETRANSLATE(C:C, ""en"", ""te"")"),"అడ్వాన్స్‌డ్ టాక్టికల్ ఫైటర్ (ఎటిఎఫ్) అనేది అమెరికా వైమానిక దళం చేపట్టిన ప్రదర్శన మరియు ధ్రువీకరణ కార్యక్రమం, ఇది సోవియట్ సుఖోయ్ సు -27 మరియు మికోయన్ మిగ్ -29 యోధులతో సహా ప్రపంచవ్యాప్తంగా అభివృద్ధి చెందుతున్న ప్రపంచవ్యాప్త బెదిరింపులను ఎదుర్కోవటానికి తరువ"&amp;"ాతి తరం వాయు ఆధిపత్య యుద్ధాన్ని అభివృద్ధి చేయడానికి. 1980 లు. [3] YF-22 మరియు YF-23 టెక్నాలజీ ప్రదర్శనకారుల విమానాలను అభివృద్ధి చేయడానికి లాక్‌హీడ్ మరియు నార్త్రోప్ 1986 లో ఎంపిక చేయబడ్డాయి. ఈ విమానాలను 1991 లో అంచనా వేశారు మరియు లాక్‌హీడ్ YF-22 ఎంపిక చేయ"&amp;"బడింది మరియు తరువాత F-22 రాప్టర్‌గా అభివృద్ధి చేయబడింది. 1981 లో, యుఎస్ఎఎఫ్ ఎఫ్ -15 ఈగిల్ యొక్క సామర్థ్యాన్ని భర్తీ చేయడానికి ఉద్దేశించిన కొత్త ఎయిర్ ఆధిపత్య ఫైటర్ కోసం అవసరాలను రూపొందించడం ప్రారంభించింది. జూన్ 1981 లో, అడ్వాన్స్‌డ్ టాక్టికల్ ఫైటర్ (ఎటిఎఫ"&amp;"్) కోసం సమాచారం కోసం ఒక అభ్యర్థన (RFI) వైమానిక దళం ప్రచురించింది. డిజైన్ భావనలను రక్షణ కాంట్రాక్టర్లు అందించారు. భావనలలో సాధారణ ప్రాంతాలు స్టీల్త్, స్టోల్ మరియు సూపర్ క్రూయిస్. [4] అధునాతన మిశ్రమాలు మరియు మిశ్రమ పదార్థాలు, అధునాతన ఫ్లై-బై-వైర్ ఫ్లైట్ కంట్"&amp;"రోల్ సిస్టమ్స్, అధిక శక్తి ప్రొపల్షన్ సిస్టమ్స్ మరియు తక్కువ-పరిశీలనాత్మక లేదా స్టీల్త్ టెక్నాలజీతో సహా అభివృద్ధి చెందుతున్న సాంకేతిక పరిజ్ఞానాన్ని ATF కలిగి ఉంటుందని vision హించబడింది. [5] సెప్టెంబర్ 1983 లో, వారి డిజైన్ల యొక్క మరింత నిర్వచనం కోసం ఏడు ఎయ"&amp;"ిర్ఫ్రేమ్ తయారీదారులకు అధ్యయన ఒప్పందాలు ఇవ్వబడ్డాయి. 1984 చివరి నాటికి, ఎటిఎఫ్ అవసరాలు గరిష్టంగా 50,000 పౌండ్ల (23,000 కిలోలు) టేకాఫ్ బరువు, 800 మైళ్ళు (1,300 కిమీ) మిషన్ వ్యాసార్థం, మాక్ 1.4-1.5 యొక్క సూపర్ క్రూయిస్ వేగం మరియు 2,000 అడుగుల వాడకంతో స్థిరప"&amp;"డ్డాయి. (610 మీ) రన్‌వే. [6] ది జాయింట్ అడ్వాన్స్డ్ ఫైటర్ ఇంజిన్ (JAFE) అని పిలువబడే ఫైటర్స్ ఇంజిన్ కోసం ప్రతిపాదనల కోసం (RFP) ఒక అభ్యర్థన మే 1983 లో విడుదలైంది. ప్రాట్ &amp; విట్నీ మరియు జనరల్ ఎలక్ట్రిక్ సెప్టెంబర్ 1983 లో ప్రోటోటైప్ ఇంజిన్ల అభివృద్ధి మరియు "&amp;"ఉత్పత్తి కోసం ఒప్పందాలను అందుకున్నారు. [7 ] ఫైటర్ కోసం ప్రతిపాదనల కోసం ఒక అభ్యర్థన (RFP) సెప్టెంబర్ 1985 లో జారీ చేయబడింది. [5] [8] మే 1986 లో, వైమానిక దళం RFP ని మార్చింది, తద్వారా తుది ఎంపిక ఎగిరే ప్రోటోటైప్‌లను కలిగి ఉంటుంది. [9] జూలై 1986 లో, బోయింగ్,"&amp;" జనరల్ డైనమిక్స్, లాక్‌హీడ్, నార్త్రోప్ మరియు మెక్‌డోనెల్ డగ్లస్ ప్రతిపాదనలను అందించారు. [2] 50 నెలల ప్రదర్శన/ధ్రువీకరణ దశను చేపట్టడానికి ఇద్దరు కాంట్రాక్టర్లు, లాక్‌హీడ్ మరియు నార్త్రోప్ అక్టోబర్ 1986 లో ఎంపిక చేయబడ్డారు, ఇది రెండు టెక్నాలజీ ప్రదర్శన ప్ర"&amp;"ోటోటైప్స్, YF-22 మరియు YF-23 యొక్క విమాన పరీక్షలో ముగిసింది. లాక్‌హీడ్, జనరల్ డైనమిక్స్ మరియు బోయింగ్ మధ్య ఒప్పందాల నిబంధనల ప్రకారం, కంపెనీలు ఒక సంస్థ రూపకల్పనను మాత్రమే ఎంచుకుంటే సంయుక్తంగా అభివృద్ధిలో పాల్గొనడానికి కంపెనీలు అంగీకరించాయి. నార్త్రోప్ మరియ"&amp;"ు మెక్‌డోనెల్ డగ్లస్ ఇలాంటి ఒప్పందం కుదుర్చుకున్నారు. [10] అభివృద్ధి సమయంలో, కాంట్రాక్టర్ బృందాలు రెండూ పనితీరు మరియు వ్యయ వాణిజ్య అధ్యయనాలను నిర్వహించాయి మరియు వాటిని USAF తో సిస్టమ్ అవసరాల సమీక్షలలో (SRR లు) సమర్పించాయి. ఇది USAF ను ATF అవసరాలను సర్దుబా"&amp;"టు చేయడానికి మరియు ఉపాంత కార్యాచరణ విలువను కలిగి ఉన్నప్పుడు గణనీయమైన బరువు మరియు ఖర్చు డ్రైవర్లను తొలగించడానికి వీలు కల్పించింది. F-15 S/MTD పరిశోధన విమానంలో థ్రస్ట్ వెక్టరింగ్/రివర్సింగ్ నాజిల్ మరియు సంబంధిత వ్యవస్థల కోసం అదనపు బరువు ఉన్నందున, వైమానిక దళ"&amp;"ం రన్‌వే పొడవు అవసరాన్ని 3,000 అడుగుల (910 మీ) గా మార్చింది మరియు ఆలస్యంగా ATF పై థ్రస్ట్ రివర్సర్‌లను తొలగించింది 1987. [11] [12] ఏవియానిక్స్ గణనీయమైన ఖర్చుతో కూడిన డ్రైవర్ కాబట్టి, సైడ్-లుకింగ్ రాడార్లు తొలగించబడ్డాయి మరియు అంకితమైన పరారుణ శోధన మరియు ట్"&amp;"రాక్ (IRST) వ్యవస్థ అవసరం నుండి లక్ష్యానికి తగ్గించబడింది. ఎజెక్షన్ సీటు అవసరం తాజా డిజైన్ నుండి ప్రస్తుత మెక్‌డోనెల్ డగ్లస్ ఏసెస్ II కి తగ్గించబడింది. కాంట్రాక్టర్ బృందాలు బరువును తగ్గించడానికి ప్రయత్నాలు చేసినప్పటికీ, టేకాఫ్ స్థూల బరువు అంచనా 50,000 పౌం"&amp;"డ్లు (22,700 కిలోలు) నుండి 60,000 పౌండ్లు (27,200 కిలోలు) కు పెరిగింది, దీని ఫలితంగా ఇంజిన్ థ్రస్ట్ అవసరం 30,000 ఎల్బిఎఫ్ (133 కెఎన్) నుండి 35,000 ఎల్బిఎఫ్ ( 156 kN) తరగతి. [13] ప్రతి ప్రోటోటైప్ యొక్క రెండు ఉదాహరణలు ప్రదర్శన-ధ్రువీకరణ దశ కోసం నిర్మించబడ్డ"&amp;"ాయి: ఒకటి సాధారణ ఎలక్ట్రిక్ YF120 ఇంజిన్లతో, మరొకటి ప్రాట్ &amp; విట్నీ YF119 ఇంజిన్లతో. [5] [14] మొట్టమొదటి YF-23 తన తొలి విమానంలో 27 ఆగస్టు 1990 న మరియు మొదటి YF-22 మొదటిసారి 29 సెప్టెంబర్ 1990 న ప్రయాణించింది. [15] విమాన పరీక్ష తరువాత ప్రారంభమైంది మరియు అక"&amp;"్టోబర్ 1990 చివరలో ప్రతి పోటీదారుడి కోసం రెండవ విమానాన్ని జోడించింది. [16] 18 సెప్టెంబర్ 1990 న మాక్ 1.43 వద్ద పి అండ్ డబ్ల్యూ ఇంజిన్లతో మొదటి వైఎఫ్ -23 మరియు జిఇ ఇంజిన్లతో రెండవ వైఎఫ్ -23 29 నవంబర్ 1990 న మాక్ 1.6 కి చేరుకుంది. [16] GE ఇంజిన్‌లతో YF-22 స"&amp;"ూపర్ క్రూయిస్‌లో మాక్ 1.58 ను సాధించింది. [17] విమాన పరీక్ష డిసెంబర్ 1990 వరకు కొనసాగింది. విమాన పరీక్ష తరువాత, కాంట్రాక్టర్ బృందాలు ATF ఉత్పత్తికి ప్రతిపాదనలను సమర్పించాయి. [16] ఫ్లైట్ టెస్ట్ ఫలితాలు మరియు ప్రతిపాదనల సమీక్ష తరువాత, వైమానిక దళం 23 ఏప్రిల్"&amp;" 1991 న ప్రాట్ &amp; విట్నీ ఇంజిన్లతో పోటీ విజేతగా లాక్హీడ్ వైఎఫ్ -22 ను ప్రకటించింది. [18] YF-23 డిజైన్ దొంగతనం మరియు వేగంగా ఉంది, కానీ YF-22 మరింత చురుకైనది. [19] యుఎస్ నావికాదళం 1986 లో నేవీ అడ్వాన్స్‌డ్ టాక్టికల్ ఫైటర్ (NATF) అని పిలువబడే ATF యొక్క సంస్కర"&amp;"ణను పరిగణనలోకి తీసుకుంది. [20] YF-22 కూడా NATF కి మరింత అనుకూలమైనదిగా భావించబడిందని ఏవియేషన్ ప్రెస్‌లో ulate హించబడింది. [21] నావికాదళం 1992 నాటికి NATF ను వదిలివేసింది. [22] ఆగష్టు 1991 లో అధునాతన వ్యూహాత్మక పోరాట యోధుడిని అభివృద్ధి చేయడానికి మరియు నిర్మ"&amp;"ించడానికి లాక్‌హీడ్ బృందానికి ఈ ఒప్పందం లభించింది. YF-22 ఉత్పత్తి F-22 రాప్టర్ వెర్షన్‌లో సవరించబడింది. [23] నార్త్రోప్ వైఎఫ్ -23 డిజైన్‌ను తరువాత కంపెనీ బాంబర్‌గా మార్చారు, [18] కానీ ప్రతిపాదనలు ఫలించలేదు. [24]")</f>
        <v>అడ్వాన్స్‌డ్ టాక్టికల్ ఫైటర్ (ఎటిఎఫ్) అనేది అమెరికా వైమానిక దళం చేపట్టిన ప్రదర్శన మరియు ధ్రువీకరణ కార్యక్రమం, ఇది సోవియట్ సుఖోయ్ సు -27 మరియు మికోయన్ మిగ్ -29 యోధులతో సహా ప్రపంచవ్యాప్తంగా అభివృద్ధి చెందుతున్న ప్రపంచవ్యాప్త బెదిరింపులను ఎదుర్కోవటానికి తరువాతి తరం వాయు ఆధిపత్య యుద్ధాన్ని అభివృద్ధి చేయడానికి. 1980 లు. [3] YF-22 మరియు YF-23 టెక్నాలజీ ప్రదర్శనకారుల విమానాలను అభివృద్ధి చేయడానికి లాక్‌హీడ్ మరియు నార్త్రోప్ 1986 లో ఎంపిక చేయబడ్డాయి. ఈ విమానాలను 1991 లో అంచనా వేశారు మరియు లాక్‌హీడ్ YF-22 ఎంపిక చేయబడింది మరియు తరువాత F-22 రాప్టర్‌గా అభివృద్ధి చేయబడింది. 1981 లో, యుఎస్ఎఎఫ్ ఎఫ్ -15 ఈగిల్ యొక్క సామర్థ్యాన్ని భర్తీ చేయడానికి ఉద్దేశించిన కొత్త ఎయిర్ ఆధిపత్య ఫైటర్ కోసం అవసరాలను రూపొందించడం ప్రారంభించింది. జూన్ 1981 లో, అడ్వాన్స్‌డ్ టాక్టికల్ ఫైటర్ (ఎటిఎఫ్) కోసం సమాచారం కోసం ఒక అభ్యర్థన (RFI) వైమానిక దళం ప్రచురించింది. డిజైన్ భావనలను రక్షణ కాంట్రాక్టర్లు అందించారు. భావనలలో సాధారణ ప్రాంతాలు స్టీల్త్, స్టోల్ మరియు సూపర్ క్రూయిస్. [4] అధునాతన మిశ్రమాలు మరియు మిశ్రమ పదార్థాలు, అధునాతన ఫ్లై-బై-వైర్ ఫ్లైట్ కంట్రోల్ సిస్టమ్స్, అధిక శక్తి ప్రొపల్షన్ సిస్టమ్స్ మరియు తక్కువ-పరిశీలనాత్మక లేదా స్టీల్త్ టెక్నాలజీతో సహా అభివృద్ధి చెందుతున్న సాంకేతిక పరిజ్ఞానాన్ని ATF కలిగి ఉంటుందని vision హించబడింది. [5] సెప్టెంబర్ 1983 లో, వారి డిజైన్ల యొక్క మరింత నిర్వచనం కోసం ఏడు ఎయిర్ఫ్రేమ్ తయారీదారులకు అధ్యయన ఒప్పందాలు ఇవ్వబడ్డాయి. 1984 చివరి నాటికి, ఎటిఎఫ్ అవసరాలు గరిష్టంగా 50,000 పౌండ్ల (23,000 కిలోలు) టేకాఫ్ బరువు, 800 మైళ్ళు (1,300 కిమీ) మిషన్ వ్యాసార్థం, మాక్ 1.4-1.5 యొక్క సూపర్ క్రూయిస్ వేగం మరియు 2,000 అడుగుల వాడకంతో స్థిరపడ్డాయి. (610 మీ) రన్‌వే. [6] ది జాయింట్ అడ్వాన్స్డ్ ఫైటర్ ఇంజిన్ (JAFE) అని పిలువబడే ఫైటర్స్ ఇంజిన్ కోసం ప్రతిపాదనల కోసం (RFP) ఒక అభ్యర్థన మే 1983 లో విడుదలైంది. ప్రాట్ &amp; విట్నీ మరియు జనరల్ ఎలక్ట్రిక్ సెప్టెంబర్ 1983 లో ప్రోటోటైప్ ఇంజిన్ల అభివృద్ధి మరియు ఉత్పత్తి కోసం ఒప్పందాలను అందుకున్నారు. [7 ] ఫైటర్ కోసం ప్రతిపాదనల కోసం ఒక అభ్యర్థన (RFP) సెప్టెంబర్ 1985 లో జారీ చేయబడింది. [5] [8] మే 1986 లో, వైమానిక దళం RFP ని మార్చింది, తద్వారా తుది ఎంపిక ఎగిరే ప్రోటోటైప్‌లను కలిగి ఉంటుంది. [9] జూలై 1986 లో, బోయింగ్, జనరల్ డైనమిక్స్, లాక్‌హీడ్, నార్త్రోప్ మరియు మెక్‌డోనెల్ డగ్లస్ ప్రతిపాదనలను అందించారు. [2] 50 నెలల ప్రదర్శన/ధ్రువీకరణ దశను చేపట్టడానికి ఇద్దరు కాంట్రాక్టర్లు, లాక్‌హీడ్ మరియు నార్త్రోప్ అక్టోబర్ 1986 లో ఎంపిక చేయబడ్డారు, ఇది రెండు టెక్నాలజీ ప్రదర్శన ప్రోటోటైప్స్, YF-22 మరియు YF-23 యొక్క విమాన పరీక్షలో ముగిసింది. లాక్‌హీడ్, జనరల్ డైనమిక్స్ మరియు బోయింగ్ మధ్య ఒప్పందాల నిబంధనల ప్రకారం, కంపెనీలు ఒక సంస్థ రూపకల్పనను మాత్రమే ఎంచుకుంటే సంయుక్తంగా అభివృద్ధిలో పాల్గొనడానికి కంపెనీలు అంగీకరించాయి. నార్త్రోప్ మరియు మెక్‌డోనెల్ డగ్లస్ ఇలాంటి ఒప్పందం కుదుర్చుకున్నారు. [10] అభివృద్ధి సమయంలో, కాంట్రాక్టర్ బృందాలు రెండూ పనితీరు మరియు వ్యయ వాణిజ్య అధ్యయనాలను నిర్వహించాయి మరియు వాటిని USAF తో సిస్టమ్ అవసరాల సమీక్షలలో (SRR లు) సమర్పించాయి. ఇది USAF ను ATF అవసరాలను సర్దుబాటు చేయడానికి మరియు ఉపాంత కార్యాచరణ విలువను కలిగి ఉన్నప్పుడు గణనీయమైన బరువు మరియు ఖర్చు డ్రైవర్లను తొలగించడానికి వీలు కల్పించింది. F-15 S/MTD పరిశోధన విమానంలో థ్రస్ట్ వెక్టరింగ్/రివర్సింగ్ నాజిల్ మరియు సంబంధిత వ్యవస్థల కోసం అదనపు బరువు ఉన్నందున, వైమానిక దళం రన్‌వే పొడవు అవసరాన్ని 3,000 అడుగుల (910 మీ) గా మార్చింది మరియు ఆలస్యంగా ATF పై థ్రస్ట్ రివర్సర్‌లను తొలగించింది 1987. [11] [12] ఏవియానిక్స్ గణనీయమైన ఖర్చుతో కూడిన డ్రైవర్ కాబట్టి, సైడ్-లుకింగ్ రాడార్లు తొలగించబడ్డాయి మరియు అంకితమైన పరారుణ శోధన మరియు ట్రాక్ (IRST) వ్యవస్థ అవసరం నుండి లక్ష్యానికి తగ్గించబడింది. ఎజెక్షన్ సీటు అవసరం తాజా డిజైన్ నుండి ప్రస్తుత మెక్‌డోనెల్ డగ్లస్ ఏసెస్ II కి తగ్గించబడింది. కాంట్రాక్టర్ బృందాలు బరువును తగ్గించడానికి ప్రయత్నాలు చేసినప్పటికీ, టేకాఫ్ స్థూల బరువు అంచనా 50,000 పౌండ్లు (22,700 కిలోలు) నుండి 60,000 పౌండ్లు (27,200 కిలోలు) కు పెరిగింది, దీని ఫలితంగా ఇంజిన్ థ్రస్ట్ అవసరం 30,000 ఎల్బిఎఫ్ (133 కెఎన్) నుండి 35,000 ఎల్బిఎఫ్ ( 156 kN) తరగతి. [13] ప్రతి ప్రోటోటైప్ యొక్క రెండు ఉదాహరణలు ప్రదర్శన-ధ్రువీకరణ దశ కోసం నిర్మించబడ్డాయి: ఒకటి సాధారణ ఎలక్ట్రిక్ YF120 ఇంజిన్లతో, మరొకటి ప్రాట్ &amp; విట్నీ YF119 ఇంజిన్లతో. [5] [14] మొట్టమొదటి YF-23 తన తొలి విమానంలో 27 ఆగస్టు 1990 న మరియు మొదటి YF-22 మొదటిసారి 29 సెప్టెంబర్ 1990 న ప్రయాణించింది. [15] విమాన పరీక్ష తరువాత ప్రారంభమైంది మరియు అక్టోబర్ 1990 చివరలో ప్రతి పోటీదారుడి కోసం రెండవ విమానాన్ని జోడించింది. [16] 18 సెప్టెంబర్ 1990 న మాక్ 1.43 వద్ద పి అండ్ డబ్ల్యూ ఇంజిన్లతో మొదటి వైఎఫ్ -23 మరియు జిఇ ఇంజిన్లతో రెండవ వైఎఫ్ -23 29 నవంబర్ 1990 న మాక్ 1.6 కి చేరుకుంది. [16] GE ఇంజిన్‌లతో YF-22 సూపర్ క్రూయిస్‌లో మాక్ 1.58 ను సాధించింది. [17] విమాన పరీక్ష డిసెంబర్ 1990 వరకు కొనసాగింది. విమాన పరీక్ష తరువాత, కాంట్రాక్టర్ బృందాలు ATF ఉత్పత్తికి ప్రతిపాదనలను సమర్పించాయి. [16] ఫ్లైట్ టెస్ట్ ఫలితాలు మరియు ప్రతిపాదనల సమీక్ష తరువాత, వైమానిక దళం 23 ఏప్రిల్ 1991 న ప్రాట్ &amp; విట్నీ ఇంజిన్లతో పోటీ విజేతగా లాక్హీడ్ వైఎఫ్ -22 ను ప్రకటించింది. [18] YF-23 డిజైన్ దొంగతనం మరియు వేగంగా ఉంది, కానీ YF-22 మరింత చురుకైనది. [19] యుఎస్ నావికాదళం 1986 లో నేవీ అడ్వాన్స్‌డ్ టాక్టికల్ ఫైటర్ (NATF) అని పిలువబడే ATF యొక్క సంస్కరణను పరిగణనలోకి తీసుకుంది. [20] YF-22 కూడా NATF కి మరింత అనుకూలమైనదిగా భావించబడిందని ఏవియేషన్ ప్రెస్‌లో ulate హించబడింది. [21] నావికాదళం 1992 నాటికి NATF ను వదిలివేసింది. [22] ఆగష్టు 1991 లో అధునాతన వ్యూహాత్మక పోరాట యోధుడిని అభివృద్ధి చేయడానికి మరియు నిర్మించడానికి లాక్‌హీడ్ బృందానికి ఈ ఒప్పందం లభించింది. YF-22 ఉత్పత్తి F-22 రాప్టర్ వెర్షన్‌లో సవరించబడింది. [23] నార్త్రోప్ వైఎఫ్ -23 డిజైన్‌ను తరువాత కంపెనీ బాంబర్‌గా మార్చారు, [18] కానీ ప్రతిపాదనలు ఫలించలేదు. [24]</v>
      </c>
      <c r="L77" s="2"/>
      <c r="AL77" s="1" t="s">
        <v>1171</v>
      </c>
      <c r="DK77" s="1" t="s">
        <v>1172</v>
      </c>
      <c r="DL77" s="1" t="s">
        <v>1173</v>
      </c>
      <c r="DM77" s="1" t="s">
        <v>1174</v>
      </c>
      <c r="DO77" s="1" t="s">
        <v>1175</v>
      </c>
      <c r="DP77" s="1" t="s">
        <v>1176</v>
      </c>
      <c r="DQ77" s="1" t="s">
        <v>1177</v>
      </c>
      <c r="DV77" s="1" t="s">
        <v>1178</v>
      </c>
      <c r="DW77" s="1" t="s">
        <v>1179</v>
      </c>
      <c r="DX77" s="1" t="s">
        <v>1180</v>
      </c>
      <c r="DY77" s="1" t="s">
        <v>1181</v>
      </c>
      <c r="DZ77" s="1" t="s">
        <v>1182</v>
      </c>
      <c r="EA77" s="1" t="s">
        <v>1183</v>
      </c>
      <c r="EB77" s="1" t="s">
        <v>1184</v>
      </c>
      <c r="EC77" s="1" t="s">
        <v>1185</v>
      </c>
      <c r="ED77" s="1" t="s">
        <v>1186</v>
      </c>
    </row>
    <row r="78">
      <c r="A78" s="1" t="s">
        <v>1187</v>
      </c>
      <c r="B78" s="1" t="str">
        <f>IFERROR(__xludf.DUMMYFUNCTION("GOOGLETRANSLATE(A:A, ""en"", ""te"")"),"ఏరో-క్రోస్ MP-02 czajka")</f>
        <v>ఏరో-క్రోస్ MP-02 czajka</v>
      </c>
      <c r="C78" s="1" t="s">
        <v>1188</v>
      </c>
      <c r="D78" s="1" t="str">
        <f>IFERROR(__xludf.DUMMYFUNCTION("GOOGLETRANSLATE(C:C, ""en"", ""te"")"),"ఏరో-క్రోస్ MP-02 Czajka (ఇంగ్లీష్: ల్యాప్‌వింగ్) అనేది క్రోస్నోకు చెందిన ఏరో-క్రోస్ రూపొందించిన మరియు అభివృద్ధి చేయబడిన ఒక పోలిష్ అల్ట్రాలైట్ విమానం, ఇది 2009 లో ఫ్రెడరిచ్‌షాఫెన్‌లో జరిగిన ఏరో షోలో ప్రవేశపెట్టబడింది. ఈ విమానం సిద్ధంగా ఉండటానికి సిద్ధంగా ఉ"&amp;"ంది. [[[ 7.ఎన్ 1] మార్చి 2017 నుండి ఈ డిజైన్‌ను హెచ్‌ఎంఎస్ ఏవియేషన్ నిర్మించింది, ఇది పోలాండ్‌లోని క్రోస్నోలో కూడా ఉంది. [3] Czajka ఫెడరేషన్ Aéronautique ఇంటర్నేషనల్ మైక్రోలైట్ రూల్స్ మరియు యుఎస్ లైట్-స్పోర్ట్ విమాన నియమాలకు అనుగుణంగా రూపొందించబడింది. ఇది"&amp;" కాంటిలివర్ హై-వింగ్, సైడ్-బై-సైడ్ కాన్ఫిగరేషన్ పరివేష్టిత కాక్‌పిట్, ట్రైసైకిల్ ల్యాండింగ్ గేర్ మరియు ట్రాక్టర్ కాన్ఫిగరేషన్‌లో ఒకే ఇంజిన్. [1] [2] ఈ విమానం కార్బన్-ఫైబర్-రీన్ఫోర్స్డ్ పాలిమర్ నుండి తయారు చేయబడింది. FAI మైక్రోలైట్ వర్గానికి స్టాల్ వేగాన్న"&amp;"ి తక్కువగా ఉంచడానికి దాని 9.72 మీ (31.9 అడుగులు) స్పాన్ వింగ్ ఫౌలర్ ఫ్లాప్‌లను ఉపయోగిస్తుంది. అందించిన ప్రామాణిక ఇంజిన్ 100 HP (75 kW) రోటాక్స్ 912లు నాలుగు-స్ట్రోక్ పవర్‌ప్లాంట్, ఇది 230 కిమీ/గం (143 mph) క్రూయిజ్ వేగాన్ని ఇస్తుంది. కాక్‌పిట్ 1.215 మీ (4"&amp;"8 అంగుళాలు) వెడల్పు. [1] [2] బేయర్ల్ మరియు టాక్ నుండి డేటా [1] [2] సాధారణ లక్షణాల పనితీరు")</f>
        <v>ఏరో-క్రోస్ MP-02 Czajka (ఇంగ్లీష్: ల్యాప్‌వింగ్) అనేది క్రోస్నోకు చెందిన ఏరో-క్రోస్ రూపొందించిన మరియు అభివృద్ధి చేయబడిన ఒక పోలిష్ అల్ట్రాలైట్ విమానం, ఇది 2009 లో ఫ్రెడరిచ్‌షాఫెన్‌లో జరిగిన ఏరో షోలో ప్రవేశపెట్టబడింది. ఈ విమానం సిద్ధంగా ఉండటానికి సిద్ధంగా ఉంది. [[[ 7.ఎన్ 1] మార్చి 2017 నుండి ఈ డిజైన్‌ను హెచ్‌ఎంఎస్ ఏవియేషన్ నిర్మించింది, ఇది పోలాండ్‌లోని క్రోస్నోలో కూడా ఉంది. [3] Czajka ఫెడరేషన్ Aéronautique ఇంటర్నేషనల్ మైక్రోలైట్ రూల్స్ మరియు యుఎస్ లైట్-స్పోర్ట్ విమాన నియమాలకు అనుగుణంగా రూపొందించబడింది. ఇది కాంటిలివర్ హై-వింగ్, సైడ్-బై-సైడ్ కాన్ఫిగరేషన్ పరివేష్టిత కాక్‌పిట్, ట్రైసైకిల్ ల్యాండింగ్ గేర్ మరియు ట్రాక్టర్ కాన్ఫిగరేషన్‌లో ఒకే ఇంజిన్. [1] [2] ఈ విమానం కార్బన్-ఫైబర్-రీన్ఫోర్స్డ్ పాలిమర్ నుండి తయారు చేయబడింది. FAI మైక్రోలైట్ వర్గానికి స్టాల్ వేగాన్ని తక్కువగా ఉంచడానికి దాని 9.72 మీ (31.9 అడుగులు) స్పాన్ వింగ్ ఫౌలర్ ఫ్లాప్‌లను ఉపయోగిస్తుంది. అందించిన ప్రామాణిక ఇంజిన్ 100 HP (75 kW) రోటాక్స్ 912లు నాలుగు-స్ట్రోక్ పవర్‌ప్లాంట్, ఇది 230 కిమీ/గం (143 mph) క్రూయిజ్ వేగాన్ని ఇస్తుంది. కాక్‌పిట్ 1.215 మీ (48 అంగుళాలు) వెడల్పు. [1] [2] బేయర్ల్ మరియు టాక్ నుండి డేటా [1] [2] సాధారణ లక్షణాల పనితీరు</v>
      </c>
      <c r="E78" s="1" t="s">
        <v>1056</v>
      </c>
      <c r="F78" s="1" t="str">
        <f>IFERROR(__xludf.DUMMYFUNCTION("GOOGLETRANSLATE(E:E, ""en"", ""te"")"),"అల్ట్రాలైట్ విమానం")</f>
        <v>అల్ట్రాలైట్ విమానం</v>
      </c>
      <c r="G78" s="1" t="s">
        <v>1057</v>
      </c>
      <c r="H78" s="1" t="s">
        <v>893</v>
      </c>
      <c r="I78" s="1" t="str">
        <f>IFERROR(__xludf.DUMMYFUNCTION("GOOGLETRANSLATE(H:H, ""en"", ""te"")"),"పోలాండ్")</f>
        <v>పోలాండ్</v>
      </c>
      <c r="J78" s="3" t="s">
        <v>1189</v>
      </c>
      <c r="K78" s="1" t="s">
        <v>1190</v>
      </c>
      <c r="L78" s="2" t="str">
        <f>IFERROR(__xludf.DUMMYFUNCTION("GOOGLETRANSLATE(K:K, ""en"", ""te"")"),"ఏరో-క్రోష్మ్స్ ఏవియేషన్")</f>
        <v>ఏరో-క్రోష్మ్స్ ఏవియేషన్</v>
      </c>
      <c r="M78" s="1" t="s">
        <v>1191</v>
      </c>
      <c r="N78" s="1" t="s">
        <v>584</v>
      </c>
      <c r="O78" s="1" t="str">
        <f>IFERROR(__xludf.DUMMYFUNCTION("GOOGLETRANSLATE(N:N, ""en"", ""te"")"),"ఉత్పత్తిలో")</f>
        <v>ఉత్పత్తిలో</v>
      </c>
      <c r="Q78" s="1" t="s">
        <v>162</v>
      </c>
      <c r="R78" s="1" t="s">
        <v>1192</v>
      </c>
      <c r="S78" s="1" t="s">
        <v>1193</v>
      </c>
      <c r="U78" s="1" t="s">
        <v>1127</v>
      </c>
      <c r="X78" s="1" t="s">
        <v>1194</v>
      </c>
      <c r="Y78" s="1" t="s">
        <v>1063</v>
      </c>
      <c r="Z78" s="1" t="s">
        <v>1195</v>
      </c>
      <c r="AA78" s="1" t="s">
        <v>356</v>
      </c>
      <c r="AC78" s="1">
        <v>2009.0</v>
      </c>
      <c r="AD78" s="1">
        <v>2009.0</v>
      </c>
      <c r="AI78" s="1" t="s">
        <v>1066</v>
      </c>
      <c r="AL78" s="1" t="s">
        <v>1196</v>
      </c>
      <c r="AM78" s="1" t="s">
        <v>330</v>
      </c>
      <c r="AS78" s="1" t="s">
        <v>1197</v>
      </c>
      <c r="AU78" s="1" t="s">
        <v>1198</v>
      </c>
      <c r="BP78" s="1" t="s">
        <v>1199</v>
      </c>
    </row>
    <row r="79">
      <c r="A79" s="1" t="s">
        <v>1200</v>
      </c>
      <c r="B79" s="1" t="str">
        <f>IFERROR(__xludf.DUMMYFUNCTION("GOOGLETRANSLATE(A:A, ""en"", ""te"")"),"ఏరోప్రాక్ట్ ఎ -26 వల్కాన్")</f>
        <v>ఏరోప్రాక్ట్ ఎ -26 వల్కాన్</v>
      </c>
      <c r="C79" s="1" t="s">
        <v>1201</v>
      </c>
      <c r="D79" s="1" t="str">
        <f>IFERROR(__xludf.DUMMYFUNCTION("GOOGLETRANSLATE(C:C, ""en"", ""te"")"),"ఏరోప్రాక్ట్ ఎ -26 వల్కాన్ అనేది సవరించిన ఏరోప్రాక్ట్ ఎ -20 లైట్ సింగిల్ ఎయిర్క్రాఫ్ట్ నుండి అభివృద్ధి చేయబడిన తేలికపాటి ట్విన్ ఇంజిన్ విమానం. అమెరికాకు దిగుమతి చేసుకున్న కొన్ని నమూనాలు స్పెక్ట్రమ్ ఎయిర్క్రాఫ్ట్ SA-26 వల్కాన్ గా నమోదు చేయబడ్డాయి. A-26 దాని"&amp;" సింగిల్ ఇంజిన్ కౌంటర్, A-20 నుండి రెక్కల యొక్క అదనపు 3 ° డిగ్రీల స్వీప్‌బ్యాక్‌ను కలిగి ఉంది. ఈ విమానం రెండు రోటాక్స్ 503 (చివరికి రోటాక్స్ 582) ఇంజిన్లతో పషర్ కాన్ఫిగరేషన్‌లో పనిచేస్తుంది. [1] విస్కాన్సిన్‌లోని ఓష్కోష్‌లోని 2000 ప్రయోగాత్మక విమాన సంఘం ఎ"&amp;"యిర్‌వెంచర్ ఎయిర్‌షోలో A-26 యొక్క ఉదాహరణ ప్రదర్శించబడింది. [2] స్పెక్ట్రమ్ విమానం అమెరికన్ మార్కెట్ కోసం దిగుమతి చేసుకున్న సంస్కరణలు. [3] ఏరోప్రాక్ట్ A-36 వల్కాన్ అనేది నవీకరించబడిన ఫ్యాక్టరీ నిర్మించిన రోటాక్స్ 912S శక్తితో కూడిన జంట. [4] ఏరోప్రాక్ట్ జనర"&amp;"ల్ లక్షణాల పనితీరు")</f>
        <v>ఏరోప్రాక్ట్ ఎ -26 వల్కాన్ అనేది సవరించిన ఏరోప్రాక్ట్ ఎ -20 లైట్ సింగిల్ ఎయిర్క్రాఫ్ట్ నుండి అభివృద్ధి చేయబడిన తేలికపాటి ట్విన్ ఇంజిన్ విమానం. అమెరికాకు దిగుమతి చేసుకున్న కొన్ని నమూనాలు స్పెక్ట్రమ్ ఎయిర్క్రాఫ్ట్ SA-26 వల్కాన్ గా నమోదు చేయబడ్డాయి. A-26 దాని సింగిల్ ఇంజిన్ కౌంటర్, A-20 నుండి రెక్కల యొక్క అదనపు 3 ° డిగ్రీల స్వీప్‌బ్యాక్‌ను కలిగి ఉంది. ఈ విమానం రెండు రోటాక్స్ 503 (చివరికి రోటాక్స్ 582) ఇంజిన్లతో పషర్ కాన్ఫిగరేషన్‌లో పనిచేస్తుంది. [1] విస్కాన్సిన్‌లోని ఓష్కోష్‌లోని 2000 ప్రయోగాత్మక విమాన సంఘం ఎయిర్‌వెంచర్ ఎయిర్‌షోలో A-26 యొక్క ఉదాహరణ ప్రదర్శించబడింది. [2] స్పెక్ట్రమ్ విమానం అమెరికన్ మార్కెట్ కోసం దిగుమతి చేసుకున్న సంస్కరణలు. [3] ఏరోప్రాక్ట్ A-36 వల్కాన్ అనేది నవీకరించబడిన ఫ్యాక్టరీ నిర్మించిన రోటాక్స్ 912S శక్తితో కూడిన జంట. [4] ఏరోప్రాక్ట్ జనరల్ లక్షణాల పనితీరు</v>
      </c>
      <c r="E79" s="1" t="s">
        <v>1202</v>
      </c>
      <c r="F79" s="1" t="str">
        <f>IFERROR(__xludf.DUMMYFUNCTION("GOOGLETRANSLATE(E:E, ""en"", ""te"")"),"లైట్ ట్విన్")</f>
        <v>లైట్ ట్విన్</v>
      </c>
      <c r="H79" s="1" t="s">
        <v>1093</v>
      </c>
      <c r="I79" s="1" t="str">
        <f>IFERROR(__xludf.DUMMYFUNCTION("GOOGLETRANSLATE(H:H, ""en"", ""te"")"),"ఉక్రెయిన్")</f>
        <v>ఉక్రెయిన్</v>
      </c>
      <c r="J79" s="3" t="s">
        <v>1094</v>
      </c>
      <c r="K79" s="1" t="s">
        <v>1203</v>
      </c>
      <c r="L79" s="2" t="str">
        <f>IFERROR(__xludf.DUMMYFUNCTION("GOOGLETRANSLATE(K:K, ""en"", ""te"")"),"ఏరోప్రాక్ట్")</f>
        <v>ఏరోప్రాక్ట్</v>
      </c>
      <c r="M79" s="3" t="s">
        <v>1204</v>
      </c>
      <c r="R79" s="1" t="s">
        <v>343</v>
      </c>
      <c r="S79" s="1" t="s">
        <v>1205</v>
      </c>
      <c r="U79" s="1" t="s">
        <v>555</v>
      </c>
      <c r="W79" s="1" t="s">
        <v>177</v>
      </c>
      <c r="X79" s="1" t="s">
        <v>1206</v>
      </c>
      <c r="Y79" s="1" t="s">
        <v>1207</v>
      </c>
      <c r="Z79" s="1" t="s">
        <v>878</v>
      </c>
      <c r="AA79" s="1" t="s">
        <v>356</v>
      </c>
      <c r="AB79" s="1" t="s">
        <v>1208</v>
      </c>
      <c r="AF79" s="1" t="s">
        <v>1209</v>
      </c>
      <c r="AG79" s="1" t="s">
        <v>1210</v>
      </c>
      <c r="AI79" s="1" t="s">
        <v>1211</v>
      </c>
      <c r="AL79" s="1" t="s">
        <v>1212</v>
      </c>
      <c r="AM79" s="1">
        <v>2.0</v>
      </c>
      <c r="AS79" s="1" t="s">
        <v>1213</v>
      </c>
      <c r="BO79" s="1" t="s">
        <v>1214</v>
      </c>
      <c r="BP79" s="1" t="s">
        <v>1215</v>
      </c>
      <c r="BR79" s="1" t="s">
        <v>1216</v>
      </c>
      <c r="CW79" s="1" t="s">
        <v>1217</v>
      </c>
    </row>
    <row r="80">
      <c r="A80" s="1" t="s">
        <v>1218</v>
      </c>
      <c r="B80" s="1" t="str">
        <f>IFERROR(__xludf.DUMMYFUNCTION("GOOGLETRANSLATE(A:A, ""en"", ""te"")"),"ఏరోండినా MXP-1000 టేరోనా")</f>
        <v>ఏరోండినా MXP-1000 టేరోనా</v>
      </c>
      <c r="C80" s="1" t="s">
        <v>1219</v>
      </c>
      <c r="D80" s="1" t="str">
        <f>IFERROR(__xludf.DUMMYFUNCTION("GOOGLETRANSLATE(C:C, ""en"", ""te"")"),"ఏరోండినా MXP-1000 టేరోనా ఒకే ఇంజిన్, హై వింగ్, రెండు సీట్ల అల్ట్రాలైట్, జెనైర్ ఫార్ములా ఆధారంగా, కొలంబియాలో ఏరోఆండినా చేత అభివృద్ధి చేయబడింది. ఇది 2005 లో ప్రారంభించబడింది. కొలంబియన్ నేషనల్ పార్క్ పేరు పెట్టబడిన MXP-1000 తాయోనా MXP-800 ఫాంటసీ యొక్క అభివృద"&amp;"్ధి, ఇది ఏరోండినా యొక్క జెనైర్ CH 701- ఆధారిత MXP-740/750 సిరీస్ హై వింగ్, సైడ్- బై-సైడ్ కాన్ఫిగరేషన్ అల్ట్రాలైట్స్. ఇది ఎక్కువగా అల్యూమినియం మిశ్రమం నుండి నిర్మించబడింది, కాక్‌పిట్ చుట్టూ ఉక్కు పంజరం వింగ్ కింద మరియు వెనుక భాగంలో కట్‌అవే. స్థిరమైన తీగ వి"&amp;"ంగ్ దిగువ ఫ్యూజ్‌లేజ్‌కు వి-ఫారమ్ జతలతో, జ్యూరీ స్ట్రట్‌లచే సహాయపడే ఫెయిర్‌డ్ లిఫ్ట్ స్ట్రట్‌లతో కలుపుతారు. మొదటి నాలుగు టేరోనాస్‌లో ఫ్లాపెరాన్లు ఉన్నాయి, కాని తరువాత అన్ని విమానాలు ఫ్లాప్‌లను కలిగి ఉన్నాయి. క్రూజింగ్ వేగాన్ని పెంచడానికి మునుపటి MXP మోడళ్"&amp;"ల యొక్క ప్రముఖ ఎడ్జ్ స్లాట్లు వదిలివేయబడ్డాయి. కోణీయ ఫిన్ మరియు చుక్కాని దాని ప్రముఖ అంచున తుడుచుకున్నాయి మరియు ఫ్యూజ్‌లేజ్ పైన సెట్ చేయబడిన టెయిల్‌ప్లేన్ కూడా తుడిచిపెట్టుకుపోతుంది. [1] [2] టేరోనాలో ట్రైసైకిల్ అండర్ క్యారేజ్ ఉంది, మెయిన్‌వీల్స్ కోసం కాంట"&amp;"ిలివర్ అల్యూమినియం స్ప్రింగ్ కాళ్ళు మరియు రబ్బరు వసంతంతో స్టీరబుల్ నోస్‌వీల్ ఉన్నాయి. చక్రాలు బెస్పాట్ కావచ్చు. మూడు ఫ్లాట్-ఫోర్ రోటాక్స్ ఇంజన్ల మధ్య ఎంపిక ఉంది, 58.8 kW (78.9 HP) రోటాక్స్ 912UL, 73.5 kW (98.5 HP) రోటాక్స్ 912లు లేదా 84.6 kW (113.4 HP) రో"&amp;"టాక్స్ 914 ULS టర్బో. [1] [2] ఐరోపాకు అమ్మకాలు 2005 లో ప్రారంభమయ్యాయి [1] మరియు 2010 మధ్య నాటికి రష్యాను మినహాయించి యూరోపియన్ దేశాల పౌర విమాన రిజిస్టర్లలో 26 ఉన్నాయి. [3] అమెరికాలో, AMD డిజైన్‌ను సైనిక వినియోగానికి AMD MXP-150 పేట్రియాట్ [1] గా మార్చాలని "&amp;"యోచిస్తోంది, కానీ ఇది కొనసాగలేదు. జేన్ యొక్క అన్ని ప్రపంచ విమానాల నుండి డేటా 2011/12 [1] సాధారణ లక్షణాల పనితీరు")</f>
        <v>ఏరోండినా MXP-1000 టేరోనా ఒకే ఇంజిన్, హై వింగ్, రెండు సీట్ల అల్ట్రాలైట్, జెనైర్ ఫార్ములా ఆధారంగా, కొలంబియాలో ఏరోఆండినా చేత అభివృద్ధి చేయబడింది. ఇది 2005 లో ప్రారంభించబడింది. కొలంబియన్ నేషనల్ పార్క్ పేరు పెట్టబడిన MXP-1000 తాయోనా MXP-800 ఫాంటసీ యొక్క అభివృద్ధి, ఇది ఏరోండినా యొక్క జెనైర్ CH 701- ఆధారిత MXP-740/750 సిరీస్ హై వింగ్, సైడ్- బై-సైడ్ కాన్ఫిగరేషన్ అల్ట్రాలైట్స్. ఇది ఎక్కువగా అల్యూమినియం మిశ్రమం నుండి నిర్మించబడింది, కాక్‌పిట్ చుట్టూ ఉక్కు పంజరం వింగ్ కింద మరియు వెనుక భాగంలో కట్‌అవే. స్థిరమైన తీగ వింగ్ దిగువ ఫ్యూజ్‌లేజ్‌కు వి-ఫారమ్ జతలతో, జ్యూరీ స్ట్రట్‌లచే సహాయపడే ఫెయిర్‌డ్ లిఫ్ట్ స్ట్రట్‌లతో కలుపుతారు. మొదటి నాలుగు టేరోనాస్‌లో ఫ్లాపెరాన్లు ఉన్నాయి, కాని తరువాత అన్ని విమానాలు ఫ్లాప్‌లను కలిగి ఉన్నాయి. క్రూజింగ్ వేగాన్ని పెంచడానికి మునుపటి MXP మోడళ్ల యొక్క ప్రముఖ ఎడ్జ్ స్లాట్లు వదిలివేయబడ్డాయి. కోణీయ ఫిన్ మరియు చుక్కాని దాని ప్రముఖ అంచున తుడుచుకున్నాయి మరియు ఫ్యూజ్‌లేజ్ పైన సెట్ చేయబడిన టెయిల్‌ప్లేన్ కూడా తుడిచిపెట్టుకుపోతుంది. [1] [2] టేరోనాలో ట్రైసైకిల్ అండర్ క్యారేజ్ ఉంది, మెయిన్‌వీల్స్ కోసం కాంటిలివర్ అల్యూమినియం స్ప్రింగ్ కాళ్ళు మరియు రబ్బరు వసంతంతో స్టీరబుల్ నోస్‌వీల్ ఉన్నాయి. చక్రాలు బెస్పాట్ కావచ్చు. మూడు ఫ్లాట్-ఫోర్ రోటాక్స్ ఇంజన్ల మధ్య ఎంపిక ఉంది, 58.8 kW (78.9 HP) రోటాక్స్ 912UL, 73.5 kW (98.5 HP) రోటాక్స్ 912లు లేదా 84.6 kW (113.4 HP) రోటాక్స్ 914 ULS టర్బో. [1] [2] ఐరోపాకు అమ్మకాలు 2005 లో ప్రారంభమయ్యాయి [1] మరియు 2010 మధ్య నాటికి రష్యాను మినహాయించి యూరోపియన్ దేశాల పౌర విమాన రిజిస్టర్లలో 26 ఉన్నాయి. [3] అమెరికాలో, AMD డిజైన్‌ను సైనిక వినియోగానికి AMD MXP-150 పేట్రియాట్ [1] గా మార్చాలని యోచిస్తోంది, కానీ ఇది కొనసాగలేదు. జేన్ యొక్క అన్ని ప్రపంచ విమానాల నుండి డేటా 2011/12 [1] సాధారణ లక్షణాల పనితీరు</v>
      </c>
      <c r="E80" s="1" t="s">
        <v>1220</v>
      </c>
      <c r="F80" s="1" t="str">
        <f>IFERROR(__xludf.DUMMYFUNCTION("GOOGLETRANSLATE(E:E, ""en"", ""te"")"),"రెండు సీటు అల్ట్రాలైట్")</f>
        <v>రెండు సీటు అల్ట్రాలైట్</v>
      </c>
      <c r="G80" s="1" t="s">
        <v>1221</v>
      </c>
      <c r="H80" s="1" t="s">
        <v>1222</v>
      </c>
      <c r="I80" s="1" t="str">
        <f>IFERROR(__xludf.DUMMYFUNCTION("GOOGLETRANSLATE(H:H, ""en"", ""te"")"),"కొలంబియా")</f>
        <v>కొలంబియా</v>
      </c>
      <c r="J80" s="3" t="s">
        <v>1223</v>
      </c>
      <c r="K80" s="1" t="s">
        <v>1224</v>
      </c>
      <c r="L80" s="2" t="str">
        <f>IFERROR(__xludf.DUMMYFUNCTION("GOOGLETRANSLATE(K:K, ""en"", ""te"")"),"ఏరోండినా")</f>
        <v>ఏరోండినా</v>
      </c>
      <c r="M80" s="3" t="s">
        <v>1225</v>
      </c>
      <c r="Q80" s="1" t="s">
        <v>162</v>
      </c>
      <c r="R80" s="1" t="s">
        <v>1226</v>
      </c>
      <c r="S80" s="1" t="s">
        <v>1227</v>
      </c>
      <c r="U80" s="1" t="s">
        <v>1228</v>
      </c>
      <c r="X80" s="1" t="s">
        <v>1206</v>
      </c>
      <c r="Z80" s="1" t="s">
        <v>1229</v>
      </c>
      <c r="AA80" s="1" t="s">
        <v>1230</v>
      </c>
      <c r="AD80" s="1" t="s">
        <v>1231</v>
      </c>
      <c r="AE80" s="1" t="s">
        <v>1232</v>
      </c>
      <c r="AF80" s="1" t="s">
        <v>1233</v>
      </c>
      <c r="AG80" s="1" t="s">
        <v>1234</v>
      </c>
      <c r="AI80" s="1" t="s">
        <v>1235</v>
      </c>
      <c r="AJ80" s="1" t="s">
        <v>1236</v>
      </c>
      <c r="AM80" s="1" t="s">
        <v>330</v>
      </c>
      <c r="AP80" s="1" t="s">
        <v>1237</v>
      </c>
      <c r="AQ80" s="1" t="s">
        <v>1238</v>
      </c>
      <c r="AR80" s="1" t="s">
        <v>1239</v>
      </c>
      <c r="AS80" s="1" t="s">
        <v>1240</v>
      </c>
      <c r="BJ80" s="1" t="s">
        <v>1127</v>
      </c>
      <c r="BL80" s="1" t="s">
        <v>1241</v>
      </c>
      <c r="BO80" s="1" t="s">
        <v>1242</v>
      </c>
      <c r="BP80" s="1" t="s">
        <v>1243</v>
      </c>
      <c r="BR80" s="1" t="s">
        <v>1244</v>
      </c>
      <c r="CG80" s="1" t="s">
        <v>1245</v>
      </c>
      <c r="CH80" s="1" t="s">
        <v>1246</v>
      </c>
    </row>
    <row r="81">
      <c r="A81" s="1" t="s">
        <v>1247</v>
      </c>
      <c r="B81" s="1" t="str">
        <f>IFERROR(__xludf.DUMMYFUNCTION("GOOGLETRANSLATE(A:A, ""en"", ""te"")"),"ఏరోప్రాక్ట్ ఎ -28 విక్టర్")</f>
        <v>ఏరోప్రాక్ట్ ఎ -28 విక్టర్</v>
      </c>
      <c r="C81" s="1" t="s">
        <v>1248</v>
      </c>
      <c r="D81" s="1" t="str">
        <f>IFERROR(__xludf.DUMMYFUNCTION("GOOGLETRANSLATE(C:C, ""en"", ""te"")"),"ఏరోప్రాక్ట్ A-28 విక్టర్ అనేది ఉక్రేనియన్ లైట్ విమానం, ఇది కీవ్‌కు చెందిన ఏరోప్రాక్ట్ రూపొందించి ఉత్పత్తి చేసింది. విమానం పూర్తి రెడీ-టు-ఫ్లై-ఎయిర్‌క్రాఫ్ట్‌గా సరఫరా చేయబడుతుంది. [1] A-28 యొక్క డిజైన్ లక్ష్యాలలో ప్రమాదకర భూభాగాలపై భద్రత కోసం జంట ఇంజన్లు ఉ"&amp;"న్నాయి, నాలుగు సీట్లు, 10 గంటల ఓర్పుతో 300 కిలోల (660 పౌండ్లు) పేలోడ్, అలాగే మంచి చిన్న మరియు కఠినమైన ఫీల్డ్ సామర్థ్యాలు ఉన్నాయి. ఫలిత రూపకల్పనలో కాంటిలివర్ లో-వింగ్, నాలుగు-సీట్ల పరివేష్టిత క్యాబిన్, అతుక్కొని ఉన్న విండ్‌షీల్డ్, టి-టెయిల్, స్థిర సాంప్రదా"&amp;"య ల్యాండింగ్ గేర్ మరియు ట్రాక్టర్ కాన్ఫిగరేషన్‌లో ట్విన్ ఇంజన్ల ద్వారా యాక్సెస్ చేయబడింది. [1] ఈ విమానం మిశ్రమ నిర్మాణాన్ని కలిగి ఉంది, ఫైబర్గ్లాస్ మరియు అల్యూమినియం షీట్ యొక్క తోక కోన్ నుండి ఫార్వర్డ్ ఫ్యూజ్‌లేజ్. రెక్కలు మరియు తోక ఆల్-అల్యూమినియం, నియంత"&amp;"్రణ ఉపరితలాలు డోప్డ్ ఎయిర్క్రాఫ్ట్ ఫాబ్రిక్‌లో కప్పబడిన అల్యూమినియం ఫ్రేమ్‌లు. దీని 12 మీ (39.4 అడుగులు) స్పాన్ వింగ్ ఒక త్సాగి పి-ఐయా -15 ఎయిర్‌ఫాయిల్‌ను ఉపయోగిస్తుంది, ఇది 13.4 మీ 2 (144 చదరపు అడుగులు) మరియు మౌంట్ ఫ్లాప్‌లను కలిగి ఉంది. అమర్చిన ప్రామాణి"&amp;"క ఇంజన్లు రెండు 80 హెచ్‌పి (60 కిలోవాట్ల) రోటాక్స్ 912 లేదా రెండు 100 హెచ్‌పి (75 కిలోవాట్) రోటాక్స్ 912 ఎస్ పవర్‌ప్లాంట్లు. సాంప్రదాయిక ల్యాండింగ్ గేర్ వీల్ ప్యాంటుకు సరిపోతుంది మరియు స్టీరబుల్ టెయిల్‌వీల్‌ను కలిగి ఉంటుంది. [1] [2] A-28 ఖాళీ బరువు 530 కి"&amp;"లోలు (1,170 పౌండ్లు) మరియు స్థూల బరువు 1,100 కిలోలు (2,400 ఎల్బి), ఇది 570 కిలోల (1,260 ఎల్బి) ఉపయోగకరమైన లోడ్‌ను ఇస్తుంది. [1] ఒక ఉదాహరణ 2001 లో అమెరికాలో ఫెడరల్ ఏవియేషన్ అడ్మినిస్ట్రేషన్తో te త్సాహిక-నిర్మిత విభాగంలో నమోదు చేయబడింది, కాని 18 అక్టోబర్ 20"&amp;"04 న ఇది నియంత్రణను మరియు ఉక్రెయిన్‌కు ఎగుమతి చేయబడింది. [3] [4] బేయర్ల్ నుండి డేటా [1] సాధారణ లక్షణాల పనితీరు")</f>
        <v>ఏరోప్రాక్ట్ A-28 విక్టర్ అనేది ఉక్రేనియన్ లైట్ విమానం, ఇది కీవ్‌కు చెందిన ఏరోప్రాక్ట్ రూపొందించి ఉత్పత్తి చేసింది. విమానం పూర్తి రెడీ-టు-ఫ్లై-ఎయిర్‌క్రాఫ్ట్‌గా సరఫరా చేయబడుతుంది. [1] A-28 యొక్క డిజైన్ లక్ష్యాలలో ప్రమాదకర భూభాగాలపై భద్రత కోసం జంట ఇంజన్లు ఉన్నాయి, నాలుగు సీట్లు, 10 గంటల ఓర్పుతో 300 కిలోల (660 పౌండ్లు) పేలోడ్, అలాగే మంచి చిన్న మరియు కఠినమైన ఫీల్డ్ సామర్థ్యాలు ఉన్నాయి. ఫలిత రూపకల్పనలో కాంటిలివర్ లో-వింగ్, నాలుగు-సీట్ల పరివేష్టిత క్యాబిన్, అతుక్కొని ఉన్న విండ్‌షీల్డ్, టి-టెయిల్, స్థిర సాంప్రదాయ ల్యాండింగ్ గేర్ మరియు ట్రాక్టర్ కాన్ఫిగరేషన్‌లో ట్విన్ ఇంజన్ల ద్వారా యాక్సెస్ చేయబడింది. [1] ఈ విమానం మిశ్రమ నిర్మాణాన్ని కలిగి ఉంది, ఫైబర్గ్లాస్ మరియు అల్యూమినియం షీట్ యొక్క తోక కోన్ నుండి ఫార్వర్డ్ ఫ్యూజ్‌లేజ్. రెక్కలు మరియు తోక ఆల్-అల్యూమినియం, నియంత్రణ ఉపరితలాలు డోప్డ్ ఎయిర్క్రాఫ్ట్ ఫాబ్రిక్‌లో కప్పబడిన అల్యూమినియం ఫ్రేమ్‌లు. దీని 12 మీ (39.4 అడుగులు) స్పాన్ వింగ్ ఒక త్సాగి పి-ఐయా -15 ఎయిర్‌ఫాయిల్‌ను ఉపయోగిస్తుంది, ఇది 13.4 మీ 2 (144 చదరపు అడుగులు) మరియు మౌంట్ ఫ్లాప్‌లను కలిగి ఉంది. అమర్చిన ప్రామాణిక ఇంజన్లు రెండు 80 హెచ్‌పి (60 కిలోవాట్ల) రోటాక్స్ 912 లేదా రెండు 100 హెచ్‌పి (75 కిలోవాట్) రోటాక్స్ 912 ఎస్ పవర్‌ప్లాంట్లు. సాంప్రదాయిక ల్యాండింగ్ గేర్ వీల్ ప్యాంటుకు సరిపోతుంది మరియు స్టీరబుల్ టెయిల్‌వీల్‌ను కలిగి ఉంటుంది. [1] [2] A-28 ఖాళీ బరువు 530 కిలోలు (1,170 పౌండ్లు) మరియు స్థూల బరువు 1,100 కిలోలు (2,400 ఎల్బి), ఇది 570 కిలోల (1,260 ఎల్బి) ఉపయోగకరమైన లోడ్‌ను ఇస్తుంది. [1] ఒక ఉదాహరణ 2001 లో అమెరికాలో ఫెడరల్ ఏవియేషన్ అడ్మినిస్ట్రేషన్తో te త్సాహిక-నిర్మిత విభాగంలో నమోదు చేయబడింది, కాని 18 అక్టోబర్ 2004 న ఇది నియంత్రణను మరియు ఉక్రెయిన్‌కు ఎగుమతి చేయబడింది. [3] [4] బేయర్ల్ నుండి డేటా [1] సాధారణ లక్షణాల పనితీరు</v>
      </c>
      <c r="E81" s="1" t="s">
        <v>1249</v>
      </c>
      <c r="F81" s="1" t="str">
        <f>IFERROR(__xludf.DUMMYFUNCTION("GOOGLETRANSLATE(E:E, ""en"", ""te"")"),"తేలికపాటి విమానం")</f>
        <v>తేలికపాటి విమానం</v>
      </c>
      <c r="G81" s="1" t="s">
        <v>1250</v>
      </c>
      <c r="H81" s="1" t="s">
        <v>1093</v>
      </c>
      <c r="I81" s="1" t="str">
        <f>IFERROR(__xludf.DUMMYFUNCTION("GOOGLETRANSLATE(H:H, ""en"", ""te"")"),"ఉక్రెయిన్")</f>
        <v>ఉక్రెయిన్</v>
      </c>
      <c r="J81" s="3" t="s">
        <v>1094</v>
      </c>
      <c r="K81" s="1" t="s">
        <v>1203</v>
      </c>
      <c r="L81" s="2" t="str">
        <f>IFERROR(__xludf.DUMMYFUNCTION("GOOGLETRANSLATE(K:K, ""en"", ""te"")"),"ఏరోప్రాక్ట్")</f>
        <v>ఏరోప్రాక్ట్</v>
      </c>
      <c r="M81" s="3" t="s">
        <v>1204</v>
      </c>
      <c r="N81" s="1" t="s">
        <v>1251</v>
      </c>
      <c r="O81" s="1" t="str">
        <f>IFERROR(__xludf.DUMMYFUNCTION("GOOGLETRANSLATE(N:N, ""en"", ""te"")"),"ఉత్పత్తిలో (2011)")</f>
        <v>ఉత్పత్తిలో (2011)</v>
      </c>
      <c r="Q81" s="1" t="s">
        <v>162</v>
      </c>
      <c r="R81" s="1" t="s">
        <v>400</v>
      </c>
      <c r="S81" s="1" t="s">
        <v>1154</v>
      </c>
      <c r="U81" s="1" t="s">
        <v>1252</v>
      </c>
      <c r="X81" s="1" t="s">
        <v>1253</v>
      </c>
      <c r="Y81" s="1" t="s">
        <v>1254</v>
      </c>
      <c r="Z81" s="1" t="s">
        <v>1255</v>
      </c>
      <c r="AA81" s="1" t="s">
        <v>1141</v>
      </c>
      <c r="AE81" s="1" t="s">
        <v>1256</v>
      </c>
      <c r="AH81" s="1" t="s">
        <v>1257</v>
      </c>
      <c r="AI81" s="1" t="s">
        <v>1258</v>
      </c>
      <c r="AJ81" s="1" t="s">
        <v>1259</v>
      </c>
      <c r="AL81" s="1" t="s">
        <v>1260</v>
      </c>
      <c r="AM81" s="1" t="s">
        <v>1084</v>
      </c>
      <c r="AS81" s="1" t="s">
        <v>1261</v>
      </c>
      <c r="AU81" s="1" t="s">
        <v>1262</v>
      </c>
      <c r="BP81" s="1" t="s">
        <v>1068</v>
      </c>
    </row>
    <row r="82">
      <c r="A82" s="1" t="s">
        <v>1263</v>
      </c>
      <c r="B82" s="1" t="str">
        <f>IFERROR(__xludf.DUMMYFUNCTION("GOOGLETRANSLATE(A:A, ""en"", ""te"")"),"ఏరోస్ -2")</f>
        <v>ఏరోస్ -2</v>
      </c>
      <c r="C82" s="1" t="s">
        <v>1264</v>
      </c>
      <c r="D82" s="1" t="str">
        <f>IFERROR(__xludf.DUMMYFUNCTION("GOOGLETRANSLATE(C:C, ""en"", ""te"")"),"ఏరోస్ -2 అనేది ఉక్రేనియన్ అల్ట్రాలైట్ ట్రైక్, ఇది కైవ్ యొక్క ఎరోస్ చేత రూపొందించబడింది మరియు నిర్మించింది. ఈ విమానం పూర్తి రెడీ-టు-ఫ్లై విమానం లేదా te త్సాహిక నిర్మాణానికి కిట్‌గా సరఫరా చేయబడుతుంది. [1] [2] [3] అమెరికాలో డిజైన్ వెంచర్ మరియు వేగం వలె విక్ర"&amp;"యించబడుతుంది. [2] [3] మునుపటి ఏరోస్ -1 నుండి అభివృద్ధి చేయబడిన ఏరోస్ -2 లో కేబుల్-బ్రేస్డ్ హాంగ్ గ్లైడర్-స్టైల్ హై-వింగ్, వెయిట్-షిఫ్ట్ కంట్రోల్స్, రెండు-సీట్ల-టెన్డం ఓపెన్ కాక్‌పిట్, ట్రైసైకిల్ ల్యాండింగ్ గేర్ మరియు పషర్‌లో ఒకే ఇంజిన్ ఉన్నాయి కాన్ఫిగరేషన"&amp;"్. [1] [2] ఈ విమానం చదరపు గొట్టాల నుండి తయారవుతుంది, దాని రెక్క డాక్రాన్ సెయిల్‌క్లాత్‌లో కప్పబడి ఉంటుంది. దాని 10 మీ (32.8 అడుగుల) స్పాన్ వింగ్‌కు ఒకే ట్యూబ్-రకం కింగ్‌పోస్ట్ మద్దతు ఇస్తుంది మరియు ""ఎ"" ఫ్రేమ్ కంట్రోల్ బార్‌ను ఉపయోగిస్తుంది. యజమానులను క్"&amp;"రమబద్ధీకరించిన ఫైబర్‌గ్లాస్ కాక్‌పిట్ ఫెయిరింగ్‌లో ఉంచారు. అందుబాటులో ఉన్న ఇంజిన్లలో ట్విన్ సిలిండర్, టూ-స్ట్రోక్, లిక్విడ్-కూల్డ్ 64 హెచ్‌పి (48 కిలోవాట్) రోటాక్స్ 582 మరియు నాలుగు సిలిండర్ ఫోర్-స్ట్రోక్ 80 హెచ్‌పి (60 కిలోవాట్) రోటాక్స్ 912UL మరియు 100 "&amp;"హెచ్‌పి (75 kW) 912లు ఉన్నాయి. BMW మరియు సుబారు ఇంజిన్ల కోసం ఇంజిన్ మౌంట్‌లు కూడా అందుబాటులో ఉన్నాయి. క్యారేజీకి జతకట్టడానికి అందుబాటులో ఉన్న రెక్కలు ఎరోస్ ప్రొఫెసర్, ఎరోస్ స్ట్రేంజర్, ఎరోస్ స్ట్రీమ్ మరియు ఎరోస్ ఇప్పటికీ ఉన్నాయి. వింగ్-మౌంటు పైలాన్ మడతపెట"&amp;"్టేది, రెక్కను ఒక వ్యక్తి వ్యవస్థాపించడానికి అనుమతిస్తుంది. ఫ్లోట్లు మరియు స్కీ ల్యాండింగ్ గేర్ ఐచ్ఛికం. [1] [2] EROS నుండి డేటా [4] సాధారణ లక్షణాల పనితీరు")</f>
        <v>ఏరోస్ -2 అనేది ఉక్రేనియన్ అల్ట్రాలైట్ ట్రైక్, ఇది కైవ్ యొక్క ఎరోస్ చేత రూపొందించబడింది మరియు నిర్మించింది. ఈ విమానం పూర్తి రెడీ-టు-ఫ్లై విమానం లేదా te త్సాహిక నిర్మాణానికి కిట్‌గా సరఫరా చేయబడుతుంది. [1] [2] [3] అమెరికాలో డిజైన్ వెంచర్ మరియు వేగం వలె విక్రయించబడుతుంది. [2] [3] మునుపటి ఏరోస్ -1 నుండి అభివృద్ధి చేయబడిన ఏరోస్ -2 లో కేబుల్-బ్రేస్డ్ హాంగ్ గ్లైడర్-స్టైల్ హై-వింగ్, వెయిట్-షిఫ్ట్ కంట్రోల్స్, రెండు-సీట్ల-టెన్డం ఓపెన్ కాక్‌పిట్, ట్రైసైకిల్ ల్యాండింగ్ గేర్ మరియు పషర్‌లో ఒకే ఇంజిన్ ఉన్నాయి కాన్ఫిగరేషన్. [1] [2] ఈ విమానం చదరపు గొట్టాల నుండి తయారవుతుంది, దాని రెక్క డాక్రాన్ సెయిల్‌క్లాత్‌లో కప్పబడి ఉంటుంది. దాని 10 మీ (32.8 అడుగుల) స్పాన్ వింగ్‌కు ఒకే ట్యూబ్-రకం కింగ్‌పోస్ట్ మద్దతు ఇస్తుంది మరియు "ఎ" ఫ్రేమ్ కంట్రోల్ బార్‌ను ఉపయోగిస్తుంది. యజమానులను క్రమబద్ధీకరించిన ఫైబర్‌గ్లాస్ కాక్‌పిట్ ఫెయిరింగ్‌లో ఉంచారు. అందుబాటులో ఉన్న ఇంజిన్లలో ట్విన్ సిలిండర్, టూ-స్ట్రోక్, లిక్విడ్-కూల్డ్ 64 హెచ్‌పి (48 కిలోవాట్) రోటాక్స్ 582 మరియు నాలుగు సిలిండర్ ఫోర్-స్ట్రోక్ 80 హెచ్‌పి (60 కిలోవాట్) రోటాక్స్ 912UL మరియు 100 హెచ్‌పి (75 kW) 912లు ఉన్నాయి. BMW మరియు సుబారు ఇంజిన్ల కోసం ఇంజిన్ మౌంట్‌లు కూడా అందుబాటులో ఉన్నాయి. క్యారేజీకి జతకట్టడానికి అందుబాటులో ఉన్న రెక్కలు ఎరోస్ ప్రొఫెసర్, ఎరోస్ స్ట్రేంజర్, ఎరోస్ స్ట్రీమ్ మరియు ఎరోస్ ఇప్పటికీ ఉన్నాయి. వింగ్-మౌంటు పైలాన్ మడతపెట్టేది, రెక్కను ఒక వ్యక్తి వ్యవస్థాపించడానికి అనుమతిస్తుంది. ఫ్లోట్లు మరియు స్కీ ల్యాండింగ్ గేర్ ఐచ్ఛికం. [1] [2] EROS నుండి డేటా [4] సాధారణ లక్షణాల పనితీరు</v>
      </c>
      <c r="E82" s="1" t="s">
        <v>1137</v>
      </c>
      <c r="F82" s="1" t="str">
        <f>IFERROR(__xludf.DUMMYFUNCTION("GOOGLETRANSLATE(E:E, ""en"", ""te"")"),"అల్ట్రాలైట్ ట్రైక్")</f>
        <v>అల్ట్రాలైట్ ట్రైక్</v>
      </c>
      <c r="G82" s="1" t="s">
        <v>1138</v>
      </c>
      <c r="H82" s="1" t="s">
        <v>1093</v>
      </c>
      <c r="I82" s="1" t="str">
        <f>IFERROR(__xludf.DUMMYFUNCTION("GOOGLETRANSLATE(H:H, ""en"", ""te"")"),"ఉక్రెయిన్")</f>
        <v>ఉక్రెయిన్</v>
      </c>
      <c r="J82" s="3" t="s">
        <v>1094</v>
      </c>
      <c r="K82" s="1" t="s">
        <v>1095</v>
      </c>
      <c r="L82" s="2" t="str">
        <f>IFERROR(__xludf.DUMMYFUNCTION("GOOGLETRANSLATE(K:K, ""en"", ""te"")"),"ఎరోస్")</f>
        <v>ఎరోస్</v>
      </c>
      <c r="M82" s="3" t="s">
        <v>1096</v>
      </c>
      <c r="N82" s="1" t="s">
        <v>584</v>
      </c>
      <c r="O82" s="1" t="str">
        <f>IFERROR(__xludf.DUMMYFUNCTION("GOOGLETRANSLATE(N:N, ""en"", ""te"")"),"ఉత్పత్తిలో")</f>
        <v>ఉత్పత్తిలో</v>
      </c>
      <c r="Q82" s="1" t="s">
        <v>162</v>
      </c>
      <c r="S82" s="1" t="s">
        <v>1139</v>
      </c>
      <c r="W82" s="1" t="s">
        <v>177</v>
      </c>
      <c r="X82" s="1" t="s">
        <v>1265</v>
      </c>
      <c r="Y82" s="1" t="s">
        <v>1063</v>
      </c>
      <c r="Z82" s="1" t="s">
        <v>1141</v>
      </c>
      <c r="AA82" s="1" t="s">
        <v>252</v>
      </c>
      <c r="AI82" s="1" t="s">
        <v>1142</v>
      </c>
      <c r="AL82" s="1" t="s">
        <v>1266</v>
      </c>
      <c r="AM82" s="1" t="s">
        <v>330</v>
      </c>
      <c r="AQ82" s="1" t="s">
        <v>886</v>
      </c>
      <c r="AS82" s="1" t="s">
        <v>1143</v>
      </c>
      <c r="BJ82" s="1" t="s">
        <v>878</v>
      </c>
      <c r="BL82" s="1" t="s">
        <v>1144</v>
      </c>
      <c r="BM82" s="1">
        <v>6.0</v>
      </c>
      <c r="BO82" s="1" t="s">
        <v>1267</v>
      </c>
      <c r="BP82" s="1" t="s">
        <v>1145</v>
      </c>
      <c r="BR82" s="3" t="s">
        <v>1268</v>
      </c>
    </row>
    <row r="83">
      <c r="A83" s="1" t="s">
        <v>1269</v>
      </c>
      <c r="B83" s="1" t="str">
        <f>IFERROR(__xludf.DUMMYFUNCTION("GOOGLETRANSLATE(A:A, ""en"", ""te"")"),"Adcox 1-a")</f>
        <v>Adcox 1-a</v>
      </c>
      <c r="C83" s="1" t="s">
        <v>1270</v>
      </c>
      <c r="D83" s="1" t="str">
        <f>IFERROR(__xludf.DUMMYFUNCTION("GOOGLETRANSLATE(C:C, ""en"", ""te"")"),"ADCOX 1-A అనేది 1929 లో US ADCOX ఏవియేషన్ ట్రేడ్ స్కూల్ విద్యార్థులు నిర్మించిన రెండు-సీట్ల ఓపెన్-కాక్‌పిట్ బైప్‌లేన్. ఒకే ఒక ఉదాహరణ మాత్రమే నిర్మించబడింది. 1920 ల విమానంలో ఈ వ్యాసం ఒక స్టబ్. వికీపీడియా విస్తరించడం ద్వారా మీరు సహాయపడవచ్చు.")</f>
        <v>ADCOX 1-A అనేది 1929 లో US ADCOX ఏవియేషన్ ట్రేడ్ స్కూల్ విద్యార్థులు నిర్మించిన రెండు-సీట్ల ఓపెన్-కాక్‌పిట్ బైప్‌లేన్. ఒకే ఒక ఉదాహరణ మాత్రమే నిర్మించబడింది. 1920 ల విమానంలో ఈ వ్యాసం ఒక స్టబ్. వికీపీడియా విస్తరించడం ద్వారా మీరు సహాయపడవచ్చు.</v>
      </c>
      <c r="L83" s="2"/>
    </row>
    <row r="84">
      <c r="A84" s="1" t="s">
        <v>1271</v>
      </c>
      <c r="B84" s="1" t="str">
        <f>IFERROR(__xludf.DUMMYFUNCTION("GOOGLETRANSLATE(A:A, ""en"", ""te"")"),"ADCOX క్లౌడ్ బస్టర్")</f>
        <v>ADCOX క్లౌడ్ బస్టర్</v>
      </c>
      <c r="C84" s="1" t="s">
        <v>1272</v>
      </c>
      <c r="D84" s="1" t="str">
        <f>IFERROR(__xludf.DUMMYFUNCTION("GOOGLETRANSLATE(C:C, ""en"", ""te"")"),"ADCOX క్లౌడ్ బస్టర్ 1931 లో యుఎస్ ADCOX ఏవియేషన్ ట్రేడ్ స్కూల్ విద్యార్థులు నిర్మించిన రెండు-సీట్ల క్రీడా బైప్‌లేన్. ఇది మొదట 40 HP (30 kW) సాల్మ్సన్ AD-9 ఇంజిన్ ద్వారా శక్తిని పొందింది. ఒకే ఉదాహరణ నిర్మించబడింది, 1938 లో స్క్రాప్ చేయడానికి ముందు యజమానులన"&amp;"ు (మరియు ఇంజన్లు) చాలాసార్లు మార్చారు. 1930 ల వ్యాసం యొక్క ఈ విమానం ఒక స్టబ్. వికీపీడియా విస్తరించడం ద్వారా మీరు సహాయపడవచ్చు.")</f>
        <v>ADCOX క్లౌడ్ బస్టర్ 1931 లో యుఎస్ ADCOX ఏవియేషన్ ట్రేడ్ స్కూల్ విద్యార్థులు నిర్మించిన రెండు-సీట్ల క్రీడా బైప్‌లేన్. ఇది మొదట 40 HP (30 kW) సాల్మ్సన్ AD-9 ఇంజిన్ ద్వారా శక్తిని పొందింది. ఒకే ఉదాహరణ నిర్మించబడింది, 1938 లో స్క్రాప్ చేయడానికి ముందు యజమానులను (మరియు ఇంజన్లు) చాలాసార్లు మార్చారు. 1930 ల వ్యాసం యొక్క ఈ విమానం ఒక స్టబ్. వికీపీడియా విస్తరించడం ద్వారా మీరు సహాయపడవచ్చు.</v>
      </c>
      <c r="L84" s="2"/>
    </row>
    <row r="85">
      <c r="A85" s="1" t="s">
        <v>1273</v>
      </c>
      <c r="B85" s="1" t="str">
        <f>IFERROR(__xludf.DUMMYFUNCTION("GOOGLETRANSLATE(A:A, ""en"", ""te"")"),"ఏరోకార్ మినీ-ఇంప్")</f>
        <v>ఏరోకార్ మినీ-ఇంప్</v>
      </c>
      <c r="C85" s="1" t="s">
        <v>1274</v>
      </c>
      <c r="D85" s="1" t="str">
        <f>IFERROR(__xludf.DUMMYFUNCTION("GOOGLETRANSLATE(C:C, ""en"", ""te"")"),"ఏరోకార్ మినీ-ఇంప్ (స్వతంత్రంగా తయారు చేసిన విమానం) అనేది మౌల్టన్ టేలర్ రూపొందించిన తేలికపాటి విమానం మరియు ఏరోకార్ ఇంటర్నేషనల్ హోమ్‌బిల్డింగ్ కోసం విక్రయించబడింది. ఇది అతని అసలు ఏరోకార్ ఇంప్ డిజైన్ యొక్క స్కేల్డ్-డౌన్ ఉత్పన్నం. ది బుల్లెట్ అని పిలువబడే రెం"&amp;"డు-సీట్ల వెర్షన్ కూడా నిర్మించబడింది. మినీ-ఇంప్ దాని పెద్ద పూర్వీకుల మాదిరిగానే అసాధారణమైన లేఅవుట్‌ను అనుసరిస్తుంది, సెంటర్ మౌంటెడ్ ఇంజిన్, లాంగ్ డ్రైవ్‌షాఫ్ట్ తోక ప్రొపెల్లర్‌కు మరియు విలోమ-వి చుక్కాని/ఎలివేటర్లు. [1] ఈ విమానం te త్సాహిక నిర్మాణం కోసం ప్"&amp;"రణాళికల రూపంలో లభిస్తుంది. టేలర్ మరణం తరువాత, మినీ-ఇంప్ కోసం ప్రణాళికలు మరియు లైసెన్సింగ్ టెక్సాస్‌లోని వెదర్‌ఫోర్డ్ యొక్క మినీ-ఇంప్ ఎయిర్‌క్రాఫ్ట్ కంపెనీ చేత విక్రయించబడ్డాయి. [2] [3] [4] ఈ విమానం కాంటిలివర్ హై-వింగ్, సింగిల్-సీట్ల పరివేష్టిత కాక్‌పిట్, "&amp;"స్థిర లేదా ముడుచుకునే ట్రైసైకిల్ ల్యాండింగ్ గేర్ లేదా సాంప్రదాయిక ల్యాండింగ్ గేర్ మరియు పషర్ కాన్ఫిగరేషన్‌లో ఒకే ఇంజిన్ కలిగి ఉంది. [2] [3] ఈ విమానం రివర్టెడ్ అల్యూమినియం షీట్ నుండి తయారవుతుంది. దీని 24.5 అడుగుల (7.5 మీ) స్పాన్ వింగ్ పైలట్ వెనుక బాగా అమర్"&amp;"చబడి, నాసా జిఎ (పిసి) -1 ఎయిర్‌ఫాయిల్‌ను ఉపయోగిస్తుంది. పొడిగింపు షాఫ్ట్ ద్వారా ప్రొపెల్లర్‌ను నడుపుతున్న పైలట్ సీటు వెనుక ఇంజిన్ అమర్చబడి ఉంటుంది. ఉపయోగించిన ఇంజిన్లలో 60 నుండి 100 హెచ్‌పి (45 నుండి 75 కిలోవాట్) వోక్స్వ్యాగన్ ఎయిర్-కూల్డ్ ఇంజిన్ ఫోర్-స్ట"&amp;"్రోక్ ఉన్నాయి. [2] [3] [5] టేలర్ మినీ-ఇంప్ అసలు డిజైన్ కాదని, 1912 ఎడిసన్ డోలడే బుల్లెట్ యొక్క నవీకరించబడిన సంస్కరణ అని పేర్కొన్నాడు, ఇది ఫ్లైట్ యొక్క ప్రారంభ రోజులలో 110 mph సామర్థ్యం కలిగి ఉంది. [6] 1970 ల చివరలో, మినీ-ఇంప్ యొక్క సైనిక సంస్కరణకు సంబంధిం"&amp;"చి, కెవ్లార్‌తో చర్మం, రెండు 7.62-మిల్లీమీటర్ల మెషిన్ గన్‌లతో సాయుధమయ్యారు మరియు గణనీయమైన మందుగుండు సామగ్రి కోసం సామాను కంపార్ట్‌మెంట్‌లో గదితో విచారణ చేశారు. ప్రతిపాదన నుండి ఏమీ రాలేదు. [7] బేయర్ల్ మరియు టాక్ నుండి డేటా [2] [3] సాధారణ లక్షణాలు పనితీరు సం"&amp;"బంధిత అభివృద్ధి:")</f>
        <v>ఏరోకార్ మినీ-ఇంప్ (స్వతంత్రంగా తయారు చేసిన విమానం) అనేది మౌల్టన్ టేలర్ రూపొందించిన తేలికపాటి విమానం మరియు ఏరోకార్ ఇంటర్నేషనల్ హోమ్‌బిల్డింగ్ కోసం విక్రయించబడింది. ఇది అతని అసలు ఏరోకార్ ఇంప్ డిజైన్ యొక్క స్కేల్డ్-డౌన్ ఉత్పన్నం. ది బుల్లెట్ అని పిలువబడే రెండు-సీట్ల వెర్షన్ కూడా నిర్మించబడింది. మినీ-ఇంప్ దాని పెద్ద పూర్వీకుల మాదిరిగానే అసాధారణమైన లేఅవుట్‌ను అనుసరిస్తుంది, సెంటర్ మౌంటెడ్ ఇంజిన్, లాంగ్ డ్రైవ్‌షాఫ్ట్ తోక ప్రొపెల్లర్‌కు మరియు విలోమ-వి చుక్కాని/ఎలివేటర్లు. [1] ఈ విమానం te త్సాహిక నిర్మాణం కోసం ప్రణాళికల రూపంలో లభిస్తుంది. టేలర్ మరణం తరువాత, మినీ-ఇంప్ కోసం ప్రణాళికలు మరియు లైసెన్సింగ్ టెక్సాస్‌లోని వెదర్‌ఫోర్డ్ యొక్క మినీ-ఇంప్ ఎయిర్‌క్రాఫ్ట్ కంపెనీ చేత విక్రయించబడ్డాయి. [2] [3] [4] ఈ విమానం కాంటిలివర్ హై-వింగ్, సింగిల్-సీట్ల పరివేష్టిత కాక్‌పిట్, స్థిర లేదా ముడుచుకునే ట్రైసైకిల్ ల్యాండింగ్ గేర్ లేదా సాంప్రదాయిక ల్యాండింగ్ గేర్ మరియు పషర్ కాన్ఫిగరేషన్‌లో ఒకే ఇంజిన్ కలిగి ఉంది. [2] [3] ఈ విమానం రివర్టెడ్ అల్యూమినియం షీట్ నుండి తయారవుతుంది. దీని 24.5 అడుగుల (7.5 మీ) స్పాన్ వింగ్ పైలట్ వెనుక బాగా అమర్చబడి, నాసా జిఎ (పిసి) -1 ఎయిర్‌ఫాయిల్‌ను ఉపయోగిస్తుంది. పొడిగింపు షాఫ్ట్ ద్వారా ప్రొపెల్లర్‌ను నడుపుతున్న పైలట్ సీటు వెనుక ఇంజిన్ అమర్చబడి ఉంటుంది. ఉపయోగించిన ఇంజిన్లలో 60 నుండి 100 హెచ్‌పి (45 నుండి 75 కిలోవాట్) వోక్స్వ్యాగన్ ఎయిర్-కూల్డ్ ఇంజిన్ ఫోర్-స్ట్రోక్ ఉన్నాయి. [2] [3] [5] టేలర్ మినీ-ఇంప్ అసలు డిజైన్ కాదని, 1912 ఎడిసన్ డోలడే బుల్లెట్ యొక్క నవీకరించబడిన సంస్కరణ అని పేర్కొన్నాడు, ఇది ఫ్లైట్ యొక్క ప్రారంభ రోజులలో 110 mph సామర్థ్యం కలిగి ఉంది. [6] 1970 ల చివరలో, మినీ-ఇంప్ యొక్క సైనిక సంస్కరణకు సంబంధించి, కెవ్లార్‌తో చర్మం, రెండు 7.62-మిల్లీమీటర్ల మెషిన్ గన్‌లతో సాయుధమయ్యారు మరియు గణనీయమైన మందుగుండు సామగ్రి కోసం సామాను కంపార్ట్‌మెంట్‌లో గదితో విచారణ చేశారు. ప్రతిపాదన నుండి ఏమీ రాలేదు. [7] బేయర్ల్ మరియు టాక్ నుండి డేటా [2] [3] సాధారణ లక్షణాలు పనితీరు సంబంధిత అభివృద్ధి:</v>
      </c>
      <c r="E85" s="1" t="s">
        <v>480</v>
      </c>
      <c r="F85" s="1" t="str">
        <f>IFERROR(__xludf.DUMMYFUNCTION("GOOGLETRANSLATE(E:E, ""en"", ""te"")"),"హోమ్‌బిల్ట్ విమానం")</f>
        <v>హోమ్‌బిల్ట్ విమానం</v>
      </c>
      <c r="G85" s="1" t="s">
        <v>481</v>
      </c>
      <c r="H85" s="1" t="s">
        <v>227</v>
      </c>
      <c r="I85" s="1" t="str">
        <f>IFERROR(__xludf.DUMMYFUNCTION("GOOGLETRANSLATE(H:H, ""en"", ""te"")"),"అమెరికా")</f>
        <v>అమెరికా</v>
      </c>
      <c r="J85" s="3" t="s">
        <v>228</v>
      </c>
      <c r="K85" s="1" t="s">
        <v>1275</v>
      </c>
      <c r="L85" s="2" t="str">
        <f>IFERROR(__xludf.DUMMYFUNCTION("GOOGLETRANSLATE(K:K, ""en"", ""te"")"),"ఏరోకార్ ఇంటర్నేషనల్")</f>
        <v>ఏరోకార్ ఇంటర్నేషనల్</v>
      </c>
      <c r="M85" s="1" t="s">
        <v>1276</v>
      </c>
      <c r="N85" s="1" t="s">
        <v>1277</v>
      </c>
      <c r="O85" s="1" t="str">
        <f>IFERROR(__xludf.DUMMYFUNCTION("GOOGLETRANSLATE(N:N, ""en"", ""te"")"),"ప్రణాళికలు అందుబాటులో ఉన్నాయి (2015)")</f>
        <v>ప్రణాళికలు అందుబాటులో ఉన్నాయి (2015)</v>
      </c>
      <c r="Q85" s="1" t="s">
        <v>162</v>
      </c>
      <c r="R85" s="1" t="s">
        <v>1278</v>
      </c>
      <c r="U85" s="1" t="s">
        <v>1279</v>
      </c>
      <c r="X85" s="1" t="s">
        <v>1280</v>
      </c>
      <c r="Y85" s="1" t="s">
        <v>1281</v>
      </c>
      <c r="Z85" s="1" t="s">
        <v>423</v>
      </c>
      <c r="AA85" s="1" t="s">
        <v>1282</v>
      </c>
      <c r="AB85" s="1" t="s">
        <v>1283</v>
      </c>
      <c r="AI85" s="1" t="s">
        <v>1284</v>
      </c>
      <c r="AJ85" s="1" t="s">
        <v>1285</v>
      </c>
      <c r="AL85" s="1" t="s">
        <v>1286</v>
      </c>
      <c r="AS85" s="1" t="s">
        <v>1287</v>
      </c>
      <c r="BO85" s="1" t="s">
        <v>1288</v>
      </c>
      <c r="BP85" s="1" t="s">
        <v>1289</v>
      </c>
      <c r="BR85" s="1" t="s">
        <v>1290</v>
      </c>
      <c r="BS85" s="1" t="s">
        <v>1291</v>
      </c>
    </row>
    <row r="86">
      <c r="A86" s="1" t="s">
        <v>1292</v>
      </c>
      <c r="B86" s="1" t="str">
        <f>IFERROR(__xludf.DUMMYFUNCTION("GOOGLETRANSLATE(A:A, ""en"", ""te"")"),"ఏరోఫ్లైంగ్ సంచలనం")</f>
        <v>ఏరోఫ్లైంగ్ సంచలనం</v>
      </c>
      <c r="C86" s="1" t="s">
        <v>1293</v>
      </c>
      <c r="D86" s="1" t="str">
        <f>IFERROR(__xludf.DUMMYFUNCTION("GOOGLETRANSLATE(C:C, ""en"", ""te"")"),"ఏరోఫ్లైంగ్ సంచలనం అనేది ఒక ఫ్రెంచ్ అల్ట్రాలైట్ విమానం, ఇది మాజీ ఎయిర్‌బస్ ఇంజనీర్ జోస్ వెర్జెస్ చేత రూపొందించబడింది మరియు సెయింట్-ఆండ్రే-డెస్-ఇయాక్స్, లోయిర్-అట్లాంటిక్ యొక్క ఏరోఫ్లైంగ్ ద్వారా ఉత్పత్తి అవుతుంది. ఇది 2007 లో బ్లోయిస్‌లోని ఫ్రెంచ్ హోంబుల్డర"&amp;"్స్ ర్యాలీలో ప్రవేశపెట్టబడింది. ఈ విమానం te త్సాహిక నిర్మాణానికి కిట్‌గా లేదా పూర్తి రెడీ-టు-ఫ్లై-ఎయిర్‌క్రాఫ్ట్‌గా సరఫరా చేయబడుతుంది. [1] [2] 2015 నాటికి ఈ విమానం ఎస్పేస్ చేత ఉత్పత్తి చేయబడింది మరియు పంపిణీని రాండ్కర్ నిర్వహించింది. [2] ఈ సంచలనం Fédérati"&amp;"on aéronautique ఇంటర్నేషనల్ మైక్రోలైట్ నిబంధనలకు అనుగుణంగా రూపొందించబడింది. ఇది కాంటిలివర్ లో-వింగ్, రెండు-సీట్ల-సైడ్-సైడ్-సైడ్ కాన్ఫిగరేషన్ పరివేష్టిత కాక్‌పిట్, ట్రైసైకిల్ ల్యాండింగ్ గేర్ లేదా సాంప్రదాయిక ల్యాండింగ్ గేర్ యొక్క ఎంపిక మరియు ట్రాక్టర్ కాన్"&amp;"ఫిగరేషన్‌లో ఒకే ఇంజిన్ కలిగి ఉంది. [1] [2] ఈ విమానం రివర్టెడ్ అల్యూమినియం షీట్ నుండి తయారవుతుంది. దీని 8.40 మీ (27.6 అడుగులు) స్పాన్ వింగ్ స్లాట్డ్ ఫ్లాప్‌లను ఉపయోగిస్తుంది. ప్రామాణిక ఇంజన్లు 80 హెచ్‌పి (60 కిలోవాట్ల) రోటాక్స్ 912 ఎల్ మరియు 100 హెచ్‌పి (7"&amp;"5 కిలోవాట్) రోటాక్స్ 912లు నాలుగు-స్ట్రోక్ పవర్‌ప్లాంట్లు. వివిధ రకాల వస్తు సామగ్రిని వివిధ స్థాయిలు పూర్తి చేస్తాయి, వీటిలో ఏదీ ఇంజిన్‌ను కలిగి లేదు. [1] [2] సంచలనం 80 హెచ్‌పి (60 కిలోవాట్) పై 200 కిమీ/గం (124 mph) క్రూయిజ్ వేగాన్ని కలిగి ఉంది మరియు 1,20"&amp;"0 కిమీ (746 మైళ్ళు) పరిధిని కలిగి ఉంది. [1] [2] బేయర్ల్ మరియు టాక్ నుండి డేటా [1] [2] సాధారణ లక్షణాల పనితీరు")</f>
        <v>ఏరోఫ్లైంగ్ సంచలనం అనేది ఒక ఫ్రెంచ్ అల్ట్రాలైట్ విమానం, ఇది మాజీ ఎయిర్‌బస్ ఇంజనీర్ జోస్ వెర్జెస్ చేత రూపొందించబడింది మరియు సెయింట్-ఆండ్రే-డెస్-ఇయాక్స్, లోయిర్-అట్లాంటిక్ యొక్క ఏరోఫ్లైంగ్ ద్వారా ఉత్పత్తి అవుతుంది. ఇది 2007 లో బ్లోయిస్‌లోని ఫ్రెంచ్ హోంబుల్డర్స్ ర్యాలీలో ప్రవేశపెట్టబడింది. ఈ విమానం te త్సాహిక నిర్మాణానికి కిట్‌గా లేదా పూర్తి రెడీ-టు-ఫ్లై-ఎయిర్‌క్రాఫ్ట్‌గా సరఫరా చేయబడుతుంది. [1] [2] 2015 నాటికి ఈ విమానం ఎస్పేస్ చేత ఉత్పత్తి చేయబడింది మరియు పంపిణీని రాండ్కర్ నిర్వహించింది. [2] ఈ సంచలనం Fédération aéronautique ఇంటర్నేషనల్ మైక్రోలైట్ నిబంధనలకు అనుగుణంగా రూపొందించబడింది. ఇది కాంటిలివర్ లో-వింగ్, రెండు-సీట్ల-సైడ్-సైడ్-సైడ్ కాన్ఫిగరేషన్ పరివేష్టిత కాక్‌పిట్, ట్రైసైకిల్ ల్యాండింగ్ గేర్ లేదా సాంప్రదాయిక ల్యాండింగ్ గేర్ యొక్క ఎంపిక మరియు ట్రాక్టర్ కాన్ఫిగరేషన్‌లో ఒకే ఇంజిన్ కలిగి ఉంది. [1] [2] ఈ విమానం రివర్టెడ్ అల్యూమినియం షీట్ నుండి తయారవుతుంది. దీని 8.40 మీ (27.6 అడుగులు) స్పాన్ వింగ్ స్లాట్డ్ ఫ్లాప్‌లను ఉపయోగిస్తుంది. ప్రామాణిక ఇంజన్లు 80 హెచ్‌పి (60 కిలోవాట్ల) రోటాక్స్ 912 ఎల్ మరియు 100 హెచ్‌పి (75 కిలోవాట్) రోటాక్స్ 912లు నాలుగు-స్ట్రోక్ పవర్‌ప్లాంట్లు. వివిధ రకాల వస్తు సామగ్రిని వివిధ స్థాయిలు పూర్తి చేస్తాయి, వీటిలో ఏదీ ఇంజిన్‌ను కలిగి లేదు. [1] [2] సంచలనం 80 హెచ్‌పి (60 కిలోవాట్) పై 200 కిమీ/గం (124 mph) క్రూయిజ్ వేగాన్ని కలిగి ఉంది మరియు 1,200 కిమీ (746 మైళ్ళు) పరిధిని కలిగి ఉంది. [1] [2] బేయర్ల్ మరియు టాక్ నుండి డేటా [1] [2] సాధారణ లక్షణాల పనితీరు</v>
      </c>
      <c r="E86" s="1" t="s">
        <v>1056</v>
      </c>
      <c r="F86" s="1" t="str">
        <f>IFERROR(__xludf.DUMMYFUNCTION("GOOGLETRANSLATE(E:E, ""en"", ""te"")"),"అల్ట్రాలైట్ విమానం")</f>
        <v>అల్ట్రాలైట్ విమానం</v>
      </c>
      <c r="G86" s="1" t="s">
        <v>1057</v>
      </c>
      <c r="H86" s="1" t="s">
        <v>208</v>
      </c>
      <c r="I86" s="1" t="str">
        <f>IFERROR(__xludf.DUMMYFUNCTION("GOOGLETRANSLATE(H:H, ""en"", ""te"")"),"ఫ్రాన్స్")</f>
        <v>ఫ్రాన్స్</v>
      </c>
      <c r="J86" s="3" t="s">
        <v>209</v>
      </c>
      <c r="K86" s="1" t="s">
        <v>1294</v>
      </c>
      <c r="L86" s="2" t="str">
        <f>IFERROR(__xludf.DUMMYFUNCTION("GOOGLETRANSLATE(K:K, ""en"", ""te"")"),"ఎస్పేస్")</f>
        <v>ఎస్పేస్</v>
      </c>
      <c r="N86" s="1" t="s">
        <v>584</v>
      </c>
      <c r="O86" s="1" t="str">
        <f>IFERROR(__xludf.DUMMYFUNCTION("GOOGLETRANSLATE(N:N, ""en"", ""te"")"),"ఉత్పత్తిలో")</f>
        <v>ఉత్పత్తిలో</v>
      </c>
      <c r="Q86" s="1" t="s">
        <v>162</v>
      </c>
      <c r="R86" s="1" t="s">
        <v>1295</v>
      </c>
      <c r="S86" s="1" t="s">
        <v>1296</v>
      </c>
      <c r="U86" s="1" t="s">
        <v>1110</v>
      </c>
      <c r="X86" s="1" t="s">
        <v>1297</v>
      </c>
      <c r="Y86" s="1" t="s">
        <v>1063</v>
      </c>
      <c r="Z86" s="1" t="s">
        <v>1228</v>
      </c>
      <c r="AA86" s="1" t="s">
        <v>581</v>
      </c>
      <c r="AB86" s="1" t="s">
        <v>1298</v>
      </c>
      <c r="AC86" s="1">
        <v>2007.0</v>
      </c>
      <c r="AI86" s="1" t="s">
        <v>1299</v>
      </c>
      <c r="AM86" s="1" t="s">
        <v>330</v>
      </c>
      <c r="AP86" s="1" t="s">
        <v>1300</v>
      </c>
      <c r="AS86" s="1" t="s">
        <v>1301</v>
      </c>
      <c r="AU86" s="1" t="s">
        <v>1302</v>
      </c>
      <c r="BP86" s="1" t="s">
        <v>1303</v>
      </c>
    </row>
    <row r="87">
      <c r="A87" s="1" t="s">
        <v>1304</v>
      </c>
      <c r="B87" s="1" t="str">
        <f>IFERROR(__xludf.DUMMYFUNCTION("GOOGLETRANSLATE(A:A, ""en"", ""te"")"),"ఆడమ్స్ CA-2")</f>
        <v>ఆడమ్స్ CA-2</v>
      </c>
      <c r="C87" s="1" t="s">
        <v>1305</v>
      </c>
      <c r="D87" s="1" t="str">
        <f>IFERROR(__xludf.DUMMYFUNCTION("GOOGLETRANSLATE(C:C, ""en"", ""te"")"),"ఆడమ్స్ CA-2 అనేది ఒకే సీటు, తక్కువ-వింగ్, అమెరికన్ అల్ట్రాలైట్ విమానం, దీనిని 1992 లో కార్నింగ్ విమానాలకు చెందిన ఫ్రాంక్ గ్రిఫిత్ రూపొందించారు మరియు 1999 వరకు te త్సాహిక నిర్మాణానికి ప్రణాళికలుగా అందుబాటులో ఉంది. 1999 లో, హమ్మెల్ ఏవియేషన్ ఆఫ్ బ్రయాన్, ఒహి"&amp;"యో సమర్పణ ప్రారంభమైంది డిజైన్. [1] [2] [3] [4] డిజైన్‌కు మంచి ఆదరణ ఉన్నప్పటికీ, 2007 నాటికి హమ్మెల్ ఏవియేషన్ నుండి ప్రణాళికలు అందుబాటులో ఉన్నట్లు ప్రణాళికలు జాబితా చేయబడలేదు. [5] 2011 లో, జార్జియాలోని డల్లాస్‌కు చెందిన ఆడమ్స్ ఏరోనాటిక్స్ కంపెనీ CA-2 డిజైన"&amp;"్ అమ్మకాలు మరియు మద్దతును చేపట్టింది. [6] CA-2 యొక్క డిజైన్ లక్ష్యాలు యుఎస్ ఫార్ 103 అల్ట్రాలైట్ వెహికల్స్ కేటగిరీ కోసం ప్రణాళికలను నిర్మించిన విమానాన్ని వివరించింది, వీటిలో గరిష్టంగా 254 ఎల్బి (115 కిలోల) ఖాళీ బరువుతో సహా. CA-2 అల్ట్రాలైట్ విమానాలను పొంద"&amp;"టానికి అతి తక్కువ ఖర్చుతో కూడిన మార్గాలలో ఒకటిగా ఉండటానికి ఉద్దేశించబడింది. ఈ లక్ష్యాలు నెరవేర్చబడ్డాయి మరియు ఫలితంగా వచ్చే విమానం 28 హెచ్‌పి (21 కిలోవాట్ల) రోటాక్స్ 277 ఇంజిన్‌తో కూడిన 250 ఎల్బి (113 కిలోల) ఖాళీ బరువును కలిగి ఉంది. అది మార్కెట్లోకి ప్రవే"&amp;"శించిన సమయంలో, ఎయిర్‌ఫ్రేమ్ నిర్మాణ వ్యయం US $ 1600 గా అంచనా వేయబడింది మరియు మొత్తం పూర్తయ్యే ఖర్చు US $ 5000–6000. 11 ""x17"" (28 x 43 సెం.మీ) యొక్క 40 షీట్లతో కూడిన ప్రణాళికల ధర 2011 లో US $ 150. [1] [2] [3] [4] CA-2 కి నిర్మించడానికి సుమారు 600 గంటలు అ"&amp;"వసరం. ఎయిర్‌ఫ్రేమ్ 2024-టి 3 అల్యూమినియం షీట్, ఎక్స్‌ట్రూడెడ్ కోణాలు మరియు గొట్టాలను ఉపయోగించి ఆల్-మెటల్ నిర్మాణంలో ఉంది, ప్రధానంగా స్టెయిన్‌లెస్ స్టీల్ పాప్ రివెట్‌లతో కట్టుబడి ఉంటుంది. నిర్మాణానికి సాధారణ చేతి సాధనాలు, ప్లస్ చిన్న బెండింగ్ బ్రేక్ మరియు "&amp;"ట్యూబ్ బెండర్ అవసరం. [1] ఫ్యూజ్‌లేజ్ మరియు రెక్కలు మోనోకోక్ ఒత్తిడితో కూడిన చర్మం నిర్మాణానికి చెందినవి. రెక్కలు సాదా ఫ్లాప్స్ మరియు డిఫరెన్షియల్ ఐలెరాన్లు మరియు +4.4 మరియు -2.2 గ్రా. మూడు బోల్ట్‌లను ఉపసంహరించుకోవడం ద్వారా రెక్కలు తొలగించబడతాయి. నియంత్రణ "&amp;"ఉపరితలాలు అల్యూమినియం గొట్టాల నుండి తయారవుతాయి, ఫాబ్రిక్ కవర్ మరియు పుష్రోడ్లచే పనిచేస్తాయి. ల్యాండింగ్ గేర్ సాంప్రదాయిక కాన్ఫిగరేషన్, చుక్కకు అనుసంధానించబడిన స్టీరబుల్ టెయిల్‌వీల్‌తో ఉంటుంది. [1] ప్రోటోటైప్ రోటాక్స్ 277 చేత శక్తిని పొందింది. భారీ ఇంజిన్ల"&amp;"ను వ్యవస్థాపించవచ్చు, అయినప్పటికీ విమానం యుఎస్ ఫార్ 103 బరువు అవసరాలను అల్ట్రాలైట్ విమానంగా తీర్చదు. ఉపయోగించిన ఇతర ఇంజిన్లు 40 హెచ్‌పి (30 కిలోవాట్) రోటాక్స్ 447, 35 హెచ్‌పి (26 కిలోవాట్) రోటాక్స్ 377, 30 హెచ్‌పి (22 కిలోవాట్ 2] [[[] [] క్లిచ్, కిట్‌ప్లా"&amp;"న్లు &amp; ఏరోక్రాఫ్టర్ నుండి డేటా [1] [2] [3] [4] పోల్చదగిన పాత్ర, కాన్ఫిగరేషన్ మరియు యుగం యొక్క సాధారణ లక్షణాల పనితీరు విమానం")</f>
        <v>ఆడమ్స్ CA-2 అనేది ఒకే సీటు, తక్కువ-వింగ్, అమెరికన్ అల్ట్రాలైట్ విమానం, దీనిని 1992 లో కార్నింగ్ విమానాలకు చెందిన ఫ్రాంక్ గ్రిఫిత్ రూపొందించారు మరియు 1999 వరకు te త్సాహిక నిర్మాణానికి ప్రణాళికలుగా అందుబాటులో ఉంది. 1999 లో, హమ్మెల్ ఏవియేషన్ ఆఫ్ బ్రయాన్, ఒహియో సమర్పణ ప్రారంభమైంది డిజైన్. [1] [2] [3] [4] డిజైన్‌కు మంచి ఆదరణ ఉన్నప్పటికీ, 2007 నాటికి హమ్మెల్ ఏవియేషన్ నుండి ప్రణాళికలు అందుబాటులో ఉన్నట్లు ప్రణాళికలు జాబితా చేయబడలేదు. [5] 2011 లో, జార్జియాలోని డల్లాస్‌కు చెందిన ఆడమ్స్ ఏరోనాటిక్స్ కంపెనీ CA-2 డిజైన్ అమ్మకాలు మరియు మద్దతును చేపట్టింది. [6] CA-2 యొక్క డిజైన్ లక్ష్యాలు యుఎస్ ఫార్ 103 అల్ట్రాలైట్ వెహికల్స్ కేటగిరీ కోసం ప్రణాళికలను నిర్మించిన విమానాన్ని వివరించింది, వీటిలో గరిష్టంగా 254 ఎల్బి (115 కిలోల) ఖాళీ బరువుతో సహా. CA-2 అల్ట్రాలైట్ విమానాలను పొందటానికి అతి తక్కువ ఖర్చుతో కూడిన మార్గాలలో ఒకటిగా ఉండటానికి ఉద్దేశించబడింది. ఈ లక్ష్యాలు నెరవేర్చబడ్డాయి మరియు ఫలితంగా వచ్చే విమానం 28 హెచ్‌పి (21 కిలోవాట్ల) రోటాక్స్ 277 ఇంజిన్‌తో కూడిన 250 ఎల్బి (113 కిలోల) ఖాళీ బరువును కలిగి ఉంది. అది మార్కెట్లోకి ప్రవేశించిన సమయంలో, ఎయిర్‌ఫ్రేమ్ నిర్మాణ వ్యయం US $ 1600 గా అంచనా వేయబడింది మరియు మొత్తం పూర్తయ్యే ఖర్చు US $ 5000–6000. 11 "x17" (28 x 43 సెం.మీ) యొక్క 40 షీట్లతో కూడిన ప్రణాళికల ధర 2011 లో US $ 150. [1] [2] [3] [4] CA-2 కి నిర్మించడానికి సుమారు 600 గంటలు అవసరం. ఎయిర్‌ఫ్రేమ్ 2024-టి 3 అల్యూమినియం షీట్, ఎక్స్‌ట్రూడెడ్ కోణాలు మరియు గొట్టాలను ఉపయోగించి ఆల్-మెటల్ నిర్మాణంలో ఉంది, ప్రధానంగా స్టెయిన్‌లెస్ స్టీల్ పాప్ రివెట్‌లతో కట్టుబడి ఉంటుంది. నిర్మాణానికి సాధారణ చేతి సాధనాలు, ప్లస్ చిన్న బెండింగ్ బ్రేక్ మరియు ట్యూబ్ బెండర్ అవసరం. [1] ఫ్యూజ్‌లేజ్ మరియు రెక్కలు మోనోకోక్ ఒత్తిడితో కూడిన చర్మం నిర్మాణానికి చెందినవి. రెక్కలు సాదా ఫ్లాప్స్ మరియు డిఫరెన్షియల్ ఐలెరాన్లు మరియు +4.4 మరియు -2.2 గ్రా. మూడు బోల్ట్‌లను ఉపసంహరించుకోవడం ద్వారా రెక్కలు తొలగించబడతాయి. నియంత్రణ ఉపరితలాలు అల్యూమినియం గొట్టాల నుండి తయారవుతాయి, ఫాబ్రిక్ కవర్ మరియు పుష్రోడ్లచే పనిచేస్తాయి. ల్యాండింగ్ గేర్ సాంప్రదాయిక కాన్ఫిగరేషన్, చుక్కకు అనుసంధానించబడిన స్టీరబుల్ టెయిల్‌వీల్‌తో ఉంటుంది. [1] ప్రోటోటైప్ రోటాక్స్ 277 చేత శక్తిని పొందింది. భారీ ఇంజిన్లను వ్యవస్థాపించవచ్చు, అయినప్పటికీ విమానం యుఎస్ ఫార్ 103 బరువు అవసరాలను అల్ట్రాలైట్ విమానంగా తీర్చదు. ఉపయోగించిన ఇతర ఇంజిన్లు 40 హెచ్‌పి (30 కిలోవాట్) రోటాక్స్ 447, 35 హెచ్‌పి (26 కిలోవాట్) రోటాక్స్ 377, 30 హెచ్‌పి (22 కిలోవాట్ 2] [[[] [] క్లిచ్, కిట్‌ప్లాన్లు &amp; ఏరోక్రాఫ్టర్ నుండి డేటా [1] [2] [3] [4] పోల్చదగిన పాత్ర, కాన్ఫిగరేషన్ మరియు యుగం యొక్క సాధారణ లక్షణాల పనితీరు విమానం</v>
      </c>
      <c r="E87" s="1" t="s">
        <v>1056</v>
      </c>
      <c r="F87" s="1" t="str">
        <f>IFERROR(__xludf.DUMMYFUNCTION("GOOGLETRANSLATE(E:E, ""en"", ""te"")"),"అల్ట్రాలైట్ విమానం")</f>
        <v>అల్ట్రాలైట్ విమానం</v>
      </c>
      <c r="G87" s="1" t="s">
        <v>1057</v>
      </c>
      <c r="H87" s="1" t="s">
        <v>227</v>
      </c>
      <c r="I87" s="1" t="str">
        <f>IFERROR(__xludf.DUMMYFUNCTION("GOOGLETRANSLATE(H:H, ""en"", ""te"")"),"అమెరికా")</f>
        <v>అమెరికా</v>
      </c>
      <c r="J87" s="3" t="s">
        <v>228</v>
      </c>
      <c r="K87" s="1" t="s">
        <v>1306</v>
      </c>
      <c r="L87" s="2" t="str">
        <f>IFERROR(__xludf.DUMMYFUNCTION("GOOGLETRANSLATE(K:K, ""en"", ""te"")"),"కార్నింగ్ ఎయిర్‌క్రాఫుమ్మెల్ ఏవియేషన్అడామ్స్ ఏరోనాటిక్స్ కంపెనీ")</f>
        <v>కార్నింగ్ ఎయిర్‌క్రాఫుమ్మెల్ ఏవియేషన్అడామ్స్ ఏరోనాటిక్స్ కంపెనీ</v>
      </c>
      <c r="M87" s="1" t="s">
        <v>1307</v>
      </c>
      <c r="N87" s="1" t="s">
        <v>1308</v>
      </c>
      <c r="O87" s="1" t="str">
        <f>IFERROR(__xludf.DUMMYFUNCTION("GOOGLETRANSLATE(N:N, ""en"", ""te"")"),"ప్రణాళికలు అందుబాటులో ఉన్నాయి")</f>
        <v>ప్రణాళికలు అందుబాటులో ఉన్నాయి</v>
      </c>
      <c r="Q87" s="1" t="s">
        <v>162</v>
      </c>
      <c r="R87" s="1" t="s">
        <v>1309</v>
      </c>
      <c r="S87" s="1" t="s">
        <v>1310</v>
      </c>
      <c r="U87" s="1" t="s">
        <v>1311</v>
      </c>
      <c r="X87" s="1" t="s">
        <v>1312</v>
      </c>
      <c r="Z87" s="1" t="s">
        <v>1313</v>
      </c>
      <c r="AA87" s="1" t="s">
        <v>1314</v>
      </c>
      <c r="AB87" s="1" t="s">
        <v>1315</v>
      </c>
      <c r="AC87" s="1">
        <v>1993.0</v>
      </c>
      <c r="AD87" s="1" t="s">
        <v>1316</v>
      </c>
      <c r="AE87" s="1" t="s">
        <v>1317</v>
      </c>
      <c r="AF87" s="1" t="s">
        <v>1318</v>
      </c>
      <c r="AI87" s="1" t="s">
        <v>1319</v>
      </c>
      <c r="AM87" s="1" t="s">
        <v>1320</v>
      </c>
      <c r="AP87" s="1" t="s">
        <v>1321</v>
      </c>
      <c r="AQ87" s="1" t="s">
        <v>1322</v>
      </c>
      <c r="AR87" s="1" t="s">
        <v>1323</v>
      </c>
      <c r="AU87" s="1" t="s">
        <v>1324</v>
      </c>
      <c r="BJ87" s="1" t="s">
        <v>1325</v>
      </c>
      <c r="BN87" s="1" t="s">
        <v>1326</v>
      </c>
      <c r="BP87" s="1" t="s">
        <v>1327</v>
      </c>
    </row>
    <row r="88">
      <c r="A88" s="1" t="s">
        <v>1328</v>
      </c>
      <c r="B88" s="1" t="str">
        <f>IFERROR(__xludf.DUMMYFUNCTION("GOOGLETRANSLATE(A:A, ""en"", ""te"")"),"ఏరో కాన్సెప్ట్స్ డిస్కవరీ")</f>
        <v>ఏరో కాన్సెప్ట్స్ డిస్కవరీ</v>
      </c>
      <c r="C88" s="1" t="s">
        <v>1329</v>
      </c>
      <c r="D88" s="1" t="str">
        <f>IFERROR(__xludf.DUMMYFUNCTION("GOOGLETRANSLATE(C:C, ""en"", ""te"")"),"ఏరో కాన్సెప్ట్స్ డిస్కవరీ అనేది ఒక అమెరికన్ te త్సాహిక-నిర్మిత విమానం, ఇది ఫ్లోరిడా యొక్క ఏరో కాన్సెప్ట్స్ ద్వారా ఉత్పత్తి అవుతుంది. ఈ విమానం te త్సాహిక నిర్మాణానికి కిట్‌గా సరఫరా చేయబడుతుంది. [1] ఈ ఆవిష్కరణ మూడు లిఫ్టింగ్ ఉపరితల విమానం, ఇది కాంటిలివర్ మి"&amp;"డ్-వింగ్, జంట బూమ్ హై తోక, కానార్డ్ ఉపరితలం, రెండు-సీట్ల-సైడ్-సైడ్ కాన్ఫిగరేషన్ పరివేష్టిత కాక్‌పిట్, స్థిర ట్రైసైకిల్ ల్యాండింగ్ గేర్ మరియు ఒకే ఇంజిన్ కలిగి ఉంది పషర్ కాన్ఫిగరేషన్‌లో. [1] విమానం మిశ్రమాల నుండి తయారవుతుంది. దీని 30 అడుగుల (9.1 మీ) స్పాన్ "&amp;"వింగ్ నాసా ఎన్‌ఎల్‌ఎఫ్ -0215 ​​ఎయిర్‌ఫాయిల్‌ను ఉపయోగిస్తుంది మరియు 125 చదరపు అడుగుల (11.6 మీ 2) విస్తీర్ణంలో ఉంది. కానార్డ్ అదే ఎయిర్‌ఫాయిల్‌ను ఉపయోగిస్తుంది, అయితే టెయిల్‌ప్లేన్ నాసా 63218 ను ఉపయోగిస్తుంది. విమానం యొక్క సిఫార్సు చేసిన ఇంజిన్ శక్తి శ్రేణి"&amp;" 160 నుండి 230 హెచ్‌పి (119 నుండి 172 కిలోవాట్) మరియు ఉపయోగించిన ప్రామాణిక ఇంజన్లు 180 హెచ్‌పి (134 కిలోవాట్) ఓ -360 నాలుగు- నాలుగు- స్ట్రోక్ పవర్‌ప్లాంట్. సరఫరా చేసిన కిట్ నుండి నిర్మాణ సమయం 1200 గంటలు. [1] [2] డిజైన్‌ను లైట్-స్పోర్ట్ విమానం, జెట్-శక్తిత"&amp;"ో కూడిన వెర్షన్ మరియు నాలుగు-సీట్ల వేరియంట్‌గా అభివృద్ధి చేయాలని కంపెనీ యోచిస్తోంది. [2] 2011 చివరి నాటికి మూడు ఉదాహరణలు పూర్తయినట్లు మరియు ఎగిరినట్లు నివేదించబడ్డాయి. [1] కిట్‌ప్లాన్‌ల నుండి డేటా [1] సాధారణ లక్షణాల పనితీరు")</f>
        <v>ఏరో కాన్సెప్ట్స్ డిస్కవరీ అనేది ఒక అమెరికన్ te త్సాహిక-నిర్మిత విమానం, ఇది ఫ్లోరిడా యొక్క ఏరో కాన్సెప్ట్స్ ద్వారా ఉత్పత్తి అవుతుంది. ఈ విమానం te త్సాహిక నిర్మాణానికి కిట్‌గా సరఫరా చేయబడుతుంది. [1] ఈ ఆవిష్కరణ మూడు లిఫ్టింగ్ ఉపరితల విమానం, ఇది కాంటిలివర్ మిడ్-వింగ్, జంట బూమ్ హై తోక, కానార్డ్ ఉపరితలం, రెండు-సీట్ల-సైడ్-సైడ్ కాన్ఫిగరేషన్ పరివేష్టిత కాక్‌పిట్, స్థిర ట్రైసైకిల్ ల్యాండింగ్ గేర్ మరియు ఒకే ఇంజిన్ కలిగి ఉంది పషర్ కాన్ఫిగరేషన్‌లో. [1] విమానం మిశ్రమాల నుండి తయారవుతుంది. దీని 30 అడుగుల (9.1 మీ) స్పాన్ వింగ్ నాసా ఎన్‌ఎల్‌ఎఫ్ -0215 ​​ఎయిర్‌ఫాయిల్‌ను ఉపయోగిస్తుంది మరియు 125 చదరపు అడుగుల (11.6 మీ 2) విస్తీర్ణంలో ఉంది. కానార్డ్ అదే ఎయిర్‌ఫాయిల్‌ను ఉపయోగిస్తుంది, అయితే టెయిల్‌ప్లేన్ నాసా 63218 ను ఉపయోగిస్తుంది. విమానం యొక్క సిఫార్సు చేసిన ఇంజిన్ శక్తి శ్రేణి 160 నుండి 230 హెచ్‌పి (119 నుండి 172 కిలోవాట్) మరియు ఉపయోగించిన ప్రామాణిక ఇంజన్లు 180 హెచ్‌పి (134 కిలోవాట్) ఓ -360 నాలుగు- నాలుగు- స్ట్రోక్ పవర్‌ప్లాంట్. సరఫరా చేసిన కిట్ నుండి నిర్మాణ సమయం 1200 గంటలు. [1] [2] డిజైన్‌ను లైట్-స్పోర్ట్ విమానం, జెట్-శక్తితో కూడిన వెర్షన్ మరియు నాలుగు-సీట్ల వేరియంట్‌గా అభివృద్ధి చేయాలని కంపెనీ యోచిస్తోంది. [2] 2011 చివరి నాటికి మూడు ఉదాహరణలు పూర్తయినట్లు మరియు ఎగిరినట్లు నివేదించబడ్డాయి. [1] కిట్‌ప్లాన్‌ల నుండి డేటా [1] సాధారణ లక్షణాల పనితీరు</v>
      </c>
      <c r="E88" s="1" t="s">
        <v>1071</v>
      </c>
      <c r="F88" s="1" t="str">
        <f>IFERROR(__xludf.DUMMYFUNCTION("GOOGLETRANSLATE(E:E, ""en"", ""te"")"),"Te త్సాహిక నిర్మించిన విమానం")</f>
        <v>Te త్సాహిక నిర్మించిన విమానం</v>
      </c>
      <c r="G88" s="1" t="s">
        <v>1072</v>
      </c>
      <c r="H88" s="1" t="s">
        <v>227</v>
      </c>
      <c r="I88" s="1" t="str">
        <f>IFERROR(__xludf.DUMMYFUNCTION("GOOGLETRANSLATE(H:H, ""en"", ""te"")"),"అమెరికా")</f>
        <v>అమెరికా</v>
      </c>
      <c r="J88" s="3" t="s">
        <v>228</v>
      </c>
      <c r="K88" s="1" t="s">
        <v>1330</v>
      </c>
      <c r="L88" s="2" t="str">
        <f>IFERROR(__xludf.DUMMYFUNCTION("GOOGLETRANSLATE(K:K, ""en"", ""te"")"),"ఏరో కాన్సెప్ట్స్")</f>
        <v>ఏరో కాన్సెప్ట్స్</v>
      </c>
      <c r="M88" s="1" t="s">
        <v>1331</v>
      </c>
      <c r="N88" s="1" t="s">
        <v>1251</v>
      </c>
      <c r="O88" s="1" t="str">
        <f>IFERROR(__xludf.DUMMYFUNCTION("GOOGLETRANSLATE(N:N, ""en"", ""te"")"),"ఉత్పత్తిలో (2011)")</f>
        <v>ఉత్పత్తిలో (2011)</v>
      </c>
      <c r="Q88" s="1" t="s">
        <v>162</v>
      </c>
      <c r="R88" s="1" t="s">
        <v>1332</v>
      </c>
      <c r="S88" s="1" t="s">
        <v>1333</v>
      </c>
      <c r="X88" s="1" t="s">
        <v>1334</v>
      </c>
      <c r="Y88" s="1" t="s">
        <v>1335</v>
      </c>
      <c r="Z88" s="1" t="s">
        <v>1336</v>
      </c>
      <c r="AA88" s="1" t="s">
        <v>1337</v>
      </c>
      <c r="AB88" s="1" t="s">
        <v>1338</v>
      </c>
      <c r="AC88" s="1" t="s">
        <v>1339</v>
      </c>
      <c r="AE88" s="1">
        <v>3.0</v>
      </c>
      <c r="AF88" s="1" t="s">
        <v>1340</v>
      </c>
      <c r="AI88" s="1" t="s">
        <v>1341</v>
      </c>
      <c r="AM88" s="1" t="s">
        <v>330</v>
      </c>
      <c r="AP88" s="1" t="s">
        <v>1342</v>
      </c>
      <c r="AS88" s="1" t="s">
        <v>1343</v>
      </c>
      <c r="AU88" s="1" t="s">
        <v>1344</v>
      </c>
      <c r="BP88" s="1" t="s">
        <v>1345</v>
      </c>
    </row>
    <row r="89">
      <c r="A89" s="1" t="s">
        <v>1346</v>
      </c>
      <c r="B89" s="1" t="str">
        <f>IFERROR(__xludf.DUMMYFUNCTION("GOOGLETRANSLATE(A:A, ""en"", ""te"")"),"ఏరోజామ్స్ 01 ఇసాటిస్")</f>
        <v>ఏరోజామ్స్ 01 ఇసాటిస్</v>
      </c>
      <c r="C89" s="1" t="s">
        <v>1347</v>
      </c>
      <c r="D89" s="1" t="str">
        <f>IFERROR(__xludf.DUMMYFUNCTION("GOOGLETRANSLATE(C:C, ""en"", ""te"")"),"ఏరోజామ్స్ 01 ఇసాటిస్ (పుష్పించే మొక్కకు పేరు పెట్టబడింది) ఒక ఫ్రెంచ్ అల్ట్రాలైట్ విమానం, ఇది కార్సికాలోని అజాసియోకు చెందిన ఏరోజామ్స్ చేత రూపొందించబడింది మరియు ఉత్పత్తి చేయబడింది. ఇది 2009 లో ఫ్రీడ్రిచ్‌షాఫెన్‌లో జరిగిన ఏరో షోలో ప్రవేశపెట్టబడింది. ఈ విమానం"&amp;" పూర్తి రెడీ-టు-ఫ్లై-ఎయిర్‌క్రాఫ్ట్‌గా సరఫరా చేయబడుతుంది. [1] [2] 2018 కంపెనీ వెబ్‌సైట్ ప్రారంభం నాటికి, కంపెనీ వ్యాపారం నుండి బయటపడినట్లు అనిపిస్తుంది మరియు ఉత్పత్తి ముగిసింది. [3] [4] డిజైన్ అసాధారణమైనది, ఇంజిన్ క్యాబిన్ వెనుక అమర్చబడి ముక్కు-మౌంటెడ్ ప్"&amp;"రొపెల్లర్‌ను నడుపుతుంది, అయితే కార్బన్ ఫైబర్ ఎక్స్‌టెన్షన్ డ్రైవ్‌షాఫ్ట్, ఇది ఇద్దరు యజమానుల మధ్య నడుస్తున్న కేసింగ్‌లో ఉంచబడుతుంది. ఇది ముక్కు-మౌంటెడ్ ఇంజిన్‌తో పోలిస్తే చిన్న మరియు ఎక్కువ కోణాల ముక్కును అనుమతిస్తుంది మరియు దృశ్యమానతను మెరుగుపరుస్తుంది. "&amp;"[1] [2] ఈ విమానం ఫెడెరేషన్ ఏరోనటిక్ ఇంటర్నేషనల్ మైక్రోలైట్ నిబంధనలకు అనుగుణంగా రూపొందించబడింది. ఇది స్ట్రట్-బ్రేస్డ్ హై-వింగ్, రెండు-సీట్ల-సైడ్-సైడ్-సైడ్ కాన్ఫిగరేషన్ పరివేష్టిత కాక్‌పిట్, ట్రైసైకిల్ ల్యాండింగ్ గేర్ మరియు ట్రాక్టర్ కాన్ఫిగరేషన్‌లో ఒకే ఇంజ"&amp;"ిన్ కలిగి ఉంది. [1] [2] ఈ విమానం కార్బన్ ఫైబర్ మిశ్రమాల నుండి తయారవుతుంది. దీని 9.80 మీ (32.2 అడుగులు) స్పాన్ వింగ్ ఫ్లాప్‌లను ఉపయోగిస్తుంది. ఉపయోగించిన ప్రామాణిక ఇంజిన్ 100 హెచ్‌పి (75 కిలోవాట్ల) బిఎమ్‌డబ్ల్యూ ఫోర్-స్ట్రోక్, రెండు సిలిండర్, ఎయిర్-కూల్డ్,"&amp;" క్షితిజ సమాంతరంగా సంతకం చేసిన మోటారుసైకిల్ పవర్‌ప్లాంట్. [1] [2] బేయర్ల్ నుండి డేటా [1] సాధారణ లక్షణాల పనితీరు")</f>
        <v>ఏరోజామ్స్ 01 ఇసాటిస్ (పుష్పించే మొక్కకు పేరు పెట్టబడింది) ఒక ఫ్రెంచ్ అల్ట్రాలైట్ విమానం, ఇది కార్సికాలోని అజాసియోకు చెందిన ఏరోజామ్స్ చేత రూపొందించబడింది మరియు ఉత్పత్తి చేయబడింది. ఇది 2009 లో ఫ్రీడ్రిచ్‌షాఫెన్‌లో జరిగిన ఏరో షోలో ప్రవేశపెట్టబడింది. ఈ విమానం పూర్తి రెడీ-టు-ఫ్లై-ఎయిర్‌క్రాఫ్ట్‌గా సరఫరా చేయబడుతుంది. [1] [2] 2018 కంపెనీ వెబ్‌సైట్ ప్రారంభం నాటికి, కంపెనీ వ్యాపారం నుండి బయటపడినట్లు అనిపిస్తుంది మరియు ఉత్పత్తి ముగిసింది. [3] [4] డిజైన్ అసాధారణమైనది, ఇంజిన్ క్యాబిన్ వెనుక అమర్చబడి ముక్కు-మౌంటెడ్ ప్రొపెల్లర్‌ను నడుపుతుంది, అయితే కార్బన్ ఫైబర్ ఎక్స్‌టెన్షన్ డ్రైవ్‌షాఫ్ట్, ఇది ఇద్దరు యజమానుల మధ్య నడుస్తున్న కేసింగ్‌లో ఉంచబడుతుంది. ఇది ముక్కు-మౌంటెడ్ ఇంజిన్‌తో పోలిస్తే చిన్న మరియు ఎక్కువ కోణాల ముక్కును అనుమతిస్తుంది మరియు దృశ్యమానతను మెరుగుపరుస్తుంది. [1] [2] ఈ విమానం ఫెడెరేషన్ ఏరోనటిక్ ఇంటర్నేషనల్ మైక్రోలైట్ నిబంధనలకు అనుగుణంగా రూపొందించబడింది. ఇది స్ట్రట్-బ్రేస్డ్ హై-వింగ్, రెండు-సీట్ల-సైడ్-సైడ్-సైడ్ కాన్ఫిగరేషన్ పరివేష్టిత కాక్‌పిట్, ట్రైసైకిల్ ల్యాండింగ్ గేర్ మరియు ట్రాక్టర్ కాన్ఫిగరేషన్‌లో ఒకే ఇంజిన్ కలిగి ఉంది. [1] [2] ఈ విమానం కార్బన్ ఫైబర్ మిశ్రమాల నుండి తయారవుతుంది. దీని 9.80 మీ (32.2 అడుగులు) స్పాన్ వింగ్ ఫ్లాప్‌లను ఉపయోగిస్తుంది. ఉపయోగించిన ప్రామాణిక ఇంజిన్ 100 హెచ్‌పి (75 కిలోవాట్ల) బిఎమ్‌డబ్ల్యూ ఫోర్-స్ట్రోక్, రెండు సిలిండర్, ఎయిర్-కూల్డ్, క్షితిజ సమాంతరంగా సంతకం చేసిన మోటారుసైకిల్ పవర్‌ప్లాంట్. [1] [2] బేయర్ల్ నుండి డేటా [1] సాధారణ లక్షణాల పనితీరు</v>
      </c>
      <c r="E89" s="1" t="s">
        <v>1056</v>
      </c>
      <c r="F89" s="1" t="str">
        <f>IFERROR(__xludf.DUMMYFUNCTION("GOOGLETRANSLATE(E:E, ""en"", ""te"")"),"అల్ట్రాలైట్ విమానం")</f>
        <v>అల్ట్రాలైట్ విమానం</v>
      </c>
      <c r="G89" s="1" t="s">
        <v>1057</v>
      </c>
      <c r="H89" s="1" t="s">
        <v>208</v>
      </c>
      <c r="I89" s="1" t="str">
        <f>IFERROR(__xludf.DUMMYFUNCTION("GOOGLETRANSLATE(H:H, ""en"", ""te"")"),"ఫ్రాన్స్")</f>
        <v>ఫ్రాన్స్</v>
      </c>
      <c r="J89" s="3" t="s">
        <v>209</v>
      </c>
      <c r="K89" s="1" t="s">
        <v>1348</v>
      </c>
      <c r="L89" s="2" t="str">
        <f>IFERROR(__xludf.DUMMYFUNCTION("GOOGLETRANSLATE(K:K, ""en"", ""te"")"),"ఏరోజామ్స్")</f>
        <v>ఏరోజామ్స్</v>
      </c>
      <c r="M89" s="3" t="s">
        <v>1349</v>
      </c>
      <c r="N89" s="1" t="s">
        <v>171</v>
      </c>
      <c r="O89" s="1" t="str">
        <f>IFERROR(__xludf.DUMMYFUNCTION("GOOGLETRANSLATE(N:N, ""en"", ""te"")"),"ఉత్పత్తి పూర్తయింది")</f>
        <v>ఉత్పత్తి పూర్తయింది</v>
      </c>
      <c r="Q89" s="1" t="s">
        <v>162</v>
      </c>
      <c r="R89" s="1" t="s">
        <v>1350</v>
      </c>
      <c r="S89" s="1" t="s">
        <v>1351</v>
      </c>
      <c r="U89" s="1" t="s">
        <v>1352</v>
      </c>
      <c r="X89" s="1" t="s">
        <v>1353</v>
      </c>
      <c r="Y89" s="1" t="s">
        <v>1063</v>
      </c>
      <c r="Z89" s="1" t="s">
        <v>1127</v>
      </c>
      <c r="AA89" s="1" t="s">
        <v>319</v>
      </c>
      <c r="AC89" s="5">
        <v>39904.0</v>
      </c>
      <c r="AI89" s="1" t="s">
        <v>1354</v>
      </c>
      <c r="AJ89" s="1" t="s">
        <v>1259</v>
      </c>
      <c r="AM89" s="1" t="s">
        <v>330</v>
      </c>
      <c r="AS89" s="1" t="s">
        <v>1355</v>
      </c>
    </row>
    <row r="90">
      <c r="A90" s="1" t="s">
        <v>1356</v>
      </c>
      <c r="B90" s="1" t="str">
        <f>IFERROR(__xludf.DUMMYFUNCTION("GOOGLETRANSLATE(A:A, ""en"", ""te"")"),"ఏరోప్రాక్ట్ ఎ -36 వల్కాన్")</f>
        <v>ఏరోప్రాక్ట్ ఎ -36 వల్కాన్</v>
      </c>
      <c r="C90" s="1" t="s">
        <v>1357</v>
      </c>
      <c r="D90" s="1" t="str">
        <f>IFERROR(__xludf.DUMMYFUNCTION("GOOGLETRANSLATE(C:C, ""en"", ""te"")"),"ఏరోప్రాక్ట్ ఎ -36 వల్కాన్ ఉక్రేనియన్ లైట్ విమానం, ఇది కీవ్‌కు చెందిన ఏరోప్రాక్ట్ రూపొందించి ఉత్పత్తి చేస్తుంది. విమానం పూర్తి రెడీ-టు-ఫ్లై-ఎయిర్‌క్రాఫ్ట్‌గా సరఫరా చేయబడుతుంది. [1] A-36 ఏరోప్రాక్ట్ A-26 వల్కాన్ యొక్క అభివృద్ధి. A-36 యొక్క డిజైన్ లక్ష్యాలలో"&amp;" శత్రు భూభాగం, టేకాఫ్ చేయగల సామర్థ్యం మరియు ఒకే ఇంజిన్ రన్నింగ్ మరియు చిన్న రన్‌వేల నుండి పనిచేసే సామర్థ్యం ఉన్నాయి. ఫలిత రూపకల్పనలో స్ట్రట్-బ్రేస్డ్ హై-వింగ్, టి-టెయిల్, టెన్డం కాన్ఫిగరేషన్ పరివేష్టిత కాక్‌పిట్‌లో రెండు సీట్లు, వీల్ ప్యాంటుతో స్థిర సాంప్"&amp;"రదాయ ల్యాండింగ్ గేర్ మరియు పషర్ కాన్ఫిగరేషన్‌లో ట్విన్ ఇంజిన్లు ఉన్నాయి. [1] ఈ విమానం మిశ్రమ నిర్మాణంలో ఉంది, ఫైబర్గ్లాస్ నుండి తయారు చేసిన ఫార్వర్డ్ ఫ్యూజ్‌లేజ్ మరియు అల్యూమినియం షీట్ నుండి తోక కోన్. రెక్కలు మరియు తోక అల్యూమినియం, ప్రధాన ల్యాండింగ్ గేర్ "&amp;"కాళ్ళు, ఇంజిన్ కౌలింగ్స్ మరియు ఫెయిరింగ్‌లు ఫైబర్‌గ్లాస్. దీని 11.4 మీ (37.4 అడుగులు) స్పాన్ వింగ్ 15.7 మీ 2 (169 చదరపు అడుగులు) మరియు ఫ్లాప్‌లను మౌంట్ చేస్తుంది. ఉపయోగించిన ప్రామాణిక ఇంజన్లు 100 హెచ్‌పి (75 కిలోవాట్) రోటాక్స్ 912 ఎస్ ఫోర్-స్ట్రోక్ పవర్‌ప"&amp;"్లాంట్. [1] A-36 ఖాళీ బరువు 450 కిలోల (990 పౌండ్లు) మరియు స్థూల బరువు 750 కిలోలు (1,650 పౌండ్లు), 300 కిలోల (660 పౌండ్లు) ఉపయోగకరమైన లోడ్ ఇస్తుంది. [1] డిసెంబర్ 2012 నాటికి ఫెడరల్ ఏవియేషన్ అడ్మినిస్ట్రేషన్తో అమెరికాలో ఒక ఉదాహరణ నమోదు చేయబడింది. [2] ఇది ఫ్"&amp;"లోరిడాలోని లేక్ ల్యాండ్లో ఏప్రిల్ 2009 సన్ ఎన్ ఫన్ ఏవియేషన్ సమావేశంలో బహిరంగంగా ప్రదర్శించబడింది. బేయర్ల్ నుండి డేటా [1] సాధారణ లక్షణాల పనితీరు")</f>
        <v>ఏరోప్రాక్ట్ ఎ -36 వల్కాన్ ఉక్రేనియన్ లైట్ విమానం, ఇది కీవ్‌కు చెందిన ఏరోప్రాక్ట్ రూపొందించి ఉత్పత్తి చేస్తుంది. విమానం పూర్తి రెడీ-టు-ఫ్లై-ఎయిర్‌క్రాఫ్ట్‌గా సరఫరా చేయబడుతుంది. [1] A-36 ఏరోప్రాక్ట్ A-26 వల్కాన్ యొక్క అభివృద్ధి. A-36 యొక్క డిజైన్ లక్ష్యాలలో శత్రు భూభాగం, టేకాఫ్ చేయగల సామర్థ్యం మరియు ఒకే ఇంజిన్ రన్నింగ్ మరియు చిన్న రన్‌వేల నుండి పనిచేసే సామర్థ్యం ఉన్నాయి. ఫలిత రూపకల్పనలో స్ట్రట్-బ్రేస్డ్ హై-వింగ్, టి-టెయిల్, టెన్డం కాన్ఫిగరేషన్ పరివేష్టిత కాక్‌పిట్‌లో రెండు సీట్లు, వీల్ ప్యాంటుతో స్థిర సాంప్రదాయ ల్యాండింగ్ గేర్ మరియు పషర్ కాన్ఫిగరేషన్‌లో ట్విన్ ఇంజిన్లు ఉన్నాయి. [1] ఈ విమానం మిశ్రమ నిర్మాణంలో ఉంది, ఫైబర్గ్లాస్ నుండి తయారు చేసిన ఫార్వర్డ్ ఫ్యూజ్‌లేజ్ మరియు అల్యూమినియం షీట్ నుండి తోక కోన్. రెక్కలు మరియు తోక అల్యూమినియం, ప్రధాన ల్యాండింగ్ గేర్ కాళ్ళు, ఇంజిన్ కౌలింగ్స్ మరియు ఫెయిరింగ్‌లు ఫైబర్‌గ్లాస్. దీని 11.4 మీ (37.4 అడుగులు) స్పాన్ వింగ్ 15.7 మీ 2 (169 చదరపు అడుగులు) మరియు ఫ్లాప్‌లను మౌంట్ చేస్తుంది. ఉపయోగించిన ప్రామాణిక ఇంజన్లు 100 హెచ్‌పి (75 కిలోవాట్) రోటాక్స్ 912 ఎస్ ఫోర్-స్ట్రోక్ పవర్‌ప్లాంట్. [1] A-36 ఖాళీ బరువు 450 కిలోల (990 పౌండ్లు) మరియు స్థూల బరువు 750 కిలోలు (1,650 పౌండ్లు), 300 కిలోల (660 పౌండ్లు) ఉపయోగకరమైన లోడ్ ఇస్తుంది. [1] డిసెంబర్ 2012 నాటికి ఫెడరల్ ఏవియేషన్ అడ్మినిస్ట్రేషన్తో అమెరికాలో ఒక ఉదాహరణ నమోదు చేయబడింది. [2] ఇది ఫ్లోరిడాలోని లేక్ ల్యాండ్లో ఏప్రిల్ 2009 సన్ ఎన్ ఫన్ ఏవియేషన్ సమావేశంలో బహిరంగంగా ప్రదర్శించబడింది. బేయర్ల్ నుండి డేటా [1] సాధారణ లక్షణాల పనితీరు</v>
      </c>
      <c r="E90" s="1" t="s">
        <v>1249</v>
      </c>
      <c r="F90" s="1" t="str">
        <f>IFERROR(__xludf.DUMMYFUNCTION("GOOGLETRANSLATE(E:E, ""en"", ""te"")"),"తేలికపాటి విమానం")</f>
        <v>తేలికపాటి విమానం</v>
      </c>
      <c r="G90" s="1" t="s">
        <v>1250</v>
      </c>
      <c r="H90" s="1" t="s">
        <v>1093</v>
      </c>
      <c r="I90" s="1" t="str">
        <f>IFERROR(__xludf.DUMMYFUNCTION("GOOGLETRANSLATE(H:H, ""en"", ""te"")"),"ఉక్రెయిన్")</f>
        <v>ఉక్రెయిన్</v>
      </c>
      <c r="J90" s="3" t="s">
        <v>1094</v>
      </c>
      <c r="K90" s="1" t="s">
        <v>1203</v>
      </c>
      <c r="L90" s="2" t="str">
        <f>IFERROR(__xludf.DUMMYFUNCTION("GOOGLETRANSLATE(K:K, ""en"", ""te"")"),"ఏరోప్రాక్ట్")</f>
        <v>ఏరోప్రాక్ట్</v>
      </c>
      <c r="M90" s="3" t="s">
        <v>1204</v>
      </c>
      <c r="N90" s="1" t="s">
        <v>1251</v>
      </c>
      <c r="O90" s="1" t="str">
        <f>IFERROR(__xludf.DUMMYFUNCTION("GOOGLETRANSLATE(N:N, ""en"", ""te"")"),"ఉత్పత్తిలో (2011)")</f>
        <v>ఉత్పత్తిలో (2011)</v>
      </c>
      <c r="Q90" s="1" t="s">
        <v>162</v>
      </c>
      <c r="R90" s="1" t="s">
        <v>343</v>
      </c>
      <c r="S90" s="1" t="s">
        <v>1205</v>
      </c>
      <c r="U90" s="1" t="s">
        <v>215</v>
      </c>
      <c r="X90" s="1" t="s">
        <v>630</v>
      </c>
      <c r="Y90" s="1" t="s">
        <v>631</v>
      </c>
      <c r="Z90" s="1" t="s">
        <v>1358</v>
      </c>
      <c r="AA90" s="1" t="s">
        <v>1359</v>
      </c>
      <c r="AI90" s="1" t="s">
        <v>1360</v>
      </c>
      <c r="AL90" s="1" t="s">
        <v>1361</v>
      </c>
      <c r="AM90" s="1" t="s">
        <v>330</v>
      </c>
      <c r="AS90" s="1" t="s">
        <v>1362</v>
      </c>
      <c r="AU90" s="1" t="s">
        <v>1363</v>
      </c>
      <c r="BO90" s="1" t="s">
        <v>1200</v>
      </c>
      <c r="BP90" s="1" t="s">
        <v>1364</v>
      </c>
      <c r="BR90" s="1" t="s">
        <v>1365</v>
      </c>
    </row>
    <row r="91">
      <c r="A91" s="1" t="s">
        <v>1366</v>
      </c>
      <c r="B91" s="1" t="str">
        <f>IFERROR(__xludf.DUMMYFUNCTION("GOOGLETRANSLATE(A:A, ""en"", ""te"")"),"ఎరోస్ స్టాకర్")</f>
        <v>ఎరోస్ స్టాకర్</v>
      </c>
      <c r="C91" s="1" t="s">
        <v>1367</v>
      </c>
      <c r="D91" s="1" t="str">
        <f>IFERROR(__xludf.DUMMYFUNCTION("GOOGLETRANSLATE(C:C, ""en"", ""te"")"),"ఎరోస్ స్టాకర్ ఉక్రేనియన్ హై-వింగ్, సింగిల్-ప్లేస్, హాంగ్ గ్లైడర్స్ యొక్క రెండు కుటుంబాలకు ఇచ్చిన పేరు, వీటిని కీవ్ యొక్క ఎరోస్ రూపొందించారు మరియు ఉత్పత్తి చేశారు మరియు వరుసగా 1991 మరియు 1999 లో ప్రవేశపెట్టారు. ఏ పంక్తి ఉత్పత్తిలో లేదు. [1] [2] అసలు స్టాకర"&amp;"్ సిరీస్ వినోద క్రాస్ కంట్రీ ఫ్లయింగ్ కోసం సింగిల్-ప్లేస్ ఇంటర్మీడియట్ హాంగ్ గ్లైడర్‌గా భావించబడింది. ఇది 1991 లో ప్రోటోటైప్‌ను ప్రవేశపెట్టిన తరువాత కంపెనీ యొక్క మొదటి ఉత్పత్తి. 100 కి పైగా ఎగిరేటప్పుడు, ఈ డిజైన్ 1994 లో బ్రిటిష్ హాంగ్ గ్లైడింగ్ అండ్ పారా"&amp;"గ్లైడింగ్ అసోసియేషన్ (BHPA) ధృవీకరణను అందుకుంది. స్టాకర్ ఎరోస్ స్టెల్త్ ద్వారా భర్తీ చేయబడినప్పుడు ఉత్పత్తి ముగిసింది. 1995 లో ఉత్పత్తిలో. [2] 1999 లో ఎరోస్ దృ wing మైన వింగ్ హాంగ్ గ్లైడర్‌ను ఉత్పత్తి చేయాలని నిర్ణయించుకున్నాడు మరియు కొత్త డిజైన్ కోసం స్ట"&amp;"ాకర్ పేరును పునరుద్ధరించాడు. 2001 లో గ్లైడర్ జర్మన్ DHV ధృవీకరణను అందుకుంది. ఈ రకం ఇప్పటికీ 2003 లో ఉత్పత్తిలో ఉంది. [1] [2] 2003 మోడల్ స్టాకర్ దృ wing మైన వింగ్ హాంగ్ గ్లైడర్లలో ప్రత్యేకమైనదిగా గుర్తించబడింది, దీనిలో దాని రెక్క మరింత సాధారణ స్పాయిలర్ల స్"&amp;"థానంలో ఐలెరాన్‌లను మౌంట్ చేస్తుంది. దీని 12.4 మీ (40.7 అడుగులు) స్పాన్ వింగ్ ముక్కు కోణం 146 ° మరియు ఒక కారక నిష్పత్తి 11: 1. పైలట్ హుక్-ఇన్ బరువు పరిధి 65 నుండి 100 కిలోలు (143 నుండి 220 పౌండ్లు). [1] బెర్ట్రాండ్ నుండి డేటా [1] సాధారణ లక్షణాలు")</f>
        <v>ఎరోస్ స్టాకర్ ఉక్రేనియన్ హై-వింగ్, సింగిల్-ప్లేస్, హాంగ్ గ్లైడర్స్ యొక్క రెండు కుటుంబాలకు ఇచ్చిన పేరు, వీటిని కీవ్ యొక్క ఎరోస్ రూపొందించారు మరియు ఉత్పత్తి చేశారు మరియు వరుసగా 1991 మరియు 1999 లో ప్రవేశపెట్టారు. ఏ పంక్తి ఉత్పత్తిలో లేదు. [1] [2] అసలు స్టాకర్ సిరీస్ వినోద క్రాస్ కంట్రీ ఫ్లయింగ్ కోసం సింగిల్-ప్లేస్ ఇంటర్మీడియట్ హాంగ్ గ్లైడర్‌గా భావించబడింది. ఇది 1991 లో ప్రోటోటైప్‌ను ప్రవేశపెట్టిన తరువాత కంపెనీ యొక్క మొదటి ఉత్పత్తి. 100 కి పైగా ఎగిరేటప్పుడు, ఈ డిజైన్ 1994 లో బ్రిటిష్ హాంగ్ గ్లైడింగ్ అండ్ పారాగ్లైడింగ్ అసోసియేషన్ (BHPA) ధృవీకరణను అందుకుంది. స్టాకర్ ఎరోస్ స్టెల్త్ ద్వారా భర్తీ చేయబడినప్పుడు ఉత్పత్తి ముగిసింది. 1995 లో ఉత్పత్తిలో. [2] 1999 లో ఎరోస్ దృ wing మైన వింగ్ హాంగ్ గ్లైడర్‌ను ఉత్పత్తి చేయాలని నిర్ణయించుకున్నాడు మరియు కొత్త డిజైన్ కోసం స్టాకర్ పేరును పునరుద్ధరించాడు. 2001 లో గ్లైడర్ జర్మన్ DHV ధృవీకరణను అందుకుంది. ఈ రకం ఇప్పటికీ 2003 లో ఉత్పత్తిలో ఉంది. [1] [2] 2003 మోడల్ స్టాకర్ దృ wing మైన వింగ్ హాంగ్ గ్లైడర్లలో ప్రత్యేకమైనదిగా గుర్తించబడింది, దీనిలో దాని రెక్క మరింత సాధారణ స్పాయిలర్ల స్థానంలో ఐలెరాన్‌లను మౌంట్ చేస్తుంది. దీని 12.4 మీ (40.7 అడుగులు) స్పాన్ వింగ్ ముక్కు కోణం 146 ° మరియు ఒక కారక నిష్పత్తి 11: 1. పైలట్ హుక్-ఇన్ బరువు పరిధి 65 నుండి 100 కిలోలు (143 నుండి 220 పౌండ్లు). [1] బెర్ట్రాండ్ నుండి డేటా [1] సాధారణ లక్షణాలు</v>
      </c>
      <c r="E91" s="1" t="s">
        <v>1091</v>
      </c>
      <c r="F91" s="1" t="str">
        <f>IFERROR(__xludf.DUMMYFUNCTION("GOOGLETRANSLATE(E:E, ""en"", ""te"")"),"గ్లైడర్ హాంగ్")</f>
        <v>గ్లైడర్ హాంగ్</v>
      </c>
      <c r="G91" s="1" t="s">
        <v>1092</v>
      </c>
      <c r="H91" s="1" t="s">
        <v>1093</v>
      </c>
      <c r="I91" s="1" t="str">
        <f>IFERROR(__xludf.DUMMYFUNCTION("GOOGLETRANSLATE(H:H, ""en"", ""te"")"),"ఉక్రెయిన్")</f>
        <v>ఉక్రెయిన్</v>
      </c>
      <c r="J91" s="3" t="s">
        <v>1094</v>
      </c>
      <c r="K91" s="1" t="s">
        <v>1095</v>
      </c>
      <c r="L91" s="2" t="str">
        <f>IFERROR(__xludf.DUMMYFUNCTION("GOOGLETRANSLATE(K:K, ""en"", ""te"")"),"ఎరోస్")</f>
        <v>ఎరోస్</v>
      </c>
      <c r="M91" s="3" t="s">
        <v>1096</v>
      </c>
      <c r="N91" s="1" t="s">
        <v>171</v>
      </c>
      <c r="O91" s="1" t="str">
        <f>IFERROR(__xludf.DUMMYFUNCTION("GOOGLETRANSLATE(N:N, ""en"", ""te"")"),"ఉత్పత్తి పూర్తయింది")</f>
        <v>ఉత్పత్తి పూర్తయింది</v>
      </c>
      <c r="Q91" s="1" t="s">
        <v>162</v>
      </c>
      <c r="R91" s="1" t="s">
        <v>1368</v>
      </c>
      <c r="S91" s="1" t="s">
        <v>1369</v>
      </c>
      <c r="T91" s="1">
        <v>11.0</v>
      </c>
      <c r="AC91" s="1">
        <v>1991.0</v>
      </c>
    </row>
    <row r="92">
      <c r="A92" s="1" t="s">
        <v>1370</v>
      </c>
      <c r="B92" s="1" t="str">
        <f>IFERROR(__xludf.DUMMYFUNCTION("GOOGLETRANSLATE(A:A, ""en"", ""te"")"),"ATEC 122 జెఫిర్ 2000")</f>
        <v>ATEC 122 జెఫిర్ 2000</v>
      </c>
      <c r="C92" s="1" t="s">
        <v>1371</v>
      </c>
      <c r="D92" s="1" t="str">
        <f>IFERROR(__xludf.DUMMYFUNCTION("GOOGLETRANSLATE(C:C, ""en"", ""te"")"),"ATEC 122 జెఫిర్ 2000 అనేది చెక్ అల్ట్రాలైట్ విమానం, దీనిని ఓల్డ్‌రిచ్ ఒలన్స్కీ రూపొందించారు మరియు ATEC V.O.S. లిబిస్ నాడ్ సిడ్లినా. ఈ విమానం పూర్తి రెడీ-టు-ఫ్లై-ఎయిర్‌క్రాఫ్ట్‌గా లేదా te త్సాహిక నిర్మాణానికి కిట్‌గా సరఫరా చేయబడుతుంది. [2] [3] [4] [5] జెఫి"&amp;"ర్ ఫెడెరేషన్ ఏరోనటిక్ ఇంటర్నేషనల్ మైక్రోలైట్ నిబంధనలకు అనుగుణంగా రూపొందించబడింది. ఇది కాంటిలివర్ లో-వింగ్, బబుల్ పందిరి కింద రెండు-సైడ్-సైడ్-సైడ్ కాన్ఫిగరేషన్ పరివేష్టిత కాక్‌పిట్, స్థిర ట్రైసైకిల్ ల్యాండింగ్ గేర్, టి-టెయిల్ మరియు ట్రాక్టర్ కాన్ఫిగరేషన్‌ల"&amp;"ో ఒకే ఇంజిన్ కలిగి ఉంది. [2] [3 నటించు విమానం యొక్క ఫ్యూజ్‌లేజ్ చెక్క బల్క్‌హెడ్‌లతో మిశ్రమాల నుండి తయారవుతుంది. సెమీ టేపెర్డ్ 9.6 మీ (31.5 అడుగులు) స్పాన్ వింగ్ ప్లైవుడ్ నుండి మిశ్రమ స్పార్స్ మరియు ప్రముఖ అంచులతో తయారు చేయబడింది మరియు యుఎ -2 ఎయిర్‌ఫాయిల్"&amp;"‌ను ఉపయోగిస్తుంది. రెక్క డోప్డ్ ఎయిర్క్రాఫ్ట్ ఫాబ్రిక్‌తో కప్పబడి ఉంటుంది. ప్రామాణిక ఇంజిన్ ఫ్యాక్టరీ-సరఫరా చేసినది 100 HP (75 kW) రోటాక్స్ 912లు నాలుగు-స్ట్రోక్ పవర్‌ప్లాంట్. [2] [3] [4] [5] జెఫిర్ దాని తక్కువ పేలోడ్ కోసం గుర్తించబడింది. 197.5 కిలోల (435"&amp;" ఎల్బి) మరియు పూర్తి ఇంధనం 43 కిలోల (95 ఎల్బి) తో, ఇది యజమానులు మరియు సామాను కోసం 154.3 కిలోల (340 ఎల్బి) మాత్రమే వదిలివేస్తుంది. [2] [3] [4] జెఫిర్ తరువాత ATEC 321 FAETA లో అభివృద్ధి చేయబడింది. [2] బెర్ట్రాండ్ మరియు పర్డీ నుండి డేటా [2] [5] సాధారణ లక్షణా"&amp;"ల పనితీరు")</f>
        <v>ATEC 122 జెఫిర్ 2000 అనేది చెక్ అల్ట్రాలైట్ విమానం, దీనిని ఓల్డ్‌రిచ్ ఒలన్స్కీ రూపొందించారు మరియు ATEC V.O.S. లిబిస్ నాడ్ సిడ్లినా. ఈ విమానం పూర్తి రెడీ-టు-ఫ్లై-ఎయిర్‌క్రాఫ్ట్‌గా లేదా te త్సాహిక నిర్మాణానికి కిట్‌గా సరఫరా చేయబడుతుంది. [2] [3] [4] [5] జెఫిర్ ఫెడెరేషన్ ఏరోనటిక్ ఇంటర్నేషనల్ మైక్రోలైట్ నిబంధనలకు అనుగుణంగా రూపొందించబడింది. ఇది కాంటిలివర్ లో-వింగ్, బబుల్ పందిరి కింద రెండు-సైడ్-సైడ్-సైడ్ కాన్ఫిగరేషన్ పరివేష్టిత కాక్‌పిట్, స్థిర ట్రైసైకిల్ ల్యాండింగ్ గేర్, టి-టెయిల్ మరియు ట్రాక్టర్ కాన్ఫిగరేషన్‌లో ఒకే ఇంజిన్ కలిగి ఉంది. [2] [3 నటించు విమానం యొక్క ఫ్యూజ్‌లేజ్ చెక్క బల్క్‌హెడ్‌లతో మిశ్రమాల నుండి తయారవుతుంది. సెమీ టేపెర్డ్ 9.6 మీ (31.5 అడుగులు) స్పాన్ వింగ్ ప్లైవుడ్ నుండి మిశ్రమ స్పార్స్ మరియు ప్రముఖ అంచులతో తయారు చేయబడింది మరియు యుఎ -2 ఎయిర్‌ఫాయిల్‌ను ఉపయోగిస్తుంది. రెక్క డోప్డ్ ఎయిర్క్రాఫ్ట్ ఫాబ్రిక్‌తో కప్పబడి ఉంటుంది. ప్రామాణిక ఇంజిన్ ఫ్యాక్టరీ-సరఫరా చేసినది 100 HP (75 kW) రోటాక్స్ 912లు నాలుగు-స్ట్రోక్ పవర్‌ప్లాంట్. [2] [3] [4] [5] జెఫిర్ దాని తక్కువ పేలోడ్ కోసం గుర్తించబడింది. 197.5 కిలోల (435 ఎల్బి) మరియు పూర్తి ఇంధనం 43 కిలోల (95 ఎల్బి) తో, ఇది యజమానులు మరియు సామాను కోసం 154.3 కిలోల (340 ఎల్బి) మాత్రమే వదిలివేస్తుంది. [2] [3] [4] జెఫిర్ తరువాత ATEC 321 FAETA లో అభివృద్ధి చేయబడింది. [2] బెర్ట్రాండ్ మరియు పర్డీ నుండి డేటా [2] [5] సాధారణ లక్షణాల పనితీరు</v>
      </c>
      <c r="E92" s="1" t="s">
        <v>1372</v>
      </c>
      <c r="F92" s="1" t="str">
        <f>IFERROR(__xludf.DUMMYFUNCTION("GOOGLETRANSLATE(E:E, ""en"", ""te"")"),"అల్ట్రాలైట్ విమానం మరియు లైట్-స్పోర్ట్ విమానం")</f>
        <v>అల్ట్రాలైట్ విమానం మరియు లైట్-స్పోర్ట్ విమానం</v>
      </c>
      <c r="G92" s="1" t="s">
        <v>1373</v>
      </c>
      <c r="H92" s="1" t="s">
        <v>246</v>
      </c>
      <c r="I92" s="1" t="str">
        <f>IFERROR(__xludf.DUMMYFUNCTION("GOOGLETRANSLATE(H:H, ""en"", ""te"")"),"చెక్ రిపబ్లిక్")</f>
        <v>చెక్ రిపబ్లిక్</v>
      </c>
      <c r="J92" s="1" t="s">
        <v>247</v>
      </c>
      <c r="K92" s="1" t="s">
        <v>1374</v>
      </c>
      <c r="L92" s="2" t="str">
        <f>IFERROR(__xludf.DUMMYFUNCTION("GOOGLETRANSLATE(K:K, ""en"", ""te"")"),"ATEC V.O.S.")</f>
        <v>ATEC V.O.S.</v>
      </c>
      <c r="M92" s="1" t="s">
        <v>1375</v>
      </c>
      <c r="N92" s="1" t="s">
        <v>584</v>
      </c>
      <c r="O92" s="1" t="str">
        <f>IFERROR(__xludf.DUMMYFUNCTION("GOOGLETRANSLATE(N:N, ""en"", ""te"")"),"ఉత్పత్తిలో")</f>
        <v>ఉత్పత్తిలో</v>
      </c>
      <c r="Q92" s="1" t="s">
        <v>162</v>
      </c>
      <c r="R92" s="1" t="s">
        <v>1376</v>
      </c>
      <c r="S92" s="1" t="s">
        <v>1377</v>
      </c>
      <c r="U92" s="1" t="s">
        <v>1378</v>
      </c>
      <c r="W92" s="1" t="s">
        <v>177</v>
      </c>
      <c r="X92" s="1" t="s">
        <v>1379</v>
      </c>
      <c r="Y92" s="1" t="s">
        <v>1063</v>
      </c>
      <c r="Z92" s="1" t="s">
        <v>1380</v>
      </c>
      <c r="AA92" s="1" t="s">
        <v>356</v>
      </c>
      <c r="AB92" s="1" t="s">
        <v>1381</v>
      </c>
      <c r="AC92" s="1" t="s">
        <v>1382</v>
      </c>
      <c r="AE92" s="1" t="s">
        <v>1383</v>
      </c>
      <c r="AH92" s="1" t="s">
        <v>1384</v>
      </c>
      <c r="AI92" s="1" t="s">
        <v>1066</v>
      </c>
      <c r="AL92" s="1" t="s">
        <v>1385</v>
      </c>
      <c r="AM92" s="1" t="s">
        <v>330</v>
      </c>
      <c r="AS92" s="1" t="s">
        <v>1386</v>
      </c>
      <c r="AU92" s="1" t="s">
        <v>1387</v>
      </c>
      <c r="BP92" s="1" t="s">
        <v>1199</v>
      </c>
      <c r="CW92" s="1" t="s">
        <v>1388</v>
      </c>
    </row>
    <row r="93">
      <c r="A93" s="1" t="s">
        <v>1389</v>
      </c>
      <c r="B93" s="1" t="str">
        <f>IFERROR(__xludf.DUMMYFUNCTION("GOOGLETRANSLATE(A:A, ""en"", ""te"")"),"ATEC 321 FAETA")</f>
        <v>ATEC 321 FAETA</v>
      </c>
      <c r="C93" s="1" t="s">
        <v>1390</v>
      </c>
      <c r="D93" s="1" t="str">
        <f>IFERROR(__xludf.DUMMYFUNCTION("GOOGLETRANSLATE(C:C, ""en"", ""te"")"),"ATEC 321 FAETA అనేది చెక్ అల్ట్రాలైట్ మరియు లైట్-స్పోర్ట్ విమానం, ఇది ATEC V.O.S. లిబిస్ నాడ్ సిడ్లినా. ఇది మునుపటి ATEC 122 జెఫిర్ 2000 నుండి అభివృద్ధి చేయబడింది. ఈ విమానం పూర్తి రెడీ-టు-ఫ్లై-ఎయిర్‌క్రాఫ్ట్‌గా సరఫరా చేయబడుతుంది. [2] [3] [4] Fétération Aé"&amp;"ronautique ఇంటర్నేషనల్ మైక్రోలైట్ రూల్స్ మరియు యుఎస్ లైట్-స్పోర్ట్ ఎయిర్క్రాఫ్ట్ రూల్స్ ను పాటించడానికి FAETA రూపొందించబడింది. ఇది కాంటిలివర్ లో-వింగ్, బబుల్ పందిరి కింద రెండు-సైడ్-సైడ్-సైడ్ కాన్ఫిగరేషన్ పరివేష్టిత కాక్‌పిట్, స్థిర ట్రైసైకిల్ ల్యాండింగ్ గ"&amp;"ేర్, టి-టెయిల్ మరియు ట్రాక్టర్ కాన్ఫిగరేషన్‌లో ఒకే ఇంజిన్ కలిగి ఉంది. ఇది USA లో ఆమోదించబడిన SLSA. [2] [3] [4] [5] విమానం ఫ్యూజ్‌లేజ్ కార్బన్ ఫైబర్ షెల్ మరియు మిశ్రమ శాండ్‌విచ్ బల్క్‌హెడ్‌లతో తయారు చేయబడింది. 9.6 మీ (31.5 అడుగులు) స్పాన్ వింగ్ కార్బన్ ఫైబ"&amp;"ర్ శాండ్‌విచ్‌ల నుండి లామినేటెడ్ చెక్క స్పార్ మీద నిర్మించబడింది. రెక్కలు జెఫిర్ నుండి మారుతూ ఉంటాయి, దీనిలో ఇది వేరే దెబ్బతిన్న ప్లాన్‌ఫార్మ్‌ను కలిగి ఉంటుంది మరియు కొత్త ఎయిర్‌ఫాయిల్‌ను ఉపయోగిస్తుంది. డిజైన్ 122 జెఫిర్ కంటే తక్కువ ఖాళీ బరువు మరియు స్టాల"&amp;"్ వేగాన్ని అందించడానికి ప్రయత్నిస్తుంది. అందుబాటులో ఉన్న ప్రామాణిక ఇంజిన్ 100 HP (75 kW) రోటాక్స్ 912లు నాలుగు-స్ట్రోక్ పవర్‌ప్లాంట్. [2] [3] [4] నార్డిక్ ఓమ్సైడర్ ఉభయచర నమూనా రెక్కలు మరియు తోక యొక్క భాగాన్ని ఫేటా నుండి ఉపయోగిస్తుంది. [4] బేయర్ల్ మరియు టా"&amp;"క్ నుండి డేటా [2] [4] సాధారణ లక్షణాల పనితీరు")</f>
        <v>ATEC 321 FAETA అనేది చెక్ అల్ట్రాలైట్ మరియు లైట్-స్పోర్ట్ విమానం, ఇది ATEC V.O.S. లిబిస్ నాడ్ సిడ్లినా. ఇది మునుపటి ATEC 122 జెఫిర్ 2000 నుండి అభివృద్ధి చేయబడింది. ఈ విమానం పూర్తి రెడీ-టు-ఫ్లై-ఎయిర్‌క్రాఫ్ట్‌గా సరఫరా చేయబడుతుంది. [2] [3] [4] Fétération Aéronautique ఇంటర్నేషనల్ మైక్రోలైట్ రూల్స్ మరియు యుఎస్ లైట్-స్పోర్ట్ ఎయిర్క్రాఫ్ట్ రూల్స్ ను పాటించడానికి FAETA రూపొందించబడింది. ఇది కాంటిలివర్ లో-వింగ్, బబుల్ పందిరి కింద రెండు-సైడ్-సైడ్-సైడ్ కాన్ఫిగరేషన్ పరివేష్టిత కాక్‌పిట్, స్థిర ట్రైసైకిల్ ల్యాండింగ్ గేర్, టి-టెయిల్ మరియు ట్రాక్టర్ కాన్ఫిగరేషన్‌లో ఒకే ఇంజిన్ కలిగి ఉంది. ఇది USA లో ఆమోదించబడిన SLSA. [2] [3] [4] [5] విమానం ఫ్యూజ్‌లేజ్ కార్బన్ ఫైబర్ షెల్ మరియు మిశ్రమ శాండ్‌విచ్ బల్క్‌హెడ్‌లతో తయారు చేయబడింది. 9.6 మీ (31.5 అడుగులు) స్పాన్ వింగ్ కార్బన్ ఫైబర్ శాండ్‌విచ్‌ల నుండి లామినేటెడ్ చెక్క స్పార్ మీద నిర్మించబడింది. రెక్కలు జెఫిర్ నుండి మారుతూ ఉంటాయి, దీనిలో ఇది వేరే దెబ్బతిన్న ప్లాన్‌ఫార్మ్‌ను కలిగి ఉంటుంది మరియు కొత్త ఎయిర్‌ఫాయిల్‌ను ఉపయోగిస్తుంది. డిజైన్ 122 జెఫిర్ కంటే తక్కువ ఖాళీ బరువు మరియు స్టాల్ వేగాన్ని అందించడానికి ప్రయత్నిస్తుంది. అందుబాటులో ఉన్న ప్రామాణిక ఇంజిన్ 100 HP (75 kW) రోటాక్స్ 912లు నాలుగు-స్ట్రోక్ పవర్‌ప్లాంట్. [2] [3] [4] నార్డిక్ ఓమ్సైడర్ ఉభయచర నమూనా రెక్కలు మరియు తోక యొక్క భాగాన్ని ఫేటా నుండి ఉపయోగిస్తుంది. [4] బేయర్ల్ మరియు టాక్ నుండి డేటా [2] [4] సాధారణ లక్షణాల పనితీరు</v>
      </c>
      <c r="E93" s="1" t="s">
        <v>1372</v>
      </c>
      <c r="F93" s="1" t="str">
        <f>IFERROR(__xludf.DUMMYFUNCTION("GOOGLETRANSLATE(E:E, ""en"", ""te"")"),"అల్ట్రాలైట్ విమానం మరియు లైట్-స్పోర్ట్ విమానం")</f>
        <v>అల్ట్రాలైట్ విమానం మరియు లైట్-స్పోర్ట్ విమానం</v>
      </c>
      <c r="G93" s="1" t="s">
        <v>1373</v>
      </c>
      <c r="H93" s="1" t="s">
        <v>246</v>
      </c>
      <c r="I93" s="1" t="str">
        <f>IFERROR(__xludf.DUMMYFUNCTION("GOOGLETRANSLATE(H:H, ""en"", ""te"")"),"చెక్ రిపబ్లిక్")</f>
        <v>చెక్ రిపబ్లిక్</v>
      </c>
      <c r="J93" s="1" t="s">
        <v>247</v>
      </c>
      <c r="K93" s="1" t="s">
        <v>1374</v>
      </c>
      <c r="L93" s="2" t="str">
        <f>IFERROR(__xludf.DUMMYFUNCTION("GOOGLETRANSLATE(K:K, ""en"", ""te"")"),"ATEC V.O.S.")</f>
        <v>ATEC V.O.S.</v>
      </c>
      <c r="M93" s="1" t="s">
        <v>1375</v>
      </c>
      <c r="N93" s="1" t="s">
        <v>584</v>
      </c>
      <c r="O93" s="1" t="str">
        <f>IFERROR(__xludf.DUMMYFUNCTION("GOOGLETRANSLATE(N:N, ""en"", ""te"")"),"ఉత్పత్తిలో")</f>
        <v>ఉత్పత్తిలో</v>
      </c>
      <c r="Q93" s="1" t="s">
        <v>162</v>
      </c>
      <c r="R93" s="1" t="s">
        <v>1376</v>
      </c>
      <c r="S93" s="1" t="s">
        <v>1391</v>
      </c>
      <c r="U93" s="1" t="s">
        <v>1352</v>
      </c>
      <c r="X93" s="1" t="s">
        <v>1297</v>
      </c>
      <c r="Y93" s="1" t="s">
        <v>1063</v>
      </c>
      <c r="Z93" s="1" t="s">
        <v>1392</v>
      </c>
      <c r="AA93" s="1" t="s">
        <v>252</v>
      </c>
      <c r="AC93" s="1" t="s">
        <v>1393</v>
      </c>
      <c r="AI93" s="1" t="s">
        <v>1066</v>
      </c>
      <c r="AJ93" s="1" t="s">
        <v>1259</v>
      </c>
      <c r="AL93" s="1" t="s">
        <v>1394</v>
      </c>
      <c r="AM93" s="1" t="s">
        <v>330</v>
      </c>
      <c r="AS93" s="1" t="s">
        <v>1395</v>
      </c>
      <c r="AU93" s="1" t="s">
        <v>1396</v>
      </c>
      <c r="BO93" s="1" t="s">
        <v>1370</v>
      </c>
      <c r="BP93" s="1" t="s">
        <v>1397</v>
      </c>
      <c r="BR93" s="1" t="s">
        <v>1398</v>
      </c>
    </row>
    <row r="94">
      <c r="A94" s="1" t="s">
        <v>1399</v>
      </c>
      <c r="B94" s="1" t="str">
        <f>IFERROR(__xludf.DUMMYFUNCTION("GOOGLETRANSLATE(A:A, ""en"", ""te"")"),"బ్రిస్టల్ బక్ మాస్టర్")</f>
        <v>బ్రిస్టల్ బక్ మాస్టర్</v>
      </c>
      <c r="C94" s="1" t="s">
        <v>1400</v>
      </c>
      <c r="D94" s="1" t="str">
        <f>IFERROR(__xludf.DUMMYFUNCTION("GOOGLETRANSLATE(C:C, ""en"", ""te"")"),"బ్రిస్టల్ బక్ మాస్టర్ 1950 లలో రాయల్ వైమానిక దళం నిర్వహిస్తున్న ఒక అధునాతన బ్రిటిష్ శిక్షణా విమానం. 1945 నాటికి, వాడుకలో ఉన్న అధునాతన శిక్షకుల మధ్య పనితీరులో తీవ్రమైన అంతరం ఉంది-అవ్రో అన్సన్, ఎయిర్‌స్పీడ్ ఆక్స్ఫర్డ్, డ్యూయల్-కంట్రోల్ బ్రిస్టల్ బ్లెన్‌హీమ్"&amp;" మరియు లాక్‌హీడ్ హడ్సన్ వంటివి-మరియు పైలట్లు ఎగురుతాయని భావిస్తున్న పోరాట విమానాలు గ్రాడ్యుయేషన్‌లో. ఎయిర్ మినిస్ట్రీ స్పెసిఫికేషన్ T.13/43 [1] కు బ్రిస్టల్ ప్రతిస్పందన బకింగ్‌హామ్ వింగ్‌ను మరింత కొత్త ఫ్యూజ్‌లేజ్‌తో, 166 టైప్ గా అభివృద్ధి చేసిన విమానంలో."&amp;" ట్రైనీ మరియు బోధకుడు పక్కపక్కనే కూర్చున్నారు వైర్‌లెస్ ఆపరేటర్ వెనుక కూర్చున్నారు. బక్ మాస్టర్ ఒక ప్రొపెల్లర్ నడిచే, జంట-ఇంజిన్ మిడ్-వింగ్ విమానం. ముడుచుకునే అండర్ క్యారేజ్ సాంప్రదాయిక (టెయిల్‌వీల్) కాన్ఫిగరేషన్‌కు చెందినది. రేడియల్ ఇంజిన్లలో నాలుగు-బ్లే"&amp;"డ్ ప్రొపెల్లర్లు ఉన్నాయి. ఉత్పత్తి శ్రేణిని జోడించడానికి మొత్తం 65 బకింగ్‌హామ్ బాంబర్లు ఉత్పత్తి మార్గంలో అసంపూర్తిగా ఉన్నాయి మరియు బక్‌మాస్టర్‌గా పునర్నిర్మించబడ్డాయి. అన్నీ ఇలాంటి బ్రిగేండ్‌కు శిక్షకుడిగా పనిచేయడానికి ఉద్దేశించబడ్డాయి. [1] [2] ఇది ప్రవే"&amp;"శపెట్టినప్పుడు ""RAF లో అత్యధిక పనితీరు గల శిక్షకుడు"" గా పరిగణించబడింది. బ్లైండ్ ఫ్లయింగ్ ఇన్స్ట్రక్షన్ మరియు ఇన్స్ట్రుమెంట్ ట్రైనింగ్ చేపట్టవచ్చు, సాధారణ సిబ్బంది పూర్తి పైలట్, బోధకుడు మరియు ఎయిర్ సిగ్నలర్. చివరి శిక్షణా కమాండ్ బక్మాస్టర్స్ కొల్లర్న్ వద"&amp;"్ద 238 నంబర్ 238 OCU తో యాభైల మధ్యలో పనిచేశారు; ప్రయోగాత్మక పని కోసం ఒకటి లేదా రెండింటిని ఫిల్టన్‌కు బదిలీ చేయడం [1] 1950 ల మధ్యలో దాని పదవీ విరమణను గుర్తించింది. [3] రెండవ ప్రపంచ యుద్ధం యొక్క జేన్ యొక్క పోరాట విమానాల నుండి డేటా [4] సాధారణ లక్షణాలు పనితీర"&amp;"ు సంబంధిత అభివృద్ధి విమానం పోల్చదగిన పాత్ర, కాన్ఫిగరేషన్ మరియు ERA సంబంధిత జాబితాలు")</f>
        <v>బ్రిస్టల్ బక్ మాస్టర్ 1950 లలో రాయల్ వైమానిక దళం నిర్వహిస్తున్న ఒక అధునాతన బ్రిటిష్ శిక్షణా విమానం. 1945 నాటికి, వాడుకలో ఉన్న అధునాతన శిక్షకుల మధ్య పనితీరులో తీవ్రమైన అంతరం ఉంది-అవ్రో అన్సన్, ఎయిర్‌స్పీడ్ ఆక్స్ఫర్డ్, డ్యూయల్-కంట్రోల్ బ్రిస్టల్ బ్లెన్‌హీమ్ మరియు లాక్‌హీడ్ హడ్సన్ వంటివి-మరియు పైలట్లు ఎగురుతాయని భావిస్తున్న పోరాట విమానాలు గ్రాడ్యుయేషన్‌లో. ఎయిర్ మినిస్ట్రీ స్పెసిఫికేషన్ T.13/43 [1] కు బ్రిస్టల్ ప్రతిస్పందన బకింగ్‌హామ్ వింగ్‌ను మరింత కొత్త ఫ్యూజ్‌లేజ్‌తో, 166 టైప్ గా అభివృద్ధి చేసిన విమానంలో. ట్రైనీ మరియు బోధకుడు పక్కపక్కనే కూర్చున్నారు వైర్‌లెస్ ఆపరేటర్ వెనుక కూర్చున్నారు. బక్ మాస్టర్ ఒక ప్రొపెల్లర్ నడిచే, జంట-ఇంజిన్ మిడ్-వింగ్ విమానం. ముడుచుకునే అండర్ క్యారేజ్ సాంప్రదాయిక (టెయిల్‌వీల్) కాన్ఫిగరేషన్‌కు చెందినది. రేడియల్ ఇంజిన్లలో నాలుగు-బ్లేడ్ ప్రొపెల్లర్లు ఉన్నాయి. ఉత్పత్తి శ్రేణిని జోడించడానికి మొత్తం 65 బకింగ్‌హామ్ బాంబర్లు ఉత్పత్తి మార్గంలో అసంపూర్తిగా ఉన్నాయి మరియు బక్‌మాస్టర్‌గా పునర్నిర్మించబడ్డాయి. అన్నీ ఇలాంటి బ్రిగేండ్‌కు శిక్షకుడిగా పనిచేయడానికి ఉద్దేశించబడ్డాయి. [1] [2] ఇది ప్రవేశపెట్టినప్పుడు "RAF లో అత్యధిక పనితీరు గల శిక్షకుడు" గా పరిగణించబడింది. బ్లైండ్ ఫ్లయింగ్ ఇన్స్ట్రక్షన్ మరియు ఇన్స్ట్రుమెంట్ ట్రైనింగ్ చేపట్టవచ్చు, సాధారణ సిబ్బంది పూర్తి పైలట్, బోధకుడు మరియు ఎయిర్ సిగ్నలర్. చివరి శిక్షణా కమాండ్ బక్మాస్టర్స్ కొల్లర్న్ వద్ద 238 నంబర్ 238 OCU తో యాభైల మధ్యలో పనిచేశారు; ప్రయోగాత్మక పని కోసం ఒకటి లేదా రెండింటిని ఫిల్టన్‌కు బదిలీ చేయడం [1] 1950 ల మధ్యలో దాని పదవీ విరమణను గుర్తించింది. [3] రెండవ ప్రపంచ యుద్ధం యొక్క జేన్ యొక్క పోరాట విమానాల నుండి డేటా [4] సాధారణ లక్షణాలు పనితీరు సంబంధిత అభివృద్ధి విమానం పోల్చదగిన పాత్ర, కాన్ఫిగరేషన్ మరియు ERA సంబంధిత జాబితాలు</v>
      </c>
      <c r="E94" s="1" t="s">
        <v>1401</v>
      </c>
      <c r="F94" s="1" t="str">
        <f>IFERROR(__xludf.DUMMYFUNCTION("GOOGLETRANSLATE(E:E, ""en"", ""te"")"),"అధునాతన ట్రైనర్ విమానం")</f>
        <v>అధునాతన ట్రైనర్ విమానం</v>
      </c>
      <c r="G94" s="1" t="s">
        <v>1402</v>
      </c>
      <c r="K94" s="1" t="s">
        <v>1403</v>
      </c>
      <c r="L94" s="2" t="str">
        <f>IFERROR(__xludf.DUMMYFUNCTION("GOOGLETRANSLATE(K:K, ""en"", ""te"")"),"బ్రిస్టల్ ఎయిర్‌ప్లేన్ కంపెనీ")</f>
        <v>బ్రిస్టల్ ఎయిర్‌ప్లేన్ కంపెనీ</v>
      </c>
      <c r="M94" s="1" t="s">
        <v>1404</v>
      </c>
      <c r="P94" s="1" t="s">
        <v>1405</v>
      </c>
      <c r="Q94" s="1" t="s">
        <v>1406</v>
      </c>
      <c r="R94" s="1" t="s">
        <v>1407</v>
      </c>
      <c r="S94" s="1" t="s">
        <v>1408</v>
      </c>
      <c r="U94" s="1" t="s">
        <v>1409</v>
      </c>
      <c r="X94" s="1" t="s">
        <v>1410</v>
      </c>
      <c r="Z94" s="1" t="s">
        <v>1411</v>
      </c>
      <c r="AC94" s="1">
        <v>1945.0</v>
      </c>
      <c r="AD94" s="4">
        <v>16372.0</v>
      </c>
      <c r="AE94" s="1">
        <v>112.0</v>
      </c>
      <c r="AF94" s="1" t="s">
        <v>1412</v>
      </c>
      <c r="AG94" s="1" t="s">
        <v>1413</v>
      </c>
      <c r="AI94" s="1" t="s">
        <v>1414</v>
      </c>
      <c r="AJ94" s="1" t="s">
        <v>1415</v>
      </c>
      <c r="AL94" s="1" t="s">
        <v>1416</v>
      </c>
      <c r="AP94" s="1" t="s">
        <v>1417</v>
      </c>
      <c r="AQ94" s="1" t="s">
        <v>1418</v>
      </c>
      <c r="AR94" s="1" t="s">
        <v>1419</v>
      </c>
      <c r="BO94" s="1" t="s">
        <v>1420</v>
      </c>
      <c r="BP94" s="1" t="s">
        <v>1421</v>
      </c>
      <c r="BR94" s="1" t="s">
        <v>1422</v>
      </c>
      <c r="CZ94" s="1" t="s">
        <v>1423</v>
      </c>
      <c r="DF94" s="1" t="s">
        <v>1424</v>
      </c>
    </row>
    <row r="95">
      <c r="A95" s="1" t="s">
        <v>1425</v>
      </c>
      <c r="B95" s="1" t="str">
        <f>IFERROR(__xludf.DUMMYFUNCTION("GOOGLETRANSLATE(A:A, ""en"", ""te"")"),"అక్రోలైట్")</f>
        <v>అక్రోలైట్</v>
      </c>
      <c r="C95" s="1" t="s">
        <v>1426</v>
      </c>
      <c r="D95" s="1" t="str">
        <f>IFERROR(__xludf.DUMMYFUNCTION("GOOGLETRANSLATE(C:C, ""en"", ""te"")"),"అక్రోలైట్ అనేది కెనడియన్ te త్సాహిక-నిర్మిత విమానం యొక్క కుటుంబం, ఇది రాన్ విల్సన్ చేత రూపొందించబడింది మరియు అంటారియోలోని కాకాబెకా జలపాతం యొక్క అక్రోలైట్ విమానాలచే ఉత్పత్తి చేయబడింది, te త్సాహిక నిర్మాణానికి ప్రణాళికల రూపంలో. [1] [3] సిరీస్‌లోని విమానం ఒక"&amp;"టి లేదా రెండు సీట్లు, స్థిర సాంప్రదాయ ల్యాండింగ్ గేర్ మరియు ట్రాక్టర్ కాన్ఫిగరేషన్‌లో ఒకే ఇంజిన్ కలిగి ఉంటుంది. అక్రోలైట్ ఫ్యూజ్‌లేజ్‌లు అన్నీ వెల్డెడ్ 4130 స్టీల్ గొట్టాల నుండి తయారవుతాయి, చెక్క నిర్మాణం రెక్కలు వేడి లామినేటెడ్ ప్లైవుడ్ మరియు అల్యూమినియం"&amp;" షీట్ నుండి తయారైన నియంత్రణ ఉపరితలాలతో కప్పబడి ఉంటాయి. అన్ని ఇతర ఉపరితలాలు డోప్డ్ ఎయిర్క్రాఫ్ట్ ఫాబ్రిక్‌లో కప్పబడి ఉంటాయి. వింగ్ ఏర్పాట్లు, కాక్‌పిట్ మరియు ఇంజన్లు మోడల్ ద్వారా మారుతూ ఉంటాయి. [1] [2] ఎయిర్క్రాఫ్ట్ స్ప్రూస్ &amp; స్పెషాలిటీ కో అక్రోలైట్ 1 సి "&amp;"కోసం ప్రణాళికలు మరియు పదార్థాల వస్తు సామగ్రిని సరఫరా చేస్తుంది. 16 ఎయిర్‌ఫ్రేమ్-మాత్రమే మెటీరియల్స్ ప్యాకేజీలు US $ 10,000 లోపు ఖర్చు అవుతాయని కంపెనీ పేర్కొంది. [3] అక్రోలైట్ 1 ఎ 1998 లో కెనడియన్ యజమానులు మరియు పైలట్ల అసోసియేషన్ ""గుడ్ షో"" అవార్డును గెలు"&amp;"చుకుంది మరియు అక్రోలైట్ 1 బి 1995 విమాన స్ప్రూస్ &amp; స్పెషాలిటీ స్క్రాచ్‌బిల్డ్ డిజైన్ పోటీలో ఇద్దరు ఫైనలిస్టులలో ఒకరిగా ఎంపిక చేయబడింది. [3] [5] మార్చి 2017 లో, ఐదు ఉదాహరణలు ట్రాన్స్పోర్ట్ కెనడాలో నమోదు చేయబడ్డాయి, అయినప్పటికీ మొత్తం ఏడు ఒకప్పుడు నమోదు చేయ"&amp;"బడ్డాయి. [6] [7] బేయర్ల్ మరియు అక్రోలైట్ విమానాల డేటా [1] [9] [15] సాధారణ లక్షణాల పనితీరు")</f>
        <v>అక్రోలైట్ అనేది కెనడియన్ te త్సాహిక-నిర్మిత విమానం యొక్క కుటుంబం, ఇది రాన్ విల్సన్ చేత రూపొందించబడింది మరియు అంటారియోలోని కాకాబెకా జలపాతం యొక్క అక్రోలైట్ విమానాలచే ఉత్పత్తి చేయబడింది, te త్సాహిక నిర్మాణానికి ప్రణాళికల రూపంలో. [1] [3] సిరీస్‌లోని విమానం ఒకటి లేదా రెండు సీట్లు, స్థిర సాంప్రదాయ ల్యాండింగ్ గేర్ మరియు ట్రాక్టర్ కాన్ఫిగరేషన్‌లో ఒకే ఇంజిన్ కలిగి ఉంటుంది. అక్రోలైట్ ఫ్యూజ్‌లేజ్‌లు అన్నీ వెల్డెడ్ 4130 స్టీల్ గొట్టాల నుండి తయారవుతాయి, చెక్క నిర్మాణం రెక్కలు వేడి లామినేటెడ్ ప్లైవుడ్ మరియు అల్యూమినియం షీట్ నుండి తయారైన నియంత్రణ ఉపరితలాలతో కప్పబడి ఉంటాయి. అన్ని ఇతర ఉపరితలాలు డోప్డ్ ఎయిర్క్రాఫ్ట్ ఫాబ్రిక్‌లో కప్పబడి ఉంటాయి. వింగ్ ఏర్పాట్లు, కాక్‌పిట్ మరియు ఇంజన్లు మోడల్ ద్వారా మారుతూ ఉంటాయి. [1] [2] ఎయిర్క్రాఫ్ట్ స్ప్రూస్ &amp; స్పెషాలిటీ కో అక్రోలైట్ 1 సి కోసం ప్రణాళికలు మరియు పదార్థాల వస్తు సామగ్రిని సరఫరా చేస్తుంది. 16 ఎయిర్‌ఫ్రేమ్-మాత్రమే మెటీరియల్స్ ప్యాకేజీలు US $ 10,000 లోపు ఖర్చు అవుతాయని కంపెనీ పేర్కొంది. [3] అక్రోలైట్ 1 ఎ 1998 లో కెనడియన్ యజమానులు మరియు పైలట్ల అసోసియేషన్ "గుడ్ షో" అవార్డును గెలుచుకుంది మరియు అక్రోలైట్ 1 బి 1995 విమాన స్ప్రూస్ &amp; స్పెషాలిటీ స్క్రాచ్‌బిల్డ్ డిజైన్ పోటీలో ఇద్దరు ఫైనలిస్టులలో ఒకరిగా ఎంపిక చేయబడింది. [3] [5] మార్చి 2017 లో, ఐదు ఉదాహరణలు ట్రాన్స్పోర్ట్ కెనడాలో నమోదు చేయబడ్డాయి, అయినప్పటికీ మొత్తం ఏడు ఒకప్పుడు నమోదు చేయబడ్డాయి. [6] [7] బేయర్ల్ మరియు అక్రోలైట్ విమానాల డేటా [1] [9] [15] సాధారణ లక్షణాల పనితీరు</v>
      </c>
      <c r="E95" s="1" t="s">
        <v>1071</v>
      </c>
      <c r="F95" s="1" t="str">
        <f>IFERROR(__xludf.DUMMYFUNCTION("GOOGLETRANSLATE(E:E, ""en"", ""te"")"),"Te త్సాహిక నిర్మించిన విమానం")</f>
        <v>Te త్సాహిక నిర్మించిన విమానం</v>
      </c>
      <c r="G95" s="1" t="s">
        <v>1072</v>
      </c>
      <c r="H95" s="1" t="s">
        <v>1427</v>
      </c>
      <c r="I95" s="1" t="str">
        <f>IFERROR(__xludf.DUMMYFUNCTION("GOOGLETRANSLATE(H:H, ""en"", ""te"")"),"కెనడా")</f>
        <v>కెనడా</v>
      </c>
      <c r="J95" s="3" t="s">
        <v>1428</v>
      </c>
      <c r="K95" s="1" t="s">
        <v>1429</v>
      </c>
      <c r="L95" s="2" t="str">
        <f>IFERROR(__xludf.DUMMYFUNCTION("GOOGLETRANSLATE(K:K, ""en"", ""te"")"),"అక్రోలైట్ విమానం")</f>
        <v>అక్రోలైట్ విమానం</v>
      </c>
      <c r="M95" s="1" t="s">
        <v>1430</v>
      </c>
      <c r="N95" s="1" t="s">
        <v>1431</v>
      </c>
      <c r="O95" s="1" t="str">
        <f>IFERROR(__xludf.DUMMYFUNCTION("GOOGLETRANSLATE(N:N, ""en"", ""te"")"),"అందుబాటులో ఉన్న ప్రణాళికలు (2021)")</f>
        <v>అందుబాటులో ఉన్న ప్రణాళికలు (2021)</v>
      </c>
      <c r="Q95" s="1" t="s">
        <v>162</v>
      </c>
      <c r="R95" s="1" t="s">
        <v>1432</v>
      </c>
      <c r="S95" s="1" t="s">
        <v>1433</v>
      </c>
      <c r="T95" s="1">
        <v>8.0</v>
      </c>
      <c r="U95" s="1" t="s">
        <v>1434</v>
      </c>
      <c r="W95" s="1" t="s">
        <v>177</v>
      </c>
      <c r="X95" s="1" t="s">
        <v>1435</v>
      </c>
      <c r="Y95" s="1" t="s">
        <v>1436</v>
      </c>
      <c r="Z95" s="1" t="s">
        <v>1437</v>
      </c>
      <c r="AA95" s="1" t="s">
        <v>902</v>
      </c>
      <c r="AB95" s="1" t="s">
        <v>1438</v>
      </c>
      <c r="AD95" s="5">
        <v>31686.0</v>
      </c>
      <c r="AF95" s="1" t="s">
        <v>1439</v>
      </c>
      <c r="AG95" s="1" t="s">
        <v>1440</v>
      </c>
      <c r="AH95" s="1" t="s">
        <v>1441</v>
      </c>
      <c r="AI95" s="1" t="s">
        <v>1442</v>
      </c>
      <c r="AP95" s="1" t="s">
        <v>885</v>
      </c>
      <c r="AS95" s="1" t="s">
        <v>1443</v>
      </c>
      <c r="AU95" s="1" t="s">
        <v>1444</v>
      </c>
      <c r="BJ95" s="1" t="s">
        <v>215</v>
      </c>
      <c r="BL95" s="1" t="s">
        <v>435</v>
      </c>
      <c r="BP95" s="1" t="s">
        <v>1445</v>
      </c>
    </row>
    <row r="96">
      <c r="A96" s="1" t="s">
        <v>1446</v>
      </c>
      <c r="B96" s="1" t="str">
        <f>IFERROR(__xludf.DUMMYFUNCTION("GOOGLETRANSLATE(A:A, ""en"", ""te"")"),"Adcox Special")</f>
        <v>Adcox Special</v>
      </c>
      <c r="C96" s="1" t="s">
        <v>1447</v>
      </c>
      <c r="D96" s="1" t="str">
        <f>IFERROR(__xludf.DUMMYFUNCTION("GOOGLETRANSLATE(C:C, ""en"", ""te"")"),"ADCOX స్పెషల్ అనేది 1929 లో యుఎస్ ADCOX ఏవియేషన్ ట్రేడ్ స్కూల్ విద్యార్థులు నిర్మించిన రెండు-సీట్ల ఓపెన్-కాక్‌పిట్ బైప్‌లేన్, ఇది 100 HP (75 kW) కిన్నర్ K-5 ఇంజిన్‌తో పనిచేస్తుంది. [1] ఒక ఉదాహరణ మాత్రమే నిర్మించినప్పటికీ, ఆ సంవత్సరం తరువాత తక్కువ సంఖ్యలో "&amp;"ఉత్పత్తి చేయబడిన ADCOX విద్యార్థి యువరాజుకు ఈ డిజైన్ ఆధారం చేసింది. సంబంధిత అభివృద్ధి 1920 ల విమానంలో ఈ వ్యాసం ఒక స్టబ్. వికీపీడియా విస్తరించడం ద్వారా మీరు సహాయపడవచ్చు.")</f>
        <v>ADCOX స్పెషల్ అనేది 1929 లో యుఎస్ ADCOX ఏవియేషన్ ట్రేడ్ స్కూల్ విద్యార్థులు నిర్మించిన రెండు-సీట్ల ఓపెన్-కాక్‌పిట్ బైప్‌లేన్, ఇది 100 HP (75 kW) కిన్నర్ K-5 ఇంజిన్‌తో పనిచేస్తుంది. [1] ఒక ఉదాహరణ మాత్రమే నిర్మించినప్పటికీ, ఆ సంవత్సరం తరువాత తక్కువ సంఖ్యలో ఉత్పత్తి చేయబడిన ADCOX విద్యార్థి యువరాజుకు ఈ డిజైన్ ఆధారం చేసింది. సంబంధిత అభివృద్ధి 1920 ల విమానంలో ఈ వ్యాసం ఒక స్టబ్. వికీపీడియా విస్తరించడం ద్వారా మీరు సహాయపడవచ్చు.</v>
      </c>
      <c r="L96" s="2"/>
    </row>
    <row r="97">
      <c r="A97" s="1" t="s">
        <v>1448</v>
      </c>
      <c r="B97" s="1" t="str">
        <f>IFERROR(__xludf.DUMMYFUNCTION("GOOGLETRANSLATE(A:A, ""en"", ""te"")"),"వైమానిక చక్రం సిండికేట్ మోనోప్లేన్")</f>
        <v>వైమానిక చక్రం సిండికేట్ మోనోప్లేన్</v>
      </c>
      <c r="C97" s="1" t="s">
        <v>1449</v>
      </c>
      <c r="D97" s="1" t="str">
        <f>IFERROR(__xludf.DUMMYFUNCTION("GOOGLETRANSLATE(C:C, ""en"", ""te"")"),"ఏరియల్ వీల్ మోనోప్లేన్ అనేది 1912 లో నిర్మించిన ఒక ప్రయోగాత్మక బ్రిటిష్ విమానం, ఇది సైనిక విమాన పోటీలో పోటీ పడటానికి, ఇది ఆ సంవత్సరం ఆగస్టులో సాలిస్‌బరీ మైదానంలో లార్‌క్‌హిల్‌లో జరగనుంది. ఇది సమయానికి సమీకరించబడలేదు, మరియు విమానం పోటీలో ప్రవేశించడానికి అన"&amp;"ుమతించబడలేదు. వైమానిక చక్రం లింకన్షైర్లోని మాబ్లెథోర్ప్ యొక్క జార్జ్ స్టుర్గెస్ యొక్క ఆలోచన. ఇది ఒక విమానం యొక్క అండర్ క్యారేజ్ కోసం ఒక నవల ఆలోచన, ఇది ఫ్లైట్ మ్యాగజైన్ ప్రచురించడానికి తగినంత ఆసక్తికరంగా భావించింది. స్టర్గెస్ యొక్క వివరణ, ఒక మోడల్ యొక్క ఛా"&amp;"యాచిత్రంతో పాటు 10 డిసెంబర్ 1910 నాటి సంచికలో కనిపిస్తుంది. [1] అతని ఆలోచన ఒక చక్రం అమలులో ఉంది, ఇక్కడ రిమ్ మాత్రమే తిరుగుతుంది, ఒక జత పన్నెండు అడుగుల వ్యాసం కలిగిన హోప్స్ ఉపయోగించి వీటిలో ప్రతి ఒక్కటి స్ట్రట్స్ యొక్క d యల మీద అమర్చిన బేరింగ్ల ద్వారా ఆ స్"&amp;"థానంలో ఉంచేటప్పుడు తిప్పడానికి ఉచితం. రెక్క చక్రాల మధ్యలో దాటింది. ఒక చక్రం ఉత్పత్తి చేయడమే ఉద్దేశ్యం, పెద్ద వ్యాసం కలిగి, ఆ సమయంలో నుండి పనిచేసే విమానాల కఠినమైన గడ్డి ఉపరితలాలపై సులభంగా తిరుగుతుంది: టేకాఫ్ చేయడం మరియు కఠినమైన మైదానం నుండి దిగడం సౌలభ్యం య"&amp;"ుద్ధ కార్యాలయ అవసరాలలో ప్రముఖమైనది. ఆలోచన యొక్క యోగ్యత ఏమైనప్పటికీ, ఇది ఆనాటి తయారీ మరియు భౌతిక సాంకేతిక పరిజ్ఞానాలకు మించినది. 1911 లో తన సొంత రూపకల్పన యొక్క కానార్డ్ గ్లైడర్‌ను విజయవంతంగా ఎగురవేసిన బర్మింగ్‌హామ్ ఏరో క్లబ్ యొక్క గొప్ప సభ్యుడు రాల్ఫ్ ప్లా"&amp;"ట్స్ సహకారంతో స్టుర్గెస్ ఆలోచన బర్మింగ్‌హామ్‌లో నిర్మించిన విమానంలో చేర్చబడింది. [2] ప్లాట్ బహుశా ఎయిర్‌ఫ్రేమ్‌కు ఎక్కువగా కారణమవుతుంది, ఇది స్టర్గెస్ మోడల్‌కు భిన్నంగా ఉంటుంది. ఇది అతని చక్రాల జతతో ట్రాక్టర్ మోనోప్లేన్. రెక్క లేదా టెయిల్‌ప్లేన్‌కు ఎటువంట"&amp;"ి డైహెడ్రల్ లేదు, మరియు చుక్కాని లేదు. నిర్మించిన విమానం కానార్డ్ కాన్ఫిగరేషన్, తుడిచిపెట్టిన రెక్కలు, మూలాలు మరియు వింగ్‌టిప్‌ల మధ్య విభాగం మరియు కోణాలను గణనీయంగా మార్చాయి: లోతుగా కేంబర్‌డ్ ఇన్బోర్డ్, మరియు పెరిగిన చిట్కాలతో ఒక పొగిడే విభాగానికి మార్చడం,"&amp;" స్థిరత్వాన్ని పెంచడానికి వాష్-అవుట్ ఉత్పత్తి చేస్తుంది. రెక్కల డైహెడ్రల్ నుండి స్థిరత్వం కూడా ఏర్పడింది. పార్శ్వ నియంత్రణ రెక్క-వార్పింగ్ ద్వారా, కింగ్‌పోస్టుల ద్వారా కంట్రోల్ వైర్లను ర్యాక్డ్ వింగ్‌టిప్‌లకు తీసుకువెళతారు. రెక్క నుండి ముందుకు ప్రొజెక్ట్ "&amp;"చేసే ఒక చిన్న నాసెల్ 50 హెచ్‌పి (37 కిలోవాట్) N.E.C. ట్రాక్టర్ ప్రొపెల్లర్‌ను నడుపుతున్న ఇంజిన్, దాని వెనుక పైలట్ మరియు ప్రయాణీకుడు రెక్క యొక్క ప్రముఖ అంచు వద్ద పక్కపక్కనే కూర్చున్నారు. ఒక మోనోప్లేన్ ఎలివేటర్ విమానం ముందు పొడవైన విజృంభణపై తీసుకువెళ్ళబడింద"&amp;"ి. అండర్ క్యారేజ్ ఇప్పుడు ఒకే వైమానిక చక్రానికి సగం పైన మరియు సగం రెక్క క్రింద తగ్గించబడింది మరియు కాక్‌పిట్ వెనుక దాని గుండా వెళుతుంది, దాని కేంద్రం ప్రొపెల్లర్ యొక్క వెనుక ఉంది. దిగువ ప్రముఖ క్వాడ్రంట్ నుండి వెనక్కి పరిగెత్తే స్ట్రట్స్ దీనికి మద్దతు ఇచ్"&amp;"చాయి, మరియు ఫ్యూజ్‌లేజ్ నుండి వెనుకంజలో ఉన్న ఒక జత పొడవైన స్కిడ్‌లను అమర్చారు, అది కీలింగ్ చేయడాన్ని ఆపి రెక్కలను దెబ్బతీస్తుంది. డిజైన్‌కు ప్లాట్ ఏమైనా దోహదపడింది, ఇది చుక్కాని కాదు: దిశాత్మక నియంత్రణకు ఎటువంటి నిబంధనలు లేవు. ఈ విమానం 30 అడుగుల 9 అడుగుల "&amp;"9 అడుగుల క్రేట్ ద్వారా లార్క్‌హిల్‌కు పంపిణీ చేయబడినప్పటికీ, అసలు విమాన పరీక్షలు ప్రారంభమయ్యే ముందు దాని తయారీదారులు తమ విమానాలను సమీకరించలేకపోయారు, మరియు అది ఎలాంటి కనిపించలేదు. లూయిస్ నుండి డేటా, పి బ్రిటిష్ విమానం 1806-1914 పే. 39 (డ్రాయింగ్ నుండి సరళ "&amp;"కొలతలు స్కేల్ చేయబడ్డాయి) సాధారణ లక్షణాలు")</f>
        <v>ఏరియల్ వీల్ మోనోప్లేన్ అనేది 1912 లో నిర్మించిన ఒక ప్రయోగాత్మక బ్రిటిష్ విమానం, ఇది సైనిక విమాన పోటీలో పోటీ పడటానికి, ఇది ఆ సంవత్సరం ఆగస్టులో సాలిస్‌బరీ మైదానంలో లార్‌క్‌హిల్‌లో జరగనుంది. ఇది సమయానికి సమీకరించబడలేదు, మరియు విమానం పోటీలో ప్రవేశించడానికి అనుమతించబడలేదు. వైమానిక చక్రం లింకన్షైర్లోని మాబ్లెథోర్ప్ యొక్క జార్జ్ స్టుర్గెస్ యొక్క ఆలోచన. ఇది ఒక విమానం యొక్క అండర్ క్యారేజ్ కోసం ఒక నవల ఆలోచన, ఇది ఫ్లైట్ మ్యాగజైన్ ప్రచురించడానికి తగినంత ఆసక్తికరంగా భావించింది. స్టర్గెస్ యొక్క వివరణ, ఒక మోడల్ యొక్క ఛాయాచిత్రంతో పాటు 10 డిసెంబర్ 1910 నాటి సంచికలో కనిపిస్తుంది. [1] అతని ఆలోచన ఒక చక్రం అమలులో ఉంది, ఇక్కడ రిమ్ మాత్రమే తిరుగుతుంది, ఒక జత పన్నెండు అడుగుల వ్యాసం కలిగిన హోప్స్ ఉపయోగించి వీటిలో ప్రతి ఒక్కటి స్ట్రట్స్ యొక్క d యల మీద అమర్చిన బేరింగ్ల ద్వారా ఆ స్థానంలో ఉంచేటప్పుడు తిప్పడానికి ఉచితం. రెక్క చక్రాల మధ్యలో దాటింది. ఒక చక్రం ఉత్పత్తి చేయడమే ఉద్దేశ్యం, పెద్ద వ్యాసం కలిగి, ఆ సమయంలో నుండి పనిచేసే విమానాల కఠినమైన గడ్డి ఉపరితలాలపై సులభంగా తిరుగుతుంది: టేకాఫ్ చేయడం మరియు కఠినమైన మైదానం నుండి దిగడం సౌలభ్యం యుద్ధ కార్యాలయ అవసరాలలో ప్రముఖమైనది. ఆలోచన యొక్క యోగ్యత ఏమైనప్పటికీ, ఇది ఆనాటి తయారీ మరియు భౌతిక సాంకేతిక పరిజ్ఞానాలకు మించినది. 1911 లో తన సొంత రూపకల్పన యొక్క కానార్డ్ గ్లైడర్‌ను విజయవంతంగా ఎగురవేసిన బర్మింగ్‌హామ్ ఏరో క్లబ్ యొక్క గొప్ప సభ్యుడు రాల్ఫ్ ప్లాట్స్ సహకారంతో స్టుర్గెస్ ఆలోచన బర్మింగ్‌హామ్‌లో నిర్మించిన విమానంలో చేర్చబడింది. [2] ప్లాట్ బహుశా ఎయిర్‌ఫ్రేమ్‌కు ఎక్కువగా కారణమవుతుంది, ఇది స్టర్గెస్ మోడల్‌కు భిన్నంగా ఉంటుంది. ఇది అతని చక్రాల జతతో ట్రాక్టర్ మోనోప్లేన్. రెక్క లేదా టెయిల్‌ప్లేన్‌కు ఎటువంటి డైహెడ్రల్ లేదు, మరియు చుక్కాని లేదు. నిర్మించిన విమానం కానార్డ్ కాన్ఫిగరేషన్, తుడిచిపెట్టిన రెక్కలు, మూలాలు మరియు వింగ్‌టిప్‌ల మధ్య విభాగం మరియు కోణాలను గణనీయంగా మార్చాయి: లోతుగా కేంబర్‌డ్ ఇన్బోర్డ్, మరియు పెరిగిన చిట్కాలతో ఒక పొగిడే విభాగానికి మార్చడం, స్థిరత్వాన్ని పెంచడానికి వాష్-అవుట్ ఉత్పత్తి చేస్తుంది. రెక్కల డైహెడ్రల్ నుండి స్థిరత్వం కూడా ఏర్పడింది. పార్శ్వ నియంత్రణ రెక్క-వార్పింగ్ ద్వారా, కింగ్‌పోస్టుల ద్వారా కంట్రోల్ వైర్లను ర్యాక్డ్ వింగ్‌టిప్‌లకు తీసుకువెళతారు. రెక్క నుండి ముందుకు ప్రొజెక్ట్ చేసే ఒక చిన్న నాసెల్ 50 హెచ్‌పి (37 కిలోవాట్) N.E.C. ట్రాక్టర్ ప్రొపెల్లర్‌ను నడుపుతున్న ఇంజిన్, దాని వెనుక పైలట్ మరియు ప్రయాణీకుడు రెక్క యొక్క ప్రముఖ అంచు వద్ద పక్కపక్కనే కూర్చున్నారు. ఒక మోనోప్లేన్ ఎలివేటర్ విమానం ముందు పొడవైన విజృంభణపై తీసుకువెళ్ళబడింది. అండర్ క్యారేజ్ ఇప్పుడు ఒకే వైమానిక చక్రానికి సగం పైన మరియు సగం రెక్క క్రింద తగ్గించబడింది మరియు కాక్‌పిట్ వెనుక దాని గుండా వెళుతుంది, దాని కేంద్రం ప్రొపెల్లర్ యొక్క వెనుక ఉంది. దిగువ ప్రముఖ క్వాడ్రంట్ నుండి వెనక్కి పరిగెత్తే స్ట్రట్స్ దీనికి మద్దతు ఇచ్చాయి, మరియు ఫ్యూజ్‌లేజ్ నుండి వెనుకంజలో ఉన్న ఒక జత పొడవైన స్కిడ్‌లను అమర్చారు, అది కీలింగ్ చేయడాన్ని ఆపి రెక్కలను దెబ్బతీస్తుంది. డిజైన్‌కు ప్లాట్ ఏమైనా దోహదపడింది, ఇది చుక్కాని కాదు: దిశాత్మక నియంత్రణకు ఎటువంటి నిబంధనలు లేవు. ఈ విమానం 30 అడుగుల 9 అడుగుల 9 అడుగుల క్రేట్ ద్వారా లార్క్‌హిల్‌కు పంపిణీ చేయబడినప్పటికీ, అసలు విమాన పరీక్షలు ప్రారంభమయ్యే ముందు దాని తయారీదారులు తమ విమానాలను సమీకరించలేకపోయారు, మరియు అది ఎలాంటి కనిపించలేదు. లూయిస్ నుండి డేటా, పి బ్రిటిష్ విమానం 1806-1914 పే. 39 (డ్రాయింగ్ నుండి సరళ కొలతలు స్కేల్ చేయబడ్డాయి) సాధారణ లక్షణాలు</v>
      </c>
      <c r="E97" s="1" t="s">
        <v>816</v>
      </c>
      <c r="F97" s="1" t="str">
        <f>IFERROR(__xludf.DUMMYFUNCTION("GOOGLETRANSLATE(E:E, ""en"", ""te"")"),"ప్రయోగాత్మక మోనోప్లేన్")</f>
        <v>ప్రయోగాత్మక మోనోప్లేన్</v>
      </c>
      <c r="H97" s="1" t="s">
        <v>1450</v>
      </c>
      <c r="I97" s="1" t="str">
        <f>IFERROR(__xludf.DUMMYFUNCTION("GOOGLETRANSLATE(H:H, ""en"", ""te"")"),"యునైటెడ్ కింగ్‌డమ్")</f>
        <v>యునైటెడ్ కింగ్‌డమ్</v>
      </c>
      <c r="K97" s="1" t="s">
        <v>1451</v>
      </c>
      <c r="L97" s="2" t="str">
        <f>IFERROR(__xludf.DUMMYFUNCTION("GOOGLETRANSLATE(K:K, ""en"", ""te"")"),"వైమానిక వీల్‌సిండికేట్")</f>
        <v>వైమానిక వీల్‌సిండికేట్</v>
      </c>
      <c r="Q97" s="1">
        <v>1.0</v>
      </c>
      <c r="R97" s="1" t="s">
        <v>1452</v>
      </c>
      <c r="AB97" s="1" t="s">
        <v>1453</v>
      </c>
      <c r="AE97" s="1">
        <v>1.0</v>
      </c>
      <c r="AF97" s="1" t="s">
        <v>1454</v>
      </c>
      <c r="AI97" s="1" t="s">
        <v>1455</v>
      </c>
      <c r="AM97" s="1">
        <v>1.0</v>
      </c>
    </row>
    <row r="98">
      <c r="A98" s="1" t="s">
        <v>1456</v>
      </c>
      <c r="B98" s="1" t="str">
        <f>IFERROR(__xludf.DUMMYFUNCTION("GOOGLETRANSLATE(A:A, ""en"", ""te"")"),"ఏరో సినర్జీ పాపాంగో")</f>
        <v>ఏరో సినర్జీ పాపాంగో</v>
      </c>
      <c r="C98" s="1" t="s">
        <v>1457</v>
      </c>
      <c r="D98" s="1" t="str">
        <f>IFERROR(__xludf.DUMMYFUNCTION("GOOGLETRANSLATE(C:C, ""en"", ""te"")"),"ఏరో సినర్గీ పాపాంగో (మావోరిలో పాపంగో అని పిలువబడే న్యూజిలాండ్ స్కాప్ పేరు పెట్టబడింది) ఒక ఫ్రెంచ్ అల్ట్రాలైట్ విమానం, దీనిని సాపర్/భిక్ష మరియు తరువాత ఏరో సినర్గీ నిర్మించారు. ఈ విమానం te త్సాహిక నిర్మాణానికి కిట్‌గా మరియు రెడీ-టు-ఫ్లై పూర్తి విమానంగా సరఫర"&amp;"ా చేయబడింది. ఇది 2012 నాటికి ఉత్పత్తిలో లేదు. [1] [2] ఈ విమానం ఫెడెరేషన్ ఏరోనటిక్ ఇంటర్నేషనల్ మైక్రోలైట్ నిబంధనలకు అనుగుణంగా రూపొందించబడింది. ఇది స్ట్రట్-బ్రేస్డ్ హై-వింగ్, సైడ్-బై-సైడ్ కాన్ఫిగరేషన్‌లో రెండు సీట్లు, కాయిల్డ్ ఓపెన్ కాక్‌పిట్, సాంప్రదాయిక ల"&amp;"్యాండింగ్ గేర్ మరియు ట్రాక్టర్ కాన్ఫిగరేషన్‌లో ఒకే ఇంజిన్. [1] విమానం యొక్క 9.40 మీ (30.8 అడుగులు) స్పాన్ వింగ్ ప్రతి వైపు ఒకే స్ట్రట్‌ను ఉపయోగిస్తుంది. అందుబాటులో ఉన్న ప్రామాణిక ఇంజిన్ 100 హెచ్‌పి (75 కిలోవాట్) రోటాక్స్ 912 ఫోర్-స్ట్రోక్ పవర్‌ప్లాంట్. పా"&amp;"పంగో దాని మంచి దృశ్యమానత మరియు సిబ్బంది సౌకర్యం కోసం గుర్తించబడింది. [1] వ్యక్తిగత ఉపయోగం కోసం రూపొందించబడిన పాపాంగో విమాన శిక్షణలో ఉపాధిని కూడా కనుగొంది. [1] బేయర్ల్ నుండి డేటా [1] సాధారణ లక్షణాల పనితీరు 1990 ల విమానంలో ఈ వ్యాసం ఒక స్టబ్. వికీపీడియా విస్"&amp;"తరించడం ద్వారా మీరు సహాయపడవచ్చు.")</f>
        <v>ఏరో సినర్గీ పాపాంగో (మావోరిలో పాపంగో అని పిలువబడే న్యూజిలాండ్ స్కాప్ పేరు పెట్టబడింది) ఒక ఫ్రెంచ్ అల్ట్రాలైట్ విమానం, దీనిని సాపర్/భిక్ష మరియు తరువాత ఏరో సినర్గీ నిర్మించారు. ఈ విమానం te త్సాహిక నిర్మాణానికి కిట్‌గా మరియు రెడీ-టు-ఫ్లై పూర్తి విమానంగా సరఫరా చేయబడింది. ఇది 2012 నాటికి ఉత్పత్తిలో లేదు. [1] [2] ఈ విమానం ఫెడెరేషన్ ఏరోనటిక్ ఇంటర్నేషనల్ మైక్రోలైట్ నిబంధనలకు అనుగుణంగా రూపొందించబడింది. ఇది స్ట్రట్-బ్రేస్డ్ హై-వింగ్, సైడ్-బై-సైడ్ కాన్ఫిగరేషన్‌లో రెండు సీట్లు, కాయిల్డ్ ఓపెన్ కాక్‌పిట్, సాంప్రదాయిక ల్యాండింగ్ గేర్ మరియు ట్రాక్టర్ కాన్ఫిగరేషన్‌లో ఒకే ఇంజిన్. [1] విమానం యొక్క 9.40 మీ (30.8 అడుగులు) స్పాన్ వింగ్ ప్రతి వైపు ఒకే స్ట్రట్‌ను ఉపయోగిస్తుంది. అందుబాటులో ఉన్న ప్రామాణిక ఇంజిన్ 100 హెచ్‌పి (75 కిలోవాట్) రోటాక్స్ 912 ఫోర్-స్ట్రోక్ పవర్‌ప్లాంట్. పాపంగో దాని మంచి దృశ్యమానత మరియు సిబ్బంది సౌకర్యం కోసం గుర్తించబడింది. [1] వ్యక్తిగత ఉపయోగం కోసం రూపొందించబడిన పాపాంగో విమాన శిక్షణలో ఉపాధిని కూడా కనుగొంది. [1] బేయర్ల్ నుండి డేటా [1] సాధారణ లక్షణాల పనితీరు 1990 ల విమానంలో ఈ వ్యాసం ఒక స్టబ్. వికీపీడియా విస్తరించడం ద్వారా మీరు సహాయపడవచ్చు.</v>
      </c>
      <c r="E98" s="1" t="s">
        <v>1056</v>
      </c>
      <c r="F98" s="1" t="str">
        <f>IFERROR(__xludf.DUMMYFUNCTION("GOOGLETRANSLATE(E:E, ""en"", ""te"")"),"అల్ట్రాలైట్ విమానం")</f>
        <v>అల్ట్రాలైట్ విమానం</v>
      </c>
      <c r="G98" s="1" t="s">
        <v>1057</v>
      </c>
      <c r="H98" s="1" t="s">
        <v>208</v>
      </c>
      <c r="I98" s="1" t="str">
        <f>IFERROR(__xludf.DUMMYFUNCTION("GOOGLETRANSLATE(H:H, ""en"", ""te"")"),"ఫ్రాన్స్")</f>
        <v>ఫ్రాన్స్</v>
      </c>
      <c r="J98" s="3" t="s">
        <v>209</v>
      </c>
      <c r="K98" s="1" t="s">
        <v>1058</v>
      </c>
      <c r="L98" s="2" t="str">
        <f>IFERROR(__xludf.DUMMYFUNCTION("GOOGLETRANSLATE(K:K, ""en"", ""te"")"),"సినర్జీ")</f>
        <v>సినర్జీ</v>
      </c>
      <c r="M98" s="1" t="s">
        <v>1059</v>
      </c>
      <c r="N98" s="1" t="s">
        <v>171</v>
      </c>
      <c r="O98" s="1" t="str">
        <f>IFERROR(__xludf.DUMMYFUNCTION("GOOGLETRANSLATE(N:N, ""en"", ""te"")"),"ఉత్పత్తి పూర్తయింది")</f>
        <v>ఉత్పత్తి పూర్తయింది</v>
      </c>
      <c r="Q98" s="1" t="s">
        <v>162</v>
      </c>
      <c r="R98" s="1" t="s">
        <v>1458</v>
      </c>
      <c r="S98" s="1" t="s">
        <v>1459</v>
      </c>
      <c r="U98" s="1" t="s">
        <v>555</v>
      </c>
      <c r="X98" s="1" t="s">
        <v>1379</v>
      </c>
      <c r="Y98" s="1" t="s">
        <v>1063</v>
      </c>
      <c r="Z98" s="1" t="s">
        <v>1460</v>
      </c>
      <c r="AA98" s="1" t="s">
        <v>581</v>
      </c>
      <c r="AI98" s="1" t="s">
        <v>1066</v>
      </c>
      <c r="AM98" s="1" t="s">
        <v>330</v>
      </c>
      <c r="AS98" s="1" t="s">
        <v>1395</v>
      </c>
      <c r="BP98" s="1" t="s">
        <v>1068</v>
      </c>
    </row>
    <row r="99">
      <c r="A99" s="1" t="s">
        <v>1461</v>
      </c>
      <c r="B99" s="1" t="str">
        <f>IFERROR(__xludf.DUMMYFUNCTION("GOOGLETRANSLATE(A:A, ""en"", ""te"")"),"ఏరోమరైన్ BM-1")</f>
        <v>ఏరోమరైన్ BM-1</v>
      </c>
      <c r="C99" s="1" t="s">
        <v>1462</v>
      </c>
      <c r="D99" s="1" t="str">
        <f>IFERROR(__xludf.DUMMYFUNCTION("GOOGLETRANSLATE(C:C, ""en"", ""te"")"),"ఏరోమరైన్ BM-1 అనేది యుఎస్ పోస్టల్ సర్వీస్ ప్రతిపాదన కోసం ఒక అభ్యర్థనను తీర్చడానికి కొత్త మెయిల్ విమానం రూపకల్పన. ఏరోమరైన్ 1923 లో AM-1, AM-2 మరియు AM-3 డిజైన్లను మునుపటి ప్రతిపాదన కోసం అభివృద్ధి చేసింది. BM-1 కొత్త ప్రయత్నం కోసం క్లీన్-షీట్ డిజైన్. [1] BM"&amp;"-1 సాంప్రదాయిక ల్యాండింగ్ గేర్ మరియు స్టీరబుల్ టెయిల్ స్కిడ్‌తో కూడిన ఒకే ప్రదేశం. ఈ విమానం క్రాష్‌వర్త్ అవసరాలను తీర్చడానికి ప్రధాన గేర్‌ల మధ్య డ్రాప్ చేయదగిన ప్రధాన ఇంధన ట్యాంక్‌ను ఉపయోగించింది మరియు ఎగువ వింగ్‌లో 10 గ్యాలన్ల చిన్న హెడర్ ట్యాంక్. నియంత్"&amp;"రణ కేబుల్స్ పుల్లీలను ఉపయోగించకూడదని రూపొందించబడ్డాయి. రెక్కలు డోప్డ్ ఎయిర్క్రాఫ్ట్ ఫాబ్రిక్ కవరింగ్‌తో ఐచ్ఛిక లోహం లేదా కలప స్పార్స్‌ను కలిగి ఉన్నాయి. ఫ్యూజ్‌లేజ్ అల్యూమినియం కవరింగ్‌తో ఆల్-మెటల్ అల్యూమినియం గిర్డర్ నిర్మాణాన్ని ఉపయోగించింది. క్షితిజ సమా"&amp;"ంతర స్టెబిలైజర్ ట్రిమ్ సర్దుబాటు కోసం జాక్ స్క్రూను ఉపయోగించారు. ఇంజిన్‌లో ప్రొపెల్లర్ షాఫ్ట్ కోసం పాస్-త్రూతో ముందు భాగంలో అమర్చిన రేడియేటర్ ఉంది. [1] డిజైన్ దశకు మించి BM-1 పురోగతి సాధించలేదు. స్కైవేస్ జనరల్ లక్షణాల నుండి డేటా పనితీరు సంబంధిత అభివృద్ధి")</f>
        <v>ఏరోమరైన్ BM-1 అనేది యుఎస్ పోస్టల్ సర్వీస్ ప్రతిపాదన కోసం ఒక అభ్యర్థనను తీర్చడానికి కొత్త మెయిల్ విమానం రూపకల్పన. ఏరోమరైన్ 1923 లో AM-1, AM-2 మరియు AM-3 డిజైన్లను మునుపటి ప్రతిపాదన కోసం అభివృద్ధి చేసింది. BM-1 కొత్త ప్రయత్నం కోసం క్లీన్-షీట్ డిజైన్. [1] BM-1 సాంప్రదాయిక ల్యాండింగ్ గేర్ మరియు స్టీరబుల్ టెయిల్ స్కిడ్‌తో కూడిన ఒకే ప్రదేశం. ఈ విమానం క్రాష్‌వర్త్ అవసరాలను తీర్చడానికి ప్రధాన గేర్‌ల మధ్య డ్రాప్ చేయదగిన ప్రధాన ఇంధన ట్యాంక్‌ను ఉపయోగించింది మరియు ఎగువ వింగ్‌లో 10 గ్యాలన్ల చిన్న హెడర్ ట్యాంక్. నియంత్రణ కేబుల్స్ పుల్లీలను ఉపయోగించకూడదని రూపొందించబడ్డాయి. రెక్కలు డోప్డ్ ఎయిర్క్రాఫ్ట్ ఫాబ్రిక్ కవరింగ్‌తో ఐచ్ఛిక లోహం లేదా కలప స్పార్స్‌ను కలిగి ఉన్నాయి. ఫ్యూజ్‌లేజ్ అల్యూమినియం కవరింగ్‌తో ఆల్-మెటల్ అల్యూమినియం గిర్డర్ నిర్మాణాన్ని ఉపయోగించింది. క్షితిజ సమాంతర స్టెబిలైజర్ ట్రిమ్ సర్దుబాటు కోసం జాక్ స్క్రూను ఉపయోగించారు. ఇంజిన్‌లో ప్రొపెల్లర్ షాఫ్ట్ కోసం పాస్-త్రూతో ముందు భాగంలో అమర్చిన రేడియేటర్ ఉంది. [1] డిజైన్ దశకు మించి BM-1 పురోగతి సాధించలేదు. స్కైవేస్ జనరల్ లక్షణాల నుండి డేటా పనితీరు సంబంధిత అభివృద్ధి</v>
      </c>
      <c r="E99" s="1" t="s">
        <v>1463</v>
      </c>
      <c r="F99" s="1" t="str">
        <f>IFERROR(__xludf.DUMMYFUNCTION("GOOGLETRANSLATE(E:E, ""en"", ""te"")"),"మెయిల్ విమానం")</f>
        <v>మెయిల్ విమానం</v>
      </c>
      <c r="G99" s="1" t="s">
        <v>1464</v>
      </c>
      <c r="H99" s="1" t="s">
        <v>227</v>
      </c>
      <c r="I99" s="1" t="str">
        <f>IFERROR(__xludf.DUMMYFUNCTION("GOOGLETRANSLATE(H:H, ""en"", ""te"")"),"అమెరికా")</f>
        <v>అమెరికా</v>
      </c>
      <c r="J99" s="3" t="s">
        <v>228</v>
      </c>
      <c r="K99" s="1" t="s">
        <v>1465</v>
      </c>
      <c r="L99" s="2" t="str">
        <f>IFERROR(__xludf.DUMMYFUNCTION("GOOGLETRANSLATE(K:K, ""en"", ""te"")"),"ఏరోమరైన్")</f>
        <v>ఏరోమరైన్</v>
      </c>
      <c r="M99" s="3" t="s">
        <v>1466</v>
      </c>
      <c r="N99" s="1" t="s">
        <v>1467</v>
      </c>
      <c r="O99" s="1" t="str">
        <f>IFERROR(__xludf.DUMMYFUNCTION("GOOGLETRANSLATE(N:N, ""en"", ""te"")"),"డిజైన్ దశ మాత్రమే")</f>
        <v>డిజైన్ దశ మాత్రమే</v>
      </c>
      <c r="Q99" s="1">
        <v>1.0</v>
      </c>
      <c r="S99" s="1" t="s">
        <v>1468</v>
      </c>
      <c r="U99" s="1" t="s">
        <v>1469</v>
      </c>
      <c r="X99" s="1" t="s">
        <v>1470</v>
      </c>
      <c r="Y99" s="1" t="s">
        <v>1471</v>
      </c>
      <c r="AA99" s="1" t="s">
        <v>1472</v>
      </c>
      <c r="AB99" s="1" t="s">
        <v>1473</v>
      </c>
      <c r="AE99" s="1" t="s">
        <v>1474</v>
      </c>
      <c r="AF99" s="1" t="s">
        <v>1475</v>
      </c>
      <c r="AG99" s="1" t="s">
        <v>1476</v>
      </c>
      <c r="AH99" s="1" t="s">
        <v>1477</v>
      </c>
      <c r="AI99" s="1" t="s">
        <v>1478</v>
      </c>
      <c r="AN99" s="1" t="s">
        <v>1479</v>
      </c>
      <c r="AO99" s="1" t="s">
        <v>1480</v>
      </c>
      <c r="AQ99" s="1" t="s">
        <v>966</v>
      </c>
      <c r="AS99" s="1" t="s">
        <v>1481</v>
      </c>
      <c r="BP99" s="1" t="s">
        <v>476</v>
      </c>
    </row>
    <row r="100">
      <c r="A100" s="1" t="s">
        <v>1482</v>
      </c>
      <c r="B100" s="1" t="str">
        <f>IFERROR(__xludf.DUMMYFUNCTION("GOOGLETRANSLATE(A:A, ""en"", ""te"")"),"Av gavabund")</f>
        <v>Av gavabund</v>
      </c>
      <c r="C100" s="1" t="s">
        <v>1483</v>
      </c>
      <c r="D100" s="1" t="str">
        <f>IFERROR(__xludf.DUMMYFUNCTION("GOOGLETRANSLATE(C:C, ""en"", ""te"")"),"AV LEICHTFLUGZEUEGE gavabund (ఇంగ్లీష్: వాగబాండ్) అనేది జర్మన్ అల్ట్రాలైట్ విమానం, దీనిని బిర్క్ మీర్, హన్స్ గ్రాన్నెమాన్ మరియు రాబర్ట్ కాప్స్ రూపొందించారు మరియు జర్మనీలోని హారెన్ యొక్క AV లీచ్ట్ఫ్లగ్జీజ్ నిర్మించారు. ఈ విమానం ఒక కిట్‌గా లేదా te త్సాహిక న"&amp;"ిర్మాణం కోసం ప్రణాళికలు లేదా పూర్తి రెడీ-టు-ఫ్లై-ఎయిర్‌క్రాఫ్ట్‌గా సరఫరా చేయబడుతుంది. [1] [2] ఈ డిజైన్ 1990 లలో జర్మనీలోని బాడ్ ఎస్సెన్ యొక్క విమాన కవరింగ్స్ ద్వారా విక్రయించబడింది. [3] వాగబండ్ ఫెడెరేషన్ ఏరోనటిక్ ఇంటర్నేషనల్ మైక్రోలైట్ నిబంధనలకు అనుగుణంగా"&amp;" రూపొందించబడింది. ఇది స్ట్రట్-బ్రేస్డ్ బిప్‌లేన్ లేఅవుట్, రెండు-సీట్ల-టెన్డం ఓపెన్ కాక్‌పిట్, స్థిర సాంప్రదాయ ల్యాండింగ్ గేర్ మరియు ట్రాక్టర్ కాన్ఫిగరేషన్‌లో ఒకే ఇంజిన్ కలిగి ఉంది. ఈ విమానం 1930 ల బక్కర్ Bü 131 ను పోలి ఉంటుంది. [1] [2] ఈ విమానం పోలిష్ పైన"&amp;"్ నుండి తయారవుతుంది, దాని ఎగిరే ఉపరితలాలు డోప్డ్ ఎయిర్క్రాఫ్ట్ ఫాబ్రిక్లో కప్పబడి ఉంటాయి. దీని 7.55 మీ (24.8 అడుగులు) స్పాన్ వింగ్ దిగువ రెక్కపై మాత్రమే ఐలెరాన్‌లను ఉపయోగిస్తుంది. ఈ విమానం 50 నుండి 85 హెచ్‌పి (37 నుండి 63 కిలోవాట్) వరకు ఇంజిన్‌లను ఉపయోగిం"&amp;"చవచ్చు. 80 హెచ్‌పి (60 కిలోవాట్ల) రోటాక్స్ 912UL, 85 హెచ్‌పి (63 కిలోవాట్ల) జబీరు 2200 మరియు 75 హెచ్‌పి (56 కిలోవాట్ల) లింబాచ్ ఎల్ 2000 వోక్స్వ్యాగన్ ఎయిర్-కూల్డ్ ఇంజిన్, నిస్సాన్ 1.2 లీటర్ ఇంజిన్ వంటి ఆటోమోటివ్ మార్పిడులతో పాటు అమర్చారు. [[[[1]] బేయర్ల్ "&amp;"మరియు ఏరోక్రాఫ్టర్ నుండి డేటా [1] [3] సాధారణ లక్షణాల పనితీరు")</f>
        <v>AV LEICHTFLUGZEUEGE gavabund (ఇంగ్లీష్: వాగబాండ్) అనేది జర్మన్ అల్ట్రాలైట్ విమానం, దీనిని బిర్క్ మీర్, హన్స్ గ్రాన్నెమాన్ మరియు రాబర్ట్ కాప్స్ రూపొందించారు మరియు జర్మనీలోని హారెన్ యొక్క AV లీచ్ట్ఫ్లగ్జీజ్ నిర్మించారు. ఈ విమానం ఒక కిట్‌గా లేదా te త్సాహిక నిర్మాణం కోసం ప్రణాళికలు లేదా పూర్తి రెడీ-టు-ఫ్లై-ఎయిర్‌క్రాఫ్ట్‌గా సరఫరా చేయబడుతుంది. [1] [2] ఈ డిజైన్ 1990 లలో జర్మనీలోని బాడ్ ఎస్సెన్ యొక్క విమాన కవరింగ్స్ ద్వారా విక్రయించబడింది. [3] వాగబండ్ ఫెడెరేషన్ ఏరోనటిక్ ఇంటర్నేషనల్ మైక్రోలైట్ నిబంధనలకు అనుగుణంగా రూపొందించబడింది. ఇది స్ట్రట్-బ్రేస్డ్ బిప్‌లేన్ లేఅవుట్, రెండు-సీట్ల-టెన్డం ఓపెన్ కాక్‌పిట్, స్థిర సాంప్రదాయ ల్యాండింగ్ గేర్ మరియు ట్రాక్టర్ కాన్ఫిగరేషన్‌లో ఒకే ఇంజిన్ కలిగి ఉంది. ఈ విమానం 1930 ల బక్కర్ Bü 131 ను పోలి ఉంటుంది. [1] [2] ఈ విమానం పోలిష్ పైన్ నుండి తయారవుతుంది, దాని ఎగిరే ఉపరితలాలు డోప్డ్ ఎయిర్క్రాఫ్ట్ ఫాబ్రిక్లో కప్పబడి ఉంటాయి. దీని 7.55 మీ (24.8 అడుగులు) స్పాన్ వింగ్ దిగువ రెక్కపై మాత్రమే ఐలెరాన్‌లను ఉపయోగిస్తుంది. ఈ విమానం 50 నుండి 85 హెచ్‌పి (37 నుండి 63 కిలోవాట్) వరకు ఇంజిన్‌లను ఉపయోగించవచ్చు. 80 హెచ్‌పి (60 కిలోవాట్ల) రోటాక్స్ 912UL, 85 హెచ్‌పి (63 కిలోవాట్ల) జబీరు 2200 మరియు 75 హెచ్‌పి (56 కిలోవాట్ల) లింబాచ్ ఎల్ 2000 వోక్స్వ్యాగన్ ఎయిర్-కూల్డ్ ఇంజిన్, నిస్సాన్ 1.2 లీటర్ ఇంజిన్ వంటి ఆటోమోటివ్ మార్పిడులతో పాటు అమర్చారు. [[[[1]] బేయర్ల్ మరియు ఏరోక్రాఫ్టర్ నుండి డేటా [1] [3] సాధారణ లక్షణాల పనితీరు</v>
      </c>
      <c r="E100" s="1" t="s">
        <v>1056</v>
      </c>
      <c r="F100" s="1" t="str">
        <f>IFERROR(__xludf.DUMMYFUNCTION("GOOGLETRANSLATE(E:E, ""en"", ""te"")"),"అల్ట్రాలైట్ విమానం")</f>
        <v>అల్ట్రాలైట్ విమానం</v>
      </c>
      <c r="G100" s="1" t="s">
        <v>1057</v>
      </c>
      <c r="H100" s="1" t="s">
        <v>1484</v>
      </c>
      <c r="I100" s="1" t="str">
        <f>IFERROR(__xludf.DUMMYFUNCTION("GOOGLETRANSLATE(H:H, ""en"", ""te"")"),"జర్మనీ")</f>
        <v>జర్మనీ</v>
      </c>
      <c r="J100" s="3" t="s">
        <v>1485</v>
      </c>
      <c r="K100" s="1" t="s">
        <v>1486</v>
      </c>
      <c r="L100" s="2" t="str">
        <f>IFERROR(__xludf.DUMMYFUNCTION("GOOGLETRANSLATE(K:K, ""en"", ""te"")"),"AV LEICHTFLUGZEUEGE")</f>
        <v>AV LEICHTFLUGZEUEGE</v>
      </c>
      <c r="M100" s="1" t="s">
        <v>1487</v>
      </c>
      <c r="N100" s="1" t="s">
        <v>584</v>
      </c>
      <c r="O100" s="1" t="str">
        <f>IFERROR(__xludf.DUMMYFUNCTION("GOOGLETRANSLATE(N:N, ""en"", ""te"")"),"ఉత్పత్తిలో")</f>
        <v>ఉత్పత్తిలో</v>
      </c>
      <c r="Q100" s="1" t="s">
        <v>162</v>
      </c>
      <c r="R100" s="1" t="s">
        <v>1488</v>
      </c>
      <c r="S100" s="1" t="s">
        <v>1489</v>
      </c>
      <c r="U100" s="1" t="s">
        <v>1064</v>
      </c>
      <c r="X100" s="1" t="s">
        <v>1490</v>
      </c>
      <c r="Y100" s="1" t="s">
        <v>630</v>
      </c>
      <c r="Z100" s="1" t="s">
        <v>1491</v>
      </c>
      <c r="AA100" s="1" t="s">
        <v>1492</v>
      </c>
      <c r="AE100" s="1" t="s">
        <v>1493</v>
      </c>
      <c r="AI100" s="1" t="s">
        <v>1494</v>
      </c>
      <c r="AJ100" s="1" t="s">
        <v>1495</v>
      </c>
      <c r="AM100" s="1" t="s">
        <v>330</v>
      </c>
      <c r="AP100" s="1" t="s">
        <v>885</v>
      </c>
      <c r="AS100" s="1" t="s">
        <v>1496</v>
      </c>
      <c r="AU100" s="1" t="s">
        <v>1497</v>
      </c>
      <c r="BP100" s="1" t="s">
        <v>1498</v>
      </c>
    </row>
    <row r="101">
      <c r="A101" s="1" t="s">
        <v>1499</v>
      </c>
      <c r="B101" s="1" t="str">
        <f>IFERROR(__xludf.DUMMYFUNCTION("GOOGLETRANSLATE(A:A, ""en"", ""te"")"),"ఏరోమరైన్ AM-1")</f>
        <v>ఏరోమరైన్ AM-1</v>
      </c>
      <c r="C101" s="1" t="s">
        <v>1500</v>
      </c>
      <c r="D101" s="1" t="str">
        <f>IFERROR(__xludf.DUMMYFUNCTION("GOOGLETRANSLATE(C:C, ""en"", ""te"")"),"ఏరోమరైన్ AM-1 అనేది రాత్రిపూట రవాణా కోసం యుఎస్ ఎయిర్ మెయిల్ సేవా అవసరాన్ని కొనసాగించడానికి నిర్మించిన బైప్లేన్. [1] 300 ఎల్బి (136 కిలోల) మెయిల్‌ను లాగగల సామర్థ్యం ఉన్న రాత్రిపూట మెయిల్ విమానం కోసం 1924 అవసరం ప్రకటించినప్పటి నుండి AM-1 122 రోజులు పూర్తయిం"&amp;"ది. [2] ఈ పోటీ డగ్లస్ విమానానికి పోయింది. [3] AM-1 సాంప్రదాయిక ల్యాండింగ్ గేర్‌తో కూడిన బిప్‌లేన్, ఇది మెటల్ కవరింగ్ .32 లో (8.13 మిమీ) మందంగా ఉన్న ఆల్-మెటల్ ఫ్యూజ్‌లేజ్‌ను కలిగి ఉంది. పైలట్ వెనుక విస్తరించి ఉన్న ఎగ్జాస్ట్ స్టాక్‌లతో ఇంజిన్ పూర్తిగా కౌల్డ"&amp;"్ చేయబడింది. వాటర్-కూల్డ్ ఇంజిన్ దృశ్యమానత కోసం టాప్ వింగ్ పైన అమర్చిన కేంద్రంగా అమర్చిన రేడియేటర్‌ను ఉపయోగించింది. రెండు క్రమబద్ధీకరించిన ఇంధన ట్యాంకులు రెక్కల పైన కూర్చున్నాయి. ఎగువ వింగ్ దిగువ వింగ్ కంటే పెద్దది, ప్రతి ఒక్కటి స్ప్రూస్ స్పార్స్‌ను ఉపయోగ"&amp;"ిస్తాయి. తోక ఉపరితలాలు ఫాబ్రిక్ కవరింగ్‌తో అల్యూమినియం ఫ్రేమ్ చేయబడ్డాయి. ఏరోమరైన్ AMC ఫ్లయింగ్ బోట్ రూపకల్పనతో చాలా భాగాలు సాధారణం. [2] స్కైవేల నుండి డేటా [2] పోల్చదగిన పాత్ర, కాన్ఫిగరేషన్ మరియు ERA యొక్క సాధారణ లక్షణాల పనితీరు విమానం")</f>
        <v>ఏరోమరైన్ AM-1 అనేది రాత్రిపూట రవాణా కోసం యుఎస్ ఎయిర్ మెయిల్ సేవా అవసరాన్ని కొనసాగించడానికి నిర్మించిన బైప్లేన్. [1] 300 ఎల్బి (136 కిలోల) మెయిల్‌ను లాగగల సామర్థ్యం ఉన్న రాత్రిపూట మెయిల్ విమానం కోసం 1924 అవసరం ప్రకటించినప్పటి నుండి AM-1 122 రోజులు పూర్తయింది. [2] ఈ పోటీ డగ్లస్ విమానానికి పోయింది. [3] AM-1 సాంప్రదాయిక ల్యాండింగ్ గేర్‌తో కూడిన బిప్‌లేన్, ఇది మెటల్ కవరింగ్ .32 లో (8.13 మిమీ) మందంగా ఉన్న ఆల్-మెటల్ ఫ్యూజ్‌లేజ్‌ను కలిగి ఉంది. పైలట్ వెనుక విస్తరించి ఉన్న ఎగ్జాస్ట్ స్టాక్‌లతో ఇంజిన్ పూర్తిగా కౌల్డ్ చేయబడింది. వాటర్-కూల్డ్ ఇంజిన్ దృశ్యమానత కోసం టాప్ వింగ్ పైన అమర్చిన కేంద్రంగా అమర్చిన రేడియేటర్‌ను ఉపయోగించింది. రెండు క్రమబద్ధీకరించిన ఇంధన ట్యాంకులు రెక్కల పైన కూర్చున్నాయి. ఎగువ వింగ్ దిగువ వింగ్ కంటే పెద్దది, ప్రతి ఒక్కటి స్ప్రూస్ స్పార్స్‌ను ఉపయోగిస్తాయి. తోక ఉపరితలాలు ఫాబ్రిక్ కవరింగ్‌తో అల్యూమినియం ఫ్రేమ్ చేయబడ్డాయి. ఏరోమరైన్ AMC ఫ్లయింగ్ బోట్ రూపకల్పనతో చాలా భాగాలు సాధారణం. [2] స్కైవేల నుండి డేటా [2] పోల్చదగిన పాత్ర, కాన్ఫిగరేషన్ మరియు ERA యొక్క సాధారణ లక్షణాల పనితీరు విమానం</v>
      </c>
      <c r="E101" s="1" t="s">
        <v>1463</v>
      </c>
      <c r="F101" s="1" t="str">
        <f>IFERROR(__xludf.DUMMYFUNCTION("GOOGLETRANSLATE(E:E, ""en"", ""te"")"),"మెయిల్ విమానం")</f>
        <v>మెయిల్ విమానం</v>
      </c>
      <c r="G101" s="1" t="s">
        <v>1464</v>
      </c>
      <c r="H101" s="1" t="s">
        <v>227</v>
      </c>
      <c r="I101" s="1" t="str">
        <f>IFERROR(__xludf.DUMMYFUNCTION("GOOGLETRANSLATE(H:H, ""en"", ""te"")"),"అమెరికా")</f>
        <v>అమెరికా</v>
      </c>
      <c r="K101" s="1" t="s">
        <v>1465</v>
      </c>
      <c r="L101" s="2" t="str">
        <f>IFERROR(__xludf.DUMMYFUNCTION("GOOGLETRANSLATE(K:K, ""en"", ""te"")"),"ఏరోమరైన్")</f>
        <v>ఏరోమరైన్</v>
      </c>
      <c r="M101" s="3" t="s">
        <v>1466</v>
      </c>
      <c r="S101" s="1" t="s">
        <v>1501</v>
      </c>
      <c r="U101" s="1" t="s">
        <v>1502</v>
      </c>
      <c r="W101" s="1" t="s">
        <v>177</v>
      </c>
      <c r="X101" s="1" t="s">
        <v>1503</v>
      </c>
      <c r="Y101" s="1" t="s">
        <v>1504</v>
      </c>
      <c r="AA101" s="1" t="s">
        <v>1505</v>
      </c>
      <c r="AB101" s="1" t="s">
        <v>1506</v>
      </c>
      <c r="AD101" s="5">
        <v>8645.0</v>
      </c>
      <c r="AF101" s="1" t="s">
        <v>1507</v>
      </c>
      <c r="AG101" s="1" t="s">
        <v>935</v>
      </c>
      <c r="AH101" s="1" t="s">
        <v>1508</v>
      </c>
      <c r="AI101" s="1" t="s">
        <v>1509</v>
      </c>
      <c r="AJ101" s="1" t="s">
        <v>1510</v>
      </c>
      <c r="AL101" s="1" t="s">
        <v>1511</v>
      </c>
      <c r="AM101" s="1">
        <v>1.0</v>
      </c>
      <c r="AN101" s="1" t="s">
        <v>1512</v>
      </c>
      <c r="AO101" s="1" t="s">
        <v>1513</v>
      </c>
      <c r="AQ101" s="1" t="s">
        <v>1514</v>
      </c>
      <c r="AS101" s="1" t="s">
        <v>1515</v>
      </c>
      <c r="AU101" s="1" t="s">
        <v>1516</v>
      </c>
      <c r="BK101" s="1" t="s">
        <v>1517</v>
      </c>
      <c r="BO101" s="1" t="s">
        <v>1518</v>
      </c>
      <c r="BP101" s="1" t="s">
        <v>1519</v>
      </c>
    </row>
    <row r="102">
      <c r="A102" s="1" t="s">
        <v>1520</v>
      </c>
      <c r="B102" s="1" t="str">
        <f>IFERROR(__xludf.DUMMYFUNCTION("GOOGLETRANSLATE(A:A, ""en"", ""te"")"),"మిత్సుబిషి కి -18")</f>
        <v>మిత్సుబిషి కి -18</v>
      </c>
      <c r="C102" s="1" t="s">
        <v>1521</v>
      </c>
      <c r="D102" s="1" t="str">
        <f>IFERROR(__xludf.DUMMYFUNCTION("GOOGLETRANSLATE(C:C, ""en"", ""te"")"),"మిత్సుబిషి కి -18 (三菱 三菱 キ 18, కి-జ్యూహాచి) జపాన్ సైన్యం జపాన్ సైన్యం జపాన్ ఆర్మీ ఎయిర్ అవసరాలకు అనువైన ఆధునిక సింగిల్-సీట్ల మోనోప్లేన్ ఫైటర్ కోసం జపాన్ సైన్యం జారీ చేసిన 1934 అవసరాన్ని తీర్చడానికి మిత్సుబిషి చేసిన విజయవంతం కాని మరియు అయాచిత ప్రయత్నం ఫోర్"&amp;"స్. ఈ పోటీలో, నకాజిమా నకాజిమా కి -11 (ఇది బోయింగ్ పి -26 పీషూటర్‌తో సమానంగా ఉంది) లోకి ప్రవేశించింది, కవాసాకి మరింత యుక్తి కవాసాకి కి -10 బిప్‌లేన్‌లో ప్రవేశించింది. ఈ పోటీని కవాసాకి గెలిచాడు, కాని కొత్త పోరాట యోధుడిని ఇజాఫ్ చాలా ఉత్సాహంతో అంగీకరించలేదు. "&amp;"[1] 1934 లో, మిత్సుబిషి ఒక సామ్రాజ్య జపనీస్ నేవీ అవసరం కోసం ప్రత్యేకంగా KA-14 9-షి ఫైటర్ ప్రోటోటైప్‌ను అభివృద్ధి చేసింది. డిజైన్ అత్యుత్తమ పనితీరును ప్రదర్శించింది, మరియు నేవీ యొక్క సమ్మతితో, సైన్యం మూల్యాంకనం కోసం సవరించిన సంస్కరణ కోసం మిత్సుబిషితో ఒక ఒప"&amp;"్పందాన్ని ఉంచింది, ఇది KI-18 గా నియమించబడింది. [1] [2] KI-18 అనేది ఫాబ్రిక్-కప్పబడిన నియంత్రణ ఉపరితలాలతో ఆల్-మెటల్ నిర్మాణం యొక్క తక్కువ-వింగ్ మోనోప్లేన్. ఇది నకాజిమా కోటోబుకి -5 తొమ్మిది-సిలిండర్ రేడియల్ ఇంజన్లు, టేకాఫ్ కోసం 410 కిలోవాట్ (550 హెచ్‌పి) వద"&amp;"్ద రేట్ చేయబడింది, మరియు 447 కిలోవాట్ (600 హెచ్‌పి) 3,100 మీ (10,170 అడుగులు) వద్ద, రెండు-బ్లేడ్ స్థిర- పిచ్ చెక్క ప్రొపెల్లర్. KI-18 మరియు KA-14 మధ్య ప్రధాన బాహ్య తేడాలు విస్తరించిన చుక్కాని, పెద్ద ల్యాండింగ్ గేర్ (స్పాట్స్‌తో) మరియు ఇంజిన్ కౌలింగ్ ఉన్నా"&amp;"యి. అంతర్గతంగా, థొరెటల్ ఉద్యమం యొక్క దిశ ఆర్మీ ప్రాక్టీస్‌ను తీర్చడానికి తారుమారు చేయబడింది మరియు మెషిన్ గన్స్ ఆర్మీ స్టాండర్డ్ ఆయుధాలతో భర్తీ చేయబడ్డాయి. KI-18 తన మొదటి విమానంలో ఒకసారి ఆగస్టు 1935 లో ఆర్మీ యొక్క టాచికావా ఎయిర్ టెక్నికల్ రీసెర్చ్ ఇనిస్టిట"&amp;"్యూట్‌లో పూర్తయింది మరియు తరువాత 1935 చివరి నాటికి అకెనో ఆర్మీ ఫ్లయింగ్ స్కూల్‌లో పరీక్షించబడింది. [1] 1936 ప్రారంభంలో, ఈ ఇంజిన్‌ను నకాజిమా కోటోబుకి 3 గా మార్చారు, టేకాఫ్ కోసం 477 కిలోవాట్ (640 హెచ్‌పి) మరియు 533 కిలోవాట్ (715 హెచ్‌పి) 2,800 మీ (9,190 అడు"&amp;"గులు) వద్ద రేట్ చేయబడింది. పరీక్ష సమయంలో, KI-18 గరిష్టంగా 3,050 మీ (10,010 అడుగులు) వద్ద గరిష్టంగా 444 కిమీ/గం (276 mph) సాధించింది, మరియు ఈ విమానం 6 నిమిషాల 25.8 సెకన్లలో 5,000 మీ (16,400 అడుగులు) కు ఎక్కగలిగింది, ఇది ఆ సమయంలో అసాధారణమైన రేటుగా పరిగణించబ"&amp;"డింది. [1] అకెనో ఆర్మీ ఫ్లయింగ్ స్కూల్ టెస్ట్ ఫలితాలు KI-18 కి చాలా ఎక్కువ సిఫార్సు ఇచ్చాయి, మరియు ఫ్రంట్-లైన్ సేవ కోసం ఫైటర్ ఉత్పత్తి చేయాలని ప్రతిపాదించబడింది. ఏదేమైనా, ఆర్మీ ఎయిర్ టెక్నికల్ రీసెర్చ్ ఇన్స్టిట్యూట్ నేవీ డిజైన్‌ను ఉపయోగించటానికి వ్యతిరేకం"&amp;"గా తీవ్రంగా ఉంది, మరియు డేటాను విస్మరించడానికి ఎంచుకున్న తరువాత, నకాజిమా కోటోబుకి ఇంజన్లు ""నమ్మదగనివి"" అని మరియు కి -18 కి ఆర్మీ ఫైటర్‌కు అవసరమైన పనితీరు లేదని పేర్కొంది. బదులుగా, ఆర్మీ ఎయిర్ టెక్నికల్ రీసెర్చ్ ఇన్స్టిట్యూట్ కొత్త పోటీని నిర్వహించాలని స"&amp;"ిఫారసు చేసింది, నకాజిమా, కవాసాకి మరియు మిత్సుబిషి పాల్గొనడానికి ఆహ్వానించబడ్డారు. KI-10 ఒక సంవత్సరం ముందే ఉత్పత్తిలోకి ప్రవేశించినందున, ఈ ప్రతిపాదనను వెంటనే ఇంపీరియల్ జపనీస్ ఆర్మీ జనరల్ సిబ్బంది వీటో చేశారు. అందువల్ల, KI-18 ఒక విమానంతో మాత్రమే ముగిసింది, "&amp;"అయినప్పటికీ తప్పనిసరిగా ఒకేలా KA-14 ను జపనీస్ నావికాదళం విప్లవాత్మక ఫైటర్‌గా మిత్సుబిషి A5M టైప్ 96 క్యారియర్-ఆధారిత ఫైటర్‌గా అంగీకరించారు. [1] జపనీస్ విమానం, 1910-1941, [1] ప్రపంచంలోని ప్రసిద్ధ విమానాలు, మొదటి సిరీస్, #76: ఆర్మీ ప్రయోగాత్మక యోధులు (1) [3"&amp;"] సాధారణ లక్షణాలు పనితీరు ఆయుధ సంబంధిత అభివృద్ధి సంబంధిత జాబితాలు")</f>
        <v>మిత్సుబిషి కి -18 (三菱 三菱 キ 18, కి-జ్యూహాచి) జపాన్ సైన్యం జపాన్ సైన్యం జపాన్ ఆర్మీ ఎయిర్ అవసరాలకు అనువైన ఆధునిక సింగిల్-సీట్ల మోనోప్లేన్ ఫైటర్ కోసం జపాన్ సైన్యం జారీ చేసిన 1934 అవసరాన్ని తీర్చడానికి మిత్సుబిషి చేసిన విజయవంతం కాని మరియు అయాచిత ప్రయత్నం ఫోర్స్. ఈ పోటీలో, నకాజిమా నకాజిమా కి -11 (ఇది బోయింగ్ పి -26 పీషూటర్‌తో సమానంగా ఉంది) లోకి ప్రవేశించింది, కవాసాకి మరింత యుక్తి కవాసాకి కి -10 బిప్‌లేన్‌లో ప్రవేశించింది. ఈ పోటీని కవాసాకి గెలిచాడు, కాని కొత్త పోరాట యోధుడిని ఇజాఫ్ చాలా ఉత్సాహంతో అంగీకరించలేదు. [1] 1934 లో, మిత్సుబిషి ఒక సామ్రాజ్య జపనీస్ నేవీ అవసరం కోసం ప్రత్యేకంగా KA-14 9-షి ఫైటర్ ప్రోటోటైప్‌ను అభివృద్ధి చేసింది. డిజైన్ అత్యుత్తమ పనితీరును ప్రదర్శించింది, మరియు నేవీ యొక్క సమ్మతితో, సైన్యం మూల్యాంకనం కోసం సవరించిన సంస్కరణ కోసం మిత్సుబిషితో ఒక ఒప్పందాన్ని ఉంచింది, ఇది KI-18 గా నియమించబడింది. [1] [2] KI-18 అనేది ఫాబ్రిక్-కప్పబడిన నియంత్రణ ఉపరితలాలతో ఆల్-మెటల్ నిర్మాణం యొక్క తక్కువ-వింగ్ మోనోప్లేన్. ఇది నకాజిమా కోటోబుకి -5 తొమ్మిది-సిలిండర్ రేడియల్ ఇంజన్లు, టేకాఫ్ కోసం 410 కిలోవాట్ (550 హెచ్‌పి) వద్ద రేట్ చేయబడింది, మరియు 447 కిలోవాట్ (600 హెచ్‌పి) 3,100 మీ (10,170 అడుగులు) వద్ద, రెండు-బ్లేడ్ స్థిర- పిచ్ చెక్క ప్రొపెల్లర్. KI-18 మరియు KA-14 మధ్య ప్రధాన బాహ్య తేడాలు విస్తరించిన చుక్కాని, పెద్ద ల్యాండింగ్ గేర్ (స్పాట్స్‌తో) మరియు ఇంజిన్ కౌలింగ్ ఉన్నాయి. అంతర్గతంగా, థొరెటల్ ఉద్యమం యొక్క దిశ ఆర్మీ ప్రాక్టీస్‌ను తీర్చడానికి తారుమారు చేయబడింది మరియు మెషిన్ గన్స్ ఆర్మీ స్టాండర్డ్ ఆయుధాలతో భర్తీ చేయబడ్డాయి. KI-18 తన మొదటి విమానంలో ఒకసారి ఆగస్టు 1935 లో ఆర్మీ యొక్క టాచికావా ఎయిర్ టెక్నికల్ రీసెర్చ్ ఇనిస్టిట్యూట్‌లో పూర్తయింది మరియు తరువాత 1935 చివరి నాటికి అకెనో ఆర్మీ ఫ్లయింగ్ స్కూల్‌లో పరీక్షించబడింది. [1] 1936 ప్రారంభంలో, ఈ ఇంజిన్‌ను నకాజిమా కోటోబుకి 3 గా మార్చారు, టేకాఫ్ కోసం 477 కిలోవాట్ (640 హెచ్‌పి) మరియు 533 కిలోవాట్ (715 హెచ్‌పి) 2,800 మీ (9,190 అడుగులు) వద్ద రేట్ చేయబడింది. పరీక్ష సమయంలో, KI-18 గరిష్టంగా 3,050 మీ (10,010 అడుగులు) వద్ద గరిష్టంగా 444 కిమీ/గం (276 mph) సాధించింది, మరియు ఈ విమానం 6 నిమిషాల 25.8 సెకన్లలో 5,000 మీ (16,400 అడుగులు) కు ఎక్కగలిగింది, ఇది ఆ సమయంలో అసాధారణమైన రేటుగా పరిగణించబడింది. [1] అకెనో ఆర్మీ ఫ్లయింగ్ స్కూల్ టెస్ట్ ఫలితాలు KI-18 కి చాలా ఎక్కువ సిఫార్సు ఇచ్చాయి, మరియు ఫ్రంట్-లైన్ సేవ కోసం ఫైటర్ ఉత్పత్తి చేయాలని ప్రతిపాదించబడింది. ఏదేమైనా, ఆర్మీ ఎయిర్ టెక్నికల్ రీసెర్చ్ ఇన్స్టిట్యూట్ నేవీ డిజైన్‌ను ఉపయోగించటానికి వ్యతిరేకంగా తీవ్రంగా ఉంది, మరియు డేటాను విస్మరించడానికి ఎంచుకున్న తరువాత, నకాజిమా కోటోబుకి ఇంజన్లు "నమ్మదగనివి" అని మరియు కి -18 కి ఆర్మీ ఫైటర్‌కు అవసరమైన పనితీరు లేదని పేర్కొంది. బదులుగా, ఆర్మీ ఎయిర్ టెక్నికల్ రీసెర్చ్ ఇన్స్టిట్యూట్ కొత్త పోటీని నిర్వహించాలని సిఫారసు చేసింది, నకాజిమా, కవాసాకి మరియు మిత్సుబిషి పాల్గొనడానికి ఆహ్వానించబడ్డారు. KI-10 ఒక సంవత్సరం ముందే ఉత్పత్తిలోకి ప్రవేశించినందున, ఈ ప్రతిపాదనను వెంటనే ఇంపీరియల్ జపనీస్ ఆర్మీ జనరల్ సిబ్బంది వీటో చేశారు. అందువల్ల, KI-18 ఒక విమానంతో మాత్రమే ముగిసింది, అయినప్పటికీ తప్పనిసరిగా ఒకేలా KA-14 ను జపనీస్ నావికాదళం విప్లవాత్మక ఫైటర్‌గా మిత్సుబిషి A5M టైప్ 96 క్యారియర్-ఆధారిత ఫైటర్‌గా అంగీకరించారు. [1] జపనీస్ విమానం, 1910-1941, [1] ప్రపంచంలోని ప్రసిద్ధ విమానాలు, మొదటి సిరీస్, #76: ఆర్మీ ప్రయోగాత్మక యోధులు (1) [3] సాధారణ లక్షణాలు పనితీరు ఆయుధ సంబంధిత అభివృద్ధి సంబంధిత జాబితాలు</v>
      </c>
      <c r="E102" s="1" t="s">
        <v>1522</v>
      </c>
      <c r="F102" s="1" t="str">
        <f>IFERROR(__xludf.DUMMYFUNCTION("GOOGLETRANSLATE(E:E, ""en"", ""te"")"),"ప్రోటోటైప్ ఫైటర్ విమానం")</f>
        <v>ప్రోటోటైప్ ఫైటర్ విమానం</v>
      </c>
      <c r="K102" s="1" t="s">
        <v>1523</v>
      </c>
      <c r="L102" s="2" t="str">
        <f>IFERROR(__xludf.DUMMYFUNCTION("GOOGLETRANSLATE(K:K, ""en"", ""te"")"),"మిత్సుబిషి హెవీ ఇండస్ట్రీస్, లిమిటెడ్")</f>
        <v>మిత్సుబిషి హెవీ ఇండస్ట్రీస్, లిమిటెడ్</v>
      </c>
      <c r="M102" s="1" t="s">
        <v>1524</v>
      </c>
      <c r="Q102" s="1">
        <v>1.0</v>
      </c>
      <c r="R102" s="1" t="s">
        <v>218</v>
      </c>
      <c r="S102" s="1" t="s">
        <v>1525</v>
      </c>
      <c r="U102" s="1" t="s">
        <v>1526</v>
      </c>
      <c r="W102" s="1" t="s">
        <v>1527</v>
      </c>
      <c r="X102" s="1" t="s">
        <v>1528</v>
      </c>
      <c r="Y102" s="1" t="s">
        <v>1529</v>
      </c>
      <c r="AD102" s="5">
        <v>12997.0</v>
      </c>
      <c r="AE102" s="1">
        <v>1.0</v>
      </c>
      <c r="AF102" s="1" t="s">
        <v>1530</v>
      </c>
      <c r="AG102" s="1" t="s">
        <v>1531</v>
      </c>
      <c r="AI102" s="1" t="s">
        <v>1532</v>
      </c>
      <c r="AL102" s="1" t="s">
        <v>1533</v>
      </c>
      <c r="AU102" s="1" t="s">
        <v>1534</v>
      </c>
      <c r="BN102" s="1" t="s">
        <v>1535</v>
      </c>
      <c r="BP102" s="1" t="s">
        <v>1536</v>
      </c>
      <c r="CT102" s="1" t="s">
        <v>1537</v>
      </c>
      <c r="CZ102" s="1" t="s">
        <v>1538</v>
      </c>
      <c r="DA102" s="1" t="s">
        <v>1539</v>
      </c>
      <c r="DF102" s="1" t="s">
        <v>1540</v>
      </c>
    </row>
    <row r="103">
      <c r="A103" s="1" t="s">
        <v>1541</v>
      </c>
      <c r="B103" s="1" t="str">
        <f>IFERROR(__xludf.DUMMYFUNCTION("GOOGLETRANSLATE(A:A, ""en"", ""te"")"),"A2 CZ దీర్ఘవృత్తం")</f>
        <v>A2 CZ దీర్ఘవృత్తం</v>
      </c>
      <c r="C103" s="1" t="s">
        <v>1542</v>
      </c>
      <c r="D103" s="1" t="str">
        <f>IFERROR(__xludf.DUMMYFUNCTION("GOOGLETRANSLATE(C:C, ""en"", ""te"")"),"A2 CZ ఎలిప్స్ స్పిరిట్ (కొన్నిసార్లు స్పెల్లింగ్ ఎలిప్స్ స్పిరిట్) అనేది చెక్ అల్ట్రాలైట్ విమానం, ఇది A2 CZ చేత రూపొందించబడింది మరియు ఉత్పత్తి చేస్తుంది. ఈ విమానం 2011 లో ఏరో షోలో ప్రవేశపెట్టబడింది మరియు ఇది పూర్తి మరియు ఎగరడానికి సిద్ధంగా ఉంది లేదా te త్"&amp;"సాహిక నిర్మాణానికి కిట్‌గా ఉంటుంది. [1] [2] ఈ విమానం ఫెడరేషన్ Aéronautique ఇంటర్నేషనల్ రూల్స్ ను పాటించేలా రూపొందించబడింది. ఇది కాంటిలివర్ లో వింగ్, సైడ్-బై-సైడ్ కాన్ఫిగరేషన్ కాక్‌పిట్‌లో రెండు సీట్లు, ట్రైసైకిల్ ల్యాండింగ్ గేర్ మరియు ట్రాక్టర్ కాన్ఫిగరేష"&amp;"న్‌లో ఒకే ఇంజిన్ కలిగి ఉంది. [1] [2] ఆల్-కాంపోజిట్ నిర్మాణం యొక్క విమానం. దాని 8.0 మీ (26.2 అడుగులు) స్పాన్ ఎలిప్టికల్ వింగ్ రెక్క మరియు డైవ్ బ్రేక్‌ల బయటి భాగంలో గుండ్రని వింగ్‌టిప్‌లు మరియు స్థిర స్లాట్‌లను ఉపయోగిస్తుంది. ఐచ్ఛిక ఇంధన సామర్థ్యం 100 లీటర్"&amp;"లు (22 ఇంప్ గల్; 26 యుఎస్ గాల్) 1,730 కిమీ (1,075 మైళ్ళు) పరిధిని ఇస్తుంది. ప్రామాణిక ఇంజిన్ ULPOWER 260IS నాలుగు-సిలిండర్, 107 HP (80 kW) యొక్క నాలుగు-స్ట్రోక్ ఎయిర్క్రాఫ్ట్ ఇంజిన్ మరియు అందుబాటులో ఉన్న ఇతర ఇంజిన్లలో 100 HP (75 kW) రోటాక్స్ 912 లు మరియు "&amp;"912I లు, మరియు 100 HP (75 kW) లైమింగ్ IO ఉన్నాయి -233. [1] [2] ప్రాథమిక స్థిర గేర్ ఎలిప్స్ 2011 లో ముడుచుకునే గేర్ వెర్షన్‌తో పాటు యుఎస్ లైట్-స్పోర్ట్ ఎయిర్‌క్రాఫ్ట్ వర్గం కోసం సంస్కరణలుగా అభివృద్ధి చెందుతోంది. [1] [2] బేయర్ల్ నుండి డేటా [1] సాధారణ లక్షణా"&amp;"ల పనితీరు")</f>
        <v>A2 CZ ఎలిప్స్ స్పిరిట్ (కొన్నిసార్లు స్పెల్లింగ్ ఎలిప్స్ స్పిరిట్) అనేది చెక్ అల్ట్రాలైట్ విమానం, ఇది A2 CZ చేత రూపొందించబడింది మరియు ఉత్పత్తి చేస్తుంది. ఈ విమానం 2011 లో ఏరో షోలో ప్రవేశపెట్టబడింది మరియు ఇది పూర్తి మరియు ఎగరడానికి సిద్ధంగా ఉంది లేదా te త్సాహిక నిర్మాణానికి కిట్‌గా ఉంటుంది. [1] [2] ఈ విమానం ఫెడరేషన్ Aéronautique ఇంటర్నేషనల్ రూల్స్ ను పాటించేలా రూపొందించబడింది. ఇది కాంటిలివర్ లో వింగ్, సైడ్-బై-సైడ్ కాన్ఫిగరేషన్ కాక్‌పిట్‌లో రెండు సీట్లు, ట్రైసైకిల్ ల్యాండింగ్ గేర్ మరియు ట్రాక్టర్ కాన్ఫిగరేషన్‌లో ఒకే ఇంజిన్ కలిగి ఉంది. [1] [2] ఆల్-కాంపోజిట్ నిర్మాణం యొక్క విమానం. దాని 8.0 మీ (26.2 అడుగులు) స్పాన్ ఎలిప్టికల్ వింగ్ రెక్క మరియు డైవ్ బ్రేక్‌ల బయటి భాగంలో గుండ్రని వింగ్‌టిప్‌లు మరియు స్థిర స్లాట్‌లను ఉపయోగిస్తుంది. ఐచ్ఛిక ఇంధన సామర్థ్యం 100 లీటర్లు (22 ఇంప్ గల్; 26 యుఎస్ గాల్) 1,730 కిమీ (1,075 మైళ్ళు) పరిధిని ఇస్తుంది. ప్రామాణిక ఇంజిన్ ULPOWER 260IS నాలుగు-సిలిండర్, 107 HP (80 kW) యొక్క నాలుగు-స్ట్రోక్ ఎయిర్క్రాఫ్ట్ ఇంజిన్ మరియు అందుబాటులో ఉన్న ఇతర ఇంజిన్లలో 100 HP (75 kW) రోటాక్స్ 912 లు మరియు 912I లు, మరియు 100 HP (75 kW) లైమింగ్ IO ఉన్నాయి -233. [1] [2] ప్రాథమిక స్థిర గేర్ ఎలిప్స్ 2011 లో ముడుచుకునే గేర్ వెర్షన్‌తో పాటు యుఎస్ లైట్-స్పోర్ట్ ఎయిర్‌క్రాఫ్ట్ వర్గం కోసం సంస్కరణలుగా అభివృద్ధి చెందుతోంది. [1] [2] బేయర్ల్ నుండి డేటా [1] సాధారణ లక్షణాల పనితీరు</v>
      </c>
      <c r="E103" s="1" t="s">
        <v>1056</v>
      </c>
      <c r="F103" s="1" t="str">
        <f>IFERROR(__xludf.DUMMYFUNCTION("GOOGLETRANSLATE(E:E, ""en"", ""te"")"),"అల్ట్రాలైట్ విమానం")</f>
        <v>అల్ట్రాలైట్ విమానం</v>
      </c>
      <c r="G103" s="1" t="s">
        <v>1057</v>
      </c>
      <c r="H103" s="1" t="s">
        <v>246</v>
      </c>
      <c r="I103" s="1" t="str">
        <f>IFERROR(__xludf.DUMMYFUNCTION("GOOGLETRANSLATE(H:H, ""en"", ""te"")"),"చెక్ రిపబ్లిక్")</f>
        <v>చెక్ రిపబ్లిక్</v>
      </c>
      <c r="J103" s="1" t="s">
        <v>247</v>
      </c>
      <c r="K103" s="1" t="s">
        <v>1543</v>
      </c>
      <c r="L103" s="2" t="str">
        <f>IFERROR(__xludf.DUMMYFUNCTION("GOOGLETRANSLATE(K:K, ""en"", ""te"")"),"A2 CZ")</f>
        <v>A2 CZ</v>
      </c>
      <c r="M103" s="1" t="s">
        <v>1544</v>
      </c>
      <c r="N103" s="1" t="s">
        <v>584</v>
      </c>
      <c r="O103" s="1" t="str">
        <f>IFERROR(__xludf.DUMMYFUNCTION("GOOGLETRANSLATE(N:N, ""en"", ""te"")"),"ఉత్పత్తిలో")</f>
        <v>ఉత్పత్తిలో</v>
      </c>
      <c r="Q103" s="1" t="s">
        <v>162</v>
      </c>
      <c r="R103" s="1" t="s">
        <v>1545</v>
      </c>
      <c r="S103" s="1" t="s">
        <v>1546</v>
      </c>
      <c r="U103" s="1" t="s">
        <v>1547</v>
      </c>
      <c r="X103" s="1" t="s">
        <v>1548</v>
      </c>
      <c r="Y103" s="1" t="s">
        <v>1063</v>
      </c>
      <c r="Z103" s="1" t="s">
        <v>1255</v>
      </c>
      <c r="AA103" s="1" t="s">
        <v>319</v>
      </c>
      <c r="AC103" s="1">
        <v>2011.0</v>
      </c>
      <c r="AD103" s="5">
        <v>40725.0</v>
      </c>
      <c r="AI103" s="1" t="s">
        <v>1549</v>
      </c>
      <c r="AL103" s="1" t="s">
        <v>1550</v>
      </c>
      <c r="AM103" s="1" t="s">
        <v>330</v>
      </c>
      <c r="AS103" s="1" t="s">
        <v>1551</v>
      </c>
      <c r="BP103" s="1" t="s">
        <v>1552</v>
      </c>
    </row>
    <row r="104">
      <c r="A104" s="1" t="s">
        <v>1553</v>
      </c>
      <c r="B104" s="1" t="str">
        <f>IFERROR(__xludf.DUMMYFUNCTION("GOOGLETRANSLATE(A:A, ""en"", ""te"")"),"AMD పేట్రియాట్")</f>
        <v>AMD పేట్రియాట్</v>
      </c>
      <c r="C104" s="1" t="s">
        <v>1554</v>
      </c>
      <c r="D104" s="1" t="str">
        <f>IFERROR(__xludf.DUMMYFUNCTION("GOOGLETRANSLATE(C:C, ""en"", ""te"")"),"AMD పేట్రియాట్ అనేది ఎయిర్క్రాఫ్ట్ మాన్యుఫ్యాక్చరింగ్ అండ్ డిజైన్ కో చేత ఉత్పత్తి చేయబడిన ఒక తేలికపాటి క్రీడా విమానం. 2007 లో AMD సెస్నా స్కైకాచర్‌తో పోటీ పడటానికి ఖండాంతర O-200 ఇంజిన్‌తో అధిక-వింగ్, అన్ని లోహ, ట్రైసైకిల్ గేర్ విమానాలను ఉత్పత్తి చేయాలని ఉ"&amp;"ద్దేశించినట్లు ప్రకటించింది. [[పట్టు కుములి సాధారణ లక్షణాల పనితీరు AMD అలరస్ 2000 ల విమానంలో ఈ వ్యాసం ఒక స్టబ్. వికీపీడియా విస్తరించడం ద్వారా మీరు సహాయపడవచ్చు.")</f>
        <v>AMD పేట్రియాట్ అనేది ఎయిర్క్రాఫ్ట్ మాన్యుఫ్యాక్చరింగ్ అండ్ డిజైన్ కో చేత ఉత్పత్తి చేయబడిన ఒక తేలికపాటి క్రీడా విమానం. 2007 లో AMD సెస్నా స్కైకాచర్‌తో పోటీ పడటానికి ఖండాంతర O-200 ఇంజిన్‌తో అధిక-వింగ్, అన్ని లోహ, ట్రైసైకిల్ గేర్ విమానాలను ఉత్పత్తి చేయాలని ఉద్దేశించినట్లు ప్రకటించింది. [[పట్టు కుములి సాధారణ లక్షణాల పనితీరు AMD అలరస్ 2000 ల విమానంలో ఈ వ్యాసం ఒక స్టబ్. వికీపీడియా విస్తరించడం ద్వారా మీరు సహాయపడవచ్చు.</v>
      </c>
      <c r="E104" s="1" t="s">
        <v>1555</v>
      </c>
      <c r="F104" s="1" t="str">
        <f>IFERROR(__xludf.DUMMYFUNCTION("GOOGLETRANSLATE(E:E, ""en"", ""te"")"),"తేలికపాటి క్రీడా విమానం")</f>
        <v>తేలికపాటి క్రీడా విమానం</v>
      </c>
      <c r="G104" s="1" t="s">
        <v>1556</v>
      </c>
      <c r="H104" s="1" t="s">
        <v>227</v>
      </c>
      <c r="I104" s="1" t="str">
        <f>IFERROR(__xludf.DUMMYFUNCTION("GOOGLETRANSLATE(H:H, ""en"", ""te"")"),"అమెరికా")</f>
        <v>అమెరికా</v>
      </c>
      <c r="J104" s="3" t="s">
        <v>228</v>
      </c>
      <c r="K104" s="1" t="s">
        <v>1557</v>
      </c>
      <c r="L104" s="2" t="str">
        <f>IFERROR(__xludf.DUMMYFUNCTION("GOOGLETRANSLATE(K:K, ""en"", ""te"")"),"విమాన తయారీ మరియు రూపకల్పన")</f>
        <v>విమాన తయారీ మరియు రూపకల్పన</v>
      </c>
      <c r="M104" s="1" t="s">
        <v>1558</v>
      </c>
      <c r="Q104" s="1">
        <v>1.0</v>
      </c>
      <c r="R104" s="1" t="s">
        <v>1559</v>
      </c>
      <c r="U104" s="1" t="s">
        <v>1560</v>
      </c>
      <c r="X104" s="1" t="s">
        <v>1561</v>
      </c>
      <c r="Z104" s="1" t="s">
        <v>1562</v>
      </c>
      <c r="AA104" s="1" t="s">
        <v>1563</v>
      </c>
      <c r="AF104" s="1" t="s">
        <v>1564</v>
      </c>
      <c r="AG104" s="1" t="s">
        <v>1565</v>
      </c>
      <c r="AI104" s="1" t="s">
        <v>1566</v>
      </c>
      <c r="AM104" s="1" t="s">
        <v>1567</v>
      </c>
      <c r="AP104" s="1" t="s">
        <v>1568</v>
      </c>
      <c r="AQ104" s="1" t="s">
        <v>1569</v>
      </c>
      <c r="AR104" s="1" t="s">
        <v>1570</v>
      </c>
      <c r="BJ104" s="1" t="s">
        <v>1571</v>
      </c>
      <c r="BP104" s="1" t="s">
        <v>1572</v>
      </c>
    </row>
    <row r="105">
      <c r="A105" s="1" t="s">
        <v>1573</v>
      </c>
      <c r="B105" s="1" t="str">
        <f>IFERROR(__xludf.DUMMYFUNCTION("GOOGLETRANSLATE(A:A, ""en"", ""te"")"),"APEV POCHELEC")</f>
        <v>APEV POCHELEC</v>
      </c>
      <c r="C105" s="1" t="s">
        <v>1574</v>
      </c>
      <c r="D105" s="1" t="str">
        <f>IFERROR(__xludf.DUMMYFUNCTION("GOOGLETRANSLATE(C:C, ""en"", ""te"")"),"APEV POCHELEC (ఇంగ్లీష్: లాడర్ ఫ్లీ ఎలక్ట్రిక్) అనేది ఒక ఫ్రెంచ్ te త్సాహిక-నిర్మిత ఎలక్ట్రిక్ విమానం, దీనిని డేనియల్ డాల్బీ రూపొందించారు మరియు పీనియర్ యొక్క APEV చేత నిర్మించబడింది. ఇది అందుబాటులో ఉన్నప్పుడు విమానం ప్రణాళికలుగా లేదా te త్సాహిక నిర్మాణాని"&amp;"కి కిట్‌గా సరఫరా చేయబడింది. [1] [2] [3] పౌచెలెక్ అనేది APEV POUCHEL LIGHT యొక్క అభివృద్ధి, ఇది విద్యుత్ శక్తి కోసం స్వీకరించబడింది, వీటిలో సవరించిన ల్యాండింగ్ గేర్ మరియు ఎక్కువ ఉపరితల వైశాల్యంతో ఎక్కువ కాలం రెక్కలు ఉన్నాయి. అసలు పౌచెల్ వాణిజ్యపరంగా లభించే"&amp;" మూడు అల్యూమినియం నిచ్చెనలను ఉపయోగించి నిర్మించబడింది, అందువల్ల APEV అనేది అసోసియేషన్ పోర్ లా ప్రమోషన్ డెస్ ఎచెల్స్ వోలాంటెస్, లేదా ఆంగ్లంలో, ఫ్లయింగ్ నిచ్చెనల ప్రమోషన్ కోసం అసోసియేషన్. నిచ్చెన తయారీదారు బాధ్యత గురించి ఆందోళన చెందుతున్నప్పుడు తరువాత నమూనా"&amp;"లు దీర్ఘచతురస్రాకార అల్యూమినియం గొట్టాలకు వెళ్ళవలసి వచ్చింది. పౌచెల్ సిరీస్ అన్నీ క్లాసిక్ 1930 ల యొక్క ఉత్పన్నా పౌచెలెక్‌లో స్ట్రట్-బ్రెస్డ్ పారాసోల్ ఫ్రంట్ వింగ్, విండ్‌షీల్డ్ లేకుండా సింగిల్-సీట్ల ఓపెన్ కాక్‌పిట్, స్థిర సాంప్రదాయ ల్యాండింగ్ గేర్ మరియు "&amp;"ట్రాక్టర్ కాన్ఫిగరేషన్‌లో ఒకే ఇంజిన్ ఉన్నాయి. ఈ విమానం బోల్ట్-కలిసి అల్యూమినియం గొట్టాల నుండి తయారవుతుంది, దాని ఎగిరే ఉపరితలాలు డాక్రాన్ సెయిల్‌క్లాత్‌లో కప్పబడి ఉంటాయి. దాని 7.30 మీ (24.0 అడుగులు) స్పాన్ ఫ్రంట్ వింగ్ మరియు 5.30 మీ (17.4 అడుగులు) స్పాన్ వ"&amp;"ెనుక భాగంలో 14.6 మీ 2 (157 చదరపు అడుగులు) కలిపి మరియు రెండూ నాకా 23112 ఎయిర్‌ఫాయిల్‌లను కలిగి ఉన్నాయి. సరఫరా చేయబడిన ఇంజిన్ 15 కిలోవాట్ల (20 హెచ్‌పి) అగ్ని 119 ఆర్ ఎలక్ట్రిక్ మోటారు, ఇది కోకామ్ లిథియం-అయాన్ పాలిమర్ బ్యాటరీ ప్యాక్ చేత శక్తినిస్తుంది, ఇది 3"&amp;"0 నిమిషాల విమాన ఓర్పును ఇస్తుంది. [2] [3] [4] 2017 చివరి నాటికి ఇది ప్రణాళికలు లేదా కిట్‌గా లభించే విధంగా జాబితా చేయబడలేదు. [1] బేయర్ల్ మరియు ఇతరులు. విమానంలో ఉన్న విమానం ""అద్భుతంగా నిశ్శబ్దంగా"" వివరించండి. [2] బేయర్ల్ మరియు APEV నుండి డేటా [2] [4] సాధా"&amp;"రణ లక్షణాల పనితీరు")</f>
        <v>APEV POCHELEC (ఇంగ్లీష్: లాడర్ ఫ్లీ ఎలక్ట్రిక్) అనేది ఒక ఫ్రెంచ్ te త్సాహిక-నిర్మిత ఎలక్ట్రిక్ విమానం, దీనిని డేనియల్ డాల్బీ రూపొందించారు మరియు పీనియర్ యొక్క APEV చేత నిర్మించబడింది. ఇది అందుబాటులో ఉన్నప్పుడు విమానం ప్రణాళికలుగా లేదా te త్సాహిక నిర్మాణానికి కిట్‌గా సరఫరా చేయబడింది. [1] [2] [3] పౌచెలెక్ అనేది APEV POUCHEL LIGHT యొక్క అభివృద్ధి, ఇది విద్యుత్ శక్తి కోసం స్వీకరించబడింది, వీటిలో సవరించిన ల్యాండింగ్ గేర్ మరియు ఎక్కువ ఉపరితల వైశాల్యంతో ఎక్కువ కాలం రెక్కలు ఉన్నాయి. అసలు పౌచెల్ వాణిజ్యపరంగా లభించే మూడు అల్యూమినియం నిచ్చెనలను ఉపయోగించి నిర్మించబడింది, అందువల్ల APEV అనేది అసోసియేషన్ పోర్ లా ప్రమోషన్ డెస్ ఎచెల్స్ వోలాంటెస్, లేదా ఆంగ్లంలో, ఫ్లయింగ్ నిచ్చెనల ప్రమోషన్ కోసం అసోసియేషన్. నిచ్చెన తయారీదారు బాధ్యత గురించి ఆందోళన చెందుతున్నప్పుడు తరువాత నమూనాలు దీర్ఘచతురస్రాకార అల్యూమినియం గొట్టాలకు వెళ్ళవలసి వచ్చింది. పౌచెల్ సిరీస్ అన్నీ క్లాసిక్ 1930 ల యొక్క ఉత్పన్నా పౌచెలెక్‌లో స్ట్రట్-బ్రెస్డ్ పారాసోల్ ఫ్రంట్ వింగ్, విండ్‌షీల్డ్ లేకుండా సింగిల్-సీట్ల ఓపెన్ కాక్‌పిట్, స్థిర సాంప్రదాయ ల్యాండింగ్ గేర్ మరియు ట్రాక్టర్ కాన్ఫిగరేషన్‌లో ఒకే ఇంజిన్ ఉన్నాయి. ఈ విమానం బోల్ట్-కలిసి అల్యూమినియం గొట్టాల నుండి తయారవుతుంది, దాని ఎగిరే ఉపరితలాలు డాక్రాన్ సెయిల్‌క్లాత్‌లో కప్పబడి ఉంటాయి. దాని 7.30 మీ (24.0 అడుగులు) స్పాన్ ఫ్రంట్ వింగ్ మరియు 5.30 మీ (17.4 అడుగులు) స్పాన్ వెనుక భాగంలో 14.6 మీ 2 (157 చదరపు అడుగులు) కలిపి మరియు రెండూ నాకా 23112 ఎయిర్‌ఫాయిల్‌లను కలిగి ఉన్నాయి. సరఫరా చేయబడిన ఇంజిన్ 15 కిలోవాట్ల (20 హెచ్‌పి) అగ్ని 119 ఆర్ ఎలక్ట్రిక్ మోటారు, ఇది కోకామ్ లిథియం-అయాన్ పాలిమర్ బ్యాటరీ ప్యాక్ చేత శక్తినిస్తుంది, ఇది 30 నిమిషాల విమాన ఓర్పును ఇస్తుంది. [2] [3] [4] 2017 చివరి నాటికి ఇది ప్రణాళికలు లేదా కిట్‌గా లభించే విధంగా జాబితా చేయబడలేదు. [1] బేయర్ల్ మరియు ఇతరులు. విమానంలో ఉన్న విమానం "అద్భుతంగా నిశ్శబ్దంగా" వివరించండి. [2] బేయర్ల్ మరియు APEV నుండి డేటా [2] [4] సాధారణ లక్షణాల పనితీరు</v>
      </c>
      <c r="E105" s="1" t="s">
        <v>1575</v>
      </c>
      <c r="F105" s="1" t="str">
        <f>IFERROR(__xludf.DUMMYFUNCTION("GOOGLETRANSLATE(E:E, ""en"", ""te"")"),"Te త్సాహిక నిర్మించిన ఎలక్ట్రిక్ విమానం")</f>
        <v>Te త్సాహిక నిర్మించిన ఎలక్ట్రిక్ విమానం</v>
      </c>
      <c r="G105" s="1" t="s">
        <v>1576</v>
      </c>
      <c r="H105" s="1" t="s">
        <v>208</v>
      </c>
      <c r="I105" s="1" t="str">
        <f>IFERROR(__xludf.DUMMYFUNCTION("GOOGLETRANSLATE(H:H, ""en"", ""te"")"),"ఫ్రాన్స్")</f>
        <v>ఫ్రాన్స్</v>
      </c>
      <c r="J105" s="3" t="s">
        <v>209</v>
      </c>
      <c r="K105" s="1" t="s">
        <v>1577</v>
      </c>
      <c r="L105" s="2" t="str">
        <f>IFERROR(__xludf.DUMMYFUNCTION("GOOGLETRANSLATE(K:K, ""en"", ""te"")"),"Apev")</f>
        <v>Apev</v>
      </c>
      <c r="M105" s="3" t="s">
        <v>1578</v>
      </c>
      <c r="N105" s="1" t="s">
        <v>1579</v>
      </c>
      <c r="O105" s="1" t="str">
        <f>IFERROR(__xludf.DUMMYFUNCTION("GOOGLETRANSLATE(N:N, ""en"", ""te"")"),"ప్రణాళికలు మరియు కిట్లు ఇకపై అందుబాటులో లేవు (2017) [1]")</f>
        <v>ప్రణాళికలు మరియు కిట్లు ఇకపై అందుబాటులో లేవు (2017) [1]</v>
      </c>
      <c r="Q105" s="1" t="s">
        <v>162</v>
      </c>
      <c r="S105" s="1" t="s">
        <v>1580</v>
      </c>
      <c r="U105" s="1" t="s">
        <v>629</v>
      </c>
      <c r="X105" s="1" t="s">
        <v>1581</v>
      </c>
      <c r="Y105" s="1" t="s">
        <v>1582</v>
      </c>
      <c r="Z105" s="1" t="s">
        <v>1359</v>
      </c>
      <c r="AA105" s="1" t="s">
        <v>614</v>
      </c>
      <c r="AB105" s="1" t="s">
        <v>1583</v>
      </c>
      <c r="AH105" s="1" t="s">
        <v>1584</v>
      </c>
      <c r="AI105" s="1" t="s">
        <v>1585</v>
      </c>
      <c r="AL105" s="1" t="s">
        <v>1586</v>
      </c>
      <c r="AN105" s="1" t="s">
        <v>1587</v>
      </c>
      <c r="AO105" s="1" t="s">
        <v>1588</v>
      </c>
      <c r="AU105" s="1" t="s">
        <v>1589</v>
      </c>
      <c r="BJ105" s="1" t="s">
        <v>629</v>
      </c>
      <c r="BK105" s="1" t="s">
        <v>1590</v>
      </c>
      <c r="BL105" s="1" t="s">
        <v>1144</v>
      </c>
      <c r="BO105" s="1" t="s">
        <v>1591</v>
      </c>
      <c r="BR105" s="1" t="s">
        <v>1592</v>
      </c>
    </row>
    <row r="106">
      <c r="A106" s="1" t="s">
        <v>1593</v>
      </c>
      <c r="B106" s="1" t="str">
        <f>IFERROR(__xludf.DUMMYFUNCTION("GOOGLETRANSLATE(A:A, ""en"", ""te"")"),"APEV SCOUTCHEL")</f>
        <v>APEV SCOUTCHEL</v>
      </c>
      <c r="C106" s="1" t="s">
        <v>1594</v>
      </c>
      <c r="D106" s="1" t="str">
        <f>IFERROR(__xludf.DUMMYFUNCTION("GOOGLETRANSLATE(C:C, ""en"", ""te"")"),"APEV స్కౌట్చెల్ (ఇంగ్లీష్: స్కౌట్ నిచ్చెన) అనేది ఒక ఫ్రెంచ్ te త్సాహిక నిర్మిత విమానం, ఇది డేనియల్ డాల్బీ చేత రూపొందించబడింది మరియు పీనియర్ యొక్క APEV చేత నిర్మించబడింది. ఈ విమానం ప్రణాళికలుగా లేదా te త్సాహిక నిర్మాణానికి కిట్‌గా సరఫరా చేయబడుతుంది. [1] [2"&amp;"] [3] స్కౌట్చెల్ మునుపటి APEV డెమోచెల్ నుండి తీసుకోబడింది, ఇది మొదటి ప్రపంచ యుద్ధానికి పూర్వం శాంటాస్-డుమోంట్ డెమోసెల్లె యొక్క నవీకరించబడిన సంస్కరణ. [1] [2] స్కౌట్చెల్ లో స్ట్రట్-బ్రేస్డ్ హై-వింగ్, కాక్‌పిట్ ఫెయిరింగ్ లేకుండా సింగిల్-సీట్ల ఓపెన్ కాక్‌పిట్"&amp;", స్థిర ట్రైసైకిల్ ల్యాండింగ్ గేర్ మరియు కీల్ ట్యూబ్‌లోని కాక్‌పిట్ పైన, ట్రాక్టర్ కాన్ఫిగరేషన్‌లో ఒకే ఇంజిన్ ఉన్నాయి. [1] [2] [ 3] ఈ విమానం బోల్ట్-కలిసి అల్యూమినియం గొట్టాల నుండి తయారవుతుంది. రెక్కలు పౌచెల్ కాంతిలో ఉపయోగించిన వాటికి సమానంగా ఉంటాయి మరియు "&amp;"ఒకే అల్యూమినియం స్పార్ చుట్టూ నిర్మించబడ్డాయి, వెలికితీసిన పాలీస్టైరిన్ నుండి ప్లైవుడ్ బ్రేసింగ్‌తో తయారు చేయబడిన పక్కటెముకలు, అన్నీ ఫైబర్గ్లాస్ లీడింగ్ మరియు వెనుకంజలో ఉన్న అంచులతో బంధించబడ్డాయి, డాక్రాన్ సెయిల్‌క్లాత్‌లో కప్పబడి ఉంటాయి. 8.30 మీ (27.2 అడ"&amp;"ుగులు) స్పాన్ వింగ్ NACA 23112 ఎయిర్‌ఫాయిల్‌ను ఉపయోగిస్తుంది మరియు 9.96 మీ 2 (107.2 చదరపు అడుగులు) విస్తీర్ణంలో ఉంది, 8: 1 యొక్క కారక నిష్పత్తితో. విమానానికి ఐలెరన్లు లేనందున ప్రత్యేకమైన రోల్ కంట్రోల్ సిస్టమ్ ఉపయోగించబడుతుంది. బదులుగా రెక్కలు రోల్‌ను ఉత్ప"&amp;"త్తి చేయడానికి మరియు నియంత్రించడానికి +4 ° మరియు -2 to కు పైవట్ చేయబడతాయి. భూమి రవాణా లేదా నిల్వ కోసం రెక్కలను ముడుచుకోవచ్చు. [1] [2] [3] సిఫార్సు చేయబడిన ఇంజన్లు 35 హెచ్‌పి (26 కిలోవాట్) రోటాక్స్ 377 లేదా 40 హెచ్‌పి (30 కిలోవాట్ తయారీదారు కిట్ నుండి 150 "&amp;"గంటలు మరియు ప్రణాళికల నుండి 300 గంటలు భవన సమయాన్ని అంచనా వేస్తాడు. [3] బేయర్ల్ నుండి డేటా [1] సాధారణ లక్షణాల పనితీరు")</f>
        <v>APEV స్కౌట్చెల్ (ఇంగ్లీష్: స్కౌట్ నిచ్చెన) అనేది ఒక ఫ్రెంచ్ te త్సాహిక నిర్మిత విమానం, ఇది డేనియల్ డాల్బీ చేత రూపొందించబడింది మరియు పీనియర్ యొక్క APEV చేత నిర్మించబడింది. ఈ విమానం ప్రణాళికలుగా లేదా te త్సాహిక నిర్మాణానికి కిట్‌గా సరఫరా చేయబడుతుంది. [1] [2] [3] స్కౌట్చెల్ మునుపటి APEV డెమోచెల్ నుండి తీసుకోబడింది, ఇది మొదటి ప్రపంచ యుద్ధానికి పూర్వం శాంటాస్-డుమోంట్ డెమోసెల్లె యొక్క నవీకరించబడిన సంస్కరణ. [1] [2] స్కౌట్చెల్ లో స్ట్రట్-బ్రేస్డ్ హై-వింగ్, కాక్‌పిట్ ఫెయిరింగ్ లేకుండా సింగిల్-సీట్ల ఓపెన్ కాక్‌పిట్, స్థిర ట్రైసైకిల్ ల్యాండింగ్ గేర్ మరియు కీల్ ట్యూబ్‌లోని కాక్‌పిట్ పైన, ట్రాక్టర్ కాన్ఫిగరేషన్‌లో ఒకే ఇంజిన్ ఉన్నాయి. [1] [2] [ 3] ఈ విమానం బోల్ట్-కలిసి అల్యూమినియం గొట్టాల నుండి తయారవుతుంది. రెక్కలు పౌచెల్ కాంతిలో ఉపయోగించిన వాటికి సమానంగా ఉంటాయి మరియు ఒకే అల్యూమినియం స్పార్ చుట్టూ నిర్మించబడ్డాయి, వెలికితీసిన పాలీస్టైరిన్ నుండి ప్లైవుడ్ బ్రేసింగ్‌తో తయారు చేయబడిన పక్కటెముకలు, అన్నీ ఫైబర్గ్లాస్ లీడింగ్ మరియు వెనుకంజలో ఉన్న అంచులతో బంధించబడ్డాయి, డాక్రాన్ సెయిల్‌క్లాత్‌లో కప్పబడి ఉంటాయి. 8.30 మీ (27.2 అడుగులు) స్పాన్ వింగ్ NACA 23112 ఎయిర్‌ఫాయిల్‌ను ఉపయోగిస్తుంది మరియు 9.96 మీ 2 (107.2 చదరపు అడుగులు) విస్తీర్ణంలో ఉంది, 8: 1 యొక్క కారక నిష్పత్తితో. విమానానికి ఐలెరన్లు లేనందున ప్రత్యేకమైన రోల్ కంట్రోల్ సిస్టమ్ ఉపయోగించబడుతుంది. బదులుగా రెక్కలు రోల్‌ను ఉత్పత్తి చేయడానికి మరియు నియంత్రించడానికి +4 ° మరియు -2 to కు పైవట్ చేయబడతాయి. భూమి రవాణా లేదా నిల్వ కోసం రెక్కలను ముడుచుకోవచ్చు. [1] [2] [3] సిఫార్సు చేయబడిన ఇంజన్లు 35 హెచ్‌పి (26 కిలోవాట్) రోటాక్స్ 377 లేదా 40 హెచ్‌పి (30 కిలోవాట్ తయారీదారు కిట్ నుండి 150 గంటలు మరియు ప్రణాళికల నుండి 300 గంటలు భవన సమయాన్ని అంచనా వేస్తాడు. [3] బేయర్ల్ నుండి డేటా [1] సాధారణ లక్షణాల పనితీరు</v>
      </c>
      <c r="E106" s="1" t="s">
        <v>1071</v>
      </c>
      <c r="F106" s="1" t="str">
        <f>IFERROR(__xludf.DUMMYFUNCTION("GOOGLETRANSLATE(E:E, ""en"", ""te"")"),"Te త్సాహిక నిర్మించిన విమానం")</f>
        <v>Te త్సాహిక నిర్మించిన విమానం</v>
      </c>
      <c r="G106" s="1" t="s">
        <v>1072</v>
      </c>
      <c r="H106" s="1" t="s">
        <v>208</v>
      </c>
      <c r="I106" s="1" t="str">
        <f>IFERROR(__xludf.DUMMYFUNCTION("GOOGLETRANSLATE(H:H, ""en"", ""te"")"),"ఫ్రాన్స్")</f>
        <v>ఫ్రాన్స్</v>
      </c>
      <c r="J106" s="3" t="s">
        <v>209</v>
      </c>
      <c r="K106" s="1" t="s">
        <v>1577</v>
      </c>
      <c r="L106" s="2" t="str">
        <f>IFERROR(__xludf.DUMMYFUNCTION("GOOGLETRANSLATE(K:K, ""en"", ""te"")"),"Apev")</f>
        <v>Apev</v>
      </c>
      <c r="M106" s="3" t="s">
        <v>1578</v>
      </c>
      <c r="N106" s="1" t="s">
        <v>1075</v>
      </c>
      <c r="O106" s="1" t="str">
        <f>IFERROR(__xludf.DUMMYFUNCTION("GOOGLETRANSLATE(N:N, ""en"", ""te"")"),"ఉత్పత్తిలో (2012)")</f>
        <v>ఉత్పత్తిలో (2012)</v>
      </c>
      <c r="Q106" s="1" t="s">
        <v>162</v>
      </c>
      <c r="R106" s="1" t="s">
        <v>1595</v>
      </c>
      <c r="S106" s="1" t="s">
        <v>1596</v>
      </c>
      <c r="T106" s="1">
        <v>8.0</v>
      </c>
      <c r="X106" s="1" t="s">
        <v>1597</v>
      </c>
      <c r="Y106" s="1" t="s">
        <v>1582</v>
      </c>
      <c r="Z106" s="1" t="s">
        <v>1598</v>
      </c>
      <c r="AA106" s="1" t="s">
        <v>338</v>
      </c>
      <c r="AB106" s="1" t="s">
        <v>1583</v>
      </c>
      <c r="AF106" s="1" t="s">
        <v>1599</v>
      </c>
      <c r="AG106" s="1" t="s">
        <v>1600</v>
      </c>
      <c r="AH106" s="1" t="s">
        <v>1584</v>
      </c>
      <c r="AI106" s="1" t="s">
        <v>1601</v>
      </c>
      <c r="AU106" s="1" t="s">
        <v>1602</v>
      </c>
      <c r="BJ106" s="1" t="s">
        <v>629</v>
      </c>
      <c r="BL106" s="1" t="s">
        <v>1144</v>
      </c>
      <c r="BO106" s="1" t="s">
        <v>1603</v>
      </c>
      <c r="BR106" s="1" t="s">
        <v>1604</v>
      </c>
    </row>
    <row r="107">
      <c r="A107" s="1" t="s">
        <v>1605</v>
      </c>
      <c r="B107" s="1" t="str">
        <f>IFERROR(__xludf.DUMMYFUNCTION("GOOGLETRANSLATE(A:A, ""en"", ""te"")"),"Bacట")</f>
        <v>Bacట</v>
      </c>
      <c r="C107" s="1" t="s">
        <v>1606</v>
      </c>
      <c r="D107" s="1" t="str">
        <f>IFERROR(__xludf.DUMMYFUNCTION("GOOGLETRANSLATE(C:C, ""en"", ""te"")"),"BAC/DASSAULT AFVG (స్టాండింగ్ ఫర్ . వేరియబుల్-స్వీప్ వింగ్‌ను ఉపయోగించుకునే ఆచరణీయ పోరాట విమానాలను ఉత్పత్తి చేయాలనే ఆశయాల నుండి ఈ ప్రాజెక్ట్ పుట్టింది, అలాగే ఫ్రాన్స్ మరియు యునైటెడ్ కింగ్‌డమ్ మధ్య విస్తృత సహకార ప్రయత్నాలను ప్రోత్సహించడానికి. ఏదేమైనా, దస్స"&amp;"ాల్ట్ లేదా ఫ్రెంచ్ వైమానిక దళం ముఖ్యంగా AFVG పై ఆసక్తి చూపలేదు; బ్రిటన్ తరఫున AFVG పని చేయాల్సిన పాత్రల కోసం పదేపదే స్పెసిఫికేషన్ మార్పులు మరియు అస్పష్టత ద్వారా ఈ ప్రాజెక్ట్ మరింత ప్రభావితమైంది. 1967 మధ్యలో, రద్దు చేయబడిన BAC TSR-2 స్ట్రైక్ బాంబర్ స్థానంల"&amp;"ో సమ్మె పాత్ర కోసం రాయల్ ఎయిర్ ఫోర్స్ (RAF) కోసం AFVG ని స్వీకరించబడిన తరువాత బ్రిటిష్ అవసరాలు స్థిరపడ్డాయి. జూన్ 1967 లో ఈ ప్రాజెక్ట్ రద్దు చేయబడింది, ఫ్రెంచ్ ప్రభుత్వం పాల్గొనకుండా ఉపసంహరించుకుంది. ఏదేమైనా, రద్దు ప్రతిపాదిత రూపకల్పనపై పని ముగింపు కాదు. "&amp;"రాయల్ వైమానిక దళం (RAF) అవసరాలను పూర్తిగా తీర్చడానికి BAC స్పెసిఫికేషన్‌ను సవరించింది, డిజైన్‌ను UKVG గా పునర్నిర్మించింది మరియు ఈ విమానం సేకరించడానికి కొత్త భాగస్వాములను కోరింది, చివరికి ఆంగ్లో-జర్మన్-ఇటాలియన్ కన్సార్టియం నిధులతో ""మల్టీ రోల్ కంబాట్ ఎయిర"&amp;"్‌క్రాఫ్ట్"" గా ఉద్భవించింది. . 1945 నుండి, బ్రిటన్ అనేక అధ్యయనాలను వేరియబుల్ జ్యామితి రెక్కల లక్షణాలు మరియు వాడకంలో నిర్వహించింది. [1] ప్రఖ్యాత బ్రిటిష్ ఇంజనీర్ మరియు ఆవిష్కర్త సర్ బర్న్స్ వాలిస్ రెండవ ప్రపంచ యుద్ధంలో ఈ భావనను అన్వేషించడం ప్రారంభించారు మ"&amp;"రియు వేరియబుల్ జ్యామితి విభాగం కోసం ప్రారంభ మార్గదర్శకుడు మరియు న్యాయవాది అయ్యాడు, నిలువు స్టెబిలైజర్ మరియు చుక్కాని వంటి సాంప్రదాయిక లక్షణాలు లేని విమాన పరిశీలనను రూపొందించడం వేరియబుల్ జ్యామితి రెక్కలు వాటి స్థానంలో ప్రాధమిక నియంత్రణను అందించడానికి. 1946"&amp;" లో, వాలిస్ ఈ పరిశోధనపై ఒక కాగితాన్ని ప్రచురించాడు, ఇది ఏవియేషన్ పరిశ్రమలో ఒక ప్రధాన శాస్త్రీయ పురోగతి అని త్వరగా ప్రశంసించబడింది. [1] వేరియబుల్ జ్యామితి విభాగాన్ని సద్వినియోగం చేసుకునే విమానం, సైనిక లేదా సివిల్ ఉత్పత్తి కోసం వాలిస్ వాదించారు. [2] పరిశోధన"&amp;" మరియు రక్షణ మంత్రిత్వ శాఖ సాంకేతిక పరిజ్ఞానం యొక్క అనువర్తనాన్ని ప్రక్షేపకాలకు ప్రదర్శించడానికి వరుస పరీక్షలకు ఏర్పాట్లు చేసింది, పరిశోధన ప్రయోజనాల కోసం మరియు విమాన వ్యతిరేక రక్షణ యొక్క సంభావ్య రూపం; వాలిస్ ఈ పరిశోధన కార్యక్రమంలో పనిచేసినప్పటికీ, అతను మన"&amp;"ుషుల వేరియబుల్ జ్యామితి విమానం యొక్క భావనను ప్రోత్సహించడం కొనసాగించాడు. [3] 1951 లో, సరఫరా మంత్రిత్వ శాఖ స్పెసిఫికేషన్ ER.110T ని జారీ చేసింది, ఇది పైలట్ చేసిన వేరియబుల్ జ్యామితి విమానం కోరింది, ఇది పరిశోధనా విమానాలకు అనువైనది; ఏదేమైనా, మరింత సాంప్రదాయిక "&amp;"ట్రాన్సోనిక్ పోరాట విమానాల కోసం అత్యవసర డిమాండ్ల కారణంగా ER.110T ఆర్డర్ లేకుండా రద్దు చేయబడుతుంది. [4] ఒకానొక సమయంలో, వాలిస్ స్పెసిఫికేషన్ లేదా 330 కోసం వేరియబుల్ జ్యామితి సమర్పణను ఉత్పత్తి చేసే అవకాశాలను పరిశీలించాడు, ఇది సూపర్సోనిక్ వైమానిక నిఘా/వ్యూహాత"&amp;"్మక బాంబర్ విమానం కోరింది. అతను కదిలే డెల్టా వింగ్ కాన్ఫిగరేషన్‌తో కూడిన పెద్ద విమానం గురించి గర్భం ధరించాడు, దీనిని అతను స్వాలో అని పిలిచాడు; ఏదేమైనా, స్కేల్ మోడల్ ఫ్రీ-ఫ్లైట్ టెస్టింగ్ ద్వారా మిడ్‌వే, వాలిస్ అధ్యయనాలకు నిధులను జూన్ 1957 లో మంత్రిత్వ శాఖ"&amp;" ముగిసింది. [5] 1958 లో, నాటో యొక్క పరస్పర ఆయుధాల అభివృద్ధి కార్యక్రమం సహకారంతో పరిశోధన ప్రయత్నాలు పునరుద్ధరించబడ్డాయి, దీని కింద వాలిస్ యొక్క వేరియబుల్ జ్యామితి పరిశోధన అంతా అమెరికన్లతో పంచుకోబడింది. [5] 1950 ల మధ్యలో, బహుళ బ్రిటిష్ విమాన తయారీదారులు వార"&amp;"ి ప్రతిపాదిత డిజైన్లలో వేరియబుల్ జ్యామితి రెక్కలను ఉపయోగించుకోవటానికి ఆసక్తి చూపారు. ఈ రూపకల్పన అధ్యయనాలలో ఫోలాండ్ గ్నాట్ యొక్క సూపర్సోనిక్-సామర్థ్యం గల ఉత్పన్నం, మరియు అణు-సాయుధ సూపర్సోనిక్ బాంబర్ కోసం స్పెసిఫికేషన్ GOR.339 కు ప్రతిస్పందనగా పెద్ద వేరియబు"&amp;"ల్ జ్యామితి సమ్మె విమానాలను రూపొందించడానికి విక్కర్స్ చేసిన ప్రాజెక్ట్. [6] 1964 లో, కొత్తగా ఏర్పడిన బ్రిటిష్ ఎయిర్క్రాఫ్ట్ కార్పొరేషన్ (BAC) కొత్త డిజైన్ అధ్యయనంలో విక్కర్ యొక్క మునుపటి వేరియబుల్ జ్యామితి పనిని ఉపయోగించాలని నిర్ణయించింది, దీనిని BAC P.45"&amp;" గా నియమించారు. సంభావిత BAC P.45 ను 'లైట్ స్ట్రైక్' మరియు రెండు-సీట్ల ట్రైనర్ విమానంగా రూపొందించారు. [7] [9] రాయల్ ఎయిర్ ఫోర్స్ (RAF) ను సన్నద్ధం చేయడానికి ఈ రకం కోసం ప్రభుత్వ ఉత్తర్వు కోసం BAC గట్టిగా వాదించాడు, అనేక ప్రతిపాదిత డిజైన్లలో ఒకటి [N 2], ఇవి "&amp;"అనేక ప్రత్యర్థి తయారీదారులు స్పెసిఫికేషన్‌ను కలవడానికి AST.362 ను తీర్చడానికి ఉత్పత్తి చేశారు. [11] ఏవియేషన్ రచయిత డెరెక్ వుడ్ ప్రకారం, p.45 డిజైన్ ""స్పష్టమైన ఎంపిక"" అయినప్పటికీ, డిఫెన్స్ స్టేట్ సెక్రటరీ డెనిస్ హీలే దీనిని BR ఆధారంగా ఉమ్మడి-ప్రాజెక్ట్ క"&amp;"ోసం ఫ్రాన్స్‌తో సహకార ఏర్పాట్ చేయడానికి అనుకూలంగా కొట్టిపారేశారు. 121 ECAT (""టాక్టికల్ కంబాట్ సపోర్ట్ ట్రైనర్"") బదులుగా బ్రెగెట్ ఏవియేషన్ నుండి ప్రతిపాదన. [12] 1964 నుండి, ఫ్రాన్స్ మరియు గ్రేట్ బ్రిటన్ ప్రభుత్వాల మధ్య లోతైన చర్చల శ్రేణి జరిగింది; ఇవి ఆం"&amp;"గ్లో-ఫ్రెంచ్ కమిటీ యొక్క కో-చైర్మన్ హాండెల్ డేవిస్ మరియు అతని ఫ్రెంచ్ ప్రతిరూపం, ఇంగ్నియూర్ జనరల్ లెకామస్ మధ్య చర్చలు, రెండు కొత్త సైనిక పోరాట విమానాలను ప్రారంభించటానికి చర్చలు జరిపాయి. ఈ చర్చల ప్రకారం, కొత్త లైట్ గ్రౌండ్-అటాక్/ట్రైనర్‌ను అభివృద్ధి చేయడంల"&amp;"ో ఫ్రెంచ్ వారు ప్రధాన పాత్ర పోషిస్తారు, అయితే బ్రిటిష్ వారు మల్టీరోల్ ఫైటర్ ప్రాజెక్ట్ నాయకత్వాన్ని చేపట్టాలి. [13] ఈ మల్టీరోల్ విమానం వేరియబుల్ జ్యామితి విభాగాన్ని కలిగి ఉంటుంది మరియు సమ్మె, నిఘా మరియు ఇంటర్‌సెప్టర్ పాత్రలను నిర్వహించడానికి ఉద్దేశించబడిం"&amp;"ది. [14] 17 మే 1965 న, BAC TSR-2 సూపర్సోనిక్ బాంబర్ రద్దు చేసిన తరువాత, బ్రిటిష్ మరియు ఫ్రెంచ్ ప్రభుత్వాలు రెండు ఉమ్మడి ప్రాజెక్టులను కవర్ చేయడానికి ఒక జత ఒప్పందాలపై సంతకం చేస్తున్నట్లు ప్రకటించాయి; ఒకటి బ్రెగెట్ ఏవియేషన్ BR.121 ECAT (""టాక్టికల్ కంబాట్ స"&amp;"పోర్ట్ ట్రైనర్"") ప్రతిపాదన ఆధారంగా; ఇది తరువాత AFVG ను రద్దు చేసిన తరువాత, సెపెకాట్ జాగ్వార్ గా మారింది. మరొకటి AFVG, ఫ్రెంచ్ నేవీ (Aénavale) కోసం పెద్ద, వేరియబుల్ జ్యామితి క్యారియర్-సామర్థ్యం గల ఫైటర్ విమానం, అలాగే రాఫ్ కోసం ఇంటర్‌సెప్టర్, వ్యూహాత్మక సమ"&amp;"్మె మరియు నిఘా పాత్రలను నెరవేర్చడం. [15] [14] AFVG ని BAC మరియు DASCAULT ఏవియేషన్ సంయుక్తంగా అభివృద్ధి చేయవలసి ఉంది, ఈ విమానానికి శక్తినిచ్చే ప్రతిపాదిత M45G టర్బోఫాన్ ఇంజిన్‌ను స్నెక్మా మరియు బ్రిస్టల్ సిడ్లీ సంయుక్తంగా అభివృద్ధి చేయవలసి ఉంది. [14] 13 జూ"&amp;"లై 1965 న, AFVG సాధ్యాసాధ్య అధ్యయనం యొక్క స్పెసిఫికేషన్ జారీ చేయబడింది; వుడ్ ప్రకారం, ఈ స్పెసిఫికేషన్ రద్దు చేయబడిన TSR-2 కోసం ఇంతకుముందు జారీ చేసిన వాటిని చాలా పోలి ఉంది. [16] AFVG సముద్ర మట్టంలో గరిష్టంగా 800 నాట్ల వేగం మరియు ఎత్తులో మాక్ 2.5 కలిగి ఉంటు"&amp;"ంది. ఇది కనీస పోరాట వ్యాసార్థం 500 నాటికల్ మైళ్ళు, 3,500 నాటికల్ మైళ్ళ ఫెర్రీ పరిధి, మరియు ముక్కు-మౌంటెడ్ వాయుమార్గాన అంతరాయ రాడార్ కనీసం 60 నాటికల్ మైళ్ళు కలిగి ఉండాలి. [17] అర్మేమెంట్ ఒక జత 30 మిమీ ఫిరంగులు మరియు 2,500 ఎల్బి వ్యూహాత్మక అణు బాంబును చేర్చ"&amp;"డం. ఏదేమైనా, స్పెసిఫికేషన్ పదేపదే తిరిగి డ్రాఫ్ట్ చేయబడుతుంది, వైట్హాల్ చేత ఖచ్చితమైన స్పెసిఫికేషన్ జారీ చేయడం ఏప్రిల్ 1966 వరకు ఆలస్యం అయింది. [17] వుడ్ స్పెసిఫికేషన్ యొక్క అవసరాలు బహుళ-పాత్రల స్వభావం కలిగి ఉన్నాయని గమనించాడు, ఇది హాకర్ సిడ్లీ పి .1154 మ"&amp;"రియు వేరియబుల్ జ్యామితి జనరల్ డైనమిక్స్ ఎఫ్ -111 కె. [17] RAF సేవలో, AFVG మొదట ఫైటర్‌గా పనిచేయడానికి ఉద్దేశించబడింది, ఇంటర్‌సెప్టర్ మిషన్‌లో ఇంగ్లీష్ ఎలక్ట్రిక్ మెరుపులను భర్తీ చేస్తుంది. [18] ఏదేమైనా, అమెరికన్-నిర్మించిన మెక్‌డోనెల్ డగ్లస్ డగ్లస్ ఎఫ్ -4 "&amp;"ఫాంటమ్ II ను సేకరించే నిర్ణయం తరువాత, ఆంగ్ల ఎలక్ట్రిక్ కాన్బెర్రా మరియు వి బాంబర్ స్థానంలో ఎఫ్ -111 కె [ఎన్ 3] స్ట్రైక్ విమానాలను భర్తీ చేయడానికి 1966 లో AFVG యొక్క role హించిన పాత్ర మార్చబడింది శక్తి. [19] AFVG ఒక జత స్నెక్మా/బ్రిస్టల్ సిడ్లీ M45G టర్బోఫ"&amp;"ాన్స్ చేత శక్తినివ్వవలసి ఉంది, వీటిని మిరాజ్-స్టైల్ హాఫ్-షాక్ కోన్ ఇన్లెట్స్ ద్వారా ఇవ్వాలి. [20] ఇంజిన్ డెవలప్‌మెంట్ ప్రోగ్రామ్ కాంట్రాక్టును ఫ్రెంచ్ ప్రభుత్వం ఒక స్నెక్మా/బ్రిస్టల్ సిడ్లీ జాయింట్ వెంచర్ కంపెనీకి ఫ్రాన్స్‌లో నమోదు చేసుకోవాలి. [19] తన పేర"&amp;"ును కలిగి ఉన్న సంస్థ యొక్క స్థాపకుడు మార్సెల్ డసాల్ట్ కోసం, ఒక ప్రధాన ప్రాజెక్టుపై నాయకత్వాన్ని వదులుకోవడం, ముఖ్యంగా AFVG లో BAC కి సబార్డినేట్ స్థానాన్ని తీసుకోవడం తన సంస్థ యొక్క దీర్ఘకాలిక లక్ష్యాన్ని పోరాట విమానాలకు ప్రధాన ప్రైమ్ కాంట్రాక్టర్‌గా మారాలన"&amp;"ి బెదిరించాడు. [21 ] ఒక సంవత్సరం కన్నా తక్కువ తరువాత, డసాల్ట్ AFVG ప్రాజెక్టును చురుకుగా అణగదొక్కడం ప్రారంభించింది, రెండు పోటీ ""అంతర్గత"" ప్రాజెక్టులలో పనిచేస్తోంది: వేరియబుల్ జ్యామితి మిరాజ్ జి మరియు మిరాజ్ ఎఫ్ 1. [22] వుడ్ ప్రకారం, డసాల్ట్ మరియు ఫ్రెంచ"&amp;"్ వైమానిక దళం రెండూ ఈ ప్రాజెక్ట్ కోసం మొదటి నుండి ఈ ప్రాజెక్ట్ కోసం అనాలోచితంగా ఉన్నాయి, తరువాతిది దాని స్వంత స్వదేశీ విమానాలను వేరియబుల్ జ్యామితి రెక్కలతో కలిగి ఉండాలనుకుంటుంది, అయితే మాజీ AFVG దేనినీ నిర్ధారించలేదని నిర్ధారించారు దాని భవిష్యత్ పరికరాల ప"&amp;"్రణాళికలు. [14] సమర్థవంతమైన సమ్మె విమానాన్ని సేకరించడానికి బ్రిటన్ ఆసక్తిగా ఉండగా, ఫ్రాన్స్ ఇంటర్‌సెప్టర్ విమానాలను కోరుకుంది; ఈ విభిన్న పాత్రల యొక్క ఈ రూపకల్పన అవసరాలు ఒకదానికొకటి ప్రత్యేకమైనవి. [17] RAF మరియు రాయల్ నేవీ రెండింటి యొక్క అవసరాలను ఒకే ఎయిర్"&amp;"‌ఫ్రేమ్‌లోకి సరిపోయే ప్రయత్నం చేయడం ద్వారా AFVG కోసం బ్రిటన్ యొక్క సొంత అవసరాలు సంక్లిష్టంగా ఉన్నాయి. [17] దీని ప్రకారం, సహేతుకమైన పనితీరును సాధించడానికి ఒక కొలతగా, AFVG యొక్క రెండు వేర్వేరు సంస్కరణలను పిలిచారు, ఒకటి పల్స్-డాప్లర్ రాడార్ మరియు ఎయిర్-టు-ఎయ"&amp;"ిర్ క్షిపణులతో కూడిన మల్టీరోల్ ఫైటర్, మరొకటి పరిమిత సామర్ధ్యంతో సమ్మె విమానం. ఒక ఇంటర్‌సెప్టర్‌గా. [17] జూన్ 1967 లో, ఫ్రెంచ్ ప్రభుత్వం AFVG ప్రాజెక్టు నుండి తమను ఉపసంహరించుకున్నట్లు ప్రకటించింది. [N 4] [24] AFVG కార్యక్రమం పతనం బ్రిటిష్ స్థానానికి చాలా ఇ"&amp;"బ్బంది కలిగించింది, ఆంగ్లో-ఫ్రెంచ్ మీద ఆధారపడటానికి ఎంచుకుంది. దాని అవసరాలను తీర్చడానికి సహకారం మరియు అమెరికన్ రూపొందించిన పోరాట విమానాలు. [25] ఏకపక్ష ఫ్రెంచ్ నిర్ణయం హౌస్ ఆఫ్ కామన్స్ లో అభిశంసన చర్చకు దారితీసింది. [26] [24] 1967 నాటికి, ఫ్రెంచ్ వారు AFVG"&amp;" కార్యక్రమం నుండి వైదొలగాలని నిర్ణయించుకున్నప్పుడు, వైమానిక మంత్రిత్వ శాఖ F-111K ను రద్దు చేసే ఆసన్నమైన అవకాశాల నుండి వచ్చిన గందరగోళాన్ని ఎదుర్కొంది, నవంబర్ 1967 లో తీసుకున్న నిర్ణయం 20 మార్చి 1968 న లాంఛనప్రాయంగా ఉంది. . [[ ఈ సమయం వరకు, బ్రిటన్ ఆచరణాత్మక"&amp;"ంగా లాభాల కోసం AFVG కోసం million 2.5 మిలియన్లు ఖర్చు చేసింది. [25] బహుళ ప్రాజెక్టులు ఒకదాన్ని అభివృద్ధి చేయడంలో లేదా సేకరించడంలో విఫలమైన తరువాత కొత్త సమ్మె విమానం లేకపోవడాన్ని సమర్థించడానికి, హీలే ఒకరి అవసరాన్ని పూర్తిగా విడదీయాలని నిర్ణయించుకున్నాడు. ఈ వ"&amp;"ిధంగా, 1968 లో, ప్రధాన మంత్రి హెరాల్డ్ విల్సన్, హీలీతో కలిసి, 1971 లో సౌత్ ఈస్ట్ ఆసియాలోని ప్రధాన సైనిక స్థావరాల నుండి బ్రిటిష్ దళాలను ఉపసంహరించుకుంటామని ప్రకటించారు, పెర్షియన్ గల్ఫ్ మరియు మాల్దీవులను సమిష్టిగా 'తూర్పు సూయెజ్' అని పిలుస్తారు. [28] [[[ RAF"&amp;" యొక్క సమ్మె పాత్రను నెరవేర్చడానికి ఎటువంటి కార్యాచరణ విమానాలు అందుబాటులో లేనందున, BAC AFVG డిజైన్‌ను పునరుద్ధరించాలని నిర్ణయించుకుంది, ఇకపై అవసరం లేని క్యారియర్ సామర్థ్యాలను తొలగించి, పెద్ద, మరింత సమ్మె-ఆధారిత వేరియబుల్ జ్యామితి విమానం. యునైటెడ్ కింగ్‌డమ"&amp;"్ వేరియబుల్ జ్యామితి (యుకెవిజి) విమానంగా తిరిగి నియమించబడిన ఈ ప్రాజెక్టుకు మద్దతు ఇవ్వడానికి BAC కి హోల్డింగ్ కాంట్రాక్టులు జారీ చేయబడ్డాయి. [27] [25] నవంబర్ 1967 లో, BAC UKVG ప్రతిపాదనపై బ్రోచర్ జారీ చేసింది; బహుళ వేర్వేరు ఇంజిన్ల వాడకాన్ని కవర్ చేయడానిక"&amp;"ి వివిధ ప్రతిపాదనలు జారీ చేయబడతాయి. ప్రదర్శనకారుడు విమానం యొక్క శీఘ్ర ఉత్పత్తి, ఒక జత రోల్స్ రాయిస్/మ్యాన్ టర్బో RB153 టర్బోఫాన్ ఇంజిన్లతో నడిచేది, కూడా రూపొందించబడింది. [25] యునైటెడ్ కింగ్‌డమ్‌లో యుకెవిజికి నిధులు తీవ్రంగా పరిమితం చేయబడినప్పటికీ, బ్రిటిష"&amp;"్ ప్రభుత్వం నాటో సభ్యుల రూపంలో భాగస్వాములను కనుగొనటానికి ప్రయత్నించింది, [n 5] ఒక సాధారణ నాటో సమ్మె విమానాలను సృష్టించడం మరియు సేకరించడం అనే భావనను ప్రోత్సహిస్తుంది. జూలై 1968 లో, బ్రిటన్, పశ్చిమ జర్మనీ, ఇటలీ, నెదర్లాండ్స్, బెల్జియం మరియు కెనడా మధ్య అవగాహ"&amp;"న యొక్క జ్ఞాపకం సంతకం చేయబడింది. [30] ఈ మెమోరాండం చివరికి బహుళజాతి మల్టీ-రోల్ కంబాట్ ఎయిర్‌క్రాఫ్ట్ (MRCA) ప్రాజెక్ట్ను ప్రారంభించటానికి దారితీసింది, ఇది పనావియా సుడిగాలి రూపంలో సమ్మె, నిఘా మరియు అంతరాయ కార్యకలాపాలను నిర్వహించడానికి వేరియబుల్ జ్యామితి విమ"&amp;"ానాన్ని ఉత్పత్తి చేసింది. [13 నటించు ప్రాజెక్ట్ నుండి డేటా రద్దు చేయబడింది: బ్రిటన్ యొక్క వదిలివేసిన విమాన ప్రాజెక్టుల విపత్తు [32] సాధారణ లక్షణాలు పనితీరు ఆయుధాల ఏవియానిక్స్ గ్రౌండ్ మ్యాపింగ్ రాడార్ + టిఎఫ్ఆర్")</f>
        <v>BAC/DASSAULT AFVG (స్టాండింగ్ ఫర్ . వేరియబుల్-స్వీప్ వింగ్‌ను ఉపయోగించుకునే ఆచరణీయ పోరాట విమానాలను ఉత్పత్తి చేయాలనే ఆశయాల నుండి ఈ ప్రాజెక్ట్ పుట్టింది, అలాగే ఫ్రాన్స్ మరియు యునైటెడ్ కింగ్‌డమ్ మధ్య విస్తృత సహకార ప్రయత్నాలను ప్రోత్సహించడానికి. ఏదేమైనా, దస్సాల్ట్ లేదా ఫ్రెంచ్ వైమానిక దళం ముఖ్యంగా AFVG పై ఆసక్తి చూపలేదు; బ్రిటన్ తరఫున AFVG పని చేయాల్సిన పాత్రల కోసం పదేపదే స్పెసిఫికేషన్ మార్పులు మరియు అస్పష్టత ద్వారా ఈ ప్రాజెక్ట్ మరింత ప్రభావితమైంది. 1967 మధ్యలో, రద్దు చేయబడిన BAC TSR-2 స్ట్రైక్ బాంబర్ స్థానంలో సమ్మె పాత్ర కోసం రాయల్ ఎయిర్ ఫోర్స్ (RAF) కోసం AFVG ని స్వీకరించబడిన తరువాత బ్రిటిష్ అవసరాలు స్థిరపడ్డాయి. జూన్ 1967 లో ఈ ప్రాజెక్ట్ రద్దు చేయబడింది, ఫ్రెంచ్ ప్రభుత్వం పాల్గొనకుండా ఉపసంహరించుకుంది. ఏదేమైనా, రద్దు ప్రతిపాదిత రూపకల్పనపై పని ముగింపు కాదు. రాయల్ వైమానిక దళం (RAF) అవసరాలను పూర్తిగా తీర్చడానికి BAC స్పెసిఫికేషన్‌ను సవరించింది, డిజైన్‌ను UKVG గా పునర్నిర్మించింది మరియు ఈ విమానం సేకరించడానికి కొత్త భాగస్వాములను కోరింది, చివరికి ఆంగ్లో-జర్మన్-ఇటాలియన్ కన్సార్టియం నిధులతో "మల్టీ రోల్ కంబాట్ ఎయిర్‌క్రాఫ్ట్" గా ఉద్భవించింది. . 1945 నుండి, బ్రిటన్ అనేక అధ్యయనాలను వేరియబుల్ జ్యామితి రెక్కల లక్షణాలు మరియు వాడకంలో నిర్వహించింది. [1] ప్రఖ్యాత బ్రిటిష్ ఇంజనీర్ మరియు ఆవిష్కర్త సర్ బర్న్స్ వాలిస్ రెండవ ప్రపంచ యుద్ధంలో ఈ భావనను అన్వేషించడం ప్రారంభించారు మరియు వేరియబుల్ జ్యామితి విభాగం కోసం ప్రారంభ మార్గదర్శకుడు మరియు న్యాయవాది అయ్యాడు, నిలువు స్టెబిలైజర్ మరియు చుక్కాని వంటి సాంప్రదాయిక లక్షణాలు లేని విమాన పరిశీలనను రూపొందించడం వేరియబుల్ జ్యామితి రెక్కలు వాటి స్థానంలో ప్రాధమిక నియంత్రణను అందించడానికి. 1946 లో, వాలిస్ ఈ పరిశోధనపై ఒక కాగితాన్ని ప్రచురించాడు, ఇది ఏవియేషన్ పరిశ్రమలో ఒక ప్రధాన శాస్త్రీయ పురోగతి అని త్వరగా ప్రశంసించబడింది. [1] వేరియబుల్ జ్యామితి విభాగాన్ని సద్వినియోగం చేసుకునే విమానం, సైనిక లేదా సివిల్ ఉత్పత్తి కోసం వాలిస్ వాదించారు. [2] పరిశోధన మరియు రక్షణ మంత్రిత్వ శాఖ సాంకేతిక పరిజ్ఞానం యొక్క అనువర్తనాన్ని ప్రక్షేపకాలకు ప్రదర్శించడానికి వరుస పరీక్షలకు ఏర్పాట్లు చేసింది, పరిశోధన ప్రయోజనాల కోసం మరియు విమాన వ్యతిరేక రక్షణ యొక్క సంభావ్య రూపం; వాలిస్ ఈ పరిశోధన కార్యక్రమంలో పనిచేసినప్పటికీ, అతను మనుషుల వేరియబుల్ జ్యామితి విమానం యొక్క భావనను ప్రోత్సహించడం కొనసాగించాడు. [3] 1951 లో, సరఫరా మంత్రిత్వ శాఖ స్పెసిఫికేషన్ ER.110T ని జారీ చేసింది, ఇది పైలట్ చేసిన వేరియబుల్ జ్యామితి విమానం కోరింది, ఇది పరిశోధనా విమానాలకు అనువైనది; ఏదేమైనా, మరింత సాంప్రదాయిక ట్రాన్సోనిక్ పోరాట విమానాల కోసం అత్యవసర డిమాండ్ల కారణంగా ER.110T ఆర్డర్ లేకుండా రద్దు చేయబడుతుంది. [4] ఒకానొక సమయంలో, వాలిస్ స్పెసిఫికేషన్ లేదా 330 కోసం వేరియబుల్ జ్యామితి సమర్పణను ఉత్పత్తి చేసే అవకాశాలను పరిశీలించాడు, ఇది సూపర్సోనిక్ వైమానిక నిఘా/వ్యూహాత్మక బాంబర్ విమానం కోరింది. అతను కదిలే డెల్టా వింగ్ కాన్ఫిగరేషన్‌తో కూడిన పెద్ద విమానం గురించి గర్భం ధరించాడు, దీనిని అతను స్వాలో అని పిలిచాడు; ఏదేమైనా, స్కేల్ మోడల్ ఫ్రీ-ఫ్లైట్ టెస్టింగ్ ద్వారా మిడ్‌వే, వాలిస్ అధ్యయనాలకు నిధులను జూన్ 1957 లో మంత్రిత్వ శాఖ ముగిసింది. [5] 1958 లో, నాటో యొక్క పరస్పర ఆయుధాల అభివృద్ధి కార్యక్రమం సహకారంతో పరిశోధన ప్రయత్నాలు పునరుద్ధరించబడ్డాయి, దీని కింద వాలిస్ యొక్క వేరియబుల్ జ్యామితి పరిశోధన అంతా అమెరికన్లతో పంచుకోబడింది. [5] 1950 ల మధ్యలో, బహుళ బ్రిటిష్ విమాన తయారీదారులు వారి ప్రతిపాదిత డిజైన్లలో వేరియబుల్ జ్యామితి రెక్కలను ఉపయోగించుకోవటానికి ఆసక్తి చూపారు. ఈ రూపకల్పన అధ్యయనాలలో ఫోలాండ్ గ్నాట్ యొక్క సూపర్సోనిక్-సామర్థ్యం గల ఉత్పన్నం, మరియు అణు-సాయుధ సూపర్సోనిక్ బాంబర్ కోసం స్పెసిఫికేషన్ GOR.339 కు ప్రతిస్పందనగా పెద్ద వేరియబుల్ జ్యామితి సమ్మె విమానాలను రూపొందించడానికి విక్కర్స్ చేసిన ప్రాజెక్ట్. [6] 1964 లో, కొత్తగా ఏర్పడిన బ్రిటిష్ ఎయిర్క్రాఫ్ట్ కార్పొరేషన్ (BAC) కొత్త డిజైన్ అధ్యయనంలో విక్కర్ యొక్క మునుపటి వేరియబుల్ జ్యామితి పనిని ఉపయోగించాలని నిర్ణయించింది, దీనిని BAC P.45 గా నియమించారు. సంభావిత BAC P.45 ను 'లైట్ స్ట్రైక్' మరియు రెండు-సీట్ల ట్రైనర్ విమానంగా రూపొందించారు. [7] [9] రాయల్ ఎయిర్ ఫోర్స్ (RAF) ను సన్నద్ధం చేయడానికి ఈ రకం కోసం ప్రభుత్వ ఉత్తర్వు కోసం BAC గట్టిగా వాదించాడు, అనేక ప్రతిపాదిత డిజైన్లలో ఒకటి [N 2], ఇవి అనేక ప్రత్యర్థి తయారీదారులు స్పెసిఫికేషన్‌ను కలవడానికి AST.362 ను తీర్చడానికి ఉత్పత్తి చేశారు. [11] ఏవియేషన్ రచయిత డెరెక్ వుడ్ ప్రకారం, p.45 డిజైన్ "స్పష్టమైన ఎంపిక" అయినప్పటికీ, డిఫెన్స్ స్టేట్ సెక్రటరీ డెనిస్ హీలే దీనిని BR ఆధారంగా ఉమ్మడి-ప్రాజెక్ట్ కోసం ఫ్రాన్స్‌తో సహకార ఏర్పాట్ చేయడానికి అనుకూలంగా కొట్టిపారేశారు. 121 ECAT ("టాక్టికల్ కంబాట్ సపోర్ట్ ట్రైనర్") బదులుగా బ్రెగెట్ ఏవియేషన్ నుండి ప్రతిపాదన. [12] 1964 నుండి, ఫ్రాన్స్ మరియు గ్రేట్ బ్రిటన్ ప్రభుత్వాల మధ్య లోతైన చర్చల శ్రేణి జరిగింది; ఇవి ఆంగ్లో-ఫ్రెంచ్ కమిటీ యొక్క కో-చైర్మన్ హాండెల్ డేవిస్ మరియు అతని ఫ్రెంచ్ ప్రతిరూపం, ఇంగ్నియూర్ జనరల్ లెకామస్ మధ్య చర్చలు, రెండు కొత్త సైనిక పోరాట విమానాలను ప్రారంభించటానికి చర్చలు జరిపాయి. ఈ చర్చల ప్రకారం, కొత్త లైట్ గ్రౌండ్-అటాక్/ట్రైనర్‌ను అభివృద్ధి చేయడంలో ఫ్రెంచ్ వారు ప్రధాన పాత్ర పోషిస్తారు, అయితే బ్రిటిష్ వారు మల్టీరోల్ ఫైటర్ ప్రాజెక్ట్ నాయకత్వాన్ని చేపట్టాలి. [13] ఈ మల్టీరోల్ విమానం వేరియబుల్ జ్యామితి విభాగాన్ని కలిగి ఉంటుంది మరియు సమ్మె, నిఘా మరియు ఇంటర్‌సెప్టర్ పాత్రలను నిర్వహించడానికి ఉద్దేశించబడింది. [14] 17 మే 1965 న, BAC TSR-2 సూపర్సోనిక్ బాంబర్ రద్దు చేసిన తరువాత, బ్రిటిష్ మరియు ఫ్రెంచ్ ప్రభుత్వాలు రెండు ఉమ్మడి ప్రాజెక్టులను కవర్ చేయడానికి ఒక జత ఒప్పందాలపై సంతకం చేస్తున్నట్లు ప్రకటించాయి; ఒకటి బ్రెగెట్ ఏవియేషన్ BR.121 ECAT ("టాక్టికల్ కంబాట్ సపోర్ట్ ట్రైనర్") ప్రతిపాదన ఆధారంగా; ఇది తరువాత AFVG ను రద్దు చేసిన తరువాత, సెపెకాట్ జాగ్వార్ గా మారింది. మరొకటి AFVG, ఫ్రెంచ్ నేవీ (Aénavale) కోసం పెద్ద, వేరియబుల్ జ్యామితి క్యారియర్-సామర్థ్యం గల ఫైటర్ విమానం, అలాగే రాఫ్ కోసం ఇంటర్‌సెప్టర్, వ్యూహాత్మక సమ్మె మరియు నిఘా పాత్రలను నెరవేర్చడం. [15] [14] AFVG ని BAC మరియు DASCAULT ఏవియేషన్ సంయుక్తంగా అభివృద్ధి చేయవలసి ఉంది, ఈ విమానానికి శక్తినిచ్చే ప్రతిపాదిత M45G టర్బోఫాన్ ఇంజిన్‌ను స్నెక్మా మరియు బ్రిస్టల్ సిడ్లీ సంయుక్తంగా అభివృద్ధి చేయవలసి ఉంది. [14] 13 జూలై 1965 న, AFVG సాధ్యాసాధ్య అధ్యయనం యొక్క స్పెసిఫికేషన్ జారీ చేయబడింది; వుడ్ ప్రకారం, ఈ స్పెసిఫికేషన్ రద్దు చేయబడిన TSR-2 కోసం ఇంతకుముందు జారీ చేసిన వాటిని చాలా పోలి ఉంది. [16] AFVG సముద్ర మట్టంలో గరిష్టంగా 800 నాట్ల వేగం మరియు ఎత్తులో మాక్ 2.5 కలిగి ఉంటుంది. ఇది కనీస పోరాట వ్యాసార్థం 500 నాటికల్ మైళ్ళు, 3,500 నాటికల్ మైళ్ళ ఫెర్రీ పరిధి, మరియు ముక్కు-మౌంటెడ్ వాయుమార్గాన అంతరాయ రాడార్ కనీసం 60 నాటికల్ మైళ్ళు కలిగి ఉండాలి. [17] అర్మేమెంట్ ఒక జత 30 మిమీ ఫిరంగులు మరియు 2,500 ఎల్బి వ్యూహాత్మక అణు బాంబును చేర్చడం. ఏదేమైనా, స్పెసిఫికేషన్ పదేపదే తిరిగి డ్రాఫ్ట్ చేయబడుతుంది, వైట్హాల్ చేత ఖచ్చితమైన స్పెసిఫికేషన్ జారీ చేయడం ఏప్రిల్ 1966 వరకు ఆలస్యం అయింది. [17] వుడ్ స్పెసిఫికేషన్ యొక్క అవసరాలు బహుళ-పాత్రల స్వభావం కలిగి ఉన్నాయని గమనించాడు, ఇది హాకర్ సిడ్లీ పి .1154 మరియు వేరియబుల్ జ్యామితి జనరల్ డైనమిక్స్ ఎఫ్ -111 కె. [17] RAF సేవలో, AFVG మొదట ఫైటర్‌గా పనిచేయడానికి ఉద్దేశించబడింది, ఇంటర్‌సెప్టర్ మిషన్‌లో ఇంగ్లీష్ ఎలక్ట్రిక్ మెరుపులను భర్తీ చేస్తుంది. [18] ఏదేమైనా, అమెరికన్-నిర్మించిన మెక్‌డోనెల్ డగ్లస్ డగ్లస్ ఎఫ్ -4 ఫాంటమ్ II ను సేకరించే నిర్ణయం తరువాత, ఆంగ్ల ఎలక్ట్రిక్ కాన్బెర్రా మరియు వి బాంబర్ స్థానంలో ఎఫ్ -111 కె [ఎన్ 3] స్ట్రైక్ విమానాలను భర్తీ చేయడానికి 1966 లో AFVG యొక్క role హించిన పాత్ర మార్చబడింది శక్తి. [19] AFVG ఒక జత స్నెక్మా/బ్రిస్టల్ సిడ్లీ M45G టర్బోఫాన్స్ చేత శక్తినివ్వవలసి ఉంది, వీటిని మిరాజ్-స్టైల్ హాఫ్-షాక్ కోన్ ఇన్లెట్స్ ద్వారా ఇవ్వాలి. [20] ఇంజిన్ డెవలప్‌మెంట్ ప్రోగ్రామ్ కాంట్రాక్టును ఫ్రెంచ్ ప్రభుత్వం ఒక స్నెక్మా/బ్రిస్టల్ సిడ్లీ జాయింట్ వెంచర్ కంపెనీకి ఫ్రాన్స్‌లో నమోదు చేసుకోవాలి. [19] తన పేరును కలిగి ఉన్న సంస్థ యొక్క స్థాపకుడు మార్సెల్ డసాల్ట్ కోసం, ఒక ప్రధాన ప్రాజెక్టుపై నాయకత్వాన్ని వదులుకోవడం, ముఖ్యంగా AFVG లో BAC కి సబార్డినేట్ స్థానాన్ని తీసుకోవడం తన సంస్థ యొక్క దీర్ఘకాలిక లక్ష్యాన్ని పోరాట విమానాలకు ప్రధాన ప్రైమ్ కాంట్రాక్టర్‌గా మారాలని బెదిరించాడు. [21 ] ఒక సంవత్సరం కన్నా తక్కువ తరువాత, డసాల్ట్ AFVG ప్రాజెక్టును చురుకుగా అణగదొక్కడం ప్రారంభించింది, రెండు పోటీ "అంతర్గత" ప్రాజెక్టులలో పనిచేస్తోంది: వేరియబుల్ జ్యామితి మిరాజ్ జి మరియు మిరాజ్ ఎఫ్ 1. [22] వుడ్ ప్రకారం, డసాల్ట్ మరియు ఫ్రెంచ్ వైమానిక దళం రెండూ ఈ ప్రాజెక్ట్ కోసం మొదటి నుండి ఈ ప్రాజెక్ట్ కోసం అనాలోచితంగా ఉన్నాయి, తరువాతిది దాని స్వంత స్వదేశీ విమానాలను వేరియబుల్ జ్యామితి రెక్కలతో కలిగి ఉండాలనుకుంటుంది, అయితే మాజీ AFVG దేనినీ నిర్ధారించలేదని నిర్ధారించారు దాని భవిష్యత్ పరికరాల ప్రణాళికలు. [14] సమర్థవంతమైన సమ్మె విమానాన్ని సేకరించడానికి బ్రిటన్ ఆసక్తిగా ఉండగా, ఫ్రాన్స్ ఇంటర్‌సెప్టర్ విమానాలను కోరుకుంది; ఈ విభిన్న పాత్రల యొక్క ఈ రూపకల్పన అవసరాలు ఒకదానికొకటి ప్రత్యేకమైనవి. [17] RAF మరియు రాయల్ నేవీ రెండింటి యొక్క అవసరాలను ఒకే ఎయిర్‌ఫ్రేమ్‌లోకి సరిపోయే ప్రయత్నం చేయడం ద్వారా AFVG కోసం బ్రిటన్ యొక్క సొంత అవసరాలు సంక్లిష్టంగా ఉన్నాయి. [17] దీని ప్రకారం, సహేతుకమైన పనితీరును సాధించడానికి ఒక కొలతగా, AFVG యొక్క రెండు వేర్వేరు సంస్కరణలను పిలిచారు, ఒకటి పల్స్-డాప్లర్ రాడార్ మరియు ఎయిర్-టు-ఎయిర్ క్షిపణులతో కూడిన మల్టీరోల్ ఫైటర్, మరొకటి పరిమిత సామర్ధ్యంతో సమ్మె విమానం. ఒక ఇంటర్‌సెప్టర్‌గా. [17] జూన్ 1967 లో, ఫ్రెంచ్ ప్రభుత్వం AFVG ప్రాజెక్టు నుండి తమను ఉపసంహరించుకున్నట్లు ప్రకటించింది. [N 4] [24] AFVG కార్యక్రమం పతనం బ్రిటిష్ స్థానానికి చాలా ఇబ్బంది కలిగించింది, ఆంగ్లో-ఫ్రెంచ్ మీద ఆధారపడటానికి ఎంచుకుంది. దాని అవసరాలను తీర్చడానికి సహకారం మరియు అమెరికన్ రూపొందించిన పోరాట విమానాలు. [25] ఏకపక్ష ఫ్రెంచ్ నిర్ణయం హౌస్ ఆఫ్ కామన్స్ లో అభిశంసన చర్చకు దారితీసింది. [26] [24] 1967 నాటికి, ఫ్రెంచ్ వారు AFVG కార్యక్రమం నుండి వైదొలగాలని నిర్ణయించుకున్నప్పుడు, వైమానిక మంత్రిత్వ శాఖ F-111K ను రద్దు చేసే ఆసన్నమైన అవకాశాల నుండి వచ్చిన గందరగోళాన్ని ఎదుర్కొంది, నవంబర్ 1967 లో తీసుకున్న నిర్ణయం 20 మార్చి 1968 న లాంఛనప్రాయంగా ఉంది. . [[ ఈ సమయం వరకు, బ్రిటన్ ఆచరణాత్మకంగా లాభాల కోసం AFVG కోసం million 2.5 మిలియన్లు ఖర్చు చేసింది. [25] బహుళ ప్రాజెక్టులు ఒకదాన్ని అభివృద్ధి చేయడంలో లేదా సేకరించడంలో విఫలమైన తరువాత కొత్త సమ్మె విమానం లేకపోవడాన్ని సమర్థించడానికి, హీలే ఒకరి అవసరాన్ని పూర్తిగా విడదీయాలని నిర్ణయించుకున్నాడు. ఈ విధంగా, 1968 లో, ప్రధాన మంత్రి హెరాల్డ్ విల్సన్, హీలీతో కలిసి, 1971 లో సౌత్ ఈస్ట్ ఆసియాలోని ప్రధాన సైనిక స్థావరాల నుండి బ్రిటిష్ దళాలను ఉపసంహరించుకుంటామని ప్రకటించారు, పెర్షియన్ గల్ఫ్ మరియు మాల్దీవులను సమిష్టిగా 'తూర్పు సూయెజ్' అని పిలుస్తారు. [28] [[[ RAF యొక్క సమ్మె పాత్రను నెరవేర్చడానికి ఎటువంటి కార్యాచరణ విమానాలు అందుబాటులో లేనందున, BAC AFVG డిజైన్‌ను పునరుద్ధరించాలని నిర్ణయించుకుంది, ఇకపై అవసరం లేని క్యారియర్ సామర్థ్యాలను తొలగించి, పెద్ద, మరింత సమ్మె-ఆధారిత వేరియబుల్ జ్యామితి విమానం. యునైటెడ్ కింగ్‌డమ్ వేరియబుల్ జ్యామితి (యుకెవిజి) విమానంగా తిరిగి నియమించబడిన ఈ ప్రాజెక్టుకు మద్దతు ఇవ్వడానికి BAC కి హోల్డింగ్ కాంట్రాక్టులు జారీ చేయబడ్డాయి. [27] [25] నవంబర్ 1967 లో, BAC UKVG ప్రతిపాదనపై బ్రోచర్ జారీ చేసింది; బహుళ వేర్వేరు ఇంజిన్ల వాడకాన్ని కవర్ చేయడానికి వివిధ ప్రతిపాదనలు జారీ చేయబడతాయి. ప్రదర్శనకారుడు విమానం యొక్క శీఘ్ర ఉత్పత్తి, ఒక జత రోల్స్ రాయిస్/మ్యాన్ టర్బో RB153 టర్బోఫాన్ ఇంజిన్లతో నడిచేది, కూడా రూపొందించబడింది. [25] యునైటెడ్ కింగ్‌డమ్‌లో యుకెవిజికి నిధులు తీవ్రంగా పరిమితం చేయబడినప్పటికీ, బ్రిటిష్ ప్రభుత్వం నాటో సభ్యుల రూపంలో భాగస్వాములను కనుగొనటానికి ప్రయత్నించింది, [n 5] ఒక సాధారణ నాటో సమ్మె విమానాలను సృష్టించడం మరియు సేకరించడం అనే భావనను ప్రోత్సహిస్తుంది. జూలై 1968 లో, బ్రిటన్, పశ్చిమ జర్మనీ, ఇటలీ, నెదర్లాండ్స్, బెల్జియం మరియు కెనడా మధ్య అవగాహన యొక్క జ్ఞాపకం సంతకం చేయబడింది. [30] ఈ మెమోరాండం చివరికి బహుళజాతి మల్టీ-రోల్ కంబాట్ ఎయిర్‌క్రాఫ్ట్ (MRCA) ప్రాజెక్ట్ను ప్రారంభించటానికి దారితీసింది, ఇది పనావియా సుడిగాలి రూపంలో సమ్మె, నిఘా మరియు అంతరాయ కార్యకలాపాలను నిర్వహించడానికి వేరియబుల్ జ్యామితి విమానాన్ని ఉత్పత్తి చేసింది. [13 నటించు ప్రాజెక్ట్ నుండి డేటా రద్దు చేయబడింది: బ్రిటన్ యొక్క వదిలివేసిన విమాన ప్రాజెక్టుల విపత్తు [32] సాధారణ లక్షణాలు పనితీరు ఆయుధాల ఏవియానిక్స్ గ్రౌండ్ మ్యాపింగ్ రాడార్ + టిఎఫ్ఆర్</v>
      </c>
      <c r="E107" s="1" t="s">
        <v>1607</v>
      </c>
      <c r="F107" s="1" t="str">
        <f>IFERROR(__xludf.DUMMYFUNCTION("GOOGLETRANSLATE(E:E, ""en"", ""te"")"),"ఇంటర్‌సెప్టర్ విమానం, వ్యూహాత్మక సమ్మె, నిఘా విమానం")</f>
        <v>ఇంటర్‌సెప్టర్ విమానం, వ్యూహాత్మక సమ్మె, నిఘా విమానం</v>
      </c>
      <c r="G107" s="1" t="s">
        <v>1608</v>
      </c>
      <c r="H107" s="1" t="s">
        <v>1609</v>
      </c>
      <c r="I107" s="1" t="str">
        <f>IFERROR(__xludf.DUMMYFUNCTION("GOOGLETRANSLATE(H:H, ""en"", ""te"")"),"యునైటెడ్ కింగ్‌డమ్/ఫ్రాన్స్")</f>
        <v>యునైటెడ్ కింగ్‌డమ్/ఫ్రాన్స్</v>
      </c>
      <c r="K107" s="1" t="s">
        <v>1610</v>
      </c>
      <c r="L107" s="2" t="str">
        <f>IFERROR(__xludf.DUMMYFUNCTION("GOOGLETRANSLATE(K:K, ""en"", ""te"")"),"బ్రిటిష్ ఎయిర్క్రాఫ్ట్ కార్పొరేషన్/డసాల్ట్ ఏవియేషన్")</f>
        <v>బ్రిటిష్ ఎయిర్క్రాఫ్ట్ కార్పొరేషన్/డసాల్ట్ ఏవియేషన్</v>
      </c>
      <c r="M107" s="1" t="s">
        <v>1611</v>
      </c>
      <c r="N107" s="1" t="s">
        <v>728</v>
      </c>
      <c r="O107" s="1" t="str">
        <f>IFERROR(__xludf.DUMMYFUNCTION("GOOGLETRANSLATE(N:N, ""en"", ""te"")"),"రద్దు")</f>
        <v>రద్దు</v>
      </c>
      <c r="AE107" s="1" t="s">
        <v>566</v>
      </c>
      <c r="AL107" s="1" t="s">
        <v>1612</v>
      </c>
    </row>
    <row r="108">
      <c r="A108" s="1" t="s">
        <v>1613</v>
      </c>
      <c r="B108" s="1" t="str">
        <f>IFERROR(__xludf.DUMMYFUNCTION("GOOGLETRANSLATE(A:A, ""en"", ""te"")"),"ఫ్రిగేట్ ఎకోజెట్")</f>
        <v>ఫ్రిగేట్ ఎకోజెట్</v>
      </c>
      <c r="C108" s="1" t="s">
        <v>1614</v>
      </c>
      <c r="D108" s="1" t="str">
        <f>IFERROR(__xludf.DUMMYFUNCTION("GOOGLETRANSLATE(C:C, ""en"", ""te"")"),"ఫ్రిగేట్ ఎకోజెట్ (రష్యన్ భాషలో: ф తేలు, ఫ్రీగాట్ ఎకోడ్జెట్ అని లిప్యంతరీకరించబడింది), కొత్త ఏరోడైనమిక్ మరియు డిజైన్ కాన్ఫిగరేషన్లను ఉపయోగించి కొత్త వైడ్-బాడీ మీడియం-హాల్ సివిల్ ఎయిర్క్రాఫ్ట్ అభివృద్ధికి ఒక కార్యక్రమం. [1] ఈ ప్రాజెక్ట్ 1991 లో ట్విన్జెట్ ట"&amp;"ియు -304 గా ప్రారంభమైంది, వాలెంటిన్ క్లిమోవ్ (అప్పటి టుపోలెవ్ డిజైన్ బ్యూరో యొక్క చీఫ్ డిజైనర్) నాయకత్వంలో, మొదట్లో 500 మంది ప్రయాణికులను తీసుకువెళతారని అంచనా. 2004 నుండి ఈ ప్రాజెక్ట్ వాలెంటిన్ క్లిమోవ్ నేతృత్వంలోని కొత్త డిజైన్ బ్యూరో చేత నిర్వహించబడింది"&amp;" మరియు వాలెంటిన్ క్లిమోవ్ కుమారుడు అలెగ్జాండర్ క్లిమోవ్ నేతృత్వంలోని టుపోలెవ్ కుమార్తె సంస్థగా స్థాపించబడింది. [2] 2017 నుండి, క్వాడ్జెట్ విమాన రూపకల్పన ఫ్రిగేట్ ఫ్రీజెట్ గా బ్రాండ్ చేయబడింది. ఫ్రిగేట్ ఎకోజెట్ ప్రోగ్రామ్ యొక్క ప్రాధమిక లక్ష్యం 2018 నాటికి"&amp;" పనిచేయడానికి ఉద్దేశించిన కొత్త వైడ్-బాడీ మీడియం-హాల్ విమానాల అభివృద్ధి. [3] కొత్త వైడ్-బాడీ విమానం ఓవల్ ఫ్యూజ్‌లేజ్ కాన్ఫిగరేషన్‌ను ఉపయోగిస్తుంది. ఎంచుకున్న రూపం మూడు క్యాబిన్లలో 300–350 మంది ప్రయాణీకులతో, మూడు ప్రధాన నడవలు, 500 మిమీ (20 అంగుళాలు) వెడల్ప"&amp;"ు మరియు 810 మిమీ (32 అంగుళాలు) కన్నా తక్కువ సీట్ల మధ్య ఖాళీలను కలిగి ఉన్న విమానానికి కనీస కొలతలు నిర్ధారిస్తుంది. ఆల్-ఎకానమీ లేఅవుట్లో, సీట్ల సంఖ్యను 400 కు పెంచవచ్చు. ఈ విమానం 302 మంది ప్రయాణీకులను ప్రాథమిక మూడు-తరగతి లేఅవుట్ (బిజినెస్ క్లాస్, ప్రీమియం ఎ"&amp;"కానమీ మరియు ఎకానమీ) లో ఉంచగలదు. [4] 2015 లో, సంస్థ మరియు ప్రాజెక్ట్ ఇంజనీర్లను మాస్కో నుండి రష్యా కంటే EASA నుండి విమాన ధృవీకరణ పత్రాన్ని కోరడానికి మాస్కో నుండి EU యూరోపియన్ దేశానికి మార్చబడ్డారు, ఎందుకంటే ఇది ధృవీకరణ అధికారాన్ని నిర్ణయించే హోస్ట్ దేశం కా"&amp;"రణంగా ఇది పొదుపును ఇచ్చింది. రష్యన్ ప్రమాణాలు తక్కువగా ఉన్నాయి మరియు ఇంకా EASA/FAA తో సామరస్యంగా లేవు మరియు అది రష్యాలో ఉంటే, యూరోపియన్ విమాన ధృవీకరణను పొందడంతో పాటు మరింత కఠినమైన డిజైన్ ప్రమాణాలను తీర్చడానికి EASA కోసం కనీసం 30% క్వాలిఫైయింగ్ విమానాలను ప"&amp;"ునరావృతం చేయాల్సి ఉంటుంది. సంస్థ EASA దేశంలో ఉంటే, అది ఒకే పరీక్షా కార్యక్రమం నుండి EASA మరియు FAA ద్వంద్వ ధృవీకరణ పత్రాన్ని పొందవచ్చు. ఫ్రిగేట్ ఎకోజెట్ కోసం మార్కెటింగ్ సేల్స్ డైరెక్టర్ సెర్గీ గ్రాచెవ్, 'ఇక్కడ ఈ రకమైన విమానాలను అభివృద్ధి చేయడం మరియు సృష్"&amp;"టించడం అసాధ్యం' అని పేర్కొన్నారు. కంపెనీ ఇప్పటికీ 2018 లేదా 2019 లో తన మొదటి విమానాన్ని నిర్వహించాలని మరియు 2021 లో సేవలోకి ప్రవేశించాలని భావిస్తుంది. [5] ఐరోపాకు వెళ్ళేటప్పుడు పైలట్ శిక్షణ ఖర్చులను తగ్గించడానికి కంపెనీ కాక్‌పిట్ డిజైన్‌ను పోటీదారుతో సమన్"&amp;"వయం చేయడానికి కూడా ప్రయత్నిస్తుంది. జనవరి 2016 లో, జర్మనీలో థైసెన్క్రప్ భాగస్వామ్యంతో విండ్ టన్నెల్ ట్రయల్స్ పూర్తి చేసినట్లు మరియు మొదటి 15 (అనధికారికంగా మొదటి 45) విమానాలను EU లో తయారు చేసి ధృవీకరించబడుతుందని, ఫిబ్రవరి 2016 న ప్రకటించాల్సిన ప్రదేశంలో EU"&amp;" లో ధృవీకరించబడుతుందని కంపెనీ ప్రకటించింది. చిన్న జాబితాలో జర్మనీ, చెక్ రిపబ్లిక్ మరియు స్లోవేకియా ఉన్నాయి. పనితీరు లక్షణాలు ఆల్-ఎకానమీ సీటింగ్, MTOW 123T లో 352–400 మంది ప్రయాణీకుల వద్ద కూడా స్తంభింపజేయబడ్డాయి, 2340 కిలోమీటర్ల పరిధి 33.4T మరియు 4500 కిమీ"&amp;" 24.7T తో 4500 కిమీ, కనీస రన్‌వే పొడవు 2375 మీ మరియు మాక్ 0.8 వేగం . [[ ఉత్పత్తి ప్రదేశంపై ఎటువంటి ప్రకటన లేదు. ఆగష్టు 2017 లో, ప్రారంభంలో 177–226 kN (40,000–51,000 LBF) PD-18R లేదా PS-90A20 చేత శక్తితో ఉంది, కాని ఆధునిక ఇంజన్లు లేకపోవడం, ట్విన్జెట్ ఆధుని"&amp;"క 12–14 TF (26,000– ద్వారా ఆధారితమైన ఫ్రీజెట్ నాలుగు ఇంజిన్ డిజైన్‌గా సవరించబడింది 31,000 ఎల్బిఎఫ్) సింగిల్-నస్ల్ మార్కెట్ కోసం ప్రవేశపెట్టిన ఇంజన్లు: ఇర్కుట్ MC-21 యొక్క ఏవియాడ్విగాటెల్ PD-14, ప్రాట్ &amp; విట్నీ PW1100G లేదా CFM ఇంటర్నేషనల్ లీప్ A320NEO మరి"&amp;"యు B737 మాక్స్, ఏరోడైనమిక్స్ మరియు బరువును కొద్దిగా కోల్పోవడం మరియు పెంచడం అన్ని ఎకానమీ 10-అబ్రిస్ట్ ట్రిపుల్-యాస్లె 244 మంది ప్రయాణీకులతో; ఇది 48.53 మీ (159.2 అడుగులు) రెక్కలు మరియు ఎనిమిది అత్యవసర నిష్క్రమణలతో 49.65 మీ (162.9 అడుగులు) పొడవును కలిగి ఉంది"&amp;". [7] అభివృద్ధిలో కొత్త లేదా నవీకరించబడిన నమూనాలు లేని మరియు దాని స్వంత అభివృద్ధికి స్పాన్సర్ చేయడానికి నిధులు మరియు సమయం (సుమారు 3–5 సంవత్సరాల అభివృద్ధి) లేని కొత్త లేదా నవీకరించబడిన నమూనాలు లేకుండా కావలసిన విద్యుత్ తరగతిలో మార్కెట్లో ప్రస్తుత ఇంజిన్ల వయ"&amp;"స్సుపై అసంతృప్తిగా ఉందని కంపెనీ తెలిపింది. . [[")</f>
        <v>ఫ్రిగేట్ ఎకోజెట్ (రష్యన్ భాషలో: ф తేలు, ఫ్రీగాట్ ఎకోడ్జెట్ అని లిప్యంతరీకరించబడింది), కొత్త ఏరోడైనమిక్ మరియు డిజైన్ కాన్ఫిగరేషన్లను ఉపయోగించి కొత్త వైడ్-బాడీ మీడియం-హాల్ సివిల్ ఎయిర్క్రాఫ్ట్ అభివృద్ధికి ఒక కార్యక్రమం. [1] ఈ ప్రాజెక్ట్ 1991 లో ట్విన్జెట్ టియు -304 గా ప్రారంభమైంది, వాలెంటిన్ క్లిమోవ్ (అప్పటి టుపోలెవ్ డిజైన్ బ్యూరో యొక్క చీఫ్ డిజైనర్) నాయకత్వంలో, మొదట్లో 500 మంది ప్రయాణికులను తీసుకువెళతారని అంచనా. 2004 నుండి ఈ ప్రాజెక్ట్ వాలెంటిన్ క్లిమోవ్ నేతృత్వంలోని కొత్త డిజైన్ బ్యూరో చేత నిర్వహించబడింది మరియు వాలెంటిన్ క్లిమోవ్ కుమారుడు అలెగ్జాండర్ క్లిమోవ్ నేతృత్వంలోని టుపోలెవ్ కుమార్తె సంస్థగా స్థాపించబడింది. [2] 2017 నుండి, క్వాడ్జెట్ విమాన రూపకల్పన ఫ్రిగేట్ ఫ్రీజెట్ గా బ్రాండ్ చేయబడింది. ఫ్రిగేట్ ఎకోజెట్ ప్రోగ్రామ్ యొక్క ప్రాధమిక లక్ష్యం 2018 నాటికి పనిచేయడానికి ఉద్దేశించిన కొత్త వైడ్-బాడీ మీడియం-హాల్ విమానాల అభివృద్ధి. [3] కొత్త వైడ్-బాడీ విమానం ఓవల్ ఫ్యూజ్‌లేజ్ కాన్ఫిగరేషన్‌ను ఉపయోగిస్తుంది. ఎంచుకున్న రూపం మూడు క్యాబిన్లలో 300–350 మంది ప్రయాణీకులతో, మూడు ప్రధాన నడవలు, 500 మిమీ (20 అంగుళాలు) వెడల్పు మరియు 810 మిమీ (32 అంగుళాలు) కన్నా తక్కువ సీట్ల మధ్య ఖాళీలను కలిగి ఉన్న విమానానికి కనీస కొలతలు నిర్ధారిస్తుంది. ఆల్-ఎకానమీ లేఅవుట్లో, సీట్ల సంఖ్యను 400 కు పెంచవచ్చు. ఈ విమానం 302 మంది ప్రయాణీకులను ప్రాథమిక మూడు-తరగతి లేఅవుట్ (బిజినెస్ క్లాస్, ప్రీమియం ఎకానమీ మరియు ఎకానమీ) లో ఉంచగలదు. [4] 2015 లో, సంస్థ మరియు ప్రాజెక్ట్ ఇంజనీర్లను మాస్కో నుండి రష్యా కంటే EASA నుండి విమాన ధృవీకరణ పత్రాన్ని కోరడానికి మాస్కో నుండి EU యూరోపియన్ దేశానికి మార్చబడ్డారు, ఎందుకంటే ఇది ధృవీకరణ అధికారాన్ని నిర్ణయించే హోస్ట్ దేశం కారణంగా ఇది పొదుపును ఇచ్చింది. రష్యన్ ప్రమాణాలు తక్కువగా ఉన్నాయి మరియు ఇంకా EASA/FAA తో సామరస్యంగా లేవు మరియు అది రష్యాలో ఉంటే, యూరోపియన్ విమాన ధృవీకరణను పొందడంతో పాటు మరింత కఠినమైన డిజైన్ ప్రమాణాలను తీర్చడానికి EASA కోసం కనీసం 30% క్వాలిఫైయింగ్ విమానాలను పునరావృతం చేయాల్సి ఉంటుంది. సంస్థ EASA దేశంలో ఉంటే, అది ఒకే పరీక్షా కార్యక్రమం నుండి EASA మరియు FAA ద్వంద్వ ధృవీకరణ పత్రాన్ని పొందవచ్చు. ఫ్రిగేట్ ఎకోజెట్ కోసం మార్కెటింగ్ సేల్స్ డైరెక్టర్ సెర్గీ గ్రాచెవ్, 'ఇక్కడ ఈ రకమైన విమానాలను అభివృద్ధి చేయడం మరియు సృష్టించడం అసాధ్యం' అని పేర్కొన్నారు. కంపెనీ ఇప్పటికీ 2018 లేదా 2019 లో తన మొదటి విమానాన్ని నిర్వహించాలని మరియు 2021 లో సేవలోకి ప్రవేశించాలని భావిస్తుంది. [5] ఐరోపాకు వెళ్ళేటప్పుడు పైలట్ శిక్షణ ఖర్చులను తగ్గించడానికి కంపెనీ కాక్‌పిట్ డిజైన్‌ను పోటీదారుతో సమన్వయం చేయడానికి కూడా ప్రయత్నిస్తుంది. జనవరి 2016 లో, జర్మనీలో థైసెన్క్రప్ భాగస్వామ్యంతో విండ్ టన్నెల్ ట్రయల్స్ పూర్తి చేసినట్లు మరియు మొదటి 15 (అనధికారికంగా మొదటి 45) విమానాలను EU లో తయారు చేసి ధృవీకరించబడుతుందని, ఫిబ్రవరి 2016 న ప్రకటించాల్సిన ప్రదేశంలో EU లో ధృవీకరించబడుతుందని కంపెనీ ప్రకటించింది. చిన్న జాబితాలో జర్మనీ, చెక్ రిపబ్లిక్ మరియు స్లోవేకియా ఉన్నాయి. పనితీరు లక్షణాలు ఆల్-ఎకానమీ సీటింగ్, MTOW 123T లో 352–400 మంది ప్రయాణీకుల వద్ద కూడా స్తంభింపజేయబడ్డాయి, 2340 కిలోమీటర్ల పరిధి 33.4T మరియు 4500 కిమీ 24.7T తో 4500 కిమీ, కనీస రన్‌వే పొడవు 2375 మీ మరియు మాక్ 0.8 వేగం . [[ ఉత్పత్తి ప్రదేశంపై ఎటువంటి ప్రకటన లేదు. ఆగష్టు 2017 లో, ప్రారంభంలో 177–226 kN (40,000–51,000 LBF) PD-18R లేదా PS-90A20 చేత శక్తితో ఉంది, కాని ఆధునిక ఇంజన్లు లేకపోవడం, ట్విన్జెట్ ఆధునిక 12–14 TF (26,000– ద్వారా ఆధారితమైన ఫ్రీజెట్ నాలుగు ఇంజిన్ డిజైన్‌గా సవరించబడింది 31,000 ఎల్బిఎఫ్) సింగిల్-నస్ల్ మార్కెట్ కోసం ప్రవేశపెట్టిన ఇంజన్లు: ఇర్కుట్ MC-21 యొక్క ఏవియాడ్విగాటెల్ PD-14, ప్రాట్ &amp; విట్నీ PW1100G లేదా CFM ఇంటర్నేషనల్ లీప్ A320NEO మరియు B737 మాక్స్, ఏరోడైనమిక్స్ మరియు బరువును కొద్దిగా కోల్పోవడం మరియు పెంచడం అన్ని ఎకానమీ 10-అబ్రిస్ట్ ట్రిపుల్-యాస్లె 244 మంది ప్రయాణీకులతో; ఇది 48.53 మీ (159.2 అడుగులు) రెక్కలు మరియు ఎనిమిది అత్యవసర నిష్క్రమణలతో 49.65 మీ (162.9 అడుగులు) పొడవును కలిగి ఉంది. [7] అభివృద్ధిలో కొత్త లేదా నవీకరించబడిన నమూనాలు లేని మరియు దాని స్వంత అభివృద్ధికి స్పాన్సర్ చేయడానికి నిధులు మరియు సమయం (సుమారు 3–5 సంవత్సరాల అభివృద్ధి) లేని కొత్త లేదా నవీకరించబడిన నమూనాలు లేకుండా కావలసిన విద్యుత్ తరగతిలో మార్కెట్లో ప్రస్తుత ఇంజిన్ల వయస్సుపై అసంతృప్తిగా ఉందని కంపెనీ తెలిపింది. . [[</v>
      </c>
      <c r="E108" s="1" t="s">
        <v>1615</v>
      </c>
      <c r="F108" s="1" t="str">
        <f>IFERROR(__xludf.DUMMYFUNCTION("GOOGLETRANSLATE(E:E, ""en"", ""te"")"),"వైడ్-బాడీ సివిల్ ఎయిర్క్రాఫ్ట్")</f>
        <v>వైడ్-బాడీ సివిల్ ఎయిర్క్రాఫ్ట్</v>
      </c>
      <c r="H108" s="1" t="s">
        <v>1616</v>
      </c>
      <c r="I108" s="1" t="str">
        <f>IFERROR(__xludf.DUMMYFUNCTION("GOOGLETRANSLATE(H:H, ""en"", ""te"")"),"రష్యన్ ఫెడరేషన్")</f>
        <v>రష్యన్ ఫెడరేషన్</v>
      </c>
      <c r="K108" s="1" t="s">
        <v>1617</v>
      </c>
      <c r="L108" s="2" t="str">
        <f>IFERROR(__xludf.DUMMYFUNCTION("GOOGLETRANSLATE(K:K, ""en"", ""te"")"),"జెఎస్సి ""రష్యన్ ఏవియా కన్సార్టియం"" కార్పొరేషన్.")</f>
        <v>జెఎస్సి "రష్యన్ ఏవియా కన్సార్టియం" కార్పొరేషన్.</v>
      </c>
      <c r="AL108" s="1" t="s">
        <v>1618</v>
      </c>
    </row>
    <row r="109">
      <c r="A109" s="1" t="s">
        <v>1619</v>
      </c>
      <c r="B109" s="1" t="str">
        <f>IFERROR(__xludf.DUMMYFUNCTION("GOOGLETRANSLATE(A:A, ""en"", ""te"")"),"మిత్సుబిషి 1 ఎంఎఫ్ 9")</f>
        <v>మిత్సుబిషి 1 ఎంఎఫ్ 9</v>
      </c>
      <c r="C109" s="1" t="s">
        <v>1620</v>
      </c>
      <c r="D109" s="1" t="str">
        <f>IFERROR(__xludf.DUMMYFUNCTION("GOOGLETRANSLATE(C:C, ""en"", ""te"")"),"మిత్సుబిషి 1 ఎంఎఫ్ 9 లేదా మిత్సుబిషి ప్రయోగాత్మక తకా-రకం క్యారియర్ ఫైటర్ 1920 లలో జపనీస్ ఫైటర్ విమానం ఒక నమూనా. ఇది ఇంపీరియల్ జపనీస్ నేవీ యొక్క విమాన వాహక నౌకల నుండి పనిచేయడానికి ఉద్దేశించిన సింగిల్-ఇంజిన్, సింగిల్-సీట్ల బిప్‌లేన్, కానీ రెండు మాత్రమే నిర్"&amp;"మించబడ్డాయి, ఈ రకాన్ని నావికాదళం తిరస్కరించింది. 1926 లో ఇంపీరియల్ జపనీస్ నావికాదళం యొక్క ప్రామాణిక క్యారియర్-ఆధారిత ఫైటర్ మిత్సుబిషి 1 ఎంఎఫ్ లేదా నేవీ టైప్ 10 క్యారియర్ టైప్ ఫైటర్, దీనిని 1921 లో మాజీ-సాప్‌లతో బ్రిటిష్ డిజైనర్ హెర్బర్ట్ స్మిత్ రూపొందించా"&amp;"రు. [1] ఆ సంవత్సరం ఏప్రిల్‌లో, టైప్ 10 కోసం భర్తీ చేయడానికి మిత్సుబిషి, ఐచి మరియు నకాజిమాలకు ఒక స్పెసిఫికేషన్ జారీ చేయబడింది, సముద్రంలో ముంచెత్తిన సందర్భంలో విమానం తేలుతూ ఉండాల్సిన అవసరం ఉంది. టైప్ 10 రూపకల్పనపై స్మిత్‌తో కలిసి పనిచేసిన జోజి హట్టోరికి కొత"&amp;"్త ఫైటర్‌ను రూపకల్పన చేసే పనిని మిత్సుబిషి ఇచ్చారు. ఫలిత విమానం, ప్రయోగాత్మక టాకా-రకం (ఫాల్కన్) ఫైటర్ లేదా 1 ఎంఎఫ్ 9, చెక్క యొక్క సింగిల్-బే బిప్‌లేన్ ఫాబ్రిక్ కవరింగ్‌తో నిర్మాణం. నేవీ యొక్క డిచింగ్ అవసరాలను తీర్చడానికి ఇది నీటితో నిండిన ఫ్యూజ్‌లేజ్ మరియ"&amp;"ు జెట్టిసన్ ఫిక్స్‌డ్ సాంప్రదాయిక ల్యాండింగ్ గేర్‌ను కలిగి ఉంది (జెట్టిసన్ చేయదగినది ఎందుకంటే స్థిర ల్యాండింగ్ గేర్‌తో ఉన్న విమానం నీటిపైకి దిగడానికి చాలా ప్రమాదకరమైనది, ఎందుకంటే వీల్స్ తాకినప్పుడు నీటి నుండి లాగడం విమానం సులభంగా తిప్పవచ్చు ఉపరితలం), మరియ"&amp;"ు మిత్సుబిషి హాయ్ వి -12 (లైసెన్స్ నిర్మించిన హిస్పానో-సుజా ఎల్బి) చేత శక్తినిస్తుంది. పైలట్ ఓపెన్ కాక్‌పిట్‌లో కూర్చున్నాడు, రెండు సమకాలీకరించిన మెషిన్ గన్‌లతో సాయుధమయ్యాడు. [2] రెండు ప్రోటోటైప్‌లలో మొదటిది జూలై 1927 లో ఎగిరింది, జపనీస్ రూపకల్పన చేసిన క్"&amp;"యారియర్-ఆధారిత ఫైటర్ ఫ్లై, సెప్టెంబరులో రెండవది. [2] ఇది విజయవంతం కాలేదు, బ్రిటిష్ గ్లోస్టర్ గేమ్‌కాక్ ఫైటర్ యొక్క సవరించిన సంస్కరణ నకాజిమా ప్రతిపాదించిన డిజైన్ నకాజిమా ఎ 1 ఎన్ గా ఉత్పత్తి కోసం ఎంపిక చేయబడింది, నకాజిమా మరియు గ్లోస్టర్ సులభంగా ముంచెత్తే అవ"&amp;"సరాన్ని విస్మరించడానికి ఎంచుకున్నప్పటికీ, తేలికపాటిని అనుమతించండి మరియు మరింత మనోహరమైన విమానం. [2] [3] జపనీస్ విమానం నుండి డేటా 1910-1941 [2] సాధారణ లక్షణాలు పనితీరు ఆయుధాలు, కాన్ఫిగరేషన్ మరియు యుగం యొక్క ఆయుధ విమానం")</f>
        <v>మిత్సుబిషి 1 ఎంఎఫ్ 9 లేదా మిత్సుబిషి ప్రయోగాత్మక తకా-రకం క్యారియర్ ఫైటర్ 1920 లలో జపనీస్ ఫైటర్ విమానం ఒక నమూనా. ఇది ఇంపీరియల్ జపనీస్ నేవీ యొక్క విమాన వాహక నౌకల నుండి పనిచేయడానికి ఉద్దేశించిన సింగిల్-ఇంజిన్, సింగిల్-సీట్ల బిప్‌లేన్, కానీ రెండు మాత్రమే నిర్మించబడ్డాయి, ఈ రకాన్ని నావికాదళం తిరస్కరించింది. 1926 లో ఇంపీరియల్ జపనీస్ నావికాదళం యొక్క ప్రామాణిక క్యారియర్-ఆధారిత ఫైటర్ మిత్సుబిషి 1 ఎంఎఫ్ లేదా నేవీ టైప్ 10 క్యారియర్ టైప్ ఫైటర్, దీనిని 1921 లో మాజీ-సాప్‌లతో బ్రిటిష్ డిజైనర్ హెర్బర్ట్ స్మిత్ రూపొందించారు. [1] ఆ సంవత్సరం ఏప్రిల్‌లో, టైప్ 10 కోసం భర్తీ చేయడానికి మిత్సుబిషి, ఐచి మరియు నకాజిమాలకు ఒక స్పెసిఫికేషన్ జారీ చేయబడింది, సముద్రంలో ముంచెత్తిన సందర్భంలో విమానం తేలుతూ ఉండాల్సిన అవసరం ఉంది. టైప్ 10 రూపకల్పనపై స్మిత్‌తో కలిసి పనిచేసిన జోజి హట్టోరికి కొత్త ఫైటర్‌ను రూపకల్పన చేసే పనిని మిత్సుబిషి ఇచ్చారు. ఫలిత విమానం, ప్రయోగాత్మక టాకా-రకం (ఫాల్కన్) ఫైటర్ లేదా 1 ఎంఎఫ్ 9, చెక్క యొక్క సింగిల్-బే బిప్‌లేన్ ఫాబ్రిక్ కవరింగ్‌తో నిర్మాణం. నేవీ యొక్క డిచింగ్ అవసరాలను తీర్చడానికి ఇది నీటితో నిండిన ఫ్యూజ్‌లేజ్ మరియు జెట్టిసన్ ఫిక్స్‌డ్ సాంప్రదాయిక ల్యాండింగ్ గేర్‌ను కలిగి ఉంది (జెట్టిసన్ చేయదగినది ఎందుకంటే స్థిర ల్యాండింగ్ గేర్‌తో ఉన్న విమానం నీటిపైకి దిగడానికి చాలా ప్రమాదకరమైనది, ఎందుకంటే వీల్స్ తాకినప్పుడు నీటి నుండి లాగడం విమానం సులభంగా తిప్పవచ్చు ఉపరితలం), మరియు మిత్సుబిషి హాయ్ వి -12 (లైసెన్స్ నిర్మించిన హిస్పానో-సుజా ఎల్బి) చేత శక్తినిస్తుంది. పైలట్ ఓపెన్ కాక్‌పిట్‌లో కూర్చున్నాడు, రెండు సమకాలీకరించిన మెషిన్ గన్‌లతో సాయుధమయ్యాడు. [2] రెండు ప్రోటోటైప్‌లలో మొదటిది జూలై 1927 లో ఎగిరింది, జపనీస్ రూపకల్పన చేసిన క్యారియర్-ఆధారిత ఫైటర్ ఫ్లై, సెప్టెంబరులో రెండవది. [2] ఇది విజయవంతం కాలేదు, బ్రిటిష్ గ్లోస్టర్ గేమ్‌కాక్ ఫైటర్ యొక్క సవరించిన సంస్కరణ నకాజిమా ప్రతిపాదించిన డిజైన్ నకాజిమా ఎ 1 ఎన్ గా ఉత్పత్తి కోసం ఎంపిక చేయబడింది, నకాజిమా మరియు గ్లోస్టర్ సులభంగా ముంచెత్తే అవసరాన్ని విస్మరించడానికి ఎంచుకున్నప్పటికీ, తేలికపాటిని అనుమతించండి మరియు మరింత మనోహరమైన విమానం. [2] [3] జపనీస్ విమానం నుండి డేటా 1910-1941 [2] సాధారణ లక్షణాలు పనితీరు ఆయుధాలు, కాన్ఫిగరేషన్ మరియు యుగం యొక్క ఆయుధ విమానం</v>
      </c>
      <c r="E109" s="1" t="s">
        <v>1621</v>
      </c>
      <c r="F109" s="1" t="str">
        <f>IFERROR(__xludf.DUMMYFUNCTION("GOOGLETRANSLATE(E:E, ""en"", ""te"")"),"క్యారియర్-ఆధారిత ఫైటర్ విమానం")</f>
        <v>క్యారియర్-ఆధారిత ఫైటర్ విమానం</v>
      </c>
      <c r="H109" s="1" t="s">
        <v>850</v>
      </c>
      <c r="I109" s="1" t="str">
        <f>IFERROR(__xludf.DUMMYFUNCTION("GOOGLETRANSLATE(H:H, ""en"", ""te"")"),"జపాన్")</f>
        <v>జపాన్</v>
      </c>
      <c r="J109" s="3" t="s">
        <v>1622</v>
      </c>
      <c r="K109" s="1" t="s">
        <v>1623</v>
      </c>
      <c r="L109" s="2" t="str">
        <f>IFERROR(__xludf.DUMMYFUNCTION("GOOGLETRANSLATE(K:K, ""en"", ""te"")"),"మిత్సుబిషి")</f>
        <v>మిత్సుబిషి</v>
      </c>
      <c r="M109" s="3" t="s">
        <v>1624</v>
      </c>
      <c r="Q109" s="1">
        <v>1.0</v>
      </c>
      <c r="R109" s="1" t="s">
        <v>1625</v>
      </c>
      <c r="S109" s="1" t="s">
        <v>1626</v>
      </c>
      <c r="U109" s="1" t="s">
        <v>1627</v>
      </c>
      <c r="X109" s="1" t="s">
        <v>1628</v>
      </c>
      <c r="Y109" s="1" t="s">
        <v>1629</v>
      </c>
      <c r="AD109" s="5">
        <v>10044.0</v>
      </c>
      <c r="AE109" s="1">
        <v>2.0</v>
      </c>
      <c r="AF109" s="1" t="s">
        <v>1630</v>
      </c>
      <c r="AG109" s="1" t="s">
        <v>1631</v>
      </c>
      <c r="AI109" s="1" t="s">
        <v>1632</v>
      </c>
      <c r="AK109" s="1" t="s">
        <v>1633</v>
      </c>
      <c r="AL109" s="1" t="s">
        <v>1634</v>
      </c>
      <c r="AQ109" s="1" t="s">
        <v>1635</v>
      </c>
      <c r="DA109" s="1" t="s">
        <v>1636</v>
      </c>
    </row>
    <row r="110">
      <c r="A110" s="1" t="s">
        <v>1637</v>
      </c>
      <c r="B110" s="1" t="str">
        <f>IFERROR(__xludf.DUMMYFUNCTION("GOOGLETRANSLATE(A:A, ""en"", ""te"")"),"A-i-r atos")</f>
        <v>A-i-r atos</v>
      </c>
      <c r="C110" s="1" t="s">
        <v>1638</v>
      </c>
      <c r="D110" s="1" t="str">
        <f>IFERROR(__xludf.DUMMYFUNCTION("GOOGLETRANSLATE(C:C, ""en"", ""te"")"),"A-I-R ATOS అనేది జర్మన్ హై-వింగ్, సింగిల్-ప్లేస్, రిజిడ్ వింగ్ హాంగ్ గ్లైడర్, ఇది ఫెలిక్స్ రూహెల్ చేత రూపొందించబడింది మరియు హాల్బ్లెచ్ యొక్క A-I-R GMBH చేత ఉత్పత్తి చేయబడింది. [1] ATOS మొదట 1998 లో పోటీ దృ wing మైన వింగ్ హాంగ్ గ్లైడర్‌గా రూపొందించబడింది, "&amp;"మరుసటి సంవత్సరం ఉత్పత్తి ప్రారంభమవుతుంది. అప్పటి నుండి డిజైన్ దాదాపు నిరంతర శుద్ధీకరణ మరియు మోడల్ సంఖ్యల వారసత్వానికి గురైంది. ఇది 2012 లో ఉత్పత్తిలో ఉంది. [1] [2] విమాన నిర్మాణం కార్బన్-ఫైబర్-రీన్ఫోర్స్డ్ పాలిమర్ నుండి తయారవుతుంది. వింగ్ కనీస కేబుల్ బ్రే"&amp;"సింగ్‌ను ఉపయోగిస్తుంది మరియు రోల్ కంట్రోల్ కోసం ఫ్లాప్‌లు మరియు స్పాయిలర్‌లను కలిగి ఉంటుంది. చాలా మోడళ్లకు కారక నిష్పత్తి 11: 1 లేదా 12: 1 పరిధిలో ఉంటుంది. సాధించిన గ్లైడ్ నిష్పత్తులు 20: 1 వరకు నడుస్తాయి. తరువాత నమూనాలు మెరుగైన స్థిరత్వం కోసం క్షితిజ సమా"&amp;"ంతర టెయిల్ ప్లేన్‌ను కలిగి ఉంటాయి. [1] [3] అటోస్ గ్లైడర్‌లు భూ రవాణా కోసం మడత కోసం రూపొందించబడ్డాయి. అతిపెద్ద మోడల్, ఉదాహరణకు, ATOS VX ను 18 నిమిషాల్లో 5.80 x 0.48 x 0.20m (19.0 x 1.57 x 0.66 అడుగులు) గా ముడుచుకోవచ్చు మరియు 47.5 కిలోల (105 ఎల్బి) బరువు ఉం"&amp;"టుంది. [3] తరువాత మోడల్ ATOS స్వీడిష్ ఏరోస్పోర్ట్ దోమ పవర్ ప్యాక్‌తో అనుకూలంగా ఉంటుంది. [3] రెక్క తరువాత అల్ట్రాలైట్ ట్రైక్, అల్ట్రాలైట్ డిజైన్ అటోస్ ట్రైక్ గా కూడా అభివృద్ధి చేయబడింది. దీనిని వెలేరియా డెడాలో స్ట్రైక్-టి ట్రైక్‌కు కూడా అమర్చవచ్చు. [4] ATO"&amp;"S సిరీస్ 1999 నుండి వరల్డ్ హాంగ్ గ్లైడింగ్ ఛాంపియన్‌షిప్‌లో దృ wing మైన వింగ్ క్లాస్‌లో ఎగురవేయబడింది మరియు అనేక సందర్భాల్లో టైటిల్స్ గెలుచుకుంది. [2] A-I-R [3] సాధారణ లక్షణాల పనితీరు నుండి డేటా")</f>
        <v>A-I-R ATOS అనేది జర్మన్ హై-వింగ్, సింగిల్-ప్లేస్, రిజిడ్ వింగ్ హాంగ్ గ్లైడర్, ఇది ఫెలిక్స్ రూహెల్ చేత రూపొందించబడింది మరియు హాల్బ్లెచ్ యొక్క A-I-R GMBH చేత ఉత్పత్తి చేయబడింది. [1] ATOS మొదట 1998 లో పోటీ దృ wing మైన వింగ్ హాంగ్ గ్లైడర్‌గా రూపొందించబడింది, మరుసటి సంవత్సరం ఉత్పత్తి ప్రారంభమవుతుంది. అప్పటి నుండి డిజైన్ దాదాపు నిరంతర శుద్ధీకరణ మరియు మోడల్ సంఖ్యల వారసత్వానికి గురైంది. ఇది 2012 లో ఉత్పత్తిలో ఉంది. [1] [2] విమాన నిర్మాణం కార్బన్-ఫైబర్-రీన్ఫోర్స్డ్ పాలిమర్ నుండి తయారవుతుంది. వింగ్ కనీస కేబుల్ బ్రేసింగ్‌ను ఉపయోగిస్తుంది మరియు రోల్ కంట్రోల్ కోసం ఫ్లాప్‌లు మరియు స్పాయిలర్‌లను కలిగి ఉంటుంది. చాలా మోడళ్లకు కారక నిష్పత్తి 11: 1 లేదా 12: 1 పరిధిలో ఉంటుంది. సాధించిన గ్లైడ్ నిష్పత్తులు 20: 1 వరకు నడుస్తాయి. తరువాత నమూనాలు మెరుగైన స్థిరత్వం కోసం క్షితిజ సమాంతర టెయిల్ ప్లేన్‌ను కలిగి ఉంటాయి. [1] [3] అటోస్ గ్లైడర్‌లు భూ రవాణా కోసం మడత కోసం రూపొందించబడ్డాయి. అతిపెద్ద మోడల్, ఉదాహరణకు, ATOS VX ను 18 నిమిషాల్లో 5.80 x 0.48 x 0.20m (19.0 x 1.57 x 0.66 అడుగులు) గా ముడుచుకోవచ్చు మరియు 47.5 కిలోల (105 ఎల్బి) బరువు ఉంటుంది. [3] తరువాత మోడల్ ATOS స్వీడిష్ ఏరోస్పోర్ట్ దోమ పవర్ ప్యాక్‌తో అనుకూలంగా ఉంటుంది. [3] రెక్క తరువాత అల్ట్రాలైట్ ట్రైక్, అల్ట్రాలైట్ డిజైన్ అటోస్ ట్రైక్ గా కూడా అభివృద్ధి చేయబడింది. దీనిని వెలేరియా డెడాలో స్ట్రైక్-టి ట్రైక్‌కు కూడా అమర్చవచ్చు. [4] ATOS సిరీస్ 1999 నుండి వరల్డ్ హాంగ్ గ్లైడింగ్ ఛాంపియన్‌షిప్‌లో దృ wing మైన వింగ్ క్లాస్‌లో ఎగురవేయబడింది మరియు అనేక సందర్భాల్లో టైటిల్స్ గెలుచుకుంది. [2] A-I-R [3] సాధారణ లక్షణాల పనితీరు నుండి డేటా</v>
      </c>
      <c r="E110" s="1" t="s">
        <v>1091</v>
      </c>
      <c r="F110" s="1" t="str">
        <f>IFERROR(__xludf.DUMMYFUNCTION("GOOGLETRANSLATE(E:E, ""en"", ""te"")"),"గ్లైడర్ హాంగ్")</f>
        <v>గ్లైడర్ హాంగ్</v>
      </c>
      <c r="G110" s="1" t="s">
        <v>1092</v>
      </c>
      <c r="H110" s="1" t="s">
        <v>1484</v>
      </c>
      <c r="I110" s="1" t="str">
        <f>IFERROR(__xludf.DUMMYFUNCTION("GOOGLETRANSLATE(H:H, ""en"", ""te"")"),"జర్మనీ")</f>
        <v>జర్మనీ</v>
      </c>
      <c r="J110" s="3" t="s">
        <v>1485</v>
      </c>
      <c r="K110" s="1" t="s">
        <v>1639</v>
      </c>
      <c r="L110" s="2" t="str">
        <f>IFERROR(__xludf.DUMMYFUNCTION("GOOGLETRANSLATE(K:K, ""en"", ""te"")"),"A-i-r gmbh")</f>
        <v>A-i-r gmbh</v>
      </c>
      <c r="M110" s="1" t="s">
        <v>1640</v>
      </c>
      <c r="N110" s="1" t="s">
        <v>584</v>
      </c>
      <c r="O110" s="1" t="str">
        <f>IFERROR(__xludf.DUMMYFUNCTION("GOOGLETRANSLATE(N:N, ""en"", ""te"")"),"ఉత్పత్తిలో")</f>
        <v>ఉత్పత్తిలో</v>
      </c>
      <c r="Q110" s="1" t="s">
        <v>162</v>
      </c>
      <c r="R110" s="1" t="s">
        <v>1641</v>
      </c>
      <c r="S110" s="1" t="s">
        <v>1642</v>
      </c>
      <c r="T110" s="1">
        <v>12.6</v>
      </c>
      <c r="V110" s="1" t="s">
        <v>1643</v>
      </c>
      <c r="W110" s="1" t="s">
        <v>177</v>
      </c>
      <c r="X110" s="1" t="s">
        <v>1644</v>
      </c>
      <c r="Y110" s="1" t="s">
        <v>1645</v>
      </c>
      <c r="AB110" s="1" t="s">
        <v>1646</v>
      </c>
      <c r="AC110" s="1">
        <v>1998.0</v>
      </c>
      <c r="AE110" s="1">
        <v>1250.0</v>
      </c>
      <c r="AM110" s="1" t="s">
        <v>330</v>
      </c>
      <c r="BM110" s="1">
        <v>20.0</v>
      </c>
      <c r="BS110" s="1" t="s">
        <v>1647</v>
      </c>
      <c r="CW110" s="1" t="s">
        <v>1648</v>
      </c>
    </row>
    <row r="111">
      <c r="A111" s="1" t="s">
        <v>1649</v>
      </c>
      <c r="B111" s="1" t="str">
        <f>IFERROR(__xludf.DUMMYFUNCTION("GOOGLETRANSLATE(A:A, ""en"", ""te"")"),"వృత్తాంతం i")</f>
        <v>వృత్తాంతం i</v>
      </c>
      <c r="C111" s="1" t="s">
        <v>1650</v>
      </c>
      <c r="D111" s="1" t="str">
        <f>IFERROR(__xludf.DUMMYFUNCTION("GOOGLETRANSLATE(C:C, ""en"", ""te"")"),"ANC I మరియు ANEC II 1920 ల బ్రిటిష్ సింగిల్-ఇంజిన్ అల్ట్రాలైట్ విమానం, యాడ్ల్స్టోన్ సర్రే వద్ద ఎయిర్ నావిగేషన్ అండ్ ఇంజనీరింగ్ కంపెనీ లిమిటెడ్ రూపొందించిన మరియు నిర్మించినవి. [1] ఒకటి ఆస్ట్రేలియాలోని బ్రిస్బేన్‌లో ప్రైవేటుగా నిర్మించబడింది. [2] W.S షాక్లె"&amp;"టన్ రూపొందించిన వృత్తాంతం I మరియు II, ప్రారంభ అల్ట్రాలైట్ విమానాలలో ఉన్నాయి; అవి చాలా చిన్నవి, చెక్క, స్ట్రట్ బ్రేస్డ్ హై-వింగ్ మోనోప్లేన్స్. [1] మొదటి అనెక్ I, రిజిస్టర్డ్ జి-ఎబిహెచ్ఆర్, మొదట 21 ఆగస్టు 1923 న బ్రూక్లాండ్స్ వద్ద ప్రయాణించింది. ఇది యునైటెడ"&amp;"్ కింగ్‌డమ్‌లో విలోమ ఇంజిన్, 696 సిసి బ్లాక్‌బర్న్ టామ్‌టిట్‌తో మొదటి విమానం. 1923 లింప్నే లైట్ ఎయిర్క్రాఫ్ట్ ట్రయల్స్, ప్రధానంగా 750 సిసి ఇంజిన్ సామర్థ్య పరిమితి, మరియు ఆగస్టు పూర్తయిన రెండు విమానాలు ఆగస్టులో పాల్గొన్నాయి. ప్రధాన బహుమతులు ఇంధన ఆర్థిక వ్య"&amp;"వస్థకు మరియు జిమ్మీ జేమ్స్ ఎగురుతున్న రెండవ కథ I G-ఎబిల్, £ 1,500 బహుమతిలో సగం ఒక గాలన్ (4.54 L) పై 87.5 మైళ్ళు (141 కిమీ) విమానాల కోసం ఇంగ్లీష్ ఎలక్ట్రిక్ రెన్తో పంచుకుంది. పెట్రోల్. తరువాత అతను దానిలో 14,000 అడుగుల (4,267 మీ) ఎత్తుకు చేరుకున్నాడు. [1] జ"&amp;"ి-ఎబిల్‌ను 1924 లో వైమానిక మంత్రిత్వ శాఖ అంచనా వేసింది, క్లుప్తంగా RAF సీరియల్ J7506 ను మోసింది. [3] తరువాత ఇది రెక్కలతో సవరించబడింది 32 అడుగుల నుండి 18 అడుగుల 4 లో (9.75 మీ నుండి 5.59 మీ) బాగా తగ్గింది మరియు 1925 లింప్న్ ఆగస్టు బ్యాంక్ హాలిడే రేసుల్లో ప్"&amp;"రవేశించడానికి 1,000 సిసి అంజాని ఇంజిన్‌తో తిరిగి ఇంజిన్ చేయబడింది, ఇది వృత్తాంతాన్ని నియమించింది. [[పట్టు కుములి నేను నిర్మించిన మరో కథ మాత్రమే. [1] దీనిని ఆస్ట్రేలియాలో జార్జ్ బీహ్మ్ నిర్మించారు, అతను జెనైర్కో బిప్‌లేన్ మరియు హార్రీ మిల్లెర్ రూపకల్పన చేశ"&amp;"ాడు. [2] డిసెంబర్ 1924 లో రిచ్‌మండ్‌లో జరిగిన తక్కువ శక్తితో కూడిన విమాన పోటీలో విమాన యజమాని E. W. బెక్మాన్, దీనిని ప్రవేశపెట్టాలని అనుకున్నాడు, కాని ఇది తరువాతి సంవత్సరం వరకు పూర్తి కాలేదు. [2] 1923 లో యునైటెడ్ కింగ్‌డమ్‌లో నిర్మించిన రెండింటిలో మొదటిది,"&amp;" జి-ఎబిహెచ్‌ఆర్ 1924 రెండవ భాగంలో ఆస్ట్రేలియాకు ఎగుమతి చేయబడింది. [2] ANEC II 1924 లింప్నే లైట్ ఎయిర్క్రాఫ్ట్ ట్రయల్స్ పోటీ కోసం నేను నిర్మించిన ANEC యొక్క విస్తరించిన వెర్షన్. సవరించిన పోటీ నిబంధనల తరువాత, ఇది రెండు సీట్ల మరియు దాని శక్తివంతమైన 1,100 సిస"&amp;"ి అంజాని విలోమ వి ట్విన్-సిలిండర్ గొప్ప సామర్థ్యాన్ని అనుమతించింది. అదనపు బరువును 5 అడుగుల 2 (1.57 మీ) స్పాన్ ఎక్స్‌టెన్షన్ కలిగి ఉండటానికి రెక్కల ప్రాంతం 28% పెరిగింది. ఇది దాదాపు అదే మొత్తంలో కూడా ఎక్కువ. [4] ఇంజిన్ సమస్యలు పోటీలో మరియు గ్రోస్వెనర్ ట్రో"&amp;"ఫీ రేసులో ఎగురుతూనే ఉన్నాయి. [3] 1927 లో, ఒక కొత్త యజమాని 32 హెచ్‌పి (24 కిలోవాట్ స్ట్రట్స్. 1931 లో మరొక కొత్త యజమాని 30 హెచ్‌పి (22 కిలోవాట్ల) ఎబిసి స్కార్పియన్ ఇంజిన్‌ను, మరొక ఫ్లాట్ జంటను అమర్చాడు మరియు బరువును తగ్గించడానికి, దానిని ఒకే సీట్‌గా తిరిగి"&amp;" పని చేశాడు. ఈ స్థితిలో ఇది 1937 లో రిచర్డ్ షటిల్వర్త్ చేత సంపాదించబడినప్పుడు. [3] "" ABC స్కార్పియన్ II 30 HP ఇంజిన్. వేసవి నెలల్లో ప్రశాంత వాతావరణంలో, అలాగే సేకరణలో భాగంగా స్టాటిక్ డిస్ప్లేలో ఇది ఇంటి ఎయిర్‌షోల వద్ద ఎగురవేయడాన్ని చూడవచ్చు. [5] జేన్ యొక్"&amp;"క ఆల్ ది వరల్డ్ విమానాల నుండి డేటా 1924, [6] 1919 నుండి బ్రిటిష్ సివిల్ ఏవియేషన్ వాల్యూమ్ 1 [1] సాధారణ లక్షణాల పనితీరు")</f>
        <v>ANC I మరియు ANEC II 1920 ల బ్రిటిష్ సింగిల్-ఇంజిన్ అల్ట్రాలైట్ విమానం, యాడ్ల్స్టోన్ సర్రే వద్ద ఎయిర్ నావిగేషన్ అండ్ ఇంజనీరింగ్ కంపెనీ లిమిటెడ్ రూపొందించిన మరియు నిర్మించినవి. [1] ఒకటి ఆస్ట్రేలియాలోని బ్రిస్బేన్‌లో ప్రైవేటుగా నిర్మించబడింది. [2] W.S షాక్లెటన్ రూపొందించిన వృత్తాంతం I మరియు II, ప్రారంభ అల్ట్రాలైట్ విమానాలలో ఉన్నాయి; అవి చాలా చిన్నవి, చెక్క, స్ట్రట్ బ్రేస్డ్ హై-వింగ్ మోనోప్లేన్స్. [1] మొదటి అనెక్ I, రిజిస్టర్డ్ జి-ఎబిహెచ్ఆర్, మొదట 21 ఆగస్టు 1923 న బ్రూక్లాండ్స్ వద్ద ప్రయాణించింది. ఇది యునైటెడ్ కింగ్‌డమ్‌లో విలోమ ఇంజిన్, 696 సిసి బ్లాక్‌బర్న్ టామ్‌టిట్‌తో మొదటి విమానం. 1923 లింప్నే లైట్ ఎయిర్క్రాఫ్ట్ ట్రయల్స్, ప్రధానంగా 750 సిసి ఇంజిన్ సామర్థ్య పరిమితి, మరియు ఆగస్టు పూర్తయిన రెండు విమానాలు ఆగస్టులో పాల్గొన్నాయి. ప్రధాన బహుమతులు ఇంధన ఆర్థిక వ్యవస్థకు మరియు జిమ్మీ జేమ్స్ ఎగురుతున్న రెండవ కథ I G-ఎబిల్, £ 1,500 బహుమతిలో సగం ఒక గాలన్ (4.54 L) పై 87.5 మైళ్ళు (141 కిమీ) విమానాల కోసం ఇంగ్లీష్ ఎలక్ట్రిక్ రెన్తో పంచుకుంది. పెట్రోల్. తరువాత అతను దానిలో 14,000 అడుగుల (4,267 మీ) ఎత్తుకు చేరుకున్నాడు. [1] జి-ఎబిల్‌ను 1924 లో వైమానిక మంత్రిత్వ శాఖ అంచనా వేసింది, క్లుప్తంగా RAF సీరియల్ J7506 ను మోసింది. [3] తరువాత ఇది రెక్కలతో సవరించబడింది 32 అడుగుల నుండి 18 అడుగుల 4 లో (9.75 మీ నుండి 5.59 మీ) బాగా తగ్గింది మరియు 1925 లింప్న్ ఆగస్టు బ్యాంక్ హాలిడే రేసుల్లో ప్రవేశించడానికి 1,000 సిసి అంజాని ఇంజిన్‌తో తిరిగి ఇంజిన్ చేయబడింది, ఇది వృత్తాంతాన్ని నియమించింది. [[పట్టు కుములి నేను నిర్మించిన మరో కథ మాత్రమే. [1] దీనిని ఆస్ట్రేలియాలో జార్జ్ బీహ్మ్ నిర్మించారు, అతను జెనైర్కో బిప్‌లేన్ మరియు హార్రీ మిల్లెర్ రూపకల్పన చేశాడు. [2] డిసెంబర్ 1924 లో రిచ్‌మండ్‌లో జరిగిన తక్కువ శక్తితో కూడిన విమాన పోటీలో విమాన యజమాని E. W. బెక్మాన్, దీనిని ప్రవేశపెట్టాలని అనుకున్నాడు, కాని ఇది తరువాతి సంవత్సరం వరకు పూర్తి కాలేదు. [2] 1923 లో యునైటెడ్ కింగ్‌డమ్‌లో నిర్మించిన రెండింటిలో మొదటిది, జి-ఎబిహెచ్‌ఆర్ 1924 రెండవ భాగంలో ఆస్ట్రేలియాకు ఎగుమతి చేయబడింది. [2] ANEC II 1924 లింప్నే లైట్ ఎయిర్క్రాఫ్ట్ ట్రయల్స్ పోటీ కోసం నేను నిర్మించిన ANEC యొక్క విస్తరించిన వెర్షన్. సవరించిన పోటీ నిబంధనల తరువాత, ఇది రెండు సీట్ల మరియు దాని శక్తివంతమైన 1,100 సిసి అంజాని విలోమ వి ట్విన్-సిలిండర్ గొప్ప సామర్థ్యాన్ని అనుమతించింది. అదనపు బరువును 5 అడుగుల 2 (1.57 మీ) స్పాన్ ఎక్స్‌టెన్షన్ కలిగి ఉండటానికి రెక్కల ప్రాంతం 28% పెరిగింది. ఇది దాదాపు అదే మొత్తంలో కూడా ఎక్కువ. [4] ఇంజిన్ సమస్యలు పోటీలో మరియు గ్రోస్వెనర్ ట్రోఫీ రేసులో ఎగురుతూనే ఉన్నాయి. [3] 1927 లో, ఒక కొత్త యజమాని 32 హెచ్‌పి (24 కిలోవాట్ స్ట్రట్స్. 1931 లో మరొక కొత్త యజమాని 30 హెచ్‌పి (22 కిలోవాట్ల) ఎబిసి స్కార్పియన్ ఇంజిన్‌ను, మరొక ఫ్లాట్ జంటను అమర్చాడు మరియు బరువును తగ్గించడానికి, దానిని ఒకే సీట్‌గా తిరిగి పని చేశాడు. ఈ స్థితిలో ఇది 1937 లో రిచర్డ్ షటిల్వర్త్ చేత సంపాదించబడినప్పుడు. [3] " ABC స్కార్పియన్ II 30 HP ఇంజిన్. వేసవి నెలల్లో ప్రశాంత వాతావరణంలో, అలాగే సేకరణలో భాగంగా స్టాటిక్ డిస్ప్లేలో ఇది ఇంటి ఎయిర్‌షోల వద్ద ఎగురవేయడాన్ని చూడవచ్చు. [5] జేన్ యొక్క ఆల్ ది వరల్డ్ విమానాల నుండి డేటా 1924, [6] 1919 నుండి బ్రిటిష్ సివిల్ ఏవియేషన్ వాల్యూమ్ 1 [1] సాధారణ లక్షణాల పనితీరు</v>
      </c>
      <c r="E111" s="1" t="s">
        <v>1651</v>
      </c>
      <c r="F111" s="1" t="str">
        <f>IFERROR(__xludf.DUMMYFUNCTION("GOOGLETRANSLATE(E:E, ""en"", ""te"")"),"అల్ట్రాలైట్ విమానం")</f>
        <v>అల్ట్రాలైట్ విమానం</v>
      </c>
      <c r="K111" s="1" t="s">
        <v>1652</v>
      </c>
      <c r="L111" s="2" t="str">
        <f>IFERROR(__xludf.DUMMYFUNCTION("GOOGLETRANSLATE(K:K, ""en"", ""te"")"),"ఎయిర్ నావిగేషన్ అండ్ ఇంజనీరింగ్ కంపెనీ లిమిటెడ్")</f>
        <v>ఎయిర్ నావిగేషన్ అండ్ ఇంజనీరింగ్ కంపెనీ లిమిటెడ్</v>
      </c>
      <c r="M111" s="1" t="s">
        <v>1653</v>
      </c>
      <c r="Q111" s="1">
        <v>1.0</v>
      </c>
      <c r="R111" s="1" t="s">
        <v>1654</v>
      </c>
      <c r="S111" s="1" t="s">
        <v>1655</v>
      </c>
      <c r="U111" s="1" t="s">
        <v>1656</v>
      </c>
      <c r="W111" s="1" t="s">
        <v>1657</v>
      </c>
      <c r="X111" s="1" t="s">
        <v>1658</v>
      </c>
      <c r="Y111" s="1" t="s">
        <v>1659</v>
      </c>
      <c r="AA111" s="1" t="s">
        <v>1660</v>
      </c>
      <c r="AB111" s="1" t="s">
        <v>1661</v>
      </c>
      <c r="AD111" s="1">
        <v>1923.0</v>
      </c>
      <c r="AE111" s="1" t="s">
        <v>1662</v>
      </c>
      <c r="AF111" s="1" t="s">
        <v>1663</v>
      </c>
      <c r="AG111" s="1" t="s">
        <v>1664</v>
      </c>
      <c r="AI111" s="1" t="s">
        <v>1665</v>
      </c>
      <c r="AJ111" s="1" t="s">
        <v>1666</v>
      </c>
      <c r="AK111" s="1" t="s">
        <v>1667</v>
      </c>
      <c r="AL111" s="1" t="s">
        <v>1668</v>
      </c>
      <c r="AU111" s="1" t="s">
        <v>1669</v>
      </c>
      <c r="AV111" s="1" t="s">
        <v>1670</v>
      </c>
      <c r="BN111" s="1" t="s">
        <v>1671</v>
      </c>
    </row>
    <row r="112">
      <c r="A112" s="1" t="s">
        <v>1672</v>
      </c>
      <c r="B112" s="1" t="str">
        <f>IFERROR(__xludf.DUMMYFUNCTION("GOOGLETRANSLATE(A:A, ""en"", ""te"")"),"APEV POUCHEL CLASSIC")</f>
        <v>APEV POUCHEL CLASSIC</v>
      </c>
      <c r="C112" s="1" t="s">
        <v>1673</v>
      </c>
      <c r="D112" s="1" t="str">
        <f>IFERROR(__xludf.DUMMYFUNCTION("GOOGLETRANSLATE(C:C, ""en"", ""te"")"),"APEV POUCHEL CLASSIC (ఇంగ్లీష్: లాడర్ ఫ్లీ క్లాసిక్) అనేది ఒక ఫ్రెంచ్ te త్సాహిక-నిర్మిత విమానం, దీనిని డేనియల్ డాల్బీ రూపొందించారు మరియు పీనియర్ యొక్క APEV చేత నిర్మించబడింది. ఈ విమానం ప్రణాళికలుగా లేదా te త్సాహిక నిర్మాణానికి కిట్‌గా సరఫరా చేయబడుతుంది. "&amp;"[1] [2] పౌచెల్ క్లాసిక్ APEV POCHEL నుండి తీసుకోబడింది, ఇది క్లాసిక్ 1930 ల హెన్రీ మిగ్నెట్-రూపొందించిన మిగ్నెట్ POU-డు-సియల్ (ఫ్లయింగ్ ఫ్లీ) యొక్క ఉత్పన్నం. ఈ డిజైన్‌లో కాంటిలివర్ రియర్ వింగ్ మరియు స్ట్రట్-బ్రేస్డ్ ఫ్రంట్ పారాసోల్ వింగ్, సింగిల్-సీట్ ఓపె"&amp;"న్ కాక్‌పిట్, స్థిర సాంప్రదాయ ల్యాండింగ్ గేర్ మరియు ట్రాక్టర్ కాన్ఫిగరేషన్‌లో ఒకే ఇంజిన్ ఉన్నాయి. [1] [2] పోచెల్ క్లాసిక్ మునుపటి పౌచెల్ నుండి భిన్నంగా ఉంటుంది, దీనిలో పూచెల్ మరియు పౌచెల్ II యొక్క అల్యూమినియం నిచ్చెన మరియు దీర్ఘచతురస్రాకార గొట్టం రూపకల్పన"&amp;"ను భర్తీ చేయడానికి కొత్తగా రూపొందించిన చెక్క ఫ్యూజ్‌లేజ్ ఉంది. పౌచెల్ క్లాసిక్ యొక్క ఫ్యూజ్‌లేజ్ కూడా ఎక్కువ. దాని 6 మీ (19.7 అడుగులు) స్పాన్ ఫ్రంట్ వింగ్ మరియు 4 మీ (13.1 అడుగులు) స్పాన్ రియర్ వింగ్ 12 మీ 2 (130 చదరపు అడుగులు) కలిపి మరియు నాకా 23112 ఎయిర"&amp;"్‌ఫాయిల్‌లను కలిగి ఉన్నాయి. ఫ్లయింగ్ ఉపరితలాలు డాక్రాన్ సెయిల్‌క్లాత్‌లో కప్పబడి ఉంటాయి. ప్రామాణిక ఇంజన్లు సిఫార్సు చేయబడినవి 35 HP (26 kW) రోటాక్స్ 377 లేదా 40 HP (30 kW) రోటాక్స్ 447 రెండు-స్ట్రోక్ పవర్‌ప్లాంట్లు. [1] [2] [3] బేయర్ల్ మరియు APEV నుండి డే"&amp;"టా [1] [3] సాధారణ లక్షణాల పనితీరు")</f>
        <v>APEV POUCHEL CLASSIC (ఇంగ్లీష్: లాడర్ ఫ్లీ క్లాసిక్) అనేది ఒక ఫ్రెంచ్ te త్సాహిక-నిర్మిత విమానం, దీనిని డేనియల్ డాల్బీ రూపొందించారు మరియు పీనియర్ యొక్క APEV చేత నిర్మించబడింది. ఈ విమానం ప్రణాళికలుగా లేదా te త్సాహిక నిర్మాణానికి కిట్‌గా సరఫరా చేయబడుతుంది. [1] [2] పౌచెల్ క్లాసిక్ APEV POCHEL నుండి తీసుకోబడింది, ఇది క్లాసిక్ 1930 ల హెన్రీ మిగ్నెట్-రూపొందించిన మిగ్నెట్ POU-డు-సియల్ (ఫ్లయింగ్ ఫ్లీ) యొక్క ఉత్పన్నం. ఈ డిజైన్‌లో కాంటిలివర్ రియర్ వింగ్ మరియు స్ట్రట్-బ్రేస్డ్ ఫ్రంట్ పారాసోల్ వింగ్, సింగిల్-సీట్ ఓపెన్ కాక్‌పిట్, స్థిర సాంప్రదాయ ల్యాండింగ్ గేర్ మరియు ట్రాక్టర్ కాన్ఫిగరేషన్‌లో ఒకే ఇంజిన్ ఉన్నాయి. [1] [2] పోచెల్ క్లాసిక్ మునుపటి పౌచెల్ నుండి భిన్నంగా ఉంటుంది, దీనిలో పూచెల్ మరియు పౌచెల్ II యొక్క అల్యూమినియం నిచ్చెన మరియు దీర్ఘచతురస్రాకార గొట్టం రూపకల్పనను భర్తీ చేయడానికి కొత్తగా రూపొందించిన చెక్క ఫ్యూజ్‌లేజ్ ఉంది. పౌచెల్ క్లాసిక్ యొక్క ఫ్యూజ్‌లేజ్ కూడా ఎక్కువ. దాని 6 మీ (19.7 అడుగులు) స్పాన్ ఫ్రంట్ వింగ్ మరియు 4 మీ (13.1 అడుగులు) స్పాన్ రియర్ వింగ్ 12 మీ 2 (130 చదరపు అడుగులు) కలిపి మరియు నాకా 23112 ఎయిర్‌ఫాయిల్‌లను కలిగి ఉన్నాయి. ఫ్లయింగ్ ఉపరితలాలు డాక్రాన్ సెయిల్‌క్లాత్‌లో కప్పబడి ఉంటాయి. ప్రామాణిక ఇంజన్లు సిఫార్సు చేయబడినవి 35 HP (26 kW) రోటాక్స్ 377 లేదా 40 HP (30 kW) రోటాక్స్ 447 రెండు-స్ట్రోక్ పవర్‌ప్లాంట్లు. [1] [2] [3] బేయర్ల్ మరియు APEV నుండి డేటా [1] [3] సాధారణ లక్షణాల పనితీరు</v>
      </c>
      <c r="E112" s="1" t="s">
        <v>1071</v>
      </c>
      <c r="F112" s="1" t="str">
        <f>IFERROR(__xludf.DUMMYFUNCTION("GOOGLETRANSLATE(E:E, ""en"", ""te"")"),"Te త్సాహిక నిర్మించిన విమానం")</f>
        <v>Te త్సాహిక నిర్మించిన విమానం</v>
      </c>
      <c r="G112" s="1" t="s">
        <v>1072</v>
      </c>
      <c r="H112" s="1" t="s">
        <v>208</v>
      </c>
      <c r="I112" s="1" t="str">
        <f>IFERROR(__xludf.DUMMYFUNCTION("GOOGLETRANSLATE(H:H, ""en"", ""te"")"),"ఫ్రాన్స్")</f>
        <v>ఫ్రాన్స్</v>
      </c>
      <c r="J112" s="3" t="s">
        <v>209</v>
      </c>
      <c r="K112" s="1" t="s">
        <v>1577</v>
      </c>
      <c r="L112" s="2" t="str">
        <f>IFERROR(__xludf.DUMMYFUNCTION("GOOGLETRANSLATE(K:K, ""en"", ""te"")"),"Apev")</f>
        <v>Apev</v>
      </c>
      <c r="M112" s="3" t="s">
        <v>1578</v>
      </c>
      <c r="N112" s="1" t="s">
        <v>1075</v>
      </c>
      <c r="O112" s="1" t="str">
        <f>IFERROR(__xludf.DUMMYFUNCTION("GOOGLETRANSLATE(N:N, ""en"", ""te"")"),"ఉత్పత్తిలో (2012)")</f>
        <v>ఉత్పత్తిలో (2012)</v>
      </c>
      <c r="Q112" s="1" t="s">
        <v>162</v>
      </c>
      <c r="S112" s="1" t="s">
        <v>1674</v>
      </c>
      <c r="X112" s="1" t="s">
        <v>1675</v>
      </c>
      <c r="Y112" s="1" t="s">
        <v>1582</v>
      </c>
      <c r="Z112" s="1" t="s">
        <v>1141</v>
      </c>
      <c r="AA112" s="1" t="s">
        <v>338</v>
      </c>
      <c r="AB112" s="1" t="s">
        <v>1583</v>
      </c>
      <c r="AH112" s="1" t="s">
        <v>1584</v>
      </c>
      <c r="AI112" s="1" t="s">
        <v>1676</v>
      </c>
      <c r="AN112" s="1" t="s">
        <v>1677</v>
      </c>
      <c r="AO112" s="1" t="s">
        <v>1678</v>
      </c>
      <c r="AS112" s="1" t="s">
        <v>1679</v>
      </c>
      <c r="AU112" s="1" t="s">
        <v>1680</v>
      </c>
      <c r="BJ112" s="1" t="s">
        <v>629</v>
      </c>
      <c r="BL112" s="1" t="s">
        <v>1144</v>
      </c>
      <c r="BO112" s="1" t="s">
        <v>1681</v>
      </c>
      <c r="BP112" s="1" t="s">
        <v>1498</v>
      </c>
      <c r="BR112" s="1" t="s">
        <v>1682</v>
      </c>
    </row>
    <row r="113">
      <c r="A113" s="1" t="s">
        <v>1591</v>
      </c>
      <c r="B113" s="1" t="str">
        <f>IFERROR(__xludf.DUMMYFUNCTION("GOOGLETRANSLATE(A:A, ""en"", ""te"")"),"APEV POUCHEL LIGHT")</f>
        <v>APEV POUCHEL LIGHT</v>
      </c>
      <c r="C113" s="1" t="s">
        <v>1683</v>
      </c>
      <c r="D113" s="1" t="str">
        <f>IFERROR(__xludf.DUMMYFUNCTION("GOOGLETRANSLATE(C:C, ""en"", ""te"")"),"APEV POUCHEL LIGHT (ఇంగ్లీష్: లాడర్ ఫ్లీ లైట్) అనేది ఒక ఫ్రెంచ్ te త్సాహిక-నిర్మిత విమానం, దీనిని డేనియల్ డాల్బీ రూపొందించారు మరియు పీనియర్ యొక్క APEV చేత నిర్మించబడింది. ఈ విమానం ప్రణాళికలుగా లేదా te త్సాహిక నిర్మాణానికి కిట్‌గా సరఫరా చేయబడుతుంది. [1] [2"&amp;"] POUCHEL LIGHT PUCHEL II ను ఉత్పత్తిలో భర్తీ చేసింది, ఇది అసలు APEV POUCHEL ను భర్తీ చేసింది. అసలు పౌచెల్ వాణిజ్యపరంగా లభించే మూడు అల్యూమినియం నిచ్చెనలను ఉపయోగించి నిర్మించబడింది, అందువల్ల APEV అనేది అసోసియేషన్ పోర్ లా ప్రమోషన్ డెస్ ఎచెల్స్ వోలాంటెస్, లే"&amp;"దా ఆంగ్లంలో, ఫ్లయింగ్ నిచ్చెనల ప్రమోషన్ కోసం అసోసియేషన్. నిచ్చెన తయారీదారు బాధ్యత గురించి ఆందోళన చెందుతున్నప్పుడు తరువాత నమూనాలు దీర్ఘచతురస్రాకార అల్యూమినియం గొట్టాలకు వెళ్ళవలసి వచ్చింది. [1] [2] పౌచెల్ లైట్ అనేది పూచెల్ II యొక్క తిరిగి రూపొందించబడిన, 50 "&amp;"కిలోల (110 ఎల్బి) తేలికైన వెర్షన్, ఇది ఉత్పత్తిలో భర్తీ చేస్తుంది, ఖాళీ బరువు 100 కిలోల (220 పౌండ్లు). పౌచెల్ సిరీస్ అన్నీ క్లాసిక్ 1930 ల యొక్క ఉత్పన్నా పౌచెల్ కాంతిలో స్ట్రట్-బ్రెస్డ్ పారాసోల్ ఫ్రంట్ వింగ్, విండ్‌షీల్డ్ లేకుండా సింగిల్-సీట్ల ఓపెన్ కాక్‌"&amp;"పిట్, స్థిర సాంప్రదాయ ల్యాండింగ్ గేర్ మరియు ట్రాక్టర్ కాన్ఫిగరేషన్‌లో ఒకే ఇంజిన్ ఉన్నాయి. ఈ విమానం బోల్ట్-కలిసి అల్యూమినియం గొట్టాల నుండి తయారవుతుంది. రెక్కలు స్కౌట్చెల్‌లో ఉపయోగించిన వాటికి సమానంగా ఉంటాయి మరియు ఒకే అల్యూమినియం స్పార్ చుట్టూ నిర్మించబడ్డా"&amp;"యి, ప్లైవుడ్ బ్రేసింగ్‌తో వెలికితీసిన పాలీస్టైరిన్ నుండి తయారైన పక్కటెముకలు, అన్నీ ఫైబర్గ్లాస్ లీడింగ్ మరియు వెనుకంజలో ఉన్న అంచులతో బంధించబడ్డాయి, డాక్రాన్ సెయిల్‌క్లాత్‌లో కప్పబడి ఉంటాయి. దాని 6 మీ (20 అడుగులు) స్పాన్ ఫ్రంట్ వింగ్ మరియు 4 మీ (13 అడుగులు)"&amp;" స్పాన్ వెనుక భాగంలో 12 మీ 2 (129 చదరపు అడుగులు) కలిపి ఉంటాయి మరియు రెండూ నాకా 23112 ఎయిర్‌ఫాయిల్‌లను ఉపయోగిస్తాయి. సిఫార్సు చేయబడిన ఇంజన్లు 35 హెచ్‌పి (26 కిలోవాట్) రోటాక్స్ 377 లేదా 40 హెచ్‌పి (30 కిలోవాట్ బేయర్ల్ మరియు APEV నుండి డేటా [1] [3] సాధారణ లక"&amp;"్షణాల పనితీరు")</f>
        <v>APEV POUCHEL LIGHT (ఇంగ్లీష్: లాడర్ ఫ్లీ లైట్) అనేది ఒక ఫ్రెంచ్ te త్సాహిక-నిర్మిత విమానం, దీనిని డేనియల్ డాల్బీ రూపొందించారు మరియు పీనియర్ యొక్క APEV చేత నిర్మించబడింది. ఈ విమానం ప్రణాళికలుగా లేదా te త్సాహిక నిర్మాణానికి కిట్‌గా సరఫరా చేయబడుతుంది. [1] [2] POUCHEL LIGHT PUCHEL II ను ఉత్పత్తిలో భర్తీ చేసింది, ఇది అసలు APEV POUCHEL ను భర్తీ చేసింది. అసలు పౌచెల్ వాణిజ్యపరంగా లభించే మూడు అల్యూమినియం నిచ్చెనలను ఉపయోగించి నిర్మించబడింది, అందువల్ల APEV అనేది అసోసియేషన్ పోర్ లా ప్రమోషన్ డెస్ ఎచెల్స్ వోలాంటెస్, లేదా ఆంగ్లంలో, ఫ్లయింగ్ నిచ్చెనల ప్రమోషన్ కోసం అసోసియేషన్. నిచ్చెన తయారీదారు బాధ్యత గురించి ఆందోళన చెందుతున్నప్పుడు తరువాత నమూనాలు దీర్ఘచతురస్రాకార అల్యూమినియం గొట్టాలకు వెళ్ళవలసి వచ్చింది. [1] [2] పౌచెల్ లైట్ అనేది పూచెల్ II యొక్క తిరిగి రూపొందించబడిన, 50 కిలోల (110 ఎల్బి) తేలికైన వెర్షన్, ఇది ఉత్పత్తిలో భర్తీ చేస్తుంది, ఖాళీ బరువు 100 కిలోల (220 పౌండ్లు). పౌచెల్ సిరీస్ అన్నీ క్లాసిక్ 1930 ల యొక్క ఉత్పన్నా పౌచెల్ కాంతిలో స్ట్రట్-బ్రెస్డ్ పారాసోల్ ఫ్రంట్ వింగ్, విండ్‌షీల్డ్ లేకుండా సింగిల్-సీట్ల ఓపెన్ కాక్‌పిట్, స్థిర సాంప్రదాయ ల్యాండింగ్ గేర్ మరియు ట్రాక్టర్ కాన్ఫిగరేషన్‌లో ఒకే ఇంజిన్ ఉన్నాయి. ఈ విమానం బోల్ట్-కలిసి అల్యూమినియం గొట్టాల నుండి తయారవుతుంది. రెక్కలు స్కౌట్చెల్‌లో ఉపయోగించిన వాటికి సమానంగా ఉంటాయి మరియు ఒకే అల్యూమినియం స్పార్ చుట్టూ నిర్మించబడ్డాయి, ప్లైవుడ్ బ్రేసింగ్‌తో వెలికితీసిన పాలీస్టైరిన్ నుండి తయారైన పక్కటెముకలు, అన్నీ ఫైబర్గ్లాస్ లీడింగ్ మరియు వెనుకంజలో ఉన్న అంచులతో బంధించబడ్డాయి, డాక్రాన్ సెయిల్‌క్లాత్‌లో కప్పబడి ఉంటాయి. దాని 6 మీ (20 అడుగులు) స్పాన్ ఫ్రంట్ వింగ్ మరియు 4 మీ (13 అడుగులు) స్పాన్ వెనుక భాగంలో 12 మీ 2 (129 చదరపు అడుగులు) కలిపి ఉంటాయి మరియు రెండూ నాకా 23112 ఎయిర్‌ఫాయిల్‌లను ఉపయోగిస్తాయి. సిఫార్సు చేయబడిన ఇంజన్లు 35 హెచ్‌పి (26 కిలోవాట్) రోటాక్స్ 377 లేదా 40 హెచ్‌పి (30 కిలోవాట్ బేయర్ల్ మరియు APEV నుండి డేటా [1] [3] సాధారణ లక్షణాల పనితీరు</v>
      </c>
      <c r="E113" s="1" t="s">
        <v>1071</v>
      </c>
      <c r="F113" s="1" t="str">
        <f>IFERROR(__xludf.DUMMYFUNCTION("GOOGLETRANSLATE(E:E, ""en"", ""te"")"),"Te త్సాహిక నిర్మించిన విమానం")</f>
        <v>Te త్సాహిక నిర్మించిన విమానం</v>
      </c>
      <c r="G113" s="1" t="s">
        <v>1072</v>
      </c>
      <c r="H113" s="1" t="s">
        <v>208</v>
      </c>
      <c r="I113" s="1" t="str">
        <f>IFERROR(__xludf.DUMMYFUNCTION("GOOGLETRANSLATE(H:H, ""en"", ""te"")"),"ఫ్రాన్స్")</f>
        <v>ఫ్రాన్స్</v>
      </c>
      <c r="J113" s="3" t="s">
        <v>209</v>
      </c>
      <c r="K113" s="1" t="s">
        <v>1577</v>
      </c>
      <c r="L113" s="2" t="str">
        <f>IFERROR(__xludf.DUMMYFUNCTION("GOOGLETRANSLATE(K:K, ""en"", ""te"")"),"Apev")</f>
        <v>Apev</v>
      </c>
      <c r="M113" s="3" t="s">
        <v>1578</v>
      </c>
      <c r="N113" s="1" t="s">
        <v>1684</v>
      </c>
      <c r="O113" s="1" t="str">
        <f>IFERROR(__xludf.DUMMYFUNCTION("GOOGLETRANSLATE(N:N, ""en"", ""te"")"),"ఉత్పత్తిలో (కిట్, 2012)")</f>
        <v>ఉత్పత్తిలో (కిట్, 2012)</v>
      </c>
      <c r="Q113" s="1" t="s">
        <v>162</v>
      </c>
      <c r="S113" s="1" t="s">
        <v>1685</v>
      </c>
      <c r="W113" s="1" t="s">
        <v>1573</v>
      </c>
      <c r="X113" s="1" t="s">
        <v>187</v>
      </c>
      <c r="Y113" s="1" t="s">
        <v>1686</v>
      </c>
      <c r="Z113" s="1" t="s">
        <v>1141</v>
      </c>
      <c r="AA113" s="1" t="s">
        <v>338</v>
      </c>
      <c r="AB113" s="1" t="s">
        <v>1583</v>
      </c>
      <c r="AH113" s="1" t="s">
        <v>1584</v>
      </c>
      <c r="AI113" s="1" t="s">
        <v>1687</v>
      </c>
      <c r="AN113" s="1" t="s">
        <v>1677</v>
      </c>
      <c r="AO113" s="1" t="s">
        <v>1678</v>
      </c>
      <c r="AS113" s="1" t="s">
        <v>1679</v>
      </c>
      <c r="AU113" s="1" t="s">
        <v>1688</v>
      </c>
      <c r="BJ113" s="1" t="s">
        <v>629</v>
      </c>
      <c r="BL113" s="1" t="s">
        <v>1144</v>
      </c>
      <c r="BO113" s="1" t="s">
        <v>1689</v>
      </c>
      <c r="BP113" s="1" t="s">
        <v>1498</v>
      </c>
      <c r="BR113" s="1" t="s">
        <v>1690</v>
      </c>
      <c r="CW113" s="1" t="s">
        <v>1691</v>
      </c>
    </row>
    <row r="114">
      <c r="A114" s="1" t="s">
        <v>1692</v>
      </c>
      <c r="B114" s="1" t="str">
        <f>IFERROR(__xludf.DUMMYFUNCTION("GOOGLETRANSLATE(A:A, ""en"", ""te"")"),"బెల్ ఎయిరాకోబ్రా I AH574")</f>
        <v>బెల్ ఎయిరాకోబ్రా I AH574</v>
      </c>
      <c r="C114" s="1" t="s">
        <v>1693</v>
      </c>
      <c r="D114" s="1" t="str">
        <f>IFERROR(__xludf.DUMMYFUNCTION("GOOGLETRANSLATE(C:C, ""en"", ""te"")"),"AH574 అనేది బెల్ ఎయిరాకోబ్రా, రెండవ ప్రపంచ యుద్ధం సమయంలో మరియు తరువాత పరీక్షా పనుల కోసం నేను రాయల్ నేవీ ఉపయోగించిన బెల్ ఎయిరాకోబ్రా, AH574 ను ప్రారంభంలో 1940 లో రాయల్ వైమానిక దళం (RAF) కోసం ఎరాకోబ్రా I సీరియల్ నంబర్ బ్లాక్ AH570 -AH739 (No. No. నం. 601 స్"&amp;"క్వాడ్రన్ RAF). [1] ఎరాకోబ్రా రకాన్ని RAF తిరస్కరించినప్పుడు, AH574 ను పరీక్షా పని కోసం రాయల్ నేవీకి బదిలీ చేశారు. [2] [3] 4 ఏప్రిల్ 1945 న, టెస్ట్ పైలట్ కెప్టెన్ ఎరిక్ ""వింకిల్"" బ్రౌన్ దీనిని హెచ్‌ఎంఎస్ ప్రిటోరియా కాజిల్ యొక్క ఫ్లైట్ డెక్‌లోకి దిగినప్ప"&amp;"ుడు AH574 విమానయాన చరిత్రలో భాగమైంది -ముడుచుకునే ట్రైసైకిల్ గేర్‌తో ఒక విమానం చేసిన మొట్టమొదటి క్యారియర్ ల్యాండింగ్ -ప్రకటించిన అత్యవసర పరిస్థితుల్లో ఉంది భవిష్యత్ క్యారియర్‌ల కోసం రబ్బరు డెక్‌లపై ల్యాండింగ్‌ల కోసం ప్రారంభ పరీక్షలు. తన ఆత్మకథలో, కెప్టెన్ "&amp;"బ్రౌన్ ఈ విధంగా పరిస్థితులను వివరించాడు: నేను ఇప్పటికే విమానయానంలో కొన్ని 'ప్రథమాలు' సేకరించాను, మరియు నేను ఒక ట్రైసైకిల్ విమానాన్ని విమాన డెక్ మీద ఉంచిన మొదటి పైలట్ అవ్వాలనుకుంటున్నాను. అటువంటి ల్యాండింగ్ కోసం ఎయిరాకోబ్రా అధికారికంగా క్లియర్ చేయబడలేదు, క"&amp;"ాని బోఫిన్స్ ప్రైవేటుగా నాకు చెప్పారు, ఇది బహుశా ఒత్తిడిని తీసుకుంటుందని. ఇది అధికారిక కార్యక్రమంలో లేదు, కానీ నేను ప్రిటోరియా కాజిల్ యొక్క కెప్టెన్ కాస్పర్ జాన్‌ను ఒప్పించగలనని ఆశించాను నా మనస్సులో ఉన్నదానికి కంటి చూపును తిప్పికొట్టడానికి. నేను ముందే అతన"&amp;"ికి వ్రాసి, ఆకస్మిక ఇంజిన్ ఇబ్బంది సంభవించినప్పుడు నన్ను మీదికి తీసుకెళ్లడానికి సిద్ధంగా ఉన్నారా అని అడిగాను. అతను ఒకేసారి నేను తర్వాత ఉన్నదాన్ని చూశాడు, మరియు దానితో పాటు వెళ్ళేంత మంచి క్రీడ. నా చివరి విధానంలో నా ఇంజిన్ ఇబ్బంది సంభవించినట్లయితే అది మంచి "&amp;"ఆలోచన అని అతను సూచించాడు. ఇది చాలా కాలం. నేను నా విధానాన్ని ప్రారంభించాను, అప్పుడు, రికార్డ్ కోసం, ఓడను పిలిచి, నా ఇంజిన్ కఠినంగా నడుస్తుందని ఫిర్యాదు చేశాను. వారు నన్ను అంగీకరిస్తారా? తిరిగి కెప్టెన్ జాన్ యొక్క తక్షణ 'ధృవీకరించేది' వచ్చింది. నేను హుక్ అణ"&amp;"ిచివేసాను మరియు ఎటువంటి ఇబ్బంది లేకుండా తీగను పట్టుకున్నాను. ఎరాకోబ్రాకు సుదీర్ఘమైన టేకాఫ్ రన్ ఉన్నందున, టైప్ అవుతున్న సమయం వచ్చినప్పుడు ఇబ్బంది ప్రారంభమైంది-ఇది RAF చేత ఈ రకం తిరస్కరణ వెనుక ఒక కారణాలలో ఒకటి-మరియు 'వింకిల్' గాలిబోర్డును మాత్రమే పొందగలిగిం"&amp;"ది ఎందుకంటే ప్రిటోరియా కాజిల్ స్టీమింగ్ ఆ సమయంలో పూర్తి వేగం. [2] మార్చి 1946 లో, విజిటింగ్ బెల్ టెస్ట్ పైలట్ బెల్ పి -63 కింగ్‌కోబ్రాస్‌తో నిర్వహించబడుతున్న లామినార్ ఫ్లో ప్రయోగాలను పర్యవేక్షించడానికి పరీక్ష స్థాపనను సందర్శించారు. నవ్వు కోసం నేను చాలా హా"&amp;"ప్‌ల కోసం ఉపయోగిస్తున్న నా పాత బెల్ ఎయిరాకోబ్రాను పరీక్షించమని అడిగాను. దేశం చుట్టూ. అతను బయలుదేరాడు, చాలా త్వరగా సర్క్యూట్ చేసాడు మరియు బూడిద ముఖం తిరిగి వచ్చాడు. 'నేను ఎప్పుడూ లేను,' అని అతను చెప్పాడు, 'ఇంత అధునాతన స్థితిలో ఒక విమానంలో ఎగిరింది. ఈ యంత్ర"&amp;"ాన్ని వెంటనే స్క్రాప్ చేయాలి. ' కాబట్టి, మార్చి 28 న, నేను ఆమెలో చివరి ఏరోబాటిక్ సెషన్ కోసం వెళ్ళాను, తరువాత ఒక సెంటిమెంటల్ వీడ్కోలును కొట్టాను. చివరి నవ్వు నాపై ఉంది. AH574 కొంతకాలం తర్వాత రద్దు చేయబడింది, [4] మరియు బ్రౌన్కు తరువాత ఫీజిలర్ స్టోర్చ్ స్థాన"&amp;"ంలో ఇవ్వబడింది. [5]")</f>
        <v>AH574 అనేది బెల్ ఎయిరాకోబ్రా, రెండవ ప్రపంచ యుద్ధం సమయంలో మరియు తరువాత పరీక్షా పనుల కోసం నేను రాయల్ నేవీ ఉపయోగించిన బెల్ ఎయిరాకోబ్రా, AH574 ను ప్రారంభంలో 1940 లో రాయల్ వైమానిక దళం (RAF) కోసం ఎరాకోబ్రా I సీరియల్ నంబర్ బ్లాక్ AH570 -AH739 (No. No. నం. 601 స్క్వాడ్రన్ RAF). [1] ఎరాకోబ్రా రకాన్ని RAF తిరస్కరించినప్పుడు, AH574 ను పరీక్షా పని కోసం రాయల్ నేవీకి బదిలీ చేశారు. [2] [3] 4 ఏప్రిల్ 1945 న, టెస్ట్ పైలట్ కెప్టెన్ ఎరిక్ "వింకిల్" బ్రౌన్ దీనిని హెచ్‌ఎంఎస్ ప్రిటోరియా కాజిల్ యొక్క ఫ్లైట్ డెక్‌లోకి దిగినప్పుడు AH574 విమానయాన చరిత్రలో భాగమైంది -ముడుచుకునే ట్రైసైకిల్ గేర్‌తో ఒక విమానం చేసిన మొట్టమొదటి క్యారియర్ ల్యాండింగ్ -ప్రకటించిన అత్యవసర పరిస్థితుల్లో ఉంది భవిష్యత్ క్యారియర్‌ల కోసం రబ్బరు డెక్‌లపై ల్యాండింగ్‌ల కోసం ప్రారంభ పరీక్షలు. తన ఆత్మకథలో, కెప్టెన్ బ్రౌన్ ఈ విధంగా పరిస్థితులను వివరించాడు: నేను ఇప్పటికే విమానయానంలో కొన్ని 'ప్రథమాలు' సేకరించాను, మరియు నేను ఒక ట్రైసైకిల్ విమానాన్ని విమాన డెక్ మీద ఉంచిన మొదటి పైలట్ అవ్వాలనుకుంటున్నాను. అటువంటి ల్యాండింగ్ కోసం ఎయిరాకోబ్రా అధికారికంగా క్లియర్ చేయబడలేదు, కాని బోఫిన్స్ ప్రైవేటుగా నాకు చెప్పారు, ఇది బహుశా ఒత్తిడిని తీసుకుంటుందని. ఇది అధికారిక కార్యక్రమంలో లేదు, కానీ నేను ప్రిటోరియా కాజిల్ యొక్క కెప్టెన్ కాస్పర్ జాన్‌ను ఒప్పించగలనని ఆశించాను నా మనస్సులో ఉన్నదానికి కంటి చూపును తిప్పికొట్టడానికి. నేను ముందే అతనికి వ్రాసి, ఆకస్మిక ఇంజిన్ ఇబ్బంది సంభవించినప్పుడు నన్ను మీదికి తీసుకెళ్లడానికి సిద్ధంగా ఉన్నారా అని అడిగాను. అతను ఒకేసారి నేను తర్వాత ఉన్నదాన్ని చూశాడు, మరియు దానితో పాటు వెళ్ళేంత మంచి క్రీడ. నా చివరి విధానంలో నా ఇంజిన్ ఇబ్బంది సంభవించినట్లయితే అది మంచి ఆలోచన అని అతను సూచించాడు. ఇది చాలా కాలం. నేను నా విధానాన్ని ప్రారంభించాను, అప్పుడు, రికార్డ్ కోసం, ఓడను పిలిచి, నా ఇంజిన్ కఠినంగా నడుస్తుందని ఫిర్యాదు చేశాను. వారు నన్ను అంగీకరిస్తారా? తిరిగి కెప్టెన్ జాన్ యొక్క తక్షణ 'ధృవీకరించేది' వచ్చింది. నేను హుక్ అణిచివేసాను మరియు ఎటువంటి ఇబ్బంది లేకుండా తీగను పట్టుకున్నాను. ఎరాకోబ్రాకు సుదీర్ఘమైన టేకాఫ్ రన్ ఉన్నందున, టైప్ అవుతున్న సమయం వచ్చినప్పుడు ఇబ్బంది ప్రారంభమైంది-ఇది RAF చేత ఈ రకం తిరస్కరణ వెనుక ఒక కారణాలలో ఒకటి-మరియు 'వింకిల్' గాలిబోర్డును మాత్రమే పొందగలిగింది ఎందుకంటే ప్రిటోరియా కాజిల్ స్టీమింగ్ ఆ సమయంలో పూర్తి వేగం. [2] మార్చి 1946 లో, విజిటింగ్ బెల్ టెస్ట్ పైలట్ బెల్ పి -63 కింగ్‌కోబ్రాస్‌తో నిర్వహించబడుతున్న లామినార్ ఫ్లో ప్రయోగాలను పర్యవేక్షించడానికి పరీక్ష స్థాపనను సందర్శించారు. నవ్వు కోసం నేను చాలా హాప్‌ల కోసం ఉపయోగిస్తున్న నా పాత బెల్ ఎయిరాకోబ్రాను పరీక్షించమని అడిగాను. దేశం చుట్టూ. అతను బయలుదేరాడు, చాలా త్వరగా సర్క్యూట్ చేసాడు మరియు బూడిద ముఖం తిరిగి వచ్చాడు. 'నేను ఎప్పుడూ లేను,' అని అతను చెప్పాడు, 'ఇంత అధునాతన స్థితిలో ఒక విమానంలో ఎగిరింది. ఈ యంత్రాన్ని వెంటనే స్క్రాప్ చేయాలి. ' కాబట్టి, మార్చి 28 న, నేను ఆమెలో చివరి ఏరోబాటిక్ సెషన్ కోసం వెళ్ళాను, తరువాత ఒక సెంటిమెంటల్ వీడ్కోలును కొట్టాను. చివరి నవ్వు నాపై ఉంది. AH574 కొంతకాలం తర్వాత రద్దు చేయబడింది, [4] మరియు బ్రౌన్కు తరువాత ఫీజిలర్ స్టోర్చ్ స్థానంలో ఇవ్వబడింది. [5]</v>
      </c>
      <c r="L114" s="2"/>
      <c r="AL114" s="1" t="s">
        <v>1694</v>
      </c>
      <c r="AZ114" s="1" t="s">
        <v>1695</v>
      </c>
      <c r="BA114" s="1" t="s">
        <v>1696</v>
      </c>
      <c r="BB114" s="1" t="s">
        <v>1697</v>
      </c>
      <c r="BE114" s="1" t="s">
        <v>1698</v>
      </c>
    </row>
    <row r="115">
      <c r="A115" s="1" t="s">
        <v>1699</v>
      </c>
      <c r="B115" s="1" t="str">
        <f>IFERROR(__xludf.DUMMYFUNCTION("GOOGLETRANSLATE(A:A, ""en"", ""te"")"),"ఏవియన్ మై ఎఫ్ -1")</f>
        <v>ఏవియన్ మై ఎఫ్ -1</v>
      </c>
      <c r="C115" s="1" t="s">
        <v>1700</v>
      </c>
      <c r="D115" s="1" t="str">
        <f>IFERROR(__xludf.DUMMYFUNCTION("GOOGLETRANSLATE(C:C, ""en"", ""te"")"),"F-1 అభిమానము (ఇంగ్లీష్: ф-1 «фаворит») అనేది B2M దోమ యొక్క ఆధునికీకరించిన ఏరోబాటిక్స్ కోసం తేలికపాటి క్రీడా బైప్‌లేన్. దీనిని మాస్కో ఏవియేషన్ ఇన్స్టిట్యూట్ నిపుణులతో కలిసి ఏవియన్ గ్రూప్ రూపొందించారు మరియు నిర్మించారు. సాధారణ లక్షణాల పనితీరు")</f>
        <v>F-1 అభిమానము (ఇంగ్లీష్: ф-1 «фаворит») అనేది B2M దోమ యొక్క ఆధునికీకరించిన ఏరోబాటిక్స్ కోసం తేలికపాటి క్రీడా బైప్‌లేన్. దీనిని మాస్కో ఏవియేషన్ ఇన్స్టిట్యూట్ నిపుణులతో కలిసి ఏవియన్ గ్రూప్ రూపొందించారు మరియు నిర్మించారు. సాధారణ లక్షణాల పనితీరు</v>
      </c>
      <c r="E115" s="1" t="s">
        <v>1701</v>
      </c>
      <c r="F115" s="1" t="str">
        <f>IFERROR(__xludf.DUMMYFUNCTION("GOOGLETRANSLATE(E:E, ""en"", ""te"")"),"స్పోర్టింగ్ బిప్‌లేన్")</f>
        <v>స్పోర్టింగ్ బిప్‌లేన్</v>
      </c>
      <c r="G115" s="1" t="s">
        <v>1702</v>
      </c>
      <c r="L115" s="2"/>
      <c r="AB115" s="1" t="s">
        <v>1703</v>
      </c>
      <c r="AD115" s="6">
        <v>38860.0</v>
      </c>
      <c r="AE115" s="1">
        <v>1.0</v>
      </c>
      <c r="AL115" s="1" t="s">
        <v>1704</v>
      </c>
      <c r="BS115" s="1" t="s">
        <v>1705</v>
      </c>
    </row>
    <row r="116">
      <c r="A116" s="1" t="s">
        <v>1706</v>
      </c>
      <c r="B116" s="1" t="str">
        <f>IFERROR(__xludf.DUMMYFUNCTION("GOOGLETRANSLATE(A:A, ""en"", ""te"")"),"మొరాన్-సాల్నియర్ ఎసి")</f>
        <v>మొరాన్-సాల్నియర్ ఎసి</v>
      </c>
      <c r="C116" s="1" t="s">
        <v>1707</v>
      </c>
      <c r="D116" s="1" t="str">
        <f>IFERROR(__xludf.DUMMYFUNCTION("GOOGLETRANSLATE(C:C, ""en"", ""te"")"),"మొరాన్-సల్నియర్ టైప్ ఎసి మరియు మోస్ 23 అని కూడా పిలువబడే మొరాన్-సాల్నియర్ ఎసి 1910 లలో ఫ్రెంచ్ ఫైటర్. ఎసి 1916 మధ్యలో ఉద్భవించింది, ఇది నిర్మించని రకం. వింగ్ బ్రేసింగ్, క్రింద నుండి రెక్కలకు మద్దతు ఇచ్చే స్టీల్ గొట్టాల వైర్ బ్రేస్డ్ ట్రస్. [1] ఇది ఆ సంవత్"&amp;"సరం శరదృతువులో కనిపించింది మరియు ఏరోడైనమిక్‌గా శుభ్రంగా ఉన్నట్లు కనుగొనబడింది. AC యొక్క మొదటి ఫ్లైట్ రికార్డ్ చేయబడలేదు, అయితే ఇది 1916 వేసవి చివరలో ఉందని భావించబడుతుంది. ప్రారంభ పరీక్ష తరువాత ముప్పై విమానాలను ఏవియేషన్ మిలిటైర్ కోసం ఆదేశించారు. అధునాతన రూ"&amp;"పకల్పన మరియు మంచి పనితీరు ఉన్నప్పటికీ, AC స్పాడ్ S.VII కంటే తక్కువగా పరిగణించబడింది మరియు అందువల్ల పరిమాణంలో స్వీకరించబడలేదు. మూల్యాంకనం కోసం రాయల్ ఫ్లయింగ్ కార్ప్స్ కు రెండు ఉదాహరణలు అందించబడ్డాయి. మొదటి ప్రపంచ యుద్ధం యొక్క యుద్ధ విమానాల నుండి డేటా: వాల్"&amp;"యూమ్ ఫైవ్ ఫైటర్స్ [2] సాధారణ లక్షణాలు పనితీరు ఆయుధాలు")</f>
        <v>మొరాన్-సల్నియర్ టైప్ ఎసి మరియు మోస్ 23 అని కూడా పిలువబడే మొరాన్-సాల్నియర్ ఎసి 1910 లలో ఫ్రెంచ్ ఫైటర్. ఎసి 1916 మధ్యలో ఉద్భవించింది, ఇది నిర్మించని రకం. వింగ్ బ్రేసింగ్, క్రింద నుండి రెక్కలకు మద్దతు ఇచ్చే స్టీల్ గొట్టాల వైర్ బ్రేస్డ్ ట్రస్. [1] ఇది ఆ సంవత్సరం శరదృతువులో కనిపించింది మరియు ఏరోడైనమిక్‌గా శుభ్రంగా ఉన్నట్లు కనుగొనబడింది. AC యొక్క మొదటి ఫ్లైట్ రికార్డ్ చేయబడలేదు, అయితే ఇది 1916 వేసవి చివరలో ఉందని భావించబడుతుంది. ప్రారంభ పరీక్ష తరువాత ముప్పై విమానాలను ఏవియేషన్ మిలిటైర్ కోసం ఆదేశించారు. అధునాతన రూపకల్పన మరియు మంచి పనితీరు ఉన్నప్పటికీ, AC స్పాడ్ S.VII కంటే తక్కువగా పరిగణించబడింది మరియు అందువల్ల పరిమాణంలో స్వీకరించబడలేదు. మూల్యాంకనం కోసం రాయల్ ఫ్లయింగ్ కార్ప్స్ కు రెండు ఉదాహరణలు అందించబడ్డాయి. మొదటి ప్రపంచ యుద్ధం యొక్క యుద్ధ విమానాల నుండి డేటా: వాల్యూమ్ ఫైవ్ ఫైటర్స్ [2] సాధారణ లక్షణాలు పనితీరు ఆయుధాలు</v>
      </c>
      <c r="E116" s="1" t="s">
        <v>724</v>
      </c>
      <c r="F116" s="1" t="str">
        <f>IFERROR(__xludf.DUMMYFUNCTION("GOOGLETRANSLATE(E:E, ""en"", ""te"")"),"యుద్ధ")</f>
        <v>యుద్ధ</v>
      </c>
      <c r="H116" s="1" t="s">
        <v>208</v>
      </c>
      <c r="I116" s="1" t="str">
        <f>IFERROR(__xludf.DUMMYFUNCTION("GOOGLETRANSLATE(H:H, ""en"", ""te"")"),"ఫ్రాన్స్")</f>
        <v>ఫ్రాన్స్</v>
      </c>
      <c r="K116" s="1" t="s">
        <v>1708</v>
      </c>
      <c r="L116" s="2" t="str">
        <f>IFERROR(__xludf.DUMMYFUNCTION("GOOGLETRANSLATE(K:K, ""en"", ""te"")"),"మొరాన్-సాల్నియర్")</f>
        <v>మొరాన్-సాల్నియర్</v>
      </c>
      <c r="M116" s="3" t="s">
        <v>1709</v>
      </c>
      <c r="Q116" s="1">
        <v>1.0</v>
      </c>
      <c r="R116" s="1" t="s">
        <v>1710</v>
      </c>
      <c r="S116" s="1" t="s">
        <v>1711</v>
      </c>
      <c r="U116" s="1" t="s">
        <v>1712</v>
      </c>
      <c r="X116" s="1" t="s">
        <v>1713</v>
      </c>
      <c r="Y116" s="1" t="s">
        <v>1714</v>
      </c>
      <c r="AC116" s="1" t="s">
        <v>1715</v>
      </c>
      <c r="AE116" s="1">
        <v>32.0</v>
      </c>
      <c r="AF116" s="1" t="s">
        <v>1716</v>
      </c>
      <c r="AG116" s="1" t="s">
        <v>1717</v>
      </c>
      <c r="AI116" s="1" t="s">
        <v>1718</v>
      </c>
      <c r="AL116" s="1" t="s">
        <v>1719</v>
      </c>
      <c r="AQ116" s="1" t="s">
        <v>1720</v>
      </c>
      <c r="BK116" s="1" t="s">
        <v>1721</v>
      </c>
      <c r="BP116" s="1" t="s">
        <v>1722</v>
      </c>
      <c r="CZ116" s="1" t="s">
        <v>1723</v>
      </c>
      <c r="DB116" s="1" t="s">
        <v>1724</v>
      </c>
      <c r="DF116" s="1" t="s">
        <v>1725</v>
      </c>
    </row>
    <row r="117">
      <c r="A117" s="1" t="s">
        <v>1726</v>
      </c>
      <c r="B117" s="1" t="str">
        <f>IFERROR(__xludf.DUMMYFUNCTION("GOOGLETRANSLATE(A:A, ""en"", ""te"")"),"ATEC 212 సోలో")</f>
        <v>ATEC 212 సోలో</v>
      </c>
      <c r="C117" s="1" t="s">
        <v>1727</v>
      </c>
      <c r="D117" s="1" t="str">
        <f>IFERROR(__xludf.DUMMYFUNCTION("GOOGLETRANSLATE(C:C, ""en"", ""te"")"),"ATEC 212 సోలో అనేది చెక్ అల్ట్రాలైట్ విమానం, ఇది ATEC V.O.S. లిబిస్ నాడ్ సిడ్లినా. విమానం పూర్తి రెడీ-టు-ఫ్లై-ఎయిర్‌క్రాఫ్ట్‌గా సరఫరా చేయబడుతుంది. [1] [2] ఈ విమానం ఫెడెరేషన్ ఏరోనటిక్ ఇంటర్నేషనల్ మైక్రోలైట్ నిబంధనలకు అనుగుణంగా రూపొందించబడింది. ఇది కాంటిలివ"&amp;"ర్ లో-వింగ్, సింగిల్-సీట్, బబుల్ పందిరితో పరివేష్టిత కాక్‌పిట్, స్థిర సాంప్రదాయ ల్యాండింగ్ గేర్ మరియు ట్రాక్టర్ కాన్ఫిగరేషన్‌లో ఒకే ఇంజిన్ కలిగి ఉంది. [1] [2] 212 సోలో కార్బన్ ఫైబర్ నుండి తయారు చేయబడింది మరియు ఇది ATEC 321 FAETA మరియు ATEC 122 జెఫిర్ 2000"&amp;" డిజైన్ల నుండి తీసుకోబడింది. దీని 7.48 మీ (24.5 అడుగులు) స్పాన్ వింగ్ SM701 ఎయిర్‌ఫాయిల్ మరియు స్లాట్డ్ ఫ్లాప్‌లను ఉపయోగిస్తుంది. అందుబాటులో ఉన్న ప్రామాణిక ఇంజన్లు 64 హెచ్‌పి (48 కిలోవాట్) రోటాక్స్ 582 టూ-స్ట్రోక్ మరియు 80 హెచ్‌పి (60 కిలోవాట్ బేయర్ల్ నుం"&amp;"డి డేటా [1] [2] సాధారణ లక్షణాల పనితీరు")</f>
        <v>ATEC 212 సోలో అనేది చెక్ అల్ట్రాలైట్ విమానం, ఇది ATEC V.O.S. లిబిస్ నాడ్ సిడ్లినా. విమానం పూర్తి రెడీ-టు-ఫ్లై-ఎయిర్‌క్రాఫ్ట్‌గా సరఫరా చేయబడుతుంది. [1] [2] ఈ విమానం ఫెడెరేషన్ ఏరోనటిక్ ఇంటర్నేషనల్ మైక్రోలైట్ నిబంధనలకు అనుగుణంగా రూపొందించబడింది. ఇది కాంటిలివర్ లో-వింగ్, సింగిల్-సీట్, బబుల్ పందిరితో పరివేష్టిత కాక్‌పిట్, స్థిర సాంప్రదాయ ల్యాండింగ్ గేర్ మరియు ట్రాక్టర్ కాన్ఫిగరేషన్‌లో ఒకే ఇంజిన్ కలిగి ఉంది. [1] [2] 212 సోలో కార్బన్ ఫైబర్ నుండి తయారు చేయబడింది మరియు ఇది ATEC 321 FAETA మరియు ATEC 122 జెఫిర్ 2000 డిజైన్ల నుండి తీసుకోబడింది. దీని 7.48 మీ (24.5 అడుగులు) స్పాన్ వింగ్ SM701 ఎయిర్‌ఫాయిల్ మరియు స్లాట్డ్ ఫ్లాప్‌లను ఉపయోగిస్తుంది. అందుబాటులో ఉన్న ప్రామాణిక ఇంజన్లు 64 హెచ్‌పి (48 కిలోవాట్) రోటాక్స్ 582 టూ-స్ట్రోక్ మరియు 80 హెచ్‌పి (60 కిలోవాట్ బేయర్ల్ నుండి డేటా [1] [2] సాధారణ లక్షణాల పనితీరు</v>
      </c>
      <c r="E117" s="1" t="s">
        <v>1056</v>
      </c>
      <c r="F117" s="1" t="str">
        <f>IFERROR(__xludf.DUMMYFUNCTION("GOOGLETRANSLATE(E:E, ""en"", ""te"")"),"అల్ట్రాలైట్ విమానం")</f>
        <v>అల్ట్రాలైట్ విమానం</v>
      </c>
      <c r="G117" s="1" t="s">
        <v>1057</v>
      </c>
      <c r="H117" s="1" t="s">
        <v>246</v>
      </c>
      <c r="I117" s="1" t="str">
        <f>IFERROR(__xludf.DUMMYFUNCTION("GOOGLETRANSLATE(H:H, ""en"", ""te"")"),"చెక్ రిపబ్లిక్")</f>
        <v>చెక్ రిపబ్లిక్</v>
      </c>
      <c r="J117" s="1" t="s">
        <v>247</v>
      </c>
      <c r="K117" s="1" t="s">
        <v>1374</v>
      </c>
      <c r="L117" s="2" t="str">
        <f>IFERROR(__xludf.DUMMYFUNCTION("GOOGLETRANSLATE(K:K, ""en"", ""te"")"),"ATEC V.O.S.")</f>
        <v>ATEC V.O.S.</v>
      </c>
      <c r="M117" s="1" t="s">
        <v>1375</v>
      </c>
      <c r="N117" s="1" t="s">
        <v>584</v>
      </c>
      <c r="O117" s="1" t="str">
        <f>IFERROR(__xludf.DUMMYFUNCTION("GOOGLETRANSLATE(N:N, ""en"", ""te"")"),"ఉత్పత్తిలో")</f>
        <v>ఉత్పత్తిలో</v>
      </c>
      <c r="Q117" s="1" t="s">
        <v>162</v>
      </c>
      <c r="R117" s="1" t="s">
        <v>1728</v>
      </c>
      <c r="S117" s="1" t="s">
        <v>1729</v>
      </c>
      <c r="U117" s="1" t="s">
        <v>1255</v>
      </c>
      <c r="X117" s="1" t="s">
        <v>1730</v>
      </c>
      <c r="Y117" s="1" t="s">
        <v>1731</v>
      </c>
      <c r="Z117" s="1" t="s">
        <v>1358</v>
      </c>
      <c r="AA117" s="1" t="s">
        <v>356</v>
      </c>
      <c r="AI117" s="1" t="s">
        <v>1732</v>
      </c>
      <c r="AJ117" s="1" t="s">
        <v>1259</v>
      </c>
      <c r="AS117" s="1" t="s">
        <v>1496</v>
      </c>
      <c r="AU117" s="1" t="s">
        <v>1733</v>
      </c>
      <c r="BP117" s="1" t="s">
        <v>1397</v>
      </c>
    </row>
    <row r="118">
      <c r="A118" s="1" t="s">
        <v>1734</v>
      </c>
      <c r="B118" s="1" t="str">
        <f>IFERROR(__xludf.DUMMYFUNCTION("GOOGLETRANSLATE(A:A, ""en"", ""te"")"),"అటా క్రూయిజర్")</f>
        <v>అటా క్రూయిజర్</v>
      </c>
      <c r="C118" s="1" t="s">
        <v>1735</v>
      </c>
      <c r="D118" s="1" t="str">
        <f>IFERROR(__xludf.DUMMYFUNCTION("GOOGLETRANSLATE(C:C, ""en"", ""te"")"),"ఆడమ్స్-టోమన్ క్రూయిజర్ 1920 లలో యుఎస్ నిర్మించిన సివిల్ యుటిలిటీ విమానం. ఇది మూడు-సీట్ల, హై-వింగ్ మోనోప్లేన్, పరివేష్టిత క్యాబిన్ మరియు బహుశా గ్రేస్ హార్బర్ యాక్టివియన్ యొక్క వైవిధ్యం. సాధారణ లక్షణాల పనితీరు 1920 ల విమానంలో ఈ వ్యాసం ఒక స్టబ్. వికీపీడియా వ"&amp;"ిస్తరించడం ద్వారా మీరు సహాయపడవచ్చు.")</f>
        <v>ఆడమ్స్-టోమన్ క్రూయిజర్ 1920 లలో యుఎస్ నిర్మించిన సివిల్ యుటిలిటీ విమానం. ఇది మూడు-సీట్ల, హై-వింగ్ మోనోప్లేన్, పరివేష్టిత క్యాబిన్ మరియు బహుశా గ్రేస్ హార్బర్ యాక్టివియన్ యొక్క వైవిధ్యం. సాధారణ లక్షణాల పనితీరు 1920 ల విమానంలో ఈ వ్యాసం ఒక స్టబ్. వికీపీడియా విస్తరించడం ద్వారా మీరు సహాయపడవచ్చు.</v>
      </c>
      <c r="H118" s="1" t="s">
        <v>227</v>
      </c>
      <c r="I118" s="1" t="str">
        <f>IFERROR(__xludf.DUMMYFUNCTION("GOOGLETRANSLATE(H:H, ""en"", ""te"")"),"అమెరికా")</f>
        <v>అమెరికా</v>
      </c>
      <c r="J118" s="3" t="s">
        <v>228</v>
      </c>
      <c r="K118" s="1" t="s">
        <v>1736</v>
      </c>
      <c r="L118" s="2" t="str">
        <f>IFERROR(__xludf.DUMMYFUNCTION("GOOGLETRANSLATE(K:K, ""en"", ""te"")"),"ఆడమ్స్-టోమన్")</f>
        <v>ఆడమ్స్-టోమన్</v>
      </c>
      <c r="Q118" s="1">
        <v>1.0</v>
      </c>
      <c r="R118" s="1" t="s">
        <v>1737</v>
      </c>
      <c r="S118" s="1" t="s">
        <v>1738</v>
      </c>
      <c r="X118" s="1" t="s">
        <v>1739</v>
      </c>
      <c r="Y118" s="1" t="s">
        <v>1740</v>
      </c>
      <c r="AC118" s="1">
        <v>1928.0</v>
      </c>
      <c r="AF118" s="1" t="s">
        <v>1741</v>
      </c>
      <c r="AI118" s="1" t="s">
        <v>1742</v>
      </c>
      <c r="AM118" s="1" t="s">
        <v>637</v>
      </c>
    </row>
    <row r="119">
      <c r="A119" s="1" t="s">
        <v>1743</v>
      </c>
      <c r="B119" s="1" t="str">
        <f>IFERROR(__xludf.DUMMYFUNCTION("GOOGLETRANSLATE(A:A, ""en"", ""te"")"),"మన్ ఎగర్టన్ రకం h")</f>
        <v>మన్ ఎగర్టన్ రకం h</v>
      </c>
      <c r="C119" s="1" t="s">
        <v>1744</v>
      </c>
      <c r="D119" s="1" t="str">
        <f>IFERROR(__xludf.DUMMYFUNCTION("GOOGLETRANSLATE(C:C, ""en"", ""te"")"),"మన్ ఎగర్టన్ రకం హెచ్, మన్ ఎగర్టన్ హెచ్ 2 అని కూడా పిలుస్తారు, ఇది 1910 లలో బ్రిటిష్ ఓడ ద్వారా కలిగే ఫైటర్ విమానం. H రకం మన్ ఎగర్టన్ చేత మొదటి అసలు రూపకల్పన, మరియు దీనిని 1916 లో J W కార్ ఎయిర్ మినిస్ట్రీ స్పెసిఫికేషన్ N.1A కు రూపొందించారు. దీని 2-బే బైప్‌"&amp;"లేన్ రెక్కలను మానవీయంగా ముడుచుకోవచ్చు (ఈ లక్షణం మొదట 1913 లో చిన్న ఫోల్డర్‌లో ప్రవేశపెట్టబడింది) , నావికాదళ పోరాట యోధునిగా ఉపయోగించడం వల్ల. ఇతర లక్షణాలు ఫ్లోటేషన్ గదుల వాడకం మరియు అదనపు తేలిక కోసం ఫ్యూజ్‌లేజ్ యొక్క దిగువ భాగంలో జతచేయబడిన ఫ్లోట్. ఒక ఆవిష్క"&amp;"రణ ఏమిటంటే, విమానం నీటిపైకి రావడానికి అవసరమైతే అండర్ క్యారేజ్ జెట్టిసన్ చేయబడవచ్చు. ఏదేమైనా, శరదృతువు 1917 లో, విమానం విఫలమైన ఫ్లోటేషన్ పరీక్షలు మరియు కొత్త విమాన నమూనా, సింగిల్ బే వింగ్స్‌తో హెచ్ ఎమ్కె టై రకం తీయబడింది. మార్క్ II వెర్షన్‌లో MK I పై పెద్ద"&amp;" ఫ్లోట్ స్థానంలో గాలితో కూడిన ఫ్లోటేషన్ బ్యాగులు ఉన్నాయి, మరింత సాంప్రదాయిక అండర్ క్యారేజ్ మరియు కొమ్ము-సమతుల్య చుక్కాని. ఈ విమానం డిసెంబర్ 1917 లో పరీక్షించబడింది, అయితే ఇది ఫ్లీట్ ఎయిర్ ఆర్మ్‌లో ఉపయోగం కోసం అనర్హమైనదిగా భావించబడింది మరియు మరింత అభివృద్ధ"&amp;"ి నిలిపివేయబడింది. బ్రిటిష్ విమానాల డేటా 1914–18 [1] సాధారణ లక్షణాలు పనితీరు ఆయుధాలు")</f>
        <v>మన్ ఎగర్టన్ రకం హెచ్, మన్ ఎగర్టన్ హెచ్ 2 అని కూడా పిలుస్తారు, ఇది 1910 లలో బ్రిటిష్ ఓడ ద్వారా కలిగే ఫైటర్ విమానం. H రకం మన్ ఎగర్టన్ చేత మొదటి అసలు రూపకల్పన, మరియు దీనిని 1916 లో J W కార్ ఎయిర్ మినిస్ట్రీ స్పెసిఫికేషన్ N.1A కు రూపొందించారు. దీని 2-బే బైప్‌లేన్ రెక్కలను మానవీయంగా ముడుచుకోవచ్చు (ఈ లక్షణం మొదట 1913 లో చిన్న ఫోల్డర్‌లో ప్రవేశపెట్టబడింది) , నావికాదళ పోరాట యోధునిగా ఉపయోగించడం వల్ల. ఇతర లక్షణాలు ఫ్లోటేషన్ గదుల వాడకం మరియు అదనపు తేలిక కోసం ఫ్యూజ్‌లేజ్ యొక్క దిగువ భాగంలో జతచేయబడిన ఫ్లోట్. ఒక ఆవిష్కరణ ఏమిటంటే, విమానం నీటిపైకి రావడానికి అవసరమైతే అండర్ క్యారేజ్ జెట్టిసన్ చేయబడవచ్చు. ఏదేమైనా, శరదృతువు 1917 లో, విమానం విఫలమైన ఫ్లోటేషన్ పరీక్షలు మరియు కొత్త విమాన నమూనా, సింగిల్ బే వింగ్స్‌తో హెచ్ ఎమ్కె టై రకం తీయబడింది. మార్క్ II వెర్షన్‌లో MK I పై పెద్ద ఫ్లోట్ స్థానంలో గాలితో కూడిన ఫ్లోటేషన్ బ్యాగులు ఉన్నాయి, మరింత సాంప్రదాయిక అండర్ క్యారేజ్ మరియు కొమ్ము-సమతుల్య చుక్కాని. ఈ విమానం డిసెంబర్ 1917 లో పరీక్షించబడింది, అయితే ఇది ఫ్లీట్ ఎయిర్ ఆర్మ్‌లో ఉపయోగం కోసం అనర్హమైనదిగా భావించబడింది మరియు మరింత అభివృద్ధి నిలిపివేయబడింది. బ్రిటిష్ విమానాల డేటా 1914–18 [1] సాధారణ లక్షణాలు పనితీరు ఆయుధాలు</v>
      </c>
      <c r="E119" s="1" t="s">
        <v>1745</v>
      </c>
      <c r="F119" s="1" t="str">
        <f>IFERROR(__xludf.DUMMYFUNCTION("GOOGLETRANSLATE(E:E, ""en"", ""te"")"),"షిప్‌బోర్డ్ ఫైటర్")</f>
        <v>షిప్‌బోర్డ్ ఫైటర్</v>
      </c>
      <c r="H119" s="1" t="s">
        <v>1450</v>
      </c>
      <c r="I119" s="1" t="str">
        <f>IFERROR(__xludf.DUMMYFUNCTION("GOOGLETRANSLATE(H:H, ""en"", ""te"")"),"యునైటెడ్ కింగ్‌డమ్")</f>
        <v>యునైటెడ్ కింగ్‌డమ్</v>
      </c>
      <c r="K119" s="1" t="s">
        <v>1746</v>
      </c>
      <c r="L119" s="2" t="str">
        <f>IFERROR(__xludf.DUMMYFUNCTION("GOOGLETRANSLATE(K:K, ""en"", ""te"")"),"మన్ ఎగర్టన్")</f>
        <v>మన్ ఎగర్టన్</v>
      </c>
      <c r="M119" s="1" t="s">
        <v>1747</v>
      </c>
      <c r="Q119" s="1">
        <v>1.0</v>
      </c>
      <c r="R119" s="1" t="s">
        <v>1748</v>
      </c>
      <c r="S119" s="1" t="s">
        <v>1749</v>
      </c>
      <c r="U119" s="1" t="s">
        <v>1750</v>
      </c>
      <c r="X119" s="1" t="s">
        <v>1751</v>
      </c>
      <c r="Y119" s="1" t="s">
        <v>1752</v>
      </c>
      <c r="AB119" s="1" t="s">
        <v>1753</v>
      </c>
      <c r="AD119" s="1" t="s">
        <v>1754</v>
      </c>
      <c r="AE119" s="1">
        <v>2.0</v>
      </c>
      <c r="AF119" s="1" t="s">
        <v>1755</v>
      </c>
      <c r="AG119" s="1" t="s">
        <v>1756</v>
      </c>
      <c r="AI119" s="1" t="s">
        <v>1757</v>
      </c>
      <c r="AQ119" s="1" t="s">
        <v>1758</v>
      </c>
      <c r="BK119" s="1" t="s">
        <v>1759</v>
      </c>
      <c r="BP119" s="1" t="s">
        <v>1760</v>
      </c>
    </row>
    <row r="120">
      <c r="A120" s="1" t="s">
        <v>1761</v>
      </c>
      <c r="B120" s="1" t="str">
        <f>IFERROR(__xludf.DUMMYFUNCTION("GOOGLETRANSLATE(A:A, ""en"", ""te"")"),"యాకోవ్లెవ్ యాక్ -43")</f>
        <v>యాకోవ్లెవ్ యాక్ -43</v>
      </c>
      <c r="C120" s="1" t="s">
        <v>1762</v>
      </c>
      <c r="D120" s="1" t="str">
        <f>IFERROR(__xludf.DUMMYFUNCTION("GOOGLETRANSLATE(C:C, ""en"", ""te"")"),"యాకోవ్లెవ్ యాక్ -43 అనేది సోవియట్ VTOL (నిలువు టేకాఫ్ మరియు ల్యాండింగ్) ఫైటర్, ఇది ఉత్పత్తిని చేరుకోలేకపోయింది, ఇది దురదృష్టకరమైన యాకోవ్లెవ్ యాక్ -141 యొక్క గ్రౌండ్-బేస్డ్ వెర్షన్‌గా రూపొందించబడింది. యాక్ -141 మాదిరిగా, YAK-43 ఉత్పత్తికి చేరుకోలేదు. [1] Y"&amp;"AK-43 మూడవ తరం VTOL/STOL ఫైటర్, అనుసరించడానికి మరియు చివరికి YAK-141 ను భర్తీ చేస్తుంది. [1] [2] YAK-141 మాదిరిగానే, YAK-43 లో ఒకే ప్రధాన ఇంజిన్, అలాగే రెండు అంకితమైన నిలువు-లిఫ్ట్ ఇంజన్లు మాత్రమే ఉండేవి. ప్రధాన ఇంజిన్ 24,980 కిలోల (55,077 పౌండ్లు) టేకాఫ్"&amp;" రేటింగ్‌తో సమారా ఎన్‌కె -321 త్రీ-షాఫ్ట్ ఆగ్మెంటెడ్ టర్బోఫాన్ ఆధారంగా ఉండేది. టుపోలెవ్ తు -160 బ్లాక్జాక్ బాంబర్‌కు శక్తినిచ్చేలా ఇదే ఇంజిన్ ఉపయోగించబడుతుంది. ఇంజిన్ ముక్కులో ఉన్న సహాయక దహన గదికి దారితీసే పెద్ద గాలి రక్తస్రావం ఉండేది, అయినప్పటికీ ప్రత్యే"&amp;"క లిఫ్ట్ జెట్ అలాగే ఉండేది. [1] YAK-43 ప్రాజెక్ట్ విజయవంతం కాన తరువాత, సూపర్సోనిక్ VTOL విమానం కోసం మరొక ప్రయత్నం జరిగింది. కానీ వారసుడు కూడా, YAK-20101 డ్రాయింగ్ బోర్డ్‌ను విడిచిపెట్టలేదు. పోల్చదగిన పాత్ర, కాన్ఫిగరేషన్ మరియు యుగం యొక్క సంబంధిత అభివృద్ధి "&amp;"విమానం")</f>
        <v>యాకోవ్లెవ్ యాక్ -43 అనేది సోవియట్ VTOL (నిలువు టేకాఫ్ మరియు ల్యాండింగ్) ఫైటర్, ఇది ఉత్పత్తిని చేరుకోలేకపోయింది, ఇది దురదృష్టకరమైన యాకోవ్లెవ్ యాక్ -141 యొక్క గ్రౌండ్-బేస్డ్ వెర్షన్‌గా రూపొందించబడింది. యాక్ -141 మాదిరిగా, YAK-43 ఉత్పత్తికి చేరుకోలేదు. [1] YAK-43 మూడవ తరం VTOL/STOL ఫైటర్, అనుసరించడానికి మరియు చివరికి YAK-141 ను భర్తీ చేస్తుంది. [1] [2] YAK-141 మాదిరిగానే, YAK-43 లో ఒకే ప్రధాన ఇంజిన్, అలాగే రెండు అంకితమైన నిలువు-లిఫ్ట్ ఇంజన్లు మాత్రమే ఉండేవి. ప్రధాన ఇంజిన్ 24,980 కిలోల (55,077 పౌండ్లు) టేకాఫ్ రేటింగ్‌తో సమారా ఎన్‌కె -321 త్రీ-షాఫ్ట్ ఆగ్మెంటెడ్ టర్బోఫాన్ ఆధారంగా ఉండేది. టుపోలెవ్ తు -160 బ్లాక్జాక్ బాంబర్‌కు శక్తినిచ్చేలా ఇదే ఇంజిన్ ఉపయోగించబడుతుంది. ఇంజిన్ ముక్కులో ఉన్న సహాయక దహన గదికి దారితీసే పెద్ద గాలి రక్తస్రావం ఉండేది, అయినప్పటికీ ప్రత్యేక లిఫ్ట్ జెట్ అలాగే ఉండేది. [1] YAK-43 ప్రాజెక్ట్ విజయవంతం కాన తరువాత, సూపర్సోనిక్ VTOL విమానం కోసం మరొక ప్రయత్నం జరిగింది. కానీ వారసుడు కూడా, YAK-20101 డ్రాయింగ్ బోర్డ్‌ను విడిచిపెట్టలేదు. పోల్చదగిన పాత్ర, కాన్ఫిగరేషన్ మరియు యుగం యొక్క సంబంధిత అభివృద్ధి విమానం</v>
      </c>
      <c r="E120" s="1" t="s">
        <v>1763</v>
      </c>
      <c r="F120" s="1" t="str">
        <f>IFERROR(__xludf.DUMMYFUNCTION("GOOGLETRANSLATE(E:E, ""en"", ""te"")"),"Vstol ఫైటర్")</f>
        <v>Vstol ఫైటర్</v>
      </c>
      <c r="G120" s="1" t="s">
        <v>1764</v>
      </c>
      <c r="H120" s="1" t="s">
        <v>1036</v>
      </c>
      <c r="I120" s="1" t="str">
        <f>IFERROR(__xludf.DUMMYFUNCTION("GOOGLETRANSLATE(H:H, ""en"", ""te"")"),"సోవియట్ యూనియన్")</f>
        <v>సోవియట్ యూనియన్</v>
      </c>
      <c r="J120" s="1" t="s">
        <v>1037</v>
      </c>
      <c r="K120" s="1" t="s">
        <v>1765</v>
      </c>
      <c r="L120" s="2" t="str">
        <f>IFERROR(__xludf.DUMMYFUNCTION("GOOGLETRANSLATE(K:K, ""en"", ""te"")"),"యాకోవ్లెవ్")</f>
        <v>యాకోవ్లెవ్</v>
      </c>
      <c r="M120" s="3" t="s">
        <v>1766</v>
      </c>
      <c r="N120" s="1" t="s">
        <v>1767</v>
      </c>
      <c r="O120" s="1" t="str">
        <f>IFERROR(__xludf.DUMMYFUNCTION("GOOGLETRANSLATE(N:N, ""en"", ""te"")"),"ప్రాజెక్ట్ మాత్రమే")</f>
        <v>ప్రాజెక్ట్ మాత్రమే</v>
      </c>
      <c r="AE120" s="1" t="s">
        <v>566</v>
      </c>
      <c r="AL120" s="1" t="s">
        <v>1768</v>
      </c>
    </row>
    <row r="121">
      <c r="A121" s="1" t="s">
        <v>1769</v>
      </c>
      <c r="B121" s="1" t="str">
        <f>IFERROR(__xludf.DUMMYFUNCTION("GOOGLETRANSLATE(A:A, ""en"", ""te"")"),"మిత్సుబిషి కి -33")</f>
        <v>మిత్సుబిషి కి -33</v>
      </c>
      <c r="C121" s="1" t="s">
        <v>1770</v>
      </c>
      <c r="D121" s="1" t="str">
        <f>IFERROR(__xludf.DUMMYFUNCTION("GOOGLETRANSLATE(C:C, ""en"", ""te"")"),"మిత్సుబిషి కి -33 (キ 33, కి-సంజన్) జపనీస్ ఇంపీరియల్ సైన్యం కోసం రూపొందించిన ఒక ప్రయోగాత్మక మోనోప్లేన్ ఫైటర్ విమానం. 1936 లో రెండు ప్రోటోటైప్‌లు ప్రయాణించాయి, కాని డిజైన్ ఎప్పుడూ ఉత్పత్తిలోకి ప్రవేశించలేదు. ఇప్పటికే ఉన్న కవాసాకి కి -10 బిప్‌లేన్ స్థానంలో ఫ"&amp;"ైటర్ కోసం జపనీస్ ఆర్మీ స్పెసిఫికేషన్లకు ప్రతిస్పందనగా KI-33 ను మొదట మిత్సుబిషి నిర్మించారు. 1935 మధ్యలో కవాసాకి, మిత్సుబిషి మరియు నకాజిమాకు పోటీ ప్రోటోటైప్‌లను నిర్మించాలని ఆదేశించారు. మిత్సుబిషి, KA-14 ను A5M ఫైటర్‌లోకి మెరుగుపరచడం మరియు ఇంపీరియల్ జపనీస్"&amp;" నావికాదళం కోసం సిరీస్ ఉత్పత్తి కోసం G3M బాంబర్‌ను స్వీకరించడం, మొదటి నుండి మరొక ఫైటర్‌ను అభివృద్ధి చేయడానికి తగిన డిజైన్ సామర్థ్యం లేదు, అందువల్ల దాని మునుపటి మరియు విజయవంతం కాని KI-18 రూపకల్పనను సమర్పించింది, తులనాత్మకంగా చిన్న మార్పులతో, KI-18 మంచి ఫైట"&amp;"ర్ విమానం అని నిరూపించబడింది మరియు దాని తిరస్కరణకు కారణాలు నాణ్యత కంటే సూత్రాలపై ఆధారపడి ఉన్నాయి. [1] మిత్సుబిషి కి -33 అని లేబుల్ చేయబడిన, సవరించిన డిజైన్‌ను నాకాజిమా హా -1-కో ఇంజిన్ 555 కిలోవాట్ (744 హెచ్‌పి) వద్ద 3,700 మీ (12,140 అడుగులు) వద్ద రేట్ చేస"&amp;"ింది. ఒక వెనుక-స్లైడింగ్ పందిరి జోడించబడింది, వెనుక ఫ్యూజ్‌లేజ్ డెక్కింగ్ పెంచబడింది మరియు నిలువు తోక ఉపరితలాలు సవరించబడ్డాయి. 1936 వేసవి ప్రారంభంలో ప్రోటోటైప్‌లు పూర్తయ్యాయి. నవంబర్ 1936 నుండి 1937 వసంతకాలం వరకు సేవా ప్రయత్నాలు కవాసాకి కి -28 ముగ్గురు పో"&amp;"టీదారులలో వేగవంతమైనదని నిరూపించింది, [2] కానీ నకాజిమా కి -27 చాలా ఎక్కువ యుక్తి, మరియు ఈ ప్రాతిపదికన ఇంపీరియల్ జపనీస్ ఆర్మీ వైమానిక దళం ఎంపిక చేయబడింది. [3] [4] ప్రపంచంలోని ప్రసిద్ధ విమానాల నుండి డేటా #76: ఆర్మీ ప్రయోగాత్మక యోధులు [5] సాధారణ లక్షణాలు పనిత"&amp;"ీరు ఆయుధ సంబంధిత అభివృద్ధి సంబంధిత జాబితాలు")</f>
        <v>మిత్సుబిషి కి -33 (キ 33, కి-సంజన్) జపనీస్ ఇంపీరియల్ సైన్యం కోసం రూపొందించిన ఒక ప్రయోగాత్మక మోనోప్లేన్ ఫైటర్ విమానం. 1936 లో రెండు ప్రోటోటైప్‌లు ప్రయాణించాయి, కాని డిజైన్ ఎప్పుడూ ఉత్పత్తిలోకి ప్రవేశించలేదు. ఇప్పటికే ఉన్న కవాసాకి కి -10 బిప్‌లేన్ స్థానంలో ఫైటర్ కోసం జపనీస్ ఆర్మీ స్పెసిఫికేషన్లకు ప్రతిస్పందనగా KI-33 ను మొదట మిత్సుబిషి నిర్మించారు. 1935 మధ్యలో కవాసాకి, మిత్సుబిషి మరియు నకాజిమాకు పోటీ ప్రోటోటైప్‌లను నిర్మించాలని ఆదేశించారు. మిత్సుబిషి, KA-14 ను A5M ఫైటర్‌లోకి మెరుగుపరచడం మరియు ఇంపీరియల్ జపనీస్ నావికాదళం కోసం సిరీస్ ఉత్పత్తి కోసం G3M బాంబర్‌ను స్వీకరించడం, మొదటి నుండి మరొక ఫైటర్‌ను అభివృద్ధి చేయడానికి తగిన డిజైన్ సామర్థ్యం లేదు, అందువల్ల దాని మునుపటి మరియు విజయవంతం కాని KI-18 రూపకల్పనను సమర్పించింది, తులనాత్మకంగా చిన్న మార్పులతో, KI-18 మంచి ఫైటర్ విమానం అని నిరూపించబడింది మరియు దాని తిరస్కరణకు కారణాలు నాణ్యత కంటే సూత్రాలపై ఆధారపడి ఉన్నాయి. [1] మిత్సుబిషి కి -33 అని లేబుల్ చేయబడిన, సవరించిన డిజైన్‌ను నాకాజిమా హా -1-కో ఇంజిన్ 555 కిలోవాట్ (744 హెచ్‌పి) వద్ద 3,700 మీ (12,140 అడుగులు) వద్ద రేట్ చేసింది. ఒక వెనుక-స్లైడింగ్ పందిరి జోడించబడింది, వెనుక ఫ్యూజ్‌లేజ్ డెక్కింగ్ పెంచబడింది మరియు నిలువు తోక ఉపరితలాలు సవరించబడ్డాయి. 1936 వేసవి ప్రారంభంలో ప్రోటోటైప్‌లు పూర్తయ్యాయి. నవంబర్ 1936 నుండి 1937 వసంతకాలం వరకు సేవా ప్రయత్నాలు కవాసాకి కి -28 ముగ్గురు పోటీదారులలో వేగవంతమైనదని నిరూపించింది, [2] కానీ నకాజిమా కి -27 చాలా ఎక్కువ యుక్తి, మరియు ఈ ప్రాతిపదికన ఇంపీరియల్ జపనీస్ ఆర్మీ వైమానిక దళం ఎంపిక చేయబడింది. [3] [4] ప్రపంచంలోని ప్రసిద్ధ విమానాల నుండి డేటా #76: ఆర్మీ ప్రయోగాత్మక యోధులు [5] సాధారణ లక్షణాలు పనితీరు ఆయుధ సంబంధిత అభివృద్ధి సంబంధిత జాబితాలు</v>
      </c>
      <c r="E121" s="1" t="s">
        <v>1771</v>
      </c>
      <c r="F121" s="1" t="str">
        <f>IFERROR(__xludf.DUMMYFUNCTION("GOOGLETRANSLATE(E:E, ""en"", ""te"")"),"ప్రయోగాత్మక ఫైటర్ విమానం")</f>
        <v>ప్రయోగాత్మక ఫైటర్ విమానం</v>
      </c>
      <c r="K121" s="1" t="s">
        <v>1523</v>
      </c>
      <c r="L121" s="2" t="str">
        <f>IFERROR(__xludf.DUMMYFUNCTION("GOOGLETRANSLATE(K:K, ""en"", ""te"")"),"మిత్సుబిషి హెవీ ఇండస్ట్రీస్, లిమిటెడ్")</f>
        <v>మిత్సుబిషి హెవీ ఇండస్ట్రీస్, లిమిటెడ్</v>
      </c>
      <c r="M121" s="1" t="s">
        <v>1524</v>
      </c>
      <c r="Q121" s="1">
        <v>1.0</v>
      </c>
      <c r="R121" s="1" t="s">
        <v>218</v>
      </c>
      <c r="S121" s="1" t="s">
        <v>1525</v>
      </c>
      <c r="U121" s="1" t="s">
        <v>1772</v>
      </c>
      <c r="X121" s="1" t="s">
        <v>1773</v>
      </c>
      <c r="AB121" s="1" t="s">
        <v>1774</v>
      </c>
      <c r="AD121" s="1">
        <v>1936.0</v>
      </c>
      <c r="AE121" s="1">
        <v>2.0</v>
      </c>
      <c r="AF121" s="1" t="s">
        <v>1775</v>
      </c>
      <c r="AG121" s="1" t="s">
        <v>1776</v>
      </c>
      <c r="AI121" s="1" t="s">
        <v>1777</v>
      </c>
      <c r="AJ121" s="1" t="s">
        <v>1778</v>
      </c>
      <c r="AL121" s="1" t="s">
        <v>1779</v>
      </c>
      <c r="AR121" s="1" t="s">
        <v>1780</v>
      </c>
      <c r="AU121" s="1" t="s">
        <v>1262</v>
      </c>
      <c r="BN121" s="1" t="s">
        <v>1781</v>
      </c>
      <c r="BP121" s="1" t="s">
        <v>1782</v>
      </c>
      <c r="BS121" s="1" t="s">
        <v>1783</v>
      </c>
      <c r="CZ121" s="1" t="s">
        <v>1538</v>
      </c>
      <c r="DA121" s="1" t="s">
        <v>1784</v>
      </c>
      <c r="DF121" s="1" t="s">
        <v>1540</v>
      </c>
    </row>
    <row r="122">
      <c r="A122" s="1" t="s">
        <v>1785</v>
      </c>
      <c r="B122" s="1" t="str">
        <f>IFERROR(__xludf.DUMMYFUNCTION("GOOGLETRANSLATE(A:A, ""en"", ""te"")"),"మొరాన్-సాల్నియర్ అన్")</f>
        <v>మొరాన్-సాల్నియర్ అన్</v>
      </c>
      <c r="C122" s="1" t="s">
        <v>1786</v>
      </c>
      <c r="D122" s="1" t="str">
        <f>IFERROR(__xludf.DUMMYFUNCTION("GOOGLETRANSLATE(C:C, ""en"", ""te"")"),"మొరాన్-సాల్నియర్ AN లేదా MOS.31 C.2 అనేది 1910 లలో ఒక ఫ్రెంచ్ రెండు సీట్ల ఫైటర్ ప్రోటోటైప్, దీని ఫలితంగా అనేక ఇతర విజయవంతం కాని మొరాన్-సాల్నియర్ ప్రోటోటైప్‌లు అభివృద్ధి చెందాయి. 1918 చివరలో పూర్తయిన, AN అనేది రెండు సీట్ల ఫైటర్, ఇది అసాధారణమైన బుగట్టి U-16"&amp;" ఇంజిన్‌ను ఉపయోగించడానికి రూపొందించబడింది. పెద్దది మరియు సమాన స్పాన్ రెక్కలతో, ఇది మోనోకోక్ ఫ్యూజ్‌లేజ్‌తో రెండు-బే బైప్‌లేన్. మొట్టమొదట అక్టోబర్ 1918 చివరలో పరీక్షించబడింది, AN ను SEA 4 మరియు బ్రెగెట్ 17 చేత ఉత్తమంగా ఉన్నాయి, ఇది ముఖ్యంగా ఆరోహణ రేటు పరంగ"&amp;"ా పోటీ పడుతోంది, అయితే ఇది అనేక వేరియంట్లు అభివృద్ధి చేయబడిందని తగిన వాగ్దానం చూపించింది. ఇది ఉత్పత్తిలోకి ఆదేశించబడింది, కాని సముద్రం మరియు బ్రెగెట్ అప్పటికే సేవలో ప్రవేశిస్తున్నందున మరియు మొదటి ప్రపంచ యుద్ధం ముగింపు ఉత్పత్తి అవసరాలను ముగించడంతో సేవలోకి "&amp;"ప్రవేశించలేదు. సాధారణ లక్షణాలు")</f>
        <v>మొరాన్-సాల్నియర్ AN లేదా MOS.31 C.2 అనేది 1910 లలో ఒక ఫ్రెంచ్ రెండు సీట్ల ఫైటర్ ప్రోటోటైప్, దీని ఫలితంగా అనేక ఇతర విజయవంతం కాని మొరాన్-సాల్నియర్ ప్రోటోటైప్‌లు అభివృద్ధి చెందాయి. 1918 చివరలో పూర్తయిన, AN అనేది రెండు సీట్ల ఫైటర్, ఇది అసాధారణమైన బుగట్టి U-16 ఇంజిన్‌ను ఉపయోగించడానికి రూపొందించబడింది. పెద్దది మరియు సమాన స్పాన్ రెక్కలతో, ఇది మోనోకోక్ ఫ్యూజ్‌లేజ్‌తో రెండు-బే బైప్‌లేన్. మొట్టమొదట అక్టోబర్ 1918 చివరలో పరీక్షించబడింది, AN ను SEA 4 మరియు బ్రెగెట్ 17 చేత ఉత్తమంగా ఉన్నాయి, ఇది ముఖ్యంగా ఆరోహణ రేటు పరంగా పోటీ పడుతోంది, అయితే ఇది అనేక వేరియంట్లు అభివృద్ధి చేయబడిందని తగిన వాగ్దానం చూపించింది. ఇది ఉత్పత్తిలోకి ఆదేశించబడింది, కాని సముద్రం మరియు బ్రెగెట్ అప్పటికే సేవలో ప్రవేశిస్తున్నందున మరియు మొదటి ప్రపంచ యుద్ధం ముగింపు ఉత్పత్తి అవసరాలను ముగించడంతో సేవలోకి ప్రవేశించలేదు. సాధారణ లక్షణాలు</v>
      </c>
      <c r="E122" s="1" t="s">
        <v>724</v>
      </c>
      <c r="F122" s="1" t="str">
        <f>IFERROR(__xludf.DUMMYFUNCTION("GOOGLETRANSLATE(E:E, ""en"", ""te"")"),"యుద్ధ")</f>
        <v>యుద్ధ</v>
      </c>
      <c r="H122" s="1" t="s">
        <v>208</v>
      </c>
      <c r="I122" s="1" t="str">
        <f>IFERROR(__xludf.DUMMYFUNCTION("GOOGLETRANSLATE(H:H, ""en"", ""te"")"),"ఫ్రాన్స్")</f>
        <v>ఫ్రాన్స్</v>
      </c>
      <c r="K122" s="1" t="s">
        <v>1708</v>
      </c>
      <c r="L122" s="2" t="str">
        <f>IFERROR(__xludf.DUMMYFUNCTION("GOOGLETRANSLATE(K:K, ""en"", ""te"")"),"మొరాన్-సాల్నియర్")</f>
        <v>మొరాన్-సాల్నియర్</v>
      </c>
      <c r="M122" s="3" t="s">
        <v>1709</v>
      </c>
      <c r="Q122" s="1">
        <v>1.0</v>
      </c>
      <c r="R122" s="1" t="s">
        <v>1787</v>
      </c>
      <c r="S122" s="1" t="s">
        <v>1788</v>
      </c>
      <c r="U122" s="1" t="s">
        <v>1789</v>
      </c>
      <c r="W122" s="1" t="s">
        <v>1790</v>
      </c>
      <c r="Y122" s="1" t="s">
        <v>1791</v>
      </c>
      <c r="AD122" s="4">
        <v>6875.0</v>
      </c>
      <c r="AF122" s="1" t="s">
        <v>1792</v>
      </c>
      <c r="AG122" s="1" t="s">
        <v>1793</v>
      </c>
      <c r="AI122" s="1" t="s">
        <v>1794</v>
      </c>
      <c r="AL122" s="1" t="s">
        <v>1795</v>
      </c>
    </row>
    <row r="123">
      <c r="A123" s="1" t="s">
        <v>1796</v>
      </c>
      <c r="B123" s="1" t="str">
        <f>IFERROR(__xludf.DUMMYFUNCTION("GOOGLETRANSLATE(A:A, ""en"", ""te"")"),"అన్బో VI")</f>
        <v>అన్బో VI</v>
      </c>
      <c r="C123" s="1" t="s">
        <v>1797</v>
      </c>
      <c r="D123" s="1" t="str">
        <f>IFERROR(__xludf.DUMMYFUNCTION("GOOGLETRANSLATE(C:C, ""en"", ""te"")"),"అన్బో VI అనేది పారాసోల్-వింగ్ మోనోప్లేన్, ఇది లిథువేనియన్ సైన్యం కోసం 1933 లో అన్బో III ఆధారంగా శిక్షకుడిగా రూపొందించబడింది. ఇది సవరించిన ల్యాండింగ్ గేర్ మరియు మరింత శక్తివంతమైన ఇంజిన్ కలిగి ఉంది. సాధారణ లక్షణాల పనితీరు")</f>
        <v>అన్బో VI అనేది పారాసోల్-వింగ్ మోనోప్లేన్, ఇది లిథువేనియన్ సైన్యం కోసం 1933 లో అన్బో III ఆధారంగా శిక్షకుడిగా రూపొందించబడింది. ఇది సవరించిన ల్యాండింగ్ గేర్ మరియు మరింత శక్తివంతమైన ఇంజిన్ కలిగి ఉంది. సాధారణ లక్షణాల పనితీరు</v>
      </c>
      <c r="E123" s="1" t="s">
        <v>978</v>
      </c>
      <c r="F123" s="1" t="str">
        <f>IFERROR(__xludf.DUMMYFUNCTION("GOOGLETRANSLATE(E:E, ""en"", ""te"")"),"మిలిటరీ ట్రైనర్")</f>
        <v>మిలిటరీ ట్రైనర్</v>
      </c>
      <c r="K123" s="1" t="s">
        <v>1798</v>
      </c>
      <c r="L123" s="2" t="str">
        <f>IFERROR(__xludf.DUMMYFUNCTION("GOOGLETRANSLATE(K:K, ""en"", ""te"")"),"కరో ఏవియాసిజోస్ టైకిమో స్కైయస్")</f>
        <v>కరో ఏవియాసిజోస్ టైకిమో స్కైయస్</v>
      </c>
      <c r="M123" s="1" t="s">
        <v>1799</v>
      </c>
      <c r="Q123" s="1" t="s">
        <v>1800</v>
      </c>
      <c r="R123" s="1" t="s">
        <v>1801</v>
      </c>
      <c r="S123" s="1" t="s">
        <v>1802</v>
      </c>
      <c r="U123" s="1" t="s">
        <v>1803</v>
      </c>
      <c r="AB123" s="1" t="s">
        <v>1804</v>
      </c>
      <c r="AD123" s="1">
        <v>1933.0</v>
      </c>
      <c r="AE123" s="1">
        <v>4.0</v>
      </c>
      <c r="AF123" s="1" t="s">
        <v>1805</v>
      </c>
      <c r="AI123" s="1" t="s">
        <v>1806</v>
      </c>
      <c r="AL123" s="1" t="s">
        <v>1807</v>
      </c>
      <c r="AQ123" s="1" t="s">
        <v>1808</v>
      </c>
      <c r="BS123" s="1" t="s">
        <v>1809</v>
      </c>
    </row>
    <row r="124">
      <c r="A124" s="1" t="s">
        <v>1810</v>
      </c>
      <c r="B124" s="1" t="str">
        <f>IFERROR(__xludf.DUMMYFUNCTION("GOOGLETRANSLATE(A:A, ""en"", ""te"")"),"Ancec iii")</f>
        <v>Ancec iii</v>
      </c>
      <c r="C124" s="1" t="s">
        <v>1811</v>
      </c>
      <c r="D124" s="1" t="str">
        <f>IFERROR(__xludf.DUMMYFUNCTION("GOOGLETRANSLATE(C:C, ""en"", ""te"")"),"ANEC III 1920 ల బ్రిటిష్ ఆరు సీట్ల ప్రయాణీకుడు మరియు మెయిల్ క్యారియర్ విమానం, ఇది సర్రేలోని యాడ్ల్స్టోన్ వద్ద ఎయిర్ నావిగేషన్ అండ్ ఇంజనీరింగ్ కంపెనీ లిమిటెడ్ నిర్మించింది. ఆస్ట్రేలియన్ కంపెనీ లార్కిన్ ఎయిర్క్రాఫ్ట్ సప్లై కంపెనీ లిమిటెడ్ కోసం ప్రయాణీకుడు మ"&amp;"రియు మెయిల్ క్యారియర్ యొక్క అవసరాన్ని అనుసరించి, జార్జ్ హెచ్. హండాసైడ్ రూపొందించిన మోనోప్లేన్ విమానాల కోసం ఒక ఉత్తర్వును హందసీడ్ హెచ్ 2 అని పిలుస్తారు. హండసీడ్, వారి స్వంత ఫ్యాక్టరీ లేరు, వారి తరపున విమానాలను నిర్మించడానికి ఎయిర్ నావిగేషన్ మరియు ఇంజనీరింగ"&amp;"్ ఒప్పందం కుదుర్చుకుంది. లార్కిన్ H.2 మోనోప్లేన్ ఆస్ట్రేలియా యొక్క వేడిలో పనిచేయలేదని నిర్ణయించుకున్నాడు మరియు కొత్త విమానాలను A.N.E.C. కు సరఫరా చేయడానికి ఒప్పందాన్ని బదిలీ చేశాడు. మూడు వృత్తాంతం III విమానం నిర్మించబడింది. కొత్త డిజైన్ రోల్స్ రాయిస్ ఈగిల్"&amp;" IX ఇంజిన్‌తో అసమాన-స్పాన్ బిప్‌లేన్. పైలట్ మెయిల్ కంపార్ట్మెంట్ పైన ఓపెన్‌లో కూర్చున్నాడు, ఆరుగురు ప్రయాణీకులకు లేదా ఫ్యూజ్‌లేజ్ లోపల సరుకుకు స్థలం ఉంది. మొదటి విమానం 23 మార్చి 1926 న బ్రూక్లాండ్స్ వద్ద ఆస్ట్రేలియన్ రిజిస్ట్రేషన్ జి-అయెజ్‌తో ప్రయాణించింద"&amp;"ి. మూడు విమానాలను క్రేటెడ్ చేసి ఆస్ట్రేలియాకు రవాణా చేశారు మరియు లార్కిన్ యొక్క ఆపరేటింగ్ అనుబంధ సంస్థ ఆస్ట్రేలియన్ వైమానిక సేవలచే నిర్వహించబడ్డాయి. ఈ విమానం డైమండ్ బర్డ్, శాటిన్ బర్డ్ మరియు లవ్ బర్డ్ అని పేరు పెట్టారు. మూడు విమానాలు చాలా సంవత్సరాలు స్టెర"&amp;"్లింగ్ సేవలను ఇచ్చాయి మరియు ఆస్ట్రేలియన్ అవుట్‌బ్యాక్‌లో అనేక ముఖ్యమైన విమానాలు చేశాయి. మొట్టమొదట 21 మే 1927 న నమోదు చేయబడిన, శాటిన్ బర్డ్ ను సంపన్న గొర్రె యజమాని విలియం ఆలివర్ మరియు అతని పార్టీ అదే సంవత్సరం సెంట్రల్ ఆస్ట్రేలియాలో పర్యటించడానికి ఉపయోగించా"&amp;"రు, ఓడ్నాడట్టా, ఆలిస్ స్ప్రింగ్స్, ఫరీనా, మేరీ, షార్లెట్ వాటర్స్ మరియు సింప్సన్స్ గ్యాప్ వద్ద ఆగిపోయారు. శాటిన్ బర్డ్ 27 డిసెంబర్ 1927 న హే వద్ద కూలిపోయింది మరియు 1929 వరకు నిష్క్రియాత్మకంగా ఉంది, ఇది విమాన రిజిస్ట్రీ నుండి అధికారికంగా కొట్టింది. 1928 లో "&amp;"మిగిలిన రెండు విమానాలు సేవ నుండి ఉపసంహరించబడ్డాయి. రెండు విమానాలు 11-సీటర్లుగా (ఇద్దరు పైలట్లు ప్లస్ తొమ్మిది మంది ప్రయాణీకులు, లేదా ఇంధనం మరియు సరుకు యొక్క సమానమైన బరువు) మరియు మరింత శక్తివంతమైన 485 హెచ్‌పి (362 కిలోవాట్ తిరిగి ఇంజిన్ చేసిన విమానం గంటకు "&amp;"140 కిమీ వద్ద 700 కిలోమీటర్ల ఆపరేటింగ్ పరిధిని కలిగి ఉంది. [2] మార్చబడిన విమానాన్ని లాస్కో లాస్కౌల్ అని పిలుస్తారు. ఆస్ట్రేలియన్ ఎక్స్‌ప్లోరర్ డోనాల్డ్ మాకే నేతృత్వంలోని వైమానిక సర్వే యాత్ర ద్వారా డైమండ్ బర్డ్ మరియు లవ్ బర్డ్ అనే అసలు పేర్లను ఇప్పటికీ నిల"&amp;"ుపుకున్న రెండు విమానాలు. సెంట్రల్ ఆస్ట్రేలియాపై 67,000 చదరపు మైలు (170,000 కిమీ 2) సర్వేను నిర్వహించడానికి ఈ యాత్ర 23 మే 1930 న బయలుదేరింది. రెండు విమానాలు జూలై 1930 లో ప్రమాదం లేకుండా మెల్బోర్న్కు తిరిగి వచ్చాయి, ప్రతి ఒక్కటి 300 గంటలకు పైగా ఎగిరిపోయాయి."&amp;" రెండు విమానాలను మెల్బోర్న్ మరియు సిడ్నీ మధ్య ఒక సేవలో ఉపయోగించారు. లవ్ బర్డ్ 14 జూలై 1931 న టెమోరాలో క్రాష్ అయ్యింది మరియు దాని ఫలితంగా మంటల్లో నాశనం చేయబడింది. చివరి విమాన డైమండ్ బర్డ్ జూన్ 1932 లో రిటైర్ అయ్యింది మరియు తరువాత రద్దు చేయబడింది. లెస్ ఐల్స"&amp;"్, ఏప్రిల్ 1926 నుండి డేటా. [3] పనితీరు లెక్కించింది. సాధారణ లక్షణాలు పనితీరు")</f>
        <v>ANEC III 1920 ల బ్రిటిష్ ఆరు సీట్ల ప్రయాణీకుడు మరియు మెయిల్ క్యారియర్ విమానం, ఇది సర్రేలోని యాడ్ల్స్టోన్ వద్ద ఎయిర్ నావిగేషన్ అండ్ ఇంజనీరింగ్ కంపెనీ లిమిటెడ్ నిర్మించింది. ఆస్ట్రేలియన్ కంపెనీ లార్కిన్ ఎయిర్క్రాఫ్ట్ సప్లై కంపెనీ లిమిటెడ్ కోసం ప్రయాణీకుడు మరియు మెయిల్ క్యారియర్ యొక్క అవసరాన్ని అనుసరించి, జార్జ్ హెచ్. హండాసైడ్ రూపొందించిన మోనోప్లేన్ విమానాల కోసం ఒక ఉత్తర్వును హందసీడ్ హెచ్ 2 అని పిలుస్తారు. హండసీడ్, వారి స్వంత ఫ్యాక్టరీ లేరు, వారి తరపున విమానాలను నిర్మించడానికి ఎయిర్ నావిగేషన్ మరియు ఇంజనీరింగ్ ఒప్పందం కుదుర్చుకుంది. లార్కిన్ H.2 మోనోప్లేన్ ఆస్ట్రేలియా యొక్క వేడిలో పనిచేయలేదని నిర్ణయించుకున్నాడు మరియు కొత్త విమానాలను A.N.E.C. కు సరఫరా చేయడానికి ఒప్పందాన్ని బదిలీ చేశాడు. మూడు వృత్తాంతం III విమానం నిర్మించబడింది. కొత్త డిజైన్ రోల్స్ రాయిస్ ఈగిల్ IX ఇంజిన్‌తో అసమాన-స్పాన్ బిప్‌లేన్. పైలట్ మెయిల్ కంపార్ట్మెంట్ పైన ఓపెన్‌లో కూర్చున్నాడు, ఆరుగురు ప్రయాణీకులకు లేదా ఫ్యూజ్‌లేజ్ లోపల సరుకుకు స్థలం ఉంది. మొదటి విమానం 23 మార్చి 1926 న బ్రూక్లాండ్స్ వద్ద ఆస్ట్రేలియన్ రిజిస్ట్రేషన్ జి-అయెజ్‌తో ప్రయాణించింది. మూడు విమానాలను క్రేటెడ్ చేసి ఆస్ట్రేలియాకు రవాణా చేశారు మరియు లార్కిన్ యొక్క ఆపరేటింగ్ అనుబంధ సంస్థ ఆస్ట్రేలియన్ వైమానిక సేవలచే నిర్వహించబడ్డాయి. ఈ విమానం డైమండ్ బర్డ్, శాటిన్ బర్డ్ మరియు లవ్ బర్డ్ అని పేరు పెట్టారు. మూడు విమానాలు చాలా సంవత్సరాలు స్టెర్లింగ్ సేవలను ఇచ్చాయి మరియు ఆస్ట్రేలియన్ అవుట్‌బ్యాక్‌లో అనేక ముఖ్యమైన విమానాలు చేశాయి. మొట్టమొదట 21 మే 1927 న నమోదు చేయబడిన, శాటిన్ బర్డ్ ను సంపన్న గొర్రె యజమాని విలియం ఆలివర్ మరియు అతని పార్టీ అదే సంవత్సరం సెంట్రల్ ఆస్ట్రేలియాలో పర్యటించడానికి ఉపయోగించారు, ఓడ్నాడట్టా, ఆలిస్ స్ప్రింగ్స్, ఫరీనా, మేరీ, షార్లెట్ వాటర్స్ మరియు సింప్సన్స్ గ్యాప్ వద్ద ఆగిపోయారు. శాటిన్ బర్డ్ 27 డిసెంబర్ 1927 న హే వద్ద కూలిపోయింది మరియు 1929 వరకు నిష్క్రియాత్మకంగా ఉంది, ఇది విమాన రిజిస్ట్రీ నుండి అధికారికంగా కొట్టింది. 1928 లో మిగిలిన రెండు విమానాలు సేవ నుండి ఉపసంహరించబడ్డాయి. రెండు విమానాలు 11-సీటర్లుగా (ఇద్దరు పైలట్లు ప్లస్ తొమ్మిది మంది ప్రయాణీకులు, లేదా ఇంధనం మరియు సరుకు యొక్క సమానమైన బరువు) మరియు మరింత శక్తివంతమైన 485 హెచ్‌పి (362 కిలోవాట్ తిరిగి ఇంజిన్ చేసిన విమానం గంటకు 140 కిమీ వద్ద 700 కిలోమీటర్ల ఆపరేటింగ్ పరిధిని కలిగి ఉంది. [2] మార్చబడిన విమానాన్ని లాస్కో లాస్కౌల్ అని పిలుస్తారు. ఆస్ట్రేలియన్ ఎక్స్‌ప్లోరర్ డోనాల్డ్ మాకే నేతృత్వంలోని వైమానిక సర్వే యాత్ర ద్వారా డైమండ్ బర్డ్ మరియు లవ్ బర్డ్ అనే అసలు పేర్లను ఇప్పటికీ నిలుపుకున్న రెండు విమానాలు. సెంట్రల్ ఆస్ట్రేలియాపై 67,000 చదరపు మైలు (170,000 కిమీ 2) సర్వేను నిర్వహించడానికి ఈ యాత్ర 23 మే 1930 న బయలుదేరింది. రెండు విమానాలు జూలై 1930 లో ప్రమాదం లేకుండా మెల్బోర్న్కు తిరిగి వచ్చాయి, ప్రతి ఒక్కటి 300 గంటలకు పైగా ఎగిరిపోయాయి. రెండు విమానాలను మెల్బోర్న్ మరియు సిడ్నీ మధ్య ఒక సేవలో ఉపయోగించారు. లవ్ బర్డ్ 14 జూలై 1931 న టెమోరాలో క్రాష్ అయ్యింది మరియు దాని ఫలితంగా మంటల్లో నాశనం చేయబడింది. చివరి విమాన డైమండ్ బర్డ్ జూన్ 1932 లో రిటైర్ అయ్యింది మరియు తరువాత రద్దు చేయబడింది. లెస్ ఐల్స్, ఏప్రిల్ 1926 నుండి డేటా. [3] పనితీరు లెక్కించింది. సాధారణ లక్షణాలు పనితీరు</v>
      </c>
      <c r="E124" s="1" t="s">
        <v>1812</v>
      </c>
      <c r="F124" s="1" t="str">
        <f>IFERROR(__xludf.DUMMYFUNCTION("GOOGLETRANSLATE(E:E, ""en"", ""te"")"),"బిప్‌లేన్ విమానాలు")</f>
        <v>బిప్‌లేన్ విమానాలు</v>
      </c>
      <c r="K124" s="1" t="s">
        <v>1652</v>
      </c>
      <c r="L124" s="2" t="str">
        <f>IFERROR(__xludf.DUMMYFUNCTION("GOOGLETRANSLATE(K:K, ""en"", ""te"")"),"ఎయిర్ నావిగేషన్ అండ్ ఇంజనీరింగ్ కంపెనీ లిమిటెడ్")</f>
        <v>ఎయిర్ నావిగేషన్ అండ్ ఇంజనీరింగ్ కంపెనీ లిమిటెడ్</v>
      </c>
      <c r="M124" s="1" t="s">
        <v>1653</v>
      </c>
      <c r="Q124" s="1" t="s">
        <v>212</v>
      </c>
      <c r="S124" s="1" t="s">
        <v>1813</v>
      </c>
      <c r="U124" s="1" t="s">
        <v>1814</v>
      </c>
      <c r="W124" s="1" t="s">
        <v>1815</v>
      </c>
      <c r="X124" s="1" t="s">
        <v>1816</v>
      </c>
      <c r="Y124" s="1" t="s">
        <v>1817</v>
      </c>
      <c r="Z124" s="1" t="s">
        <v>1818</v>
      </c>
      <c r="AA124" s="1" t="s">
        <v>1819</v>
      </c>
      <c r="AB124" s="1" t="s">
        <v>1820</v>
      </c>
      <c r="AD124" s="1">
        <v>1926.0</v>
      </c>
      <c r="AE124" s="1">
        <v>3.0</v>
      </c>
      <c r="AF124" s="1" t="s">
        <v>1821</v>
      </c>
      <c r="AG124" s="1" t="s">
        <v>1822</v>
      </c>
      <c r="AI124" s="1" t="s">
        <v>1823</v>
      </c>
      <c r="AJ124" s="1" t="s">
        <v>222</v>
      </c>
      <c r="AK124" s="1" t="s">
        <v>1824</v>
      </c>
      <c r="AL124" s="1" t="s">
        <v>1825</v>
      </c>
      <c r="AM124" s="1" t="s">
        <v>471</v>
      </c>
      <c r="AN124" s="1" t="s">
        <v>1826</v>
      </c>
      <c r="AO124" s="1" t="s">
        <v>1827</v>
      </c>
      <c r="AP124" s="1" t="s">
        <v>1828</v>
      </c>
      <c r="AQ124" s="1" t="s">
        <v>1829</v>
      </c>
      <c r="AS124" s="1" t="s">
        <v>1830</v>
      </c>
      <c r="CZ124" s="1" t="s">
        <v>1831</v>
      </c>
      <c r="DB124" s="1">
        <v>1932.0</v>
      </c>
    </row>
    <row r="125">
      <c r="A125" s="1" t="s">
        <v>1689</v>
      </c>
      <c r="B125" s="1" t="str">
        <f>IFERROR(__xludf.DUMMYFUNCTION("GOOGLETRANSLATE(A:A, ""en"", ""te"")"),"APEV POUCHEL II")</f>
        <v>APEV POUCHEL II</v>
      </c>
      <c r="C125" s="1" t="s">
        <v>1832</v>
      </c>
      <c r="D125" s="1" t="str">
        <f>IFERROR(__xludf.DUMMYFUNCTION("GOOGLETRANSLATE(C:C, ""en"", ""te"")"),"APEV POCHEL II (ఇంగ్లీష్: లాడర్ ఫ్లీ టూ) అనేది ఒక ఫ్రెంచ్ te త్సాహిక-నిర్మిత విమానం, దీనిని డేనియల్ డాల్బీ రూపొందించారు మరియు పీనియర్ యొక్క APEV చేత నిర్మించబడింది. ఈ విమానం ప్రణాళికలుగా లేదా te త్సాహిక నిర్మాణానికి కిట్‌గా సరఫరా చేయబడింది, కానీ ఇకపై అందు"&amp;"బాటులో లేదు. ఇది APEV POUCHEL LIGHT [1] [2] చేత ఉత్పత్తిలో భర్తీ చేయబడింది, POUCHEL II ఉత్పత్తిలో అసలు APEV POCHEL ను భర్తీ చేసింది. అసలు పౌచెల్ వాణిజ్యపరంగా లభించే మూడు అల్యూమినియం నిచ్చెనలను ఉపయోగించి నిర్మించబడింది, అందువల్ల APEV అనేది అసోసియేషన్ పోర్ "&amp;"లా ప్రమోషన్ డెస్ ఎచెల్స్ వోలాంటెస్, లేదా ఆంగ్లంలో, ఫ్లయింగ్ నిచ్చెనల ప్రమోషన్ కోసం అసోసియేషన్. తరువాత నిచ్చెన తయారీదారు బాధ్యత గురించి ఆందోళన చెందాడు మరియు ఇకపై నిచ్చెనలను సరఫరా చేయడానికి నిరాకరించాడు. అసలు నిచ్చెనల స్థానంలో ఏరోనాటికల్ దీర్ఘచతురస్రాకార అల"&amp;"్యూమినియం గొట్టాలను ఉపయోగించడానికి పూచెల్ తిరిగి రూపొందించబడింది మరియు కొత్త విమానం పౌచెల్ II గా నియమించబడింది. పౌచెల్ సిరీస్ అన్నీ క్లాసిక్ 1930 ల యొక్క ఉత్పన్నా పౌచెల్ II లో స్ట్రట్-బ్రెస్డ్ పారాసోల్ ఫ్రంట్ వింగ్, విండ్‌షీల్డ్ లేకుండా సింగిల్-సీట్ల ఓపెన"&amp;"్ కాక్‌పిట్, స్థిర సాంప్రదాయ ల్యాండింగ్ గేర్ మరియు ట్రాక్టర్ కాన్ఫిగరేషన్‌లో ఒకే ఇంజిన్ ఉన్నాయి. ఈ విమానం బోల్ట్-కలిసి అల్యూమినియం గొట్టాల నుండి తయారవుతుంది, దాని ఎగిరే ఉపరితలాలు డాక్రాన్ సెయిల్‌క్లాత్‌లో కప్పబడి ఉంటాయి. దాని 6 మీ (19.7 అడుగులు) స్పాన్ ఫ్"&amp;"రంట్ వింగ్ మరియు 4 మీ (13.1 అడుగులు) స్పాన్ వెనుక భాగంలో 12 మీ 2 (130 చదరపు అడుగులు) కలిపి ఉంటాయి మరియు రెండూ నాకా 23112 ఎయిర్‌ఫాయిల్‌లను ఉపయోగిస్తాయి. ప్రోటోటైప్ 40 హెచ్‌పి (30 కిలోవాట్ల) రోటాక్స్ 447 టూ-స్ట్రోక్ పవర్‌ప్లాంట్‌ను ఉపయోగించింది, అయితే 35 హె"&amp;"చ్‌పి (26 కిలోవాట్ల) రోటాక్స్ 377 కూడా సిఫార్సు చేయబడింది. 28 HP (21 kW) హిర్త్ F-33 కూడా అమర్చబడింది. [1] [2] బెర్ట్రాండ్ మరియు APEV నుండి డేటా [1] [2] సాధారణ లక్షణాల పనితీరు")</f>
        <v>APEV POCHEL II (ఇంగ్లీష్: లాడర్ ఫ్లీ టూ) అనేది ఒక ఫ్రెంచ్ te త్సాహిక-నిర్మిత విమానం, దీనిని డేనియల్ డాల్బీ రూపొందించారు మరియు పీనియర్ యొక్క APEV చేత నిర్మించబడింది. ఈ విమానం ప్రణాళికలుగా లేదా te త్సాహిక నిర్మాణానికి కిట్‌గా సరఫరా చేయబడింది, కానీ ఇకపై అందుబాటులో లేదు. ఇది APEV POUCHEL LIGHT [1] [2] చేత ఉత్పత్తిలో భర్తీ చేయబడింది, POUCHEL II ఉత్పత్తిలో అసలు APEV POCHEL ను భర్తీ చేసింది. అసలు పౌచెల్ వాణిజ్యపరంగా లభించే మూడు అల్యూమినియం నిచ్చెనలను ఉపయోగించి నిర్మించబడింది, అందువల్ల APEV అనేది అసోసియేషన్ పోర్ లా ప్రమోషన్ డెస్ ఎచెల్స్ వోలాంటెస్, లేదా ఆంగ్లంలో, ఫ్లయింగ్ నిచ్చెనల ప్రమోషన్ కోసం అసోసియేషన్. తరువాత నిచ్చెన తయారీదారు బాధ్యత గురించి ఆందోళన చెందాడు మరియు ఇకపై నిచ్చెనలను సరఫరా చేయడానికి నిరాకరించాడు. అసలు నిచ్చెనల స్థానంలో ఏరోనాటికల్ దీర్ఘచతురస్రాకార అల్యూమినియం గొట్టాలను ఉపయోగించడానికి పూచెల్ తిరిగి రూపొందించబడింది మరియు కొత్త విమానం పౌచెల్ II గా నియమించబడింది. పౌచెల్ సిరీస్ అన్నీ క్లాసిక్ 1930 ల యొక్క ఉత్పన్నా పౌచెల్ II లో స్ట్రట్-బ్రెస్డ్ పారాసోల్ ఫ్రంట్ వింగ్, విండ్‌షీల్డ్ లేకుండా సింగిల్-సీట్ల ఓపెన్ కాక్‌పిట్, స్థిర సాంప్రదాయ ల్యాండింగ్ గేర్ మరియు ట్రాక్టర్ కాన్ఫిగరేషన్‌లో ఒకే ఇంజిన్ ఉన్నాయి. ఈ విమానం బోల్ట్-కలిసి అల్యూమినియం గొట్టాల నుండి తయారవుతుంది, దాని ఎగిరే ఉపరితలాలు డాక్రాన్ సెయిల్‌క్లాత్‌లో కప్పబడి ఉంటాయి. దాని 6 మీ (19.7 అడుగులు) స్పాన్ ఫ్రంట్ వింగ్ మరియు 4 మీ (13.1 అడుగులు) స్పాన్ వెనుక భాగంలో 12 మీ 2 (130 చదరపు అడుగులు) కలిపి ఉంటాయి మరియు రెండూ నాకా 23112 ఎయిర్‌ఫాయిల్‌లను ఉపయోగిస్తాయి. ప్రోటోటైప్ 40 హెచ్‌పి (30 కిలోవాట్ల) రోటాక్స్ 447 టూ-స్ట్రోక్ పవర్‌ప్లాంట్‌ను ఉపయోగించింది, అయితే 35 హెచ్‌పి (26 కిలోవాట్ల) రోటాక్స్ 377 కూడా సిఫార్సు చేయబడింది. 28 HP (21 kW) హిర్త్ F-33 కూడా అమర్చబడింది. [1] [2] బెర్ట్రాండ్ మరియు APEV నుండి డేటా [1] [2] సాధారణ లక్షణాల పనితీరు</v>
      </c>
      <c r="E125" s="1" t="s">
        <v>1071</v>
      </c>
      <c r="F125" s="1" t="str">
        <f>IFERROR(__xludf.DUMMYFUNCTION("GOOGLETRANSLATE(E:E, ""en"", ""te"")"),"Te త్సాహిక నిర్మించిన విమానం")</f>
        <v>Te త్సాహిక నిర్మించిన విమానం</v>
      </c>
      <c r="G125" s="1" t="s">
        <v>1072</v>
      </c>
      <c r="H125" s="1" t="s">
        <v>208</v>
      </c>
      <c r="I125" s="1" t="str">
        <f>IFERROR(__xludf.DUMMYFUNCTION("GOOGLETRANSLATE(H:H, ""en"", ""te"")"),"ఫ్రాన్స్")</f>
        <v>ఫ్రాన్స్</v>
      </c>
      <c r="J125" s="3" t="s">
        <v>209</v>
      </c>
      <c r="K125" s="1" t="s">
        <v>1577</v>
      </c>
      <c r="L125" s="2" t="str">
        <f>IFERROR(__xludf.DUMMYFUNCTION("GOOGLETRANSLATE(K:K, ""en"", ""te"")"),"Apev")</f>
        <v>Apev</v>
      </c>
      <c r="M125" s="3" t="s">
        <v>1578</v>
      </c>
      <c r="N125" s="1" t="s">
        <v>171</v>
      </c>
      <c r="O125" s="1" t="str">
        <f>IFERROR(__xludf.DUMMYFUNCTION("GOOGLETRANSLATE(N:N, ""en"", ""te"")"),"ఉత్పత్తి పూర్తయింది")</f>
        <v>ఉత్పత్తి పూర్తయింది</v>
      </c>
      <c r="Q125" s="1" t="s">
        <v>162</v>
      </c>
      <c r="S125" s="1" t="s">
        <v>1685</v>
      </c>
      <c r="W125" s="1" t="s">
        <v>1833</v>
      </c>
      <c r="X125" s="1" t="s">
        <v>1675</v>
      </c>
      <c r="Y125" s="1" t="s">
        <v>1379</v>
      </c>
      <c r="Z125" s="1" t="s">
        <v>1141</v>
      </c>
      <c r="AA125" s="1" t="s">
        <v>338</v>
      </c>
      <c r="AB125" s="1" t="s">
        <v>1583</v>
      </c>
      <c r="AH125" s="1" t="s">
        <v>1584</v>
      </c>
      <c r="AI125" s="1" t="s">
        <v>1834</v>
      </c>
      <c r="AJ125" s="1" t="s">
        <v>1495</v>
      </c>
      <c r="AL125" s="1" t="s">
        <v>1835</v>
      </c>
      <c r="AN125" s="1" t="s">
        <v>1677</v>
      </c>
      <c r="AO125" s="1" t="s">
        <v>1678</v>
      </c>
      <c r="AS125" s="1" t="s">
        <v>1836</v>
      </c>
      <c r="AU125" s="1" t="s">
        <v>1688</v>
      </c>
      <c r="BJ125" s="1" t="s">
        <v>629</v>
      </c>
      <c r="BL125" s="1" t="s">
        <v>1144</v>
      </c>
      <c r="BO125" s="1" t="s">
        <v>1837</v>
      </c>
      <c r="BP125" s="1" t="s">
        <v>1838</v>
      </c>
      <c r="BR125" s="1" t="s">
        <v>1839</v>
      </c>
      <c r="CW125" s="1" t="s">
        <v>1840</v>
      </c>
    </row>
    <row r="126">
      <c r="A126" s="1" t="s">
        <v>1841</v>
      </c>
      <c r="B126" s="1" t="str">
        <f>IFERROR(__xludf.DUMMYFUNCTION("GOOGLETRANSLATE(A:A, ""en"", ""te"")"),"బ్రూగెట్ 25")</f>
        <v>బ్రూగెట్ 25</v>
      </c>
      <c r="C126" s="1" t="s">
        <v>1842</v>
      </c>
      <c r="D126" s="1" t="str">
        <f>IFERROR(__xludf.DUMMYFUNCTION("GOOGLETRANSLATE(C:C, ""en"", ""te"")"),"బ్రూగెట్ 25 లేదా XXV 1925 నుండి ఫ్రెంచ్ రెండు సీట్ల ఫైటర్ (మిలిటరీ కేటగిరీ C.2). ఇది ఏడు మెషిన్ గన్లను మోసుకెళ్ళి భారీగా ఆయుధాలు కలిగి ఉంది. బ్రూగెట్ 25 అనేది ఒకే బే సెస్క్విప్లేన్, దిగువ వింగ్ ప్రాంతం ఎగువ కంటే 28% మాత్రమే. ఆధిపత్య ఎగువ వింగ్ సూటిగా అంచు"&amp;"గల మరియు తుడిచిపెట్టుకుపోయింది, దాని తీగ పెరుగుతున్న అవుట్‌బోర్డ్, ఎందుకంటే పొడవైన, విస్తృత ఐలెరన్లు కోణ చిట్కాల వైపు విస్తరించాయి. స్వీప్ 5.25 ° మరియు డైహెడ్రల్ 1 °. దిగువ రెక్కకు అదే స్వీప్ ఉంది కాని డైహెడ్రల్ లేదు. దాని రెక్కలు ప్రతి వైపు ఒకే, గట్టిగా "&amp;"బాహ్య-వాలుగా, ఫెయిర్‌డ్ ఇంటర్‌ప్లేన్ స్ట్రట్ ద్వారా కలిసి ఉన్నాయి. ఒక చిన్న కాబేన్ పై వింగ్‌ను ఫ్యూజ్‌లేజ్ పైన దగ్గరగా పట్టుకుంది. రెక్కలు స్పార్స్ మరియు పక్కటెముకలు లోహంగా ఉన్నాయి కాని రెక్కలు బట్టలు కప్పబడి ఉన్నాయి. [1] బ్రెగెట్ 25 యొక్క ఇంజిన్ మౌంటులు "&amp;"లోరైన్ 12e కోర్లిస్ W12, రెనాల్ట్ V12, హిస్పానో-సూజా 12G W12 లేదా హిస్పానో-సూజా 12H V12, 340–360 కిలోవాట్ల (450–480 హెచ్‌పి) పరిధిలో శక్తితో ఉంటాయి. జూన్ 1925 లో విమానం యొక్క ఫోటో మరియు డ్రాయింగ్ W12 ఇంజిన్ కాకుండా మరియు దాని ముడుచుకునే రేడియేటర్‌తో ఇంజిన"&amp;"్ క్రింద అమర్చిన V12 తో చూపిస్తుంది. ఇంజిన్ వెనుక ఫ్యూజ్‌లేజ్ ఉక్కు గొట్టాల నిర్మాణాన్ని కలిగి ఉంది. కాక్‌పిట్ ప్రాంతంతో సహా ఇంజిన్ మౌంటు మరియు ఫార్వర్డ్ ఫ్యూజ్‌లేజ్ లైట్ మెటల్‌లో కప్పబడి ఉన్నాయి. పైలట్ యొక్క ఓపెన్ కాక్‌పిట్ ఎగువ వింగ్ యొక్క వెనుకంజలో ఉంద"&amp;"ి, ఇది అతన్ని పైకి చూడటానికి అనుమతించడానికి పెద్ద కటౌట్ కలిగి ఉంది; అతని ఫార్వర్డ్ వీక్షణ రెక్క మరియు ఫ్యూజ్‌లేజ్ మధ్య ఉంది. అతను నాలుగు స్థిర మెషిన్ గన్స్, ఒక జత విక్కర్స్ తుపాకులు ప్రొపెల్లర్ ద్వారా కాల్పులు మరియు రెక్కలపై డార్న్స్ జత చేశాడు. గన్నర్ యొక"&amp;"్క పోస్ట్‌లో మూడు మెషిన్ గన్‌లు ఉన్నాయి, ఒక జత లూయిస్ తుపాకులు సౌకర్యవంతమైన మౌంట్‌పై మరియు మూడవది క్రిందికి మరియు వెనుకకు కాల్పులు జరిపారు. [1] ఫ్యూజ్‌లేజ్ యొక్క వెనుక భాగంలో ఓవాయిడ్ క్రాస్ సెక్షన్ ఉంది, స్ట్రింగర్లు మరియు ఫాబ్రిక్ కప్పబడిన స్టీల్ ట్యూబ్ "&amp;"నిర్మాణం చుట్టూ ఏర్పడింది. టైప్ 25 బ్రెగెట్ 19 వలె అదే తోక యూనిట్‌ను ఉపయోగించారు, త్రిభుజాకార ఫిన్ మరియు స్ట్రెయిట్-ఎడ్జ్డ్ చుక్కానితో. ఒక త్రిభుజాకార టెయిల్‌ప్లేన్ ఫ్యూజ్‌లేజ్ పైన అమర్చబడి సమతుల్య ఎలివేటర్లను తీసుకువెళ్లారు. [1] ల్యాండింగ్ గేర్ సాంప్రదాయ"&amp;"ిక మరియు పరిష్కరించబడింది. ప్రతి వైపు ఒక దెబ్బతిన్న లోహపు కాలు, భూమి దగ్గర ఇరుకైనది మరియు పైకి విస్తరించి, కొద్దిగా బయటికి కోణం. ఇది ఇంజిన్ మౌంటుకు జతచేయబడింది మరియు ఒకే ఇరుసు యొక్క ప్రతి చివరను తీసుకువెళుతుంది. షాక్ అబ్జార్బర్స్ చక్రాల లోపల ఉన్నాయి. తోక "&amp;"వద్ద ఒక చిన్న స్ట్రట్ యొక్క ఉచిత చివర, ఫ్యూజ్‌లేజ్‌కు అతుక్కొని, చుక్కాని పోస్ట్‌లోని నిలువు షాక్ అబ్జార్బర్‌కు పరిష్కరించబడింది, దాని నుండి టెయిల్‌స్కిడ్ రబ్బరు అమర్చబడింది. [1] ఫ్రెంచ్ ప్రెస్‌లో బ్రెగెట్ 25 యొక్క మొదటి ఫ్లైట్ లేదా తదుపరి పరిణామాల గురించ"&amp;"ి నివేదికలు లేవు. లెస్ ఐల్స్, జూన్ 1925 నుండి డేటా [1] సాధారణ లక్షణాలు పనితీరు ఆయుధాలు")</f>
        <v>బ్రూగెట్ 25 లేదా XXV 1925 నుండి ఫ్రెంచ్ రెండు సీట్ల ఫైటర్ (మిలిటరీ కేటగిరీ C.2). ఇది ఏడు మెషిన్ గన్లను మోసుకెళ్ళి భారీగా ఆయుధాలు కలిగి ఉంది. బ్రూగెట్ 25 అనేది ఒకే బే సెస్క్విప్లేన్, దిగువ వింగ్ ప్రాంతం ఎగువ కంటే 28% మాత్రమే. ఆధిపత్య ఎగువ వింగ్ సూటిగా అంచుగల మరియు తుడిచిపెట్టుకుపోయింది, దాని తీగ పెరుగుతున్న అవుట్‌బోర్డ్, ఎందుకంటే పొడవైన, విస్తృత ఐలెరన్లు కోణ చిట్కాల వైపు విస్తరించాయి. స్వీప్ 5.25 ° మరియు డైహెడ్రల్ 1 °. దిగువ రెక్కకు అదే స్వీప్ ఉంది కాని డైహెడ్రల్ లేదు. దాని రెక్కలు ప్రతి వైపు ఒకే, గట్టిగా బాహ్య-వాలుగా, ఫెయిర్‌డ్ ఇంటర్‌ప్లేన్ స్ట్రట్ ద్వారా కలిసి ఉన్నాయి. ఒక చిన్న కాబేన్ పై వింగ్‌ను ఫ్యూజ్‌లేజ్ పైన దగ్గరగా పట్టుకుంది. రెక్కలు స్పార్స్ మరియు పక్కటెముకలు లోహంగా ఉన్నాయి కాని రెక్కలు బట్టలు కప్పబడి ఉన్నాయి. [1] బ్రెగెట్ 25 యొక్క ఇంజిన్ మౌంటులు లోరైన్ 12e కోర్లిస్ W12, రెనాల్ట్ V12, హిస్పానో-సూజా 12G W12 లేదా హిస్పానో-సూజా 12H V12, 340–360 కిలోవాట్ల (450–480 హెచ్‌పి) పరిధిలో శక్తితో ఉంటాయి. జూన్ 1925 లో విమానం యొక్క ఫోటో మరియు డ్రాయింగ్ W12 ఇంజిన్ కాకుండా మరియు దాని ముడుచుకునే రేడియేటర్‌తో ఇంజిన్ క్రింద అమర్చిన V12 తో చూపిస్తుంది. ఇంజిన్ వెనుక ఫ్యూజ్‌లేజ్ ఉక్కు గొట్టాల నిర్మాణాన్ని కలిగి ఉంది. కాక్‌పిట్ ప్రాంతంతో సహా ఇంజిన్ మౌంటు మరియు ఫార్వర్డ్ ఫ్యూజ్‌లేజ్ లైట్ మెటల్‌లో కప్పబడి ఉన్నాయి. పైలట్ యొక్క ఓపెన్ కాక్‌పిట్ ఎగువ వింగ్ యొక్క వెనుకంజలో ఉంది, ఇది అతన్ని పైకి చూడటానికి అనుమతించడానికి పెద్ద కటౌట్ కలిగి ఉంది; అతని ఫార్వర్డ్ వీక్షణ రెక్క మరియు ఫ్యూజ్‌లేజ్ మధ్య ఉంది. అతను నాలుగు స్థిర మెషిన్ గన్స్, ఒక జత విక్కర్స్ తుపాకులు ప్రొపెల్లర్ ద్వారా కాల్పులు మరియు రెక్కలపై డార్న్స్ జత చేశాడు. గన్నర్ యొక్క పోస్ట్‌లో మూడు మెషిన్ గన్‌లు ఉన్నాయి, ఒక జత లూయిస్ తుపాకులు సౌకర్యవంతమైన మౌంట్‌పై మరియు మూడవది క్రిందికి మరియు వెనుకకు కాల్పులు జరిపారు. [1] ఫ్యూజ్‌లేజ్ యొక్క వెనుక భాగంలో ఓవాయిడ్ క్రాస్ సెక్షన్ ఉంది, స్ట్రింగర్లు మరియు ఫాబ్రిక్ కప్పబడిన స్టీల్ ట్యూబ్ నిర్మాణం చుట్టూ ఏర్పడింది. టైప్ 25 బ్రెగెట్ 19 వలె అదే తోక యూనిట్‌ను ఉపయోగించారు, త్రిభుజాకార ఫిన్ మరియు స్ట్రెయిట్-ఎడ్జ్డ్ చుక్కానితో. ఒక త్రిభుజాకార టెయిల్‌ప్లేన్ ఫ్యూజ్‌లేజ్ పైన అమర్చబడి సమతుల్య ఎలివేటర్లను తీసుకువెళ్లారు. [1] ల్యాండింగ్ గేర్ సాంప్రదాయిక మరియు పరిష్కరించబడింది. ప్రతి వైపు ఒక దెబ్బతిన్న లోహపు కాలు, భూమి దగ్గర ఇరుకైనది మరియు పైకి విస్తరించి, కొద్దిగా బయటికి కోణం. ఇది ఇంజిన్ మౌంటుకు జతచేయబడింది మరియు ఒకే ఇరుసు యొక్క ప్రతి చివరను తీసుకువెళుతుంది. షాక్ అబ్జార్బర్స్ చక్రాల లోపల ఉన్నాయి. తోక వద్ద ఒక చిన్న స్ట్రట్ యొక్క ఉచిత చివర, ఫ్యూజ్‌లేజ్‌కు అతుక్కొని, చుక్కాని పోస్ట్‌లోని నిలువు షాక్ అబ్జార్బర్‌కు పరిష్కరించబడింది, దాని నుండి టెయిల్‌స్కిడ్ రబ్బరు అమర్చబడింది. [1] ఫ్రెంచ్ ప్రెస్‌లో బ్రెగెట్ 25 యొక్క మొదటి ఫ్లైట్ లేదా తదుపరి పరిణామాల గురించి నివేదికలు లేవు. లెస్ ఐల్స్, జూన్ 1925 నుండి డేటా [1] సాధారణ లక్షణాలు పనితీరు ఆయుధాలు</v>
      </c>
      <c r="E126" s="1" t="s">
        <v>1843</v>
      </c>
      <c r="F126" s="1" t="str">
        <f>IFERROR(__xludf.DUMMYFUNCTION("GOOGLETRANSLATE(E:E, ""en"", ""te"")"),"రెండు సీట్ల ఫైటర్ విమానం")</f>
        <v>రెండు సీట్ల ఫైటర్ విమానం</v>
      </c>
      <c r="G126" s="1" t="s">
        <v>1844</v>
      </c>
      <c r="H126" s="1" t="s">
        <v>208</v>
      </c>
      <c r="I126" s="1" t="str">
        <f>IFERROR(__xludf.DUMMYFUNCTION("GOOGLETRANSLATE(H:H, ""en"", ""te"")"),"ఫ్రాన్స్")</f>
        <v>ఫ్రాన్స్</v>
      </c>
      <c r="J126" s="3" t="s">
        <v>209</v>
      </c>
      <c r="K126" s="1" t="s">
        <v>1845</v>
      </c>
      <c r="L126" s="2" t="str">
        <f>IFERROR(__xludf.DUMMYFUNCTION("GOOGLETRANSLATE(K:K, ""en"", ""te"")"),"బ్రూగెట్")</f>
        <v>బ్రూగెట్</v>
      </c>
      <c r="M126" s="1" t="s">
        <v>1846</v>
      </c>
      <c r="Q126" s="1" t="s">
        <v>230</v>
      </c>
      <c r="S126" s="1" t="s">
        <v>1847</v>
      </c>
      <c r="U126" s="1" t="s">
        <v>1848</v>
      </c>
      <c r="X126" s="1" t="s">
        <v>1849</v>
      </c>
      <c r="Y126" s="1" t="s">
        <v>1850</v>
      </c>
      <c r="AD126" s="1" t="s">
        <v>1851</v>
      </c>
      <c r="AE126" s="1">
        <v>1.0</v>
      </c>
      <c r="AF126" s="1" t="s">
        <v>1852</v>
      </c>
      <c r="AG126" s="1" t="s">
        <v>1853</v>
      </c>
      <c r="AI126" s="1" t="s">
        <v>1854</v>
      </c>
      <c r="AJ126" s="1" t="s">
        <v>222</v>
      </c>
      <c r="AK126" s="1" t="s">
        <v>1855</v>
      </c>
      <c r="AL126" s="1" t="s">
        <v>1856</v>
      </c>
      <c r="AN126" s="1" t="s">
        <v>1857</v>
      </c>
      <c r="AO126" s="1" t="s">
        <v>1858</v>
      </c>
      <c r="AQ126" s="1" t="s">
        <v>1859</v>
      </c>
      <c r="AS126" s="1" t="s">
        <v>1860</v>
      </c>
      <c r="EE126" s="1" t="s">
        <v>1861</v>
      </c>
    </row>
    <row r="127">
      <c r="A127" s="1" t="s">
        <v>1862</v>
      </c>
      <c r="B127" s="1" t="str">
        <f>IFERROR(__xludf.DUMMYFUNCTION("GOOGLETRANSLATE(A:A, ""en"", ""te"")"),"డ్యూయిటిన్ d.14")</f>
        <v>డ్యూయిటిన్ d.14</v>
      </c>
      <c r="C127" s="1" t="s">
        <v>1863</v>
      </c>
      <c r="D127" s="1" t="str">
        <f>IFERROR(__xludf.DUMMYFUNCTION("GOOGLETRANSLATE(C:C, ""en"", ""te"")"),"డ్యూయిటిన్ 14 1920 ల మధ్యలో ఫ్రెంచ్ సివిల్ ట్రాన్స్‌పోర్ట్, ఇది ప్రయాణీకులు మరియు సరుకు రవాణా మిశ్రమాన్ని మోయగలదు. ఏకైక ఉదాహరణ వాణిజ్య పరీక్షలలో ఉపయోగించబడింది. డ్యూయిటిన్ విమానం, గ్లిడర్లు మరియు అల్ట్రాలైట్స్ వేరుగా ఉంటాయి, సాధారణంగా లోహ-ఫ్రేమ్ చేయబడ్డాయ"&amp;"ి, అయితే ఆల్-వుడ్ D.14 మినహాయింపు. సివిల్ ట్రాన్స్‌పోర్ట్‌గా రూపొందించబడిన, ఇది ఆరుగురు ప్రయాణీకులను లేదా ప్రయాణీకులు మరియు సరుకుల మిశ్రమాన్ని తీసుకువెళుతుంది. [1] ఇది రెండు భాగాలతో కూడిన ఎత్తైన వింగ్ మోనోప్లేన్, కోణీయ చిట్కాలకు స్థిరమైన తీగ యొక్క సరళమైన "&amp;"అంచుగల, అవాంఛనీయ రెక్క. ప్రతి సగం వింగ్ రెండు స్పార్స్ చుట్టూ నిర్మించబడింది మరియు ఫాబ్రిక్ కప్పబడి ఉంది. ప్రతి వైపు ఒక జత ఫెయిర్‌డ్ స్ట్రట్‌లు తక్కువ ఫ్యూజ్‌లేజ్ లాన్స్‌కు స్పార్స్‌ను కలుపుతాయి. దాని ఓవర్‌హంగ్ ఐలెరాన్లు ఏరోడైనమిక్‌గా సమతుల్యతతో ఉన్నాయి. "&amp;"[1] డి. ఇంధనంలో కొంత భాగం వింగ్ ట్యాంకులలో ఉంది మరియు ఫ్యూజ్‌లేజ్‌లో భాగం. ఇంజిన్ దగ్గరగా అమర్చిన కౌలింగ్ కింద జతచేయబడింది, ఇది మూడు బ్యాంకుల సిలిండర్లను అనుసరించింది. ఇంజిన్ వెనుక ఫ్యూజ్‌లేజ్ ఒక దీర్ఘచతురస్రాకార క్రాస్ సెక్షన్ కలిగి ఉంది. పైలట్ యొక్క ఓపె"&amp;"న్ కాక్‌పిట్, పోర్ట్‌కు ఆఫ్‌సెట్, వింగ్ లీడింగ్ ఎడ్జ్‌లో ఉంది. ఫ్యూజ్‌లేజ్ యొక్క కేంద్ర, విండోస్ చేసిన భాగంలో ప్రయాణీకులు మరియు సరుకు రవాణా ఉన్నాయి మరియు మూడు కంపార్ట్‌మెంట్లుగా విభజించబడ్డాయి. ఫార్వర్డ్ ఒకటి, రెక్క కింద, సరుకు రవాణాకు ఇవ్వవచ్చు లేదా రెండ"&amp;"ు ప్రయాణీకుల సీట్లు కలిగి ఉండవచ్చు. ఒక కేంద్ర కంపార్ట్మెంట్ నాలుగు సీట్లను అందించింది మరియు వెనుక భాగంలో టాయిలెట్ ఉంది మరియు క్యాబిన్ మరియు సామాను పట్టుకు ప్రత్యేక ప్రవేశ తలుపులు ఉన్నాయి. [1] [2] సామ్రాజ్యం సాంప్రదాయకంగా ఉంది, ఫ్యూజ్‌లేజ్ పైన అమర్చిన, స్ట"&amp;"్రెయిట్-ఎడ్జ్డ్ టెయిల్‌ప్లేన్ మరియు త్రిభుజాకార ఫిన్. చుక్కాని మరియు ఎలివేటర్ రెండూ సమతుల్యతతో ఉన్నాయి, రెండోది ఐలెరాన్స్ వంటి ఓవర్హంగ్ చిట్కాలతో. [1] D.14 లో సాంప్రదాయ, స్థిర ల్యాండింగ్ గేర్ ఉంది. ఒక జత V- స్ట్రట్స్, కొంచెం బయటికి స్ప్లేడ్ చేయబడ్డాయి, ది"&amp;"గువ ఫ్యూజ్‌లేజ్ లాంగన్స్‌తో జతచేయబడ్డాయి మరియు దృ g మైన ఇరుసుకు మద్దతు ఇచ్చాయి, మెయిన్‌వీల్స్ 2.50 మీ (8 అడుగుల 2 అంగుళాలు) వేరుగా ఉన్నాయి. V- స్ట్రట్స్ యొక్క ఫార్వర్డ్ భాగాలు టెలిస్కోపిక్, షాక్ అబ్జార్బర్స్ మరియు కాయిల్ స్ప్రింగ్స్ వాటి క్రమబద్ధీకరించిన "&amp;"ఫెయిరింగ్స్ లోపల ఉన్నాయి. [1] డి. జనవరిలో ఇది విల్లాకౌబ్లేలో ఉంది, జనవరి 20 నుండి వారంలో ట్రయల్స్ ప్రారంభం కానున్నాయి. [3] ఇది 4 ఫిబ్రవరి 1925 నాటికి ఎగిరింది. [4] డిసెంబర్ 1925 లో డి .14 సిడ్నాతో వాణిజ్య పరీక్షలను ప్రారంభించబోతోంది, దీనికి 340 కిలోవాట్ల "&amp;"(450 హెచ్‌పి) ఫార్మాన్ 12WE W-12 ఇంజిన్‌తో అమర్చారు. [5] కింది మే దీనిని టౌస్సస్-లే-నోబుల్ వద్ద పరీక్షించారు, దాని పనితీరు ""చాలా మెరుగుపరచబడింది"" అని నివేదించబడింది, ఎందుకంటే గేర్డ్-డౌన్ ఫార్మాన్ ఇంజిన్ పెద్ద వ్యాసం కలిగిన ప్రొపెల్లర్‌ను అమర్చడానికి అను"&amp;"మతించింది. [6] ఆగష్టు 1926 లో ఇది విల్లాకౌబ్లేలో ఉంది, ఇప్పటికీ ఈ ఇంజిన్‌తో ఉంది, ఇప్పుడు ఇప్పుడు 370 కిలోవాట్ (500 హెచ్‌పి) పంపిణీ చేసినట్లు నివేదించబడింది. [7] ఫ్లైట్ నుండి డేటా, డిసెంబర్ 1924 [2] సాధారణ లక్షణాల పనితీరు")</f>
        <v>డ్యూయిటిన్ 14 1920 ల మధ్యలో ఫ్రెంచ్ సివిల్ ట్రాన్స్‌పోర్ట్, ఇది ప్రయాణీకులు మరియు సరుకు రవాణా మిశ్రమాన్ని మోయగలదు. ఏకైక ఉదాహరణ వాణిజ్య పరీక్షలలో ఉపయోగించబడింది. డ్యూయిటిన్ విమానం, గ్లిడర్లు మరియు అల్ట్రాలైట్స్ వేరుగా ఉంటాయి, సాధారణంగా లోహ-ఫ్రేమ్ చేయబడ్డాయి, అయితే ఆల్-వుడ్ D.14 మినహాయింపు. సివిల్ ట్రాన్స్‌పోర్ట్‌గా రూపొందించబడిన, ఇది ఆరుగురు ప్రయాణీకులను లేదా ప్రయాణీకులు మరియు సరుకుల మిశ్రమాన్ని తీసుకువెళుతుంది. [1] ఇది రెండు భాగాలతో కూడిన ఎత్తైన వింగ్ మోనోప్లేన్, కోణీయ చిట్కాలకు స్థిరమైన తీగ యొక్క సరళమైన అంచుగల, అవాంఛనీయ రెక్క. ప్రతి సగం వింగ్ రెండు స్పార్స్ చుట్టూ నిర్మించబడింది మరియు ఫాబ్రిక్ కప్పబడి ఉంది. ప్రతి వైపు ఒక జత ఫెయిర్‌డ్ స్ట్రట్‌లు తక్కువ ఫ్యూజ్‌లేజ్ లాన్స్‌కు స్పార్స్‌ను కలుపుతాయి. దాని ఓవర్‌హంగ్ ఐలెరాన్లు ఏరోడైనమిక్‌గా సమతుల్యతతో ఉన్నాయి. [1] డి. ఇంధనంలో కొంత భాగం వింగ్ ట్యాంకులలో ఉంది మరియు ఫ్యూజ్‌లేజ్‌లో భాగం. ఇంజిన్ దగ్గరగా అమర్చిన కౌలింగ్ కింద జతచేయబడింది, ఇది మూడు బ్యాంకుల సిలిండర్లను అనుసరించింది. ఇంజిన్ వెనుక ఫ్యూజ్‌లేజ్ ఒక దీర్ఘచతురస్రాకార క్రాస్ సెక్షన్ కలిగి ఉంది. పైలట్ యొక్క ఓపెన్ కాక్‌పిట్, పోర్ట్‌కు ఆఫ్‌సెట్, వింగ్ లీడింగ్ ఎడ్జ్‌లో ఉంది. ఫ్యూజ్‌లేజ్ యొక్క కేంద్ర, విండోస్ చేసిన భాగంలో ప్రయాణీకులు మరియు సరుకు రవాణా ఉన్నాయి మరియు మూడు కంపార్ట్‌మెంట్లుగా విభజించబడ్డాయి. ఫార్వర్డ్ ఒకటి, రెక్క కింద, సరుకు రవాణాకు ఇవ్వవచ్చు లేదా రెండు ప్రయాణీకుల సీట్లు కలిగి ఉండవచ్చు. ఒక కేంద్ర కంపార్ట్మెంట్ నాలుగు సీట్లను అందించింది మరియు వెనుక భాగంలో టాయిలెట్ ఉంది మరియు క్యాబిన్ మరియు సామాను పట్టుకు ప్రత్యేక ప్రవేశ తలుపులు ఉన్నాయి. [1] [2] సామ్రాజ్యం సాంప్రదాయకంగా ఉంది, ఫ్యూజ్‌లేజ్ పైన అమర్చిన, స్ట్రెయిట్-ఎడ్జ్డ్ టెయిల్‌ప్లేన్ మరియు త్రిభుజాకార ఫిన్. చుక్కాని మరియు ఎలివేటర్ రెండూ సమతుల్యతతో ఉన్నాయి, రెండోది ఐలెరాన్స్ వంటి ఓవర్హంగ్ చిట్కాలతో. [1] D.14 లో సాంప్రదాయ, స్థిర ల్యాండింగ్ గేర్ ఉంది. ఒక జత V- స్ట్రట్స్, కొంచెం బయటికి స్ప్లేడ్ చేయబడ్డాయి, దిగువ ఫ్యూజ్‌లేజ్ లాంగన్స్‌తో జతచేయబడ్డాయి మరియు దృ g మైన ఇరుసుకు మద్దతు ఇచ్చాయి, మెయిన్‌వీల్స్ 2.50 మీ (8 అడుగుల 2 అంగుళాలు) వేరుగా ఉన్నాయి. V- స్ట్రట్స్ యొక్క ఫార్వర్డ్ భాగాలు టెలిస్కోపిక్, షాక్ అబ్జార్బర్స్ మరియు కాయిల్ స్ప్రింగ్స్ వాటి క్రమబద్ధీకరించిన ఫెయిరింగ్స్ లోపల ఉన్నాయి. [1] డి. జనవరిలో ఇది విల్లాకౌబ్లేలో ఉంది, జనవరి 20 నుండి వారంలో ట్రయల్స్ ప్రారంభం కానున్నాయి. [3] ఇది 4 ఫిబ్రవరి 1925 నాటికి ఎగిరింది. [4] డిసెంబర్ 1925 లో డి .14 సిడ్నాతో వాణిజ్య పరీక్షలను ప్రారంభించబోతోంది, దీనికి 340 కిలోవాట్ల (450 హెచ్‌పి) ఫార్మాన్ 12WE W-12 ఇంజిన్‌తో అమర్చారు. [5] కింది మే దీనిని టౌస్సస్-లే-నోబుల్ వద్ద పరీక్షించారు, దాని పనితీరు "చాలా మెరుగుపరచబడింది" అని నివేదించబడింది, ఎందుకంటే గేర్డ్-డౌన్ ఫార్మాన్ ఇంజిన్ పెద్ద వ్యాసం కలిగిన ప్రొపెల్లర్‌ను అమర్చడానికి అనుమతించింది. [6] ఆగష్టు 1926 లో ఇది విల్లాకౌబ్లేలో ఉంది, ఇప్పటికీ ఈ ఇంజిన్‌తో ఉంది, ఇప్పుడు ఇప్పుడు 370 కిలోవాట్ (500 హెచ్‌పి) పంపిణీ చేసినట్లు నివేదించబడింది. [7] ఫ్లైట్ నుండి డేటా, డిసెంబర్ 1924 [2] సాధారణ లక్షణాల పనితీరు</v>
      </c>
      <c r="E127" s="1" t="s">
        <v>1864</v>
      </c>
      <c r="F127" s="1" t="str">
        <f>IFERROR(__xludf.DUMMYFUNCTION("GOOGLETRANSLATE(E:E, ""en"", ""te"")"),"ఆరు ప్రయాణీకుల విమానాలు లేదా వాణిజ్య రవాణా")</f>
        <v>ఆరు ప్రయాణీకుల విమానాలు లేదా వాణిజ్య రవాణా</v>
      </c>
      <c r="G127" s="1" t="s">
        <v>1865</v>
      </c>
      <c r="H127" s="1" t="s">
        <v>208</v>
      </c>
      <c r="I127" s="1" t="str">
        <f>IFERROR(__xludf.DUMMYFUNCTION("GOOGLETRANSLATE(H:H, ""en"", ""te"")"),"ఫ్రాన్స్")</f>
        <v>ఫ్రాన్స్</v>
      </c>
      <c r="J127" s="3" t="s">
        <v>209</v>
      </c>
      <c r="K127" s="1" t="s">
        <v>1866</v>
      </c>
      <c r="L127" s="2" t="str">
        <f>IFERROR(__xludf.DUMMYFUNCTION("GOOGLETRANSLATE(K:K, ""en"", ""te"")"),"డ్యూయిటిన్")</f>
        <v>డ్యూయిటిన్</v>
      </c>
      <c r="M127" s="3" t="s">
        <v>1867</v>
      </c>
      <c r="Q127" s="1" t="s">
        <v>212</v>
      </c>
      <c r="R127" s="1" t="s">
        <v>1868</v>
      </c>
      <c r="S127" s="1" t="s">
        <v>1869</v>
      </c>
      <c r="U127" s="1" t="s">
        <v>1870</v>
      </c>
      <c r="X127" s="1" t="s">
        <v>1871</v>
      </c>
      <c r="AD127" s="1" t="s">
        <v>1872</v>
      </c>
      <c r="AE127" s="1">
        <v>1.0</v>
      </c>
      <c r="AF127" s="1" t="s">
        <v>1873</v>
      </c>
      <c r="AG127" s="1" t="s">
        <v>1874</v>
      </c>
      <c r="AI127" s="1" t="s">
        <v>1875</v>
      </c>
      <c r="AJ127" s="1" t="s">
        <v>1876</v>
      </c>
      <c r="AL127" s="1" t="s">
        <v>1877</v>
      </c>
      <c r="AM127" s="1" t="s">
        <v>471</v>
      </c>
      <c r="AR127" s="1" t="s">
        <v>1878</v>
      </c>
      <c r="AS127" s="1" t="s">
        <v>1879</v>
      </c>
      <c r="BK127" s="1" t="s">
        <v>1880</v>
      </c>
      <c r="BQ127" s="1" t="s">
        <v>1881</v>
      </c>
      <c r="CZ127" s="1" t="s">
        <v>1882</v>
      </c>
      <c r="DF127" s="3" t="s">
        <v>1883</v>
      </c>
    </row>
    <row r="128">
      <c r="A128" s="1" t="s">
        <v>1884</v>
      </c>
      <c r="B128" s="1" t="str">
        <f>IFERROR(__xludf.DUMMYFUNCTION("GOOGLETRANSLATE(A:A, ""en"", ""te"")"),"సికోర్స్కీ ఎస్ -15")</f>
        <v>సికోర్స్కీ ఎస్ -15</v>
      </c>
      <c r="C128" s="1" t="s">
        <v>1885</v>
      </c>
      <c r="D128" s="1" t="str">
        <f>IFERROR(__xludf.DUMMYFUNCTION("GOOGLETRANSLATE(C:C, ""en"", ""te"")"),"సికోర్స్కీ ఎస్ -15 1913 లో రష్యన్ బాల్టిక్ రైల్‌రోడ్ కారు పనులలో నిర్మించిన సింగిల్ ఇంజిన్ లైట్ బాంబర్ ఫ్లోట్‌ప్లేన్, ఇగోర్ సికోర్స్కీ విమాన తయారీ విభాగానికి చీఫ్ ఇంజనీర్. సికోర్స్కీ ఎస్ -10 కి డిజైన్‌లో సమానంగా ఉంటుంది, ఈ బిప్‌లేన్‌కు ఒక ఉదాహరణ మాత్రమే ఉ"&amp;"త్పత్తి చేయబడింది. [1] [2]")</f>
        <v>సికోర్స్కీ ఎస్ -15 1913 లో రష్యన్ బాల్టిక్ రైల్‌రోడ్ కారు పనులలో నిర్మించిన సింగిల్ ఇంజిన్ లైట్ బాంబర్ ఫ్లోట్‌ప్లేన్, ఇగోర్ సికోర్స్కీ విమాన తయారీ విభాగానికి చీఫ్ ఇంజనీర్. సికోర్స్కీ ఎస్ -10 కి డిజైన్‌లో సమానంగా ఉంటుంది, ఈ బిప్‌లేన్‌కు ఒక ఉదాహరణ మాత్రమే ఉత్పత్తి చేయబడింది. [1] [2]</v>
      </c>
      <c r="E128" s="1" t="s">
        <v>1886</v>
      </c>
      <c r="F128" s="1" t="str">
        <f>IFERROR(__xludf.DUMMYFUNCTION("GOOGLETRANSLATE(E:E, ""en"", ""te"")"),"లైట్ బాంబర్")</f>
        <v>లైట్ బాంబర్</v>
      </c>
      <c r="H128" s="1" t="s">
        <v>376</v>
      </c>
      <c r="I128" s="1" t="str">
        <f>IFERROR(__xludf.DUMMYFUNCTION("GOOGLETRANSLATE(H:H, ""en"", ""te"")"),"రష్యన్ సామ్రాజ్యం")</f>
        <v>రష్యన్ సామ్రాజ్యం</v>
      </c>
      <c r="J128" s="1" t="s">
        <v>377</v>
      </c>
      <c r="K128" s="1" t="s">
        <v>378</v>
      </c>
      <c r="L128" s="2" t="str">
        <f>IFERROR(__xludf.DUMMYFUNCTION("GOOGLETRANSLATE(K:K, ""en"", ""te"")"),"రష్యన్ బాల్టిక్ రైల్‌రోడ్ కార్ వర్క్స్")</f>
        <v>రష్యన్ బాల్టిక్ రైల్‌రోడ్ కార్ వర్క్స్</v>
      </c>
      <c r="M128" s="1" t="s">
        <v>379</v>
      </c>
      <c r="AB128" s="1" t="s">
        <v>382</v>
      </c>
      <c r="AD128" s="1">
        <v>1913.0</v>
      </c>
      <c r="AE128" s="1">
        <v>1.0</v>
      </c>
    </row>
    <row r="129">
      <c r="A129" s="1" t="s">
        <v>1887</v>
      </c>
      <c r="B129" s="1" t="str">
        <f>IFERROR(__xludf.DUMMYFUNCTION("GOOGLETRANSLATE(A:A, ""en"", ""te"")"),"సికోర్స్కీ ఎస్ -17")</f>
        <v>సికోర్స్కీ ఎస్ -17</v>
      </c>
      <c r="C129" s="1" t="s">
        <v>1888</v>
      </c>
      <c r="D129" s="1" t="str">
        <f>IFERROR(__xludf.DUMMYFUNCTION("GOOGLETRANSLATE(C:C, ""en"", ""te"")"),"సికోర్స్కీ ఎస్ -17 అనేది పెట్రోగ్రాడ్‌లోని రష్యన్ బాల్టిక్ రైల్‌రోడ్ కారు పనులలో నిర్మించిన రష్యన్ సింగిల్ ఇంజిన్ విమానం, ఇగోర్ సికోర్స్కీ విమాన తయారీ విభాగానికి చీఫ్ ఇంజనీర్. ఎస్ -17 అనేది ఎస్ -10 ఆధారంగా రెండు సీట్ల నిఘా బిప్‌లేన్ మరియు సన్‌బీమ్ క్రూసేడ"&amp;"ర్ వి -8 వాటర్-కూల్డ్ ఇంజిన్ 150 హెచ్‌పి (112 కిలోవాట్) గా రేట్ చేయబడింది. [1] [2] రష్యన్ ఏవియేషన్ మ్యూజియం నుండి డేటా [1] సాధారణ లక్షణాల పనితీరు")</f>
        <v>సికోర్స్కీ ఎస్ -17 అనేది పెట్రోగ్రాడ్‌లోని రష్యన్ బాల్టిక్ రైల్‌రోడ్ కారు పనులలో నిర్మించిన రష్యన్ సింగిల్ ఇంజిన్ విమానం, ఇగోర్ సికోర్స్కీ విమాన తయారీ విభాగానికి చీఫ్ ఇంజనీర్. ఎస్ -17 అనేది ఎస్ -10 ఆధారంగా రెండు సీట్ల నిఘా బిప్‌లేన్ మరియు సన్‌బీమ్ క్రూసేడర్ వి -8 వాటర్-కూల్డ్ ఇంజిన్ 150 హెచ్‌పి (112 కిలోవాట్) గా రేట్ చేయబడింది. [1] [2] రష్యన్ ఏవియేషన్ మ్యూజియం నుండి డేటా [1] సాధారణ లక్షణాల పనితీరు</v>
      </c>
      <c r="E129" s="1" t="s">
        <v>1889</v>
      </c>
      <c r="F129" s="1" t="str">
        <f>IFERROR(__xludf.DUMMYFUNCTION("GOOGLETRANSLATE(E:E, ""en"", ""te"")"),"నిఘా")</f>
        <v>నిఘా</v>
      </c>
      <c r="G129" s="3" t="s">
        <v>1890</v>
      </c>
      <c r="H129" s="1" t="s">
        <v>376</v>
      </c>
      <c r="I129" s="1" t="str">
        <f>IFERROR(__xludf.DUMMYFUNCTION("GOOGLETRANSLATE(H:H, ""en"", ""te"")"),"రష్యన్ సామ్రాజ్యం")</f>
        <v>రష్యన్ సామ్రాజ్యం</v>
      </c>
      <c r="J129" s="1" t="s">
        <v>377</v>
      </c>
      <c r="K129" s="1" t="s">
        <v>378</v>
      </c>
      <c r="L129" s="2" t="str">
        <f>IFERROR(__xludf.DUMMYFUNCTION("GOOGLETRANSLATE(K:K, ""en"", ""te"")"),"రష్యన్ బాల్టిక్ రైల్‌రోడ్ కార్ వర్క్స్")</f>
        <v>రష్యన్ బాల్టిక్ రైల్‌రోడ్ కార్ వర్క్స్</v>
      </c>
      <c r="M129" s="1" t="s">
        <v>379</v>
      </c>
      <c r="Q129" s="1" t="s">
        <v>230</v>
      </c>
      <c r="S129" s="1" t="s">
        <v>1891</v>
      </c>
      <c r="X129" s="1" t="s">
        <v>1892</v>
      </c>
      <c r="Y129" s="1" t="s">
        <v>1893</v>
      </c>
      <c r="AB129" s="1" t="s">
        <v>382</v>
      </c>
      <c r="AD129" s="1">
        <v>1915.0</v>
      </c>
      <c r="AE129" s="1">
        <v>2.0</v>
      </c>
      <c r="AF129" s="1" t="s">
        <v>383</v>
      </c>
      <c r="AI129" s="1" t="s">
        <v>1894</v>
      </c>
      <c r="AJ129" s="1" t="s">
        <v>222</v>
      </c>
      <c r="AL129" s="1" t="s">
        <v>1895</v>
      </c>
      <c r="AN129" s="1" t="s">
        <v>1896</v>
      </c>
      <c r="AO129" s="1" t="s">
        <v>1897</v>
      </c>
      <c r="AU129" s="1" t="s">
        <v>1898</v>
      </c>
    </row>
    <row r="130">
      <c r="A130" s="1" t="s">
        <v>1899</v>
      </c>
      <c r="B130" s="1" t="str">
        <f>IFERROR(__xludf.DUMMYFUNCTION("GOOGLETRANSLATE(A:A, ""en"", ""te"")"),"టర్కిష్ ప్రాంతీయ జెట్ ప్రాజెక్ట్")</f>
        <v>టర్కిష్ ప్రాంతీయ జెట్ ప్రాజెక్ట్</v>
      </c>
      <c r="C130" s="1" t="s">
        <v>1900</v>
      </c>
      <c r="D130" s="1" t="str">
        <f>IFERROR(__xludf.DUMMYFUNCTION("GOOGLETRANSLATE(C:C, ""en"", ""te"")"),"టర్కీ ప్రాంతీయ జెట్ (టిఆర్జె) టర్కీ యొక్క మొట్టమొదటి ప్రాంతీయ విమానం ఉత్పత్తి చేసే ప్రాజెక్ట్. ఈ ప్రాజెక్ట్ డోర్నియర్ 328, TRJ-328 మరియు TRJ-628 యొక్క సవరించిన సంస్కరణను ఉపయోగిస్తుంది. [1] [2] ఈ ప్రాజెక్ట్ 2017 లో రద్దు చేయబడింది ఎందుకంటే ఇది “ఆర్థికంగా స"&amp;"ాధ్యం కానిది”. [3] TRJ-328 ను TRJ-628 కోసం పరీక్షా మంచంగా ఉపయోగించాల్సి ఉంది. సామర్థ్యం 32 సీట్లకు పరిమితం చేయాల్సి ఉంది. ఈ విమానం టర్కీలోని చిన్న నగరాలకు మరియు తరచూ విమానాలను నింపుతుంది, అవి పెద్ద విమానాలతో సాధ్యం కాదు. [1] TRJ-628 60 నుండి 70 సీట్లను కల"&amp;"ిగి ఉంటుంది మరియు మొత్తం పెద్ద విమానం అవుతుంది. [1] ఈ విమానం సంబంధిత వ్యాసం ఒక స్టబ్. వికీపీడియా విస్తరించడం ద్వారా మీరు సహాయపడవచ్చు.")</f>
        <v>టర్కీ ప్రాంతీయ జెట్ (టిఆర్జె) టర్కీ యొక్క మొట్టమొదటి ప్రాంతీయ విమానం ఉత్పత్తి చేసే ప్రాజెక్ట్. ఈ ప్రాజెక్ట్ డోర్నియర్ 328, TRJ-328 మరియు TRJ-628 యొక్క సవరించిన సంస్కరణను ఉపయోగిస్తుంది. [1] [2] ఈ ప్రాజెక్ట్ 2017 లో రద్దు చేయబడింది ఎందుకంటే ఇది “ఆర్థికంగా సాధ్యం కానిది”. [3] TRJ-328 ను TRJ-628 కోసం పరీక్షా మంచంగా ఉపయోగించాల్సి ఉంది. సామర్థ్యం 32 సీట్లకు పరిమితం చేయాల్సి ఉంది. ఈ విమానం టర్కీలోని చిన్న నగరాలకు మరియు తరచూ విమానాలను నింపుతుంది, అవి పెద్ద విమానాలతో సాధ్యం కాదు. [1] TRJ-628 60 నుండి 70 సీట్లను కలిగి ఉంటుంది మరియు మొత్తం పెద్ద విమానం అవుతుంది. [1] ఈ విమానం సంబంధిత వ్యాసం ఒక స్టబ్. వికీపీడియా విస్తరించడం ద్వారా మీరు సహాయపడవచ్చు.</v>
      </c>
      <c r="E130" s="1" t="s">
        <v>1901</v>
      </c>
      <c r="F130" s="1" t="str">
        <f>IFERROR(__xludf.DUMMYFUNCTION("GOOGLETRANSLATE(E:E, ""en"", ""te"")"),"ప్రాంతీయ జెట్")</f>
        <v>ప్రాంతీయ జెట్</v>
      </c>
      <c r="G130" s="1" t="s">
        <v>1902</v>
      </c>
      <c r="H130" s="1" t="s">
        <v>1009</v>
      </c>
      <c r="I130" s="1" t="str">
        <f>IFERROR(__xludf.DUMMYFUNCTION("GOOGLETRANSLATE(H:H, ""en"", ""te"")"),"టర్కీ")</f>
        <v>టర్కీ</v>
      </c>
      <c r="J130" s="3" t="s">
        <v>1010</v>
      </c>
      <c r="K130" s="1" t="s">
        <v>1903</v>
      </c>
      <c r="L130" s="2" t="str">
        <f>IFERROR(__xludf.DUMMYFUNCTION("GOOGLETRANSLATE(K:K, ""en"", ""te"")"),"సియెర్రా నెవాడా కార్పొరేషన్")</f>
        <v>సియెర్రా నెవాడా కార్పొరేషన్</v>
      </c>
      <c r="M130" s="1" t="s">
        <v>1904</v>
      </c>
      <c r="N130" s="1" t="s">
        <v>1905</v>
      </c>
      <c r="O130" s="1" t="str">
        <f>IFERROR(__xludf.DUMMYFUNCTION("GOOGLETRANSLATE(N:N, ""en"", ""te"")"),"2017 లో రద్దు చేయబడింది")</f>
        <v>2017 లో రద్దు చేయబడింది</v>
      </c>
      <c r="AC130" s="1">
        <v>2015.0</v>
      </c>
      <c r="AL130" s="1" t="s">
        <v>1906</v>
      </c>
    </row>
    <row r="131">
      <c r="A131" s="1" t="s">
        <v>1907</v>
      </c>
      <c r="B131" s="1" t="str">
        <f>IFERROR(__xludf.DUMMYFUNCTION("GOOGLETRANSLATE(A:A, ""en"", ""te"")"),"VRT 300")</f>
        <v>VRT 300</v>
      </c>
      <c r="C131" s="1" t="s">
        <v>1908</v>
      </c>
      <c r="D131" s="1" t="str">
        <f>IFERROR(__xludf.DUMMYFUNCTION("GOOGLETRANSLATE(C:C, ""en"", ""te"")"),"VRT 300 (రష్యన్: врт 300) - మానవరహిత హెలికాప్టర్, ఇది 2017 లో MAKS ఎయిర్‌షోలో ప్రవేశపెట్టబడింది. [1] సురక్షితమైన సముద్ర నావిగేషన్‌కు మద్దతుగా ఇది ఆర్కిటిక్ ఐస్ పెట్రోలింగ్ కోసం నిర్మించబడింది. VRT300 యొక్క మరొక వెర్షన్, ఆప్టిక్విజన్, పర్యవేక్షణ మరియు రిమో"&amp;"ట్ ప్రోబింగ్ కోసం పెరిగిన విమానాలను కలిగి ఉంది. మీరు వికీపీడియాను విస్తరించడం ద్వారా సహాయపడవచ్చు. మానవరహిత వైమానిక వాహనంపై ఈ వ్యాసం ఒక స్టబ్. వికీపీడియా విస్తరించడం ద్వారా మీరు సహాయపడవచ్చు.")</f>
        <v>VRT 300 (రష్యన్: врт 300) - మానవరహిత హెలికాప్టర్, ఇది 2017 లో MAKS ఎయిర్‌షోలో ప్రవేశపెట్టబడింది. [1] సురక్షితమైన సముద్ర నావిగేషన్‌కు మద్దతుగా ఇది ఆర్కిటిక్ ఐస్ పెట్రోలింగ్ కోసం నిర్మించబడింది. VRT300 యొక్క మరొక వెర్షన్, ఆప్టిక్విజన్, పర్యవేక్షణ మరియు రిమోట్ ప్రోబింగ్ కోసం పెరిగిన విమానాలను కలిగి ఉంది. మీరు వికీపీడియాను విస్తరించడం ద్వారా సహాయపడవచ్చు. మానవరహిత వైమానిక వాహనంపై ఈ వ్యాసం ఒక స్టబ్. వికీపీడియా విస్తరించడం ద్వారా మీరు సహాయపడవచ్చు.</v>
      </c>
      <c r="E131" s="1" t="s">
        <v>1909</v>
      </c>
      <c r="F131" s="1" t="str">
        <f>IFERROR(__xludf.DUMMYFUNCTION("GOOGLETRANSLATE(E:E, ""en"", ""te"")"),"మానవరహిత వైమానిక వాహనం (యుఎవి)")</f>
        <v>మానవరహిత వైమానిక వాహనం (యుఎవి)</v>
      </c>
      <c r="G131" s="1" t="s">
        <v>1910</v>
      </c>
      <c r="K131" s="1" t="s">
        <v>1911</v>
      </c>
      <c r="L131" s="2" t="str">
        <f>IFERROR(__xludf.DUMMYFUNCTION("GOOGLETRANSLATE(K:K, ""en"", ""te"")"),"రష్యన్ హెలికాప్టర్లు")</f>
        <v>రష్యన్ హెలికాప్టర్లు</v>
      </c>
      <c r="M131" s="1" t="s">
        <v>1912</v>
      </c>
      <c r="AD131" s="1">
        <v>2019.0</v>
      </c>
      <c r="AL131" s="1" t="s">
        <v>1913</v>
      </c>
    </row>
    <row r="132">
      <c r="A132" s="1" t="s">
        <v>1914</v>
      </c>
      <c r="B132" s="1" t="str">
        <f>IFERROR(__xludf.DUMMYFUNCTION("GOOGLETRANSLATE(A:A, ""en"", ""te"")"),"సెలియర్ జినాన్ 4")</f>
        <v>సెలియర్ జినాన్ 4</v>
      </c>
      <c r="C132" s="1" t="s">
        <v>1915</v>
      </c>
      <c r="D132" s="1" t="str">
        <f>IFERROR(__xludf.DUMMYFUNCTION("GOOGLETRANSLATE(C:C, ""en"", ""te"")"),"సెలియర్ జినాన్ 4 (తయారీదారుని జినాన్ IV అని కూడా పిలుస్తారు) అనేది రాఫెల్ సెలియర్ రూపొందించిన మాల్టీస్ ఆటోజయోరో మరియు మాల్టాలోని సెలియర్ ఏవియేషన్ ఆఫ్ సఫీ చేత నిర్మించబడింది. విమానం పూర్తి మరియు రెడీ టు-ఫ్లై సరఫరా చేయబడుతుంది. [1] జినాన్ 4 అనేది సెలియర్ జి"&amp;"నాన్ 2 మరియు సెలియర్ జినాన్ 3 యొక్క అభివృద్ధి, కొత్తగా రూపొందించిన ఫ్యూజ్‌లేజ్ మరియు పొడవైన టెయిల్‌బూమ్‌తో. ఇది ఒకే మెయిన్ రోటర్, రెండు-సీట్ల సైడ్-బై-సైడ్ కాన్ఫిగరేషన్ పరివేష్టిత కాక్‌పిట్‌ను కలిగి ఉంది, కొన్ని మోడళ్లు మూడవ సీటును అందిస్తున్నాయి. ఇది ట్రై"&amp;"సైకిల్ ల్యాండింగ్ గేర్ మరియు సవరించిన నాలుగు సిలిండర్, లిక్విడ్ మరియు ఎయిర్-కూల్డ్, నాలుగు స్ట్రోక్ 135 హెచ్‌పి (101 కిలోవాట్) టర్బోచార్జ్డ్ రోటాక్స్ 912 ఇంజిన్‌ను కలిగి ఉంది. [1] [2] ఫ్యూజ్‌లేజ్ అనేది కార్బన్ ఫైబర్ రీన్ఫోర్స్డ్ పాలిమర్ నుండి తయారైన మోనోక"&amp;"ోక్ మరియు క్యాబిన్ అంతర్గత వెడల్పు 130 సెం.మీ (51 అంగుళాలు) కలిగి ఉంటుంది. రెండు-బ్లేడెడ్ రోటర్ 8.8 మీ (28.9 అడుగులు) మరియు 20 సెం.మీ (7.9 అంగుళాలు) తీగను కలిగి ఉంది. ఈ విమానం 295 కిలోల (650 ఎల్బి) యొక్క సాధారణ ఖాళీ బరువు మరియు గరిష్ట స్థూల బరువు 560 కిలో"&amp;"లు (1,235 ఎల్బి) కలిగి ఉంటుంది, ఇది 265 కిలోల (584 పౌండ్లు) ఉపయోగకరమైన లోడ్ ఇస్తుంది. 85 లీటర్ల పూర్తి ఇంధనంతో (19 ఇంప్ గల్; 22 యుఎస్ గాల్) పైలట్ కోసం పేలోడ్, ప్రయాణీకులు మరియు సామాను 205 కిలోలు (452 ​​ఎల్బి). [1] టాక్ నుండి డేటా [1] సాధారణ లక్షణాల పనితీర"&amp;"ు")</f>
        <v>సెలియర్ జినాన్ 4 (తయారీదారుని జినాన్ IV అని కూడా పిలుస్తారు) అనేది రాఫెల్ సెలియర్ రూపొందించిన మాల్టీస్ ఆటోజయోరో మరియు మాల్టాలోని సెలియర్ ఏవియేషన్ ఆఫ్ సఫీ చేత నిర్మించబడింది. విమానం పూర్తి మరియు రెడీ టు-ఫ్లై సరఫరా చేయబడుతుంది. [1] జినాన్ 4 అనేది సెలియర్ జినాన్ 2 మరియు సెలియర్ జినాన్ 3 యొక్క అభివృద్ధి, కొత్తగా రూపొందించిన ఫ్యూజ్‌లేజ్ మరియు పొడవైన టెయిల్‌బూమ్‌తో. ఇది ఒకే మెయిన్ రోటర్, రెండు-సీట్ల సైడ్-బై-సైడ్ కాన్ఫిగరేషన్ పరివేష్టిత కాక్‌పిట్‌ను కలిగి ఉంది, కొన్ని మోడళ్లు మూడవ సీటును అందిస్తున్నాయి. ఇది ట్రైసైకిల్ ల్యాండింగ్ గేర్ మరియు సవరించిన నాలుగు సిలిండర్, లిక్విడ్ మరియు ఎయిర్-కూల్డ్, నాలుగు స్ట్రోక్ 135 హెచ్‌పి (101 కిలోవాట్) టర్బోచార్జ్డ్ రోటాక్స్ 912 ఇంజిన్‌ను కలిగి ఉంది. [1] [2] ఫ్యూజ్‌లేజ్ అనేది కార్బన్ ఫైబర్ రీన్ఫోర్స్డ్ పాలిమర్ నుండి తయారైన మోనోకోక్ మరియు క్యాబిన్ అంతర్గత వెడల్పు 130 సెం.మీ (51 అంగుళాలు) కలిగి ఉంటుంది. రెండు-బ్లేడెడ్ రోటర్ 8.8 మీ (28.9 అడుగులు) మరియు 20 సెం.మీ (7.9 అంగుళాలు) తీగను కలిగి ఉంది. ఈ విమానం 295 కిలోల (650 ఎల్బి) యొక్క సాధారణ ఖాళీ బరువు మరియు గరిష్ట స్థూల బరువు 560 కిలోలు (1,235 ఎల్బి) కలిగి ఉంటుంది, ఇది 265 కిలోల (584 పౌండ్లు) ఉపయోగకరమైన లోడ్ ఇస్తుంది. 85 లీటర్ల పూర్తి ఇంధనంతో (19 ఇంప్ గల్; 22 యుఎస్ గాల్) పైలట్ కోసం పేలోడ్, ప్రయాణీకులు మరియు సామాను 205 కిలోలు (452 ​​ఎల్బి). [1] టాక్ నుండి డేటా [1] సాధారణ లక్షణాల పనితీరు</v>
      </c>
      <c r="E132" s="1" t="s">
        <v>1916</v>
      </c>
      <c r="F132" s="1" t="str">
        <f>IFERROR(__xludf.DUMMYFUNCTION("GOOGLETRANSLATE(E:E, ""en"", ""te"")"),"ఆటోజీరో")</f>
        <v>ఆటోజీరో</v>
      </c>
      <c r="G132" s="3" t="s">
        <v>1917</v>
      </c>
      <c r="H132" s="1" t="s">
        <v>1918</v>
      </c>
      <c r="I132" s="1" t="str">
        <f>IFERROR(__xludf.DUMMYFUNCTION("GOOGLETRANSLATE(H:H, ""en"", ""te"")"),"మాల్టా")</f>
        <v>మాల్టా</v>
      </c>
      <c r="J132" s="3" t="s">
        <v>1919</v>
      </c>
      <c r="K132" s="1" t="s">
        <v>1920</v>
      </c>
      <c r="L132" s="2" t="str">
        <f>IFERROR(__xludf.DUMMYFUNCTION("GOOGLETRANSLATE(K:K, ""en"", ""te"")"),"సెలియర్ ఏవియేషన్")</f>
        <v>సెలియర్ ఏవియేషన్</v>
      </c>
      <c r="M132" s="1" t="s">
        <v>1921</v>
      </c>
      <c r="N132" s="1" t="s">
        <v>1922</v>
      </c>
      <c r="O132" s="1" t="str">
        <f>IFERROR(__xludf.DUMMYFUNCTION("GOOGLETRANSLATE(N:N, ""en"", ""te"")"),"ఉత్పత్తిలో (2017)")</f>
        <v>ఉత్పత్తిలో (2017)</v>
      </c>
      <c r="Q132" s="1" t="s">
        <v>162</v>
      </c>
      <c r="U132" s="1" t="s">
        <v>1923</v>
      </c>
      <c r="W132" s="1" t="s">
        <v>177</v>
      </c>
      <c r="X132" s="1" t="s">
        <v>1924</v>
      </c>
      <c r="Y132" s="1" t="s">
        <v>1925</v>
      </c>
      <c r="Z132" s="1" t="s">
        <v>546</v>
      </c>
      <c r="AB132" s="1" t="s">
        <v>1926</v>
      </c>
      <c r="AI132" s="1" t="s">
        <v>1927</v>
      </c>
      <c r="AJ132" s="1" t="s">
        <v>1259</v>
      </c>
      <c r="AL132" s="1" t="s">
        <v>1928</v>
      </c>
      <c r="AM132" s="1" t="s">
        <v>1929</v>
      </c>
      <c r="AS132" s="1" t="s">
        <v>1930</v>
      </c>
      <c r="BO132" s="1" t="s">
        <v>1931</v>
      </c>
      <c r="BP132" s="1" t="s">
        <v>1068</v>
      </c>
      <c r="BR132" s="1" t="s">
        <v>1932</v>
      </c>
      <c r="BW132" s="1" t="s">
        <v>1933</v>
      </c>
      <c r="BX132" s="1" t="s">
        <v>1934</v>
      </c>
      <c r="EF132" s="1" t="s">
        <v>1935</v>
      </c>
    </row>
    <row r="133">
      <c r="A133" s="1" t="s">
        <v>1936</v>
      </c>
      <c r="B133" s="1" t="str">
        <f>IFERROR(__xludf.DUMMYFUNCTION("GOOGLETRANSLATE(A:A, ""en"", ""te"")"),"టైటానియం ఎక్స్‌ప్లోరర్")</f>
        <v>టైటానియం ఎక్స్‌ప్లోరర్</v>
      </c>
      <c r="C133" s="1" t="s">
        <v>1937</v>
      </c>
      <c r="D133" s="1" t="str">
        <f>IFERROR(__xludf.DUMMYFUNCTION("GOOGLETRANSLATE(C:C, ""en"", ""te"")"),"టైటానియం ఎక్స్‌ప్లోరర్ అనేది ఆస్ట్రేలియన్ ఆటోగ్రెరో, ఇది నీల్ షదర్ మరియు ఆండ్రూ పెప్పర్ చేత రూపొందించబడింది మరియు న్యూ సౌత్ వేల్స్లోని అటుంగాకు చెందిన టైటానియం ఆటో గైరో (ట్యాగ్ ఏవియేషన్ పిటి లిమిటెడ్) నిర్మించింది. ఈ విమానం పూర్తి మరియు రెడీ-ఫ్లై సరఫరా చే"&amp;"యబడుతుంది, అయినప్పటికీ te త్సాహిక నిర్మాణం కోసం ఒక కిట్ అభివృద్ధి 2015 లో జరుగుతోంది. [1] ఆస్ట్రేలియన్ పరిస్థితుల కోసం దిగుమతి చేసుకున్న ఆటోజీరో డిజైన్లలో గుర్తించిన లోపాల ఫలితంగా 2009 లో డిజైన్ అభివృద్ధి ప్రారంభమైంది. [2] ఎక్స్‌ప్లోరర్‌లో సింగిల్ మెయిన్ "&amp;"రోటర్, రెండు-సీట్ల టెన్డం ఓపెన్ కాక్‌పిట్, ఒక్కొక్కటి విండ్‌షీల్డ్, వీల్ ప్యాంటుతో ట్రైసైకిల్ ల్యాండింగ్ గేర్, ప్లస్ టెయిల్ క్యాస్టర్ మరియు నాలుగు సిలిండర్, ద్రవ మరియు ఎయిర్-కూల్డ్, నాలుగు స్ట్రోక్ 100 హెచ్‌పి ఉన్నాయి . విమానం ఫ్యూజ్‌లేజ్ బాక్స్-సెక్షన్ ఫ"&amp;"్రేమ్ టైటానియం నుండి తయారవుతుంది, కాక్‌పిట్ ఫెయిరింగ్ కార్బన్ ఫైబర్ రీన్ఫోర్స్డ్ పాలిమర్ మరియు ఫైబర్‌గ్లాస్ మిశ్రమాల నుండి తయారవుతుంది. దీని రెండు-బ్లేడెడ్ రోటర్ 8.38 మీ (27.5 అడుగులు) మరియు 22 సెం.మీ (8.7 అంగుళాలు) తీగను కలిగి ఉంది. ఆస్ట్రేలియన్ అవుట్‌బ్"&amp;"యాక్ పరిస్థితుల కోసం రూపొందించిన దాని కఠినమైన సస్పెన్షన్ కోసం డిజైన్ గుర్తించబడింది. [1] ఈ విమానం 240 కిలోల (529 ఎల్బి) యొక్క సాధారణ ఖాళీ బరువు మరియు 575 కిలోల (1,268 పౌండ్లు) స్థూల బరువును కలిగి ఉంది, ఇది 335 కిలోల (739 పౌండ్లు) ఉపయోగకరమైన లోడ్ ఇస్తుంది."&amp;" 85 లీటర్ల పూర్తి ఇంధనంతో (19 ఇంప్ గల్; 22 యుఎస్ గాల్) పైలట్, ప్రయాణీకుడు మరియు సామాను 274 కిలోలు (604 ఎల్బి). [1] టాక్ నుండి డేటా [1] సాధారణ లక్షణాల పనితీరు")</f>
        <v>టైటానియం ఎక్స్‌ప్లోరర్ అనేది ఆస్ట్రేలియన్ ఆటోగ్రెరో, ఇది నీల్ షదర్ మరియు ఆండ్రూ పెప్పర్ చేత రూపొందించబడింది మరియు న్యూ సౌత్ వేల్స్లోని అటుంగాకు చెందిన టైటానియం ఆటో గైరో (ట్యాగ్ ఏవియేషన్ పిటి లిమిటెడ్) నిర్మించింది. ఈ విమానం పూర్తి మరియు రెడీ-ఫ్లై సరఫరా చేయబడుతుంది, అయినప్పటికీ te త్సాహిక నిర్మాణం కోసం ఒక కిట్ అభివృద్ధి 2015 లో జరుగుతోంది. [1] ఆస్ట్రేలియన్ పరిస్థితుల కోసం దిగుమతి చేసుకున్న ఆటోజీరో డిజైన్లలో గుర్తించిన లోపాల ఫలితంగా 2009 లో డిజైన్ అభివృద్ధి ప్రారంభమైంది. [2] ఎక్స్‌ప్లోరర్‌లో సింగిల్ మెయిన్ రోటర్, రెండు-సీట్ల టెన్డం ఓపెన్ కాక్‌పిట్, ఒక్కొక్కటి విండ్‌షీల్డ్, వీల్ ప్యాంటుతో ట్రైసైకిల్ ల్యాండింగ్ గేర్, ప్లస్ టెయిల్ క్యాస్టర్ మరియు నాలుగు సిలిండర్, ద్రవ మరియు ఎయిర్-కూల్డ్, నాలుగు స్ట్రోక్ 100 హెచ్‌పి ఉన్నాయి . విమానం ఫ్యూజ్‌లేజ్ బాక్స్-సెక్షన్ ఫ్రేమ్ టైటానియం నుండి తయారవుతుంది, కాక్‌పిట్ ఫెయిరింగ్ కార్బన్ ఫైబర్ రీన్ఫోర్స్డ్ పాలిమర్ మరియు ఫైబర్‌గ్లాస్ మిశ్రమాల నుండి తయారవుతుంది. దీని రెండు-బ్లేడెడ్ రోటర్ 8.38 మీ (27.5 అడుగులు) మరియు 22 సెం.మీ (8.7 అంగుళాలు) తీగను కలిగి ఉంది. ఆస్ట్రేలియన్ అవుట్‌బ్యాక్ పరిస్థితుల కోసం రూపొందించిన దాని కఠినమైన సస్పెన్షన్ కోసం డిజైన్ గుర్తించబడింది. [1] ఈ విమానం 240 కిలోల (529 ఎల్బి) యొక్క సాధారణ ఖాళీ బరువు మరియు 575 కిలోల (1,268 పౌండ్లు) స్థూల బరువును కలిగి ఉంది, ఇది 335 కిలోల (739 పౌండ్లు) ఉపయోగకరమైన లోడ్ ఇస్తుంది. 85 లీటర్ల పూర్తి ఇంధనంతో (19 ఇంప్ గల్; 22 యుఎస్ గాల్) పైలట్, ప్రయాణీకుడు మరియు సామాను 274 కిలోలు (604 ఎల్బి). [1] టాక్ నుండి డేటా [1] సాధారణ లక్షణాల పనితీరు</v>
      </c>
      <c r="E133" s="1" t="s">
        <v>1916</v>
      </c>
      <c r="F133" s="1" t="str">
        <f>IFERROR(__xludf.DUMMYFUNCTION("GOOGLETRANSLATE(E:E, ""en"", ""te"")"),"ఆటోజీరో")</f>
        <v>ఆటోజీరో</v>
      </c>
      <c r="G133" s="3" t="s">
        <v>1917</v>
      </c>
      <c r="H133" s="1" t="s">
        <v>1938</v>
      </c>
      <c r="I133" s="1" t="str">
        <f>IFERROR(__xludf.DUMMYFUNCTION("GOOGLETRANSLATE(H:H, ""en"", ""te"")"),"ఆస్ట్రేలియా")</f>
        <v>ఆస్ట్రేలియా</v>
      </c>
      <c r="J133" s="3" t="s">
        <v>1939</v>
      </c>
      <c r="K133" s="1" t="s">
        <v>1940</v>
      </c>
      <c r="L133" s="2" t="str">
        <f>IFERROR(__xludf.DUMMYFUNCTION("GOOGLETRANSLATE(K:K, ""en"", ""te"")"),"టైటానియం ఆటో గైరో")</f>
        <v>టైటానియం ఆటో గైరో</v>
      </c>
      <c r="M133" s="1" t="s">
        <v>1941</v>
      </c>
      <c r="N133" s="1" t="s">
        <v>1922</v>
      </c>
      <c r="O133" s="1" t="str">
        <f>IFERROR(__xludf.DUMMYFUNCTION("GOOGLETRANSLATE(N:N, ""en"", ""te"")"),"ఉత్పత్తిలో (2017)")</f>
        <v>ఉత్పత్తిలో (2017)</v>
      </c>
      <c r="Q133" s="1" t="s">
        <v>162</v>
      </c>
      <c r="U133" s="1" t="s">
        <v>1942</v>
      </c>
      <c r="X133" s="1" t="s">
        <v>1943</v>
      </c>
      <c r="Y133" s="1" t="s">
        <v>1944</v>
      </c>
      <c r="Z133" s="1" t="s">
        <v>1460</v>
      </c>
      <c r="AB133" s="1" t="s">
        <v>1945</v>
      </c>
      <c r="AI133" s="1" t="s">
        <v>1946</v>
      </c>
      <c r="AJ133" s="1" t="s">
        <v>1947</v>
      </c>
      <c r="AM133" s="1" t="s">
        <v>330</v>
      </c>
      <c r="AS133" s="1" t="s">
        <v>1930</v>
      </c>
      <c r="BP133" s="1" t="s">
        <v>1948</v>
      </c>
      <c r="BW133" s="1" t="s">
        <v>1949</v>
      </c>
      <c r="BX133" s="1" t="s">
        <v>1950</v>
      </c>
      <c r="EF133" s="1" t="s">
        <v>1951</v>
      </c>
    </row>
    <row r="134">
      <c r="A134" s="1" t="s">
        <v>1952</v>
      </c>
      <c r="B134" s="1" t="str">
        <f>IFERROR(__xludf.DUMMYFUNCTION("GOOGLETRANSLATE(A:A, ""en"", ""te"")"),"పెరెట్-లే ప్రియూర్ సీప్లేన్")</f>
        <v>పెరెట్-లే ప్రియూర్ సీప్లేన్</v>
      </c>
      <c r="C134" s="1" t="s">
        <v>1953</v>
      </c>
      <c r="D134" s="1" t="str">
        <f>IFERROR(__xludf.DUMMYFUNCTION("GOOGLETRANSLATE(C:C, ""en"", ""te"")"),"పెరెట్-లే ప్రియూర్ సీప్లేన్ తక్కువ శక్తి, రెండు సీట్ల బిప్‌లేన్ ఫ్లోట్‌ప్లేన్ ట్రైనర్ 1924 లో ఫ్రాన్స్‌లో ఎగిరింది. ఇది ఉత్పత్తికి చేరుకోలేదు. వైవ్స్ లే ప్రియూర్ సరళమైన, ఆర్థిక శిక్షణా విమానాల అవసరాన్ని గుర్తించారు, దీనిపై విద్యార్థులు సీప్లేన్ల ప్రవర్తనన"&amp;"ు నేర్చుకోవచ్చు మరియు తగిన విమానం కోసం డిజైనర్ మరియు కన్స్ట్రక్టర్ లూయిస్ పెరెట్లను సంప్రదించారు. ఫలితం పెరెట్-లే ప్రియూర్ సీప్లేన్. [1] [2] ఇది ఒకే బే బైప్‌లేన్, దీర్ఘచతురస్రాకార ప్రణాళిక రెక్కలు అస్థిరంగా లేకుండా అమర్చబడి, రెండు జతల సమాంతర, నిలువు ఇంటర్"&amp;"‌ప్లేన్ స్ట్రట్స్ మరియు బ్రేసింగ్ వైర్లతో కలుపుతారు, పెద్ద ఇంటర్‌ప్లేన్ గ్యాప్ 1.90 మీ (6 అడుగుల 3 అంగుళాలు). రెక్కలు చెక్క, రెండు-స్పేర్, రెండు-భాగాల నిర్మాణాలు, స్ప్రూస్ ప్రముఖ అంచులతో ఉన్నాయి. ఎగువ మరియు దిగువ రెక్కలపై విస్తృత, పూర్తి-స్పాన్ ఐలెరాన్లు "&amp;"బాహ్యంగా అనుసంధానించబడ్డాయి. [1] సీప్లేన్ దీర్ఘచతురస్రాకార విభాగం ఫ్యూజ్‌లేజ్ కలిగి ఉంది, ఇది నాలుగు లాంగన్స్ మరియు ప్లైవుడ్ చుట్టూ నిర్మించబడింది. ఇది వింగ్ లీడింగ్ ఎడ్జ్ కింద విశాలంగా ఉంది, ఇక్కడ ప్రతి వైపు ఒక నిలువు కాబేన్ స్ట్రట్ ఎగువ లాంగన్‌ను ఫార్వర"&amp;"్డ్ స్పార్‌కు చేరింది, మరియు విద్యార్థి మరియు ట్యూటర్ ఓపెన్ కాక్‌పిట్‌లో పక్కపక్కనే కూర్చున్నారు. వాటి ముందు ఉన్న చిన్న ముక్కు వెడల్పుగా ఉంది మరియు ఇంజిన్ అసాధారణంగా, పోర్టుకు ఆఫ్-సెట్‌ను అమర్చారు. ప్రారంభంలో 12 కిలోవాట్ల (16 హెచ్‌పి) నాలుగు-సిలిండర్ ఇన్ల"&amp;"ైన్ సెర్గాంట్ ఎ ఉపయోగించబడింది, దాని రేడియేటర్ పోర్ట్‌సైడ్ కాబేన్ స్ట్రట్ పైకి మిడ్ వేలో అమర్చబడింది. వెనుక భాగంలో పెద్ద ప్రాంతం సామ్రాజ్యం సాంప్రదాయకంగా ఉంది, పెద్ద విస్తీర్ణం, దీర్ఘచతురస్రాకార ప్రణాళిక ఆల్-కదిలే తోక ఫ్యూజ్‌లేజ్ పైన అమర్చబడి ఉంటుంది. దీన"&amp;"ి త్రిభుజాకార ఫిన్ సుమారుగా రోంబాయిడల్ చుక్కానిని తీసుకువెళ్ళింది, ఇది ఎలివేటర్ కటౌట్ ద్వారా కీల్‌కు చేరుకుంది. [1] సీప్లేన్ సరళమైన, దీర్ఘచతురస్రాకార క్రాస్-సెక్షన్ ఫ్లోట్లను కలిగి ఉంది. ఫ్లాట్ అండర్స్పిడ్లు ముక్కు వైపు వంగి ఉంటాయి, ప్రొపెల్లర్‌కు మించి చ"&amp;"ేరుకుంటాయి మరియు వెనుక చివరలు ఐలెరాన్‌ల క్రింద ఉన్నాయి. అడుగు లేదు. ప్రతి ఫ్లోట్ నాలుగు అల్యూమినియం ట్యూబ్ స్ట్రట్‌లతో జతచేయబడింది, రెండు దిగువ ఫ్యూజ్‌లేజ్‌కు లోపలికి వాలు మరియు రెక్క స్పార్‌లకు రెండు బయటికి వస్తాయి. వారు చెక్కతో నిర్మించబడ్డారు, బూడిద ఫ్"&amp;"రేమ్‌లు మరియు మహోగని ప్లైవుడ్ కవరింగ్ ఉన్నాయి. తోక అదే నిర్మాణం యొక్క స్థూపాకార ఫ్లోట్‌తో రక్షించబడింది, ఫిన్ కింద రేఖాంశంగా జతచేయబడింది. [1] సెర్గాంట్ ఇంజిన్‌తో అమర్చిన ఈ సీప్లేన్ 1924 వేసవిలో అన్నెసీ సరస్సుపై పరీక్షలను ప్రారంభించింది, కాని ఇది నీటి వేగా"&amp;"న్ని వేగంగా చేరుకోలేకపోయింది. ప్రతిస్పందనగా 34 kW (45 HP) అంజాని 6 రేడియల్ ఇంజిన్ ప్రత్యామ్నాయంగా ఉంది, [2] మళ్ళీ ఆఫ్-సెట్‌ను అమర్చారు. [3] దీనితో, సీప్లేన్ 24 ఆగస్టు 1924 న తన మొదటి విమానంలో నీటిని సులభంగా వదిలివేసింది. [4] టేకాఫ్ కోసం సుమారు 19 కిలోవాట్"&amp;" (25 హెచ్‌పి) అవసరమని తదుపరి పరీక్షలు చూపించాయి, ఒకసారి గాలిలో ఉన్నప్పటికీ, 11–15 కిలోవాట్ (15–20 హెచ్‌పి) సరిపోతుంది. [2] సెప్టెంబర్ మధ్య నాటికి పంతొమ్మిది విమానాలు తయారు చేయబడ్డాయి, కొన్ని 30 నిమిషాల పాటు కొనసాగాయి, మరియు ఒక ప్రయాణీకుడిని తీసుకువెళ్లారు"&amp;". సీప్లేన్ తరువాత పారిస్‌కు తిరిగి వచ్చింది, అక్కడ ఇది తదుపరి పరీక్షల కోసం చక్రాల అండర్ క్యారేజీతో అమర్చబడింది, [3] జనవరి 1925 నాటికి అది పెక్ వద్ద మళ్లీ నీటి నుండి ఎగురుతోంది. [5] సెప్టెంబర్ 1924 నాటికి ఈ విమానం విజయవంతమైంది మరియు రెండవది నిర్మాణంలో ఉంది"&amp;". లే ప్రియూర్ అన్నెసీలో ఫ్లోట్‌ప్లేన్ ఫ్లయింగ్ స్కూల్ కోసం ప్రణాళికలు కలిగి ఉన్నాడు. [3] రెండవ యంత్రం పూర్తయిందా లేదా పాఠశాల ఏర్పాటు చేయబడిందో తెలియదు. లెస్ ఐల్స్, ఆగస్టు 1924 నుండి డేటా [1] సాధారణ లక్షణాల పనితీరు")</f>
        <v>పెరెట్-లే ప్రియూర్ సీప్లేన్ తక్కువ శక్తి, రెండు సీట్ల బిప్‌లేన్ ఫ్లోట్‌ప్లేన్ ట్రైనర్ 1924 లో ఫ్రాన్స్‌లో ఎగిరింది. ఇది ఉత్పత్తికి చేరుకోలేదు. వైవ్స్ లే ప్రియూర్ సరళమైన, ఆర్థిక శిక్షణా విమానాల అవసరాన్ని గుర్తించారు, దీనిపై విద్యార్థులు సీప్లేన్ల ప్రవర్తనను నేర్చుకోవచ్చు మరియు తగిన విమానం కోసం డిజైనర్ మరియు కన్స్ట్రక్టర్ లూయిస్ పెరెట్లను సంప్రదించారు. ఫలితం పెరెట్-లే ప్రియూర్ సీప్లేన్. [1] [2] ఇది ఒకే బే బైప్‌లేన్, దీర్ఘచతురస్రాకార ప్రణాళిక రెక్కలు అస్థిరంగా లేకుండా అమర్చబడి, రెండు జతల సమాంతర, నిలువు ఇంటర్‌ప్లేన్ స్ట్రట్స్ మరియు బ్రేసింగ్ వైర్లతో కలుపుతారు, పెద్ద ఇంటర్‌ప్లేన్ గ్యాప్ 1.90 మీ (6 అడుగుల 3 అంగుళాలు). రెక్కలు చెక్క, రెండు-స్పేర్, రెండు-భాగాల నిర్మాణాలు, స్ప్రూస్ ప్రముఖ అంచులతో ఉన్నాయి. ఎగువ మరియు దిగువ రెక్కలపై విస్తృత, పూర్తి-స్పాన్ ఐలెరాన్లు బాహ్యంగా అనుసంధానించబడ్డాయి. [1] సీప్లేన్ దీర్ఘచతురస్రాకార విభాగం ఫ్యూజ్‌లేజ్ కలిగి ఉంది, ఇది నాలుగు లాంగన్స్ మరియు ప్లైవుడ్ చుట్టూ నిర్మించబడింది. ఇది వింగ్ లీడింగ్ ఎడ్జ్ కింద విశాలంగా ఉంది, ఇక్కడ ప్రతి వైపు ఒక నిలువు కాబేన్ స్ట్రట్ ఎగువ లాంగన్‌ను ఫార్వర్డ్ స్పార్‌కు చేరింది, మరియు విద్యార్థి మరియు ట్యూటర్ ఓపెన్ కాక్‌పిట్‌లో పక్కపక్కనే కూర్చున్నారు. వాటి ముందు ఉన్న చిన్న ముక్కు వెడల్పుగా ఉంది మరియు ఇంజిన్ అసాధారణంగా, పోర్టుకు ఆఫ్-సెట్‌ను అమర్చారు. ప్రారంభంలో 12 కిలోవాట్ల (16 హెచ్‌పి) నాలుగు-సిలిండర్ ఇన్లైన్ సెర్గాంట్ ఎ ఉపయోగించబడింది, దాని రేడియేటర్ పోర్ట్‌సైడ్ కాబేన్ స్ట్రట్ పైకి మిడ్ వేలో అమర్చబడింది. వెనుక భాగంలో పెద్ద ప్రాంతం సామ్రాజ్యం సాంప్రదాయకంగా ఉంది, పెద్ద విస్తీర్ణం, దీర్ఘచతురస్రాకార ప్రణాళిక ఆల్-కదిలే తోక ఫ్యూజ్‌లేజ్ పైన అమర్చబడి ఉంటుంది. దీని త్రిభుజాకార ఫిన్ సుమారుగా రోంబాయిడల్ చుక్కానిని తీసుకువెళ్ళింది, ఇది ఎలివేటర్ కటౌట్ ద్వారా కీల్‌కు చేరుకుంది. [1] సీప్లేన్ సరళమైన, దీర్ఘచతురస్రాకార క్రాస్-సెక్షన్ ఫ్లోట్లను కలిగి ఉంది. ఫ్లాట్ అండర్స్పిడ్లు ముక్కు వైపు వంగి ఉంటాయి, ప్రొపెల్లర్‌కు మించి చేరుకుంటాయి మరియు వెనుక చివరలు ఐలెరాన్‌ల క్రింద ఉన్నాయి. అడుగు లేదు. ప్రతి ఫ్లోట్ నాలుగు అల్యూమినియం ట్యూబ్ స్ట్రట్‌లతో జతచేయబడింది, రెండు దిగువ ఫ్యూజ్‌లేజ్‌కు లోపలికి వాలు మరియు రెక్క స్పార్‌లకు రెండు బయటికి వస్తాయి. వారు చెక్కతో నిర్మించబడ్డారు, బూడిద ఫ్రేమ్‌లు మరియు మహోగని ప్లైవుడ్ కవరింగ్ ఉన్నాయి. తోక అదే నిర్మాణం యొక్క స్థూపాకార ఫ్లోట్‌తో రక్షించబడింది, ఫిన్ కింద రేఖాంశంగా జతచేయబడింది. [1] సెర్గాంట్ ఇంజిన్‌తో అమర్చిన ఈ సీప్లేన్ 1924 వేసవిలో అన్నెసీ సరస్సుపై పరీక్షలను ప్రారంభించింది, కాని ఇది నీటి వేగాన్ని వేగంగా చేరుకోలేకపోయింది. ప్రతిస్పందనగా 34 kW (45 HP) అంజాని 6 రేడియల్ ఇంజిన్ ప్రత్యామ్నాయంగా ఉంది, [2] మళ్ళీ ఆఫ్-సెట్‌ను అమర్చారు. [3] దీనితో, సీప్లేన్ 24 ఆగస్టు 1924 న తన మొదటి విమానంలో నీటిని సులభంగా వదిలివేసింది. [4] టేకాఫ్ కోసం సుమారు 19 కిలోవాట్ (25 హెచ్‌పి) అవసరమని తదుపరి పరీక్షలు చూపించాయి, ఒకసారి గాలిలో ఉన్నప్పటికీ, 11–15 కిలోవాట్ (15–20 హెచ్‌పి) సరిపోతుంది. [2] సెప్టెంబర్ మధ్య నాటికి పంతొమ్మిది విమానాలు తయారు చేయబడ్డాయి, కొన్ని 30 నిమిషాల పాటు కొనసాగాయి, మరియు ఒక ప్రయాణీకుడిని తీసుకువెళ్లారు. సీప్లేన్ తరువాత పారిస్‌కు తిరిగి వచ్చింది, అక్కడ ఇది తదుపరి పరీక్షల కోసం చక్రాల అండర్ క్యారేజీతో అమర్చబడింది, [3] జనవరి 1925 నాటికి అది పెక్ వద్ద మళ్లీ నీటి నుండి ఎగురుతోంది. [5] సెప్టెంబర్ 1924 నాటికి ఈ విమానం విజయవంతమైంది మరియు రెండవది నిర్మాణంలో ఉంది. లే ప్రియూర్ అన్నెసీలో ఫ్లోట్‌ప్లేన్ ఫ్లయింగ్ స్కూల్ కోసం ప్రణాళికలు కలిగి ఉన్నాడు. [3] రెండవ యంత్రం పూర్తయిందా లేదా పాఠశాల ఏర్పాటు చేయబడిందో తెలియదు. లెస్ ఐల్స్, ఆగస్టు 1924 నుండి డేటా [1] సాధారణ లక్షణాల పనితీరు</v>
      </c>
      <c r="E134" s="1" t="s">
        <v>1954</v>
      </c>
      <c r="F134" s="1" t="str">
        <f>IFERROR(__xludf.DUMMYFUNCTION("GOOGLETRANSLATE(E:E, ""en"", ""te"")"),"ఫ్లోట్‌ప్లేన్ ట్రైనర్")</f>
        <v>ఫ్లోట్‌ప్లేన్ ట్రైనర్</v>
      </c>
      <c r="G134" s="1" t="s">
        <v>1955</v>
      </c>
      <c r="H134" s="1" t="s">
        <v>208</v>
      </c>
      <c r="I134" s="1" t="str">
        <f>IFERROR(__xludf.DUMMYFUNCTION("GOOGLETRANSLATE(H:H, ""en"", ""te"")"),"ఫ్రాన్స్")</f>
        <v>ఫ్రాన్స్</v>
      </c>
      <c r="J134" s="3" t="s">
        <v>209</v>
      </c>
      <c r="K134" s="1" t="s">
        <v>1956</v>
      </c>
      <c r="L134" s="2" t="str">
        <f>IFERROR(__xludf.DUMMYFUNCTION("GOOGLETRANSLATE(K:K, ""en"", ""te"")"),"లూయిస్ పెరెట్")</f>
        <v>లూయిస్ పెరెట్</v>
      </c>
      <c r="M134" s="1" t="s">
        <v>1957</v>
      </c>
      <c r="Q134" s="1" t="s">
        <v>1958</v>
      </c>
      <c r="R134" s="1" t="s">
        <v>1959</v>
      </c>
      <c r="S134" s="1" t="s">
        <v>1960</v>
      </c>
      <c r="X134" s="1" t="s">
        <v>1961</v>
      </c>
      <c r="Y134" s="1" t="s">
        <v>1962</v>
      </c>
      <c r="Z134" s="1" t="s">
        <v>1963</v>
      </c>
      <c r="AB134" s="1" t="s">
        <v>1956</v>
      </c>
      <c r="AD134" s="4">
        <v>9003.0</v>
      </c>
      <c r="AE134" s="1" t="s">
        <v>780</v>
      </c>
      <c r="AF134" s="1" t="s">
        <v>1964</v>
      </c>
      <c r="AH134" s="1" t="s">
        <v>1965</v>
      </c>
      <c r="AI134" s="1" t="s">
        <v>1966</v>
      </c>
      <c r="AJ134" s="1" t="s">
        <v>1967</v>
      </c>
      <c r="AQ134" s="1" t="s">
        <v>1968</v>
      </c>
      <c r="AS134" s="1" t="s">
        <v>1969</v>
      </c>
      <c r="BK134" s="1" t="s">
        <v>1970</v>
      </c>
    </row>
    <row r="135">
      <c r="A135" s="1" t="s">
        <v>1971</v>
      </c>
      <c r="B135" s="1" t="str">
        <f>IFERROR(__xludf.DUMMYFUNCTION("GOOGLETRANSLATE(A:A, ""en"", ""te"")"),"స్పెన్సర్-స్టిర్లింగ్ బిప్‌లేన్")</f>
        <v>స్పెన్సర్-స్టిర్లింగ్ బిప్‌లేన్</v>
      </c>
      <c r="C135" s="1" t="s">
        <v>1972</v>
      </c>
      <c r="D135" s="1" t="str">
        <f>IFERROR(__xludf.DUMMYFUNCTION("GOOGLETRANSLATE(C:C, ""en"", ""te"")"),"స్పెన్సర్-స్టిర్లింగ్ బిప్‌లేన్ 1910 ల బ్రిటిష్ పషర్ కాన్ఫిగరేషన్ బిప్‌లేన్, హెర్బర్ట్ స్పెన్సర్ రూపొందించిన మరియు నిర్మించినది. హెన్రీ ఫార్మాన్ యొక్క డిజైన్లకు డిజైన్ సారూప్యతను సూచిస్తూ దీనిని కొన్నిసార్లు స్పెన్సర్-ఫార్మాన్ అని పిలుస్తారు. [A] ప్రధానంగ"&amp;"ా బ్రూక్లాండ్స్ ఏరోడ్రోమ్ వద్ద ఉంది, దీనిని ప్రపంచవ్యాప్తంగా స్పెన్సర్ ప్రదర్శన మరియు శిక్షణా విమానాలపై ఎగురవేసింది. [1] [2] ప్రారంభంలో 40-70 హెచ్‌పి (30–52 కిలోవాట్) గా రేట్ చేయబడిన ఆర్‌హెచ్ 4-సిలిండర్ ఇన్-లైన్ ఇంజిన్‌తో శక్తితో, స్పెన్సర్-స్టిర్లింగ్ బి"&amp;"ప్‌లేన్ జూలై 1911 లో 50 హెచ్‌పి (37 కిలోవాట్) గ్నోమ్ గామా రోటరీ ఇంజిన్‌తో తిరిగి ఇంజిన్ చేయబడింది. [ 29 ఆగస్టు 1911 న, స్పెన్సర్ తన ఏవియేటర్ సర్టిఫికెట్‌ను బ్రూక్లాండ్స్ వద్ద అతను నిర్మించిన బైప్‌లేన్ ఎగురుతూ పొందాడు. [4] [2] ప్రారంభ స్ట్రెయిట్ హాప్స్ తరు"&amp;"వాత, గ్నోమ్ ఇంజిన్ అమర్చడానికి కొంతకాలం ముందు జూన్ 1911 లో స్పెన్సర్-స్టిర్లింగ్ హెన్రీ పెక్వెట్ విజయవంతంగా పరీక్షించబడింది. తన ఏవియేటర్స్ సర్టిఫికేట్ దాటిన తరువాత, స్పెన్సర్ 25 ఫిబ్రవరి 1912 న విమానం క్రాష్ అయ్యే వరకు స్పెన్సర్ పోటీ మరియు ప్రదర్శన విమానా"&amp;"ల కోసం స్పెన్సర్-స్టిర్లింగ్‌ను ఉపయోగించాడు. [2]")</f>
        <v>స్పెన్సర్-స్టిర్లింగ్ బిప్‌లేన్ 1910 ల బ్రిటిష్ పషర్ కాన్ఫిగరేషన్ బిప్‌లేన్, హెర్బర్ట్ స్పెన్సర్ రూపొందించిన మరియు నిర్మించినది. హెన్రీ ఫార్మాన్ యొక్క డిజైన్లకు డిజైన్ సారూప్యతను సూచిస్తూ దీనిని కొన్నిసార్లు స్పెన్సర్-ఫార్మాన్ అని పిలుస్తారు. [A] ప్రధానంగా బ్రూక్లాండ్స్ ఏరోడ్రోమ్ వద్ద ఉంది, దీనిని ప్రపంచవ్యాప్తంగా స్పెన్సర్ ప్రదర్శన మరియు శిక్షణా విమానాలపై ఎగురవేసింది. [1] [2] ప్రారంభంలో 40-70 హెచ్‌పి (30–52 కిలోవాట్) గా రేట్ చేయబడిన ఆర్‌హెచ్ 4-సిలిండర్ ఇన్-లైన్ ఇంజిన్‌తో శక్తితో, స్పెన్సర్-స్టిర్లింగ్ బిప్‌లేన్ జూలై 1911 లో 50 హెచ్‌పి (37 కిలోవాట్) గ్నోమ్ గామా రోటరీ ఇంజిన్‌తో తిరిగి ఇంజిన్ చేయబడింది. [ 29 ఆగస్టు 1911 న, స్పెన్సర్ తన ఏవియేటర్ సర్టిఫికెట్‌ను బ్రూక్లాండ్స్ వద్ద అతను నిర్మించిన బైప్‌లేన్ ఎగురుతూ పొందాడు. [4] [2] ప్రారంభ స్ట్రెయిట్ హాప్స్ తరువాత, గ్నోమ్ ఇంజిన్ అమర్చడానికి కొంతకాలం ముందు జూన్ 1911 లో స్పెన్సర్-స్టిర్లింగ్ హెన్రీ పెక్వెట్ విజయవంతంగా పరీక్షించబడింది. తన ఏవియేటర్స్ సర్టిఫికేట్ దాటిన తరువాత, స్పెన్సర్ 25 ఫిబ్రవరి 1912 న విమానం క్రాష్ అయ్యే వరకు స్పెన్సర్ పోటీ మరియు ప్రదర్శన విమానాల కోసం స్పెన్సర్-స్టిర్లింగ్‌ను ఉపయోగించాడు. [2]</v>
      </c>
      <c r="E135" s="1" t="s">
        <v>1973</v>
      </c>
      <c r="F135" s="1" t="str">
        <f>IFERROR(__xludf.DUMMYFUNCTION("GOOGLETRANSLATE(E:E, ""en"", ""te"")"),"పషర్ బిప్‌లేన్")</f>
        <v>పషర్ బిప్‌లేన్</v>
      </c>
      <c r="H135" s="1" t="s">
        <v>1450</v>
      </c>
      <c r="I135" s="1" t="str">
        <f>IFERROR(__xludf.DUMMYFUNCTION("GOOGLETRANSLATE(H:H, ""en"", ""te"")"),"యునైటెడ్ కింగ్‌డమ్")</f>
        <v>యునైటెడ్ కింగ్‌డమ్</v>
      </c>
      <c r="L135" s="2"/>
      <c r="AB135" s="1" t="s">
        <v>1974</v>
      </c>
      <c r="AD135" s="4">
        <v>3966.0</v>
      </c>
      <c r="AE135" s="1">
        <v>1.0</v>
      </c>
      <c r="CZ135" s="1" t="s">
        <v>1975</v>
      </c>
      <c r="DF135" s="1" t="s">
        <v>1976</v>
      </c>
    </row>
    <row r="136">
      <c r="A136" s="1" t="s">
        <v>1977</v>
      </c>
      <c r="B136" s="1" t="str">
        <f>IFERROR(__xludf.DUMMYFUNCTION("GOOGLETRANSLATE(A:A, ""en"", ""te"")"),"ఏరియల్ ఇంజనీరింగ్ కార్పొరేషన్ స్టాండర్డ్ 6W-3")</f>
        <v>ఏరియల్ ఇంజనీరింగ్ కార్పొరేషన్ స్టాండర్డ్ 6W-3</v>
      </c>
      <c r="C136" s="1" t="s">
        <v>1978</v>
      </c>
      <c r="D136" s="1" t="str">
        <f>IFERROR(__xludf.DUMMYFUNCTION("GOOGLETRANSLATE(C:C, ""en"", ""te"")"),"ఏరియల్ ఇంజనీరింగ్ కార్పొరేషన్ స్టాండర్డ్ 6W-3 అనేది యుఎస్ ప్రామాణిక J-1 బిప్‌లేన్ మిలిటరీ ట్రైనర్ విమానం యొక్క వాణిజ్య రవాణా మార్పు, నలుగురు ప్రయాణీకులకు కొత్త రెక్కలు, ఇంజిన్ మరియు వసతి ఉంది. మొదట 1925 లో ఎగిరింది, ఇది తక్కువ సంఖ్యలో నిర్మించబడింది. ప్రా"&amp;"మాణిక J-1 మిలిటరీ ట్రైనర్ మొదటి ప్రపంచ యుద్ధం చివరిలో పెద్ద సంఖ్యలో నిర్మించబడింది. యుద్ధం తరువాత అనేక మిగులుతో, ఇది అనేక మంది తయారీదారుల అనుసరణకు సహజ ఎంపిక. ఏరియల్ సర్వీస్, గ్లెన్ కర్టిస్‌తో ప్రారంభ సహకారి అయిన అనుభవజ్ఞుడైన డిజైనర్ హార్వే ముమ్మెర్ట్‌తో క"&amp;"లిసి, మెర్క్యురీ స్టాండర్డ్ 6W-3 ను పూర్తిగా కొత్త రెక్కను ప్రామాణిక J ఫ్యూజ్‌లేజ్ మరియు ఎంపెనేజ్‌తో కలపడం ద్వారా, విద్యార్థిగా కాకుండా నలుగురు ప్రయాణీకులకు వసతి కల్పించడానికి సవరించబడింది కొత్త మరియు మరింత శక్తివంతమైన ఇంజిన్. [2] ప్రామాణిక 6W-3 అనేది స్థ"&amp;"ిరమైన తీగతో ఒకే బే బైప్‌లేన్, స్ట్రెయిట్-ఎడ్జ్డ్ రెక్కలు 5 at వద్ద కొట్టుకుపోయాయి మరియు WWI సమయంలో ఉపయోగించిన వాటిలో చాలా ఆధునిక, మందమైన ఎయిర్‌ఫాయిల్‌తో. దాని ఎగువ రెక్క ఫ్లాట్ అయితే దిగువ ఒకటి 1.5 ° డైహెడ్రల్ కలిగి ఉంది. ఎగువ రెక్కపై సమతుల్య ఐలెరన్లు ఉన్"&amp;"నాయి. రెండు రెక్కలు జంట స్ప్రూస్ బాక్స్ స్పార్‌ల ఆధారంగా చెక్క నిర్మాణాలు, దిగువ వింగ్ దిగువ ఫ్యూజ్‌లేజ్ లాంగన్స్‌కు అనుసంధానించబడి ఉన్నాయి మరియు దానికి అప్పర్ వింగ్. అస్థిరంగా లేకుండా, స్పార్స్ మధ్య ప్రతి వైపు ఒక జత నిలువు ఇంటర్‌ప్లేన్ స్ట్రట్‌ల ద్వారా. "&amp;"పైలట్ యొక్క పైకి వీక్షణ క్షేత్రాన్ని మెరుగుపరచడానికి తీగ తగ్గించబడిన ఇరుకైన సెంటర్ విభాగం, N- రూపం క్యాబన్ స్ట్రట్‌ల జతలతో ఫ్యూజ్‌లేజ్‌పై మద్దతు ఇచ్చింది. [2] దాని సవరించిన ప్రామాణిక ఫ్యూజ్‌లేజ్, న్యూ లాంగన్స్ మరియు కవరింగ్‌తో, ఇప్పుడు 120 కిలోవాట్ల (160 "&amp;"హెచ్‌పి) ఆరు-సిలిండర్లను కలిగి ఉంది, దాని ముందు తేనెగూడు రేడియేటర్‌తో మరియు ఎగువ వింగ్‌లో ఇంధన ట్యాంక్‌తో నీటి-చల్లబడిన ఇన్లైన్ కర్టిస్ సి -6 ఇంజన్ ఉంది. వెంటనే దాని వెనుక నలుగురు ప్రయాణీకులకు సీట్లతో కొత్త, పెద్ద, అండర్ వింగ్ కాక్‌పిట్, రెండు వైపుల పక్కప"&amp;"క్కనే సీట్లలో ఇద్దరు మరియు మరో రెండు ఎదురుగా ఉన్నాయి. సీట్లు సులభంగా మార్చగలవు, 6W-3 ను మెయిల్‌ప్లేన్‌గా పనిచేయడానికి వీలు కల్పిస్తుంది. పైలట్ ప్రయాణీకుల వెనుక ఒక ప్రత్యేక కాక్‌పిట్‌లో అతని తల వెనుక పెద్ద ఫెయిరింగ్ ఉంది. [2] సామ్రాజ్యం సాంప్రదాయికమైనది, త"&amp;"క్కువ కారక నిష్పత్తి టెయిల్‌ప్లేన్ మరియు ఫ్యూజ్‌లేజ్ పైన ఉదారంగా ఎలివేటర్లు ఉన్నాయి. ఫిన్ త్రిభుజాకారంగా ఉంది, గుండ్రని చుక్కానితో. 6W-3 లో సాంప్రదాయిక, స్థిర, టెయిల్స్కిడ్ ల్యాండింగ్ గేర్‌ను చక్రాలు కలిగి ఉన్నాయి, ఒకే ఇరుసుపై జంట V- స్ట్రట్స్ చేత దిగువ ఫ"&amp;"్యూజ్‌లేజ్ లాంగన్స్‌కు. రబ్బరు త్రాడు షాక్ అబ్జార్బర్స్ అమర్చారు. [2] మొదటి ఫ్లైట్ 1925 లో జరిగింది. పది కంటే తక్కువ నిర్మించబడింది. [1] లెస్ ఐల్స్ నుండి డేటా, ఫిబ్రవరి 1926 [2] సాధారణ లక్షణాల పనితీరు")</f>
        <v>ఏరియల్ ఇంజనీరింగ్ కార్పొరేషన్ స్టాండర్డ్ 6W-3 అనేది యుఎస్ ప్రామాణిక J-1 బిప్‌లేన్ మిలిటరీ ట్రైనర్ విమానం యొక్క వాణిజ్య రవాణా మార్పు, నలుగురు ప్రయాణీకులకు కొత్త రెక్కలు, ఇంజిన్ మరియు వసతి ఉంది. మొదట 1925 లో ఎగిరింది, ఇది తక్కువ సంఖ్యలో నిర్మించబడింది. ప్రామాణిక J-1 మిలిటరీ ట్రైనర్ మొదటి ప్రపంచ యుద్ధం చివరిలో పెద్ద సంఖ్యలో నిర్మించబడింది. యుద్ధం తరువాత అనేక మిగులుతో, ఇది అనేక మంది తయారీదారుల అనుసరణకు సహజ ఎంపిక. ఏరియల్ సర్వీస్, గ్లెన్ కర్టిస్‌తో ప్రారంభ సహకారి అయిన అనుభవజ్ఞుడైన డిజైనర్ హార్వే ముమ్మెర్ట్‌తో కలిసి, మెర్క్యురీ స్టాండర్డ్ 6W-3 ను పూర్తిగా కొత్త రెక్కను ప్రామాణిక J ఫ్యూజ్‌లేజ్ మరియు ఎంపెనేజ్‌తో కలపడం ద్వారా, విద్యార్థిగా కాకుండా నలుగురు ప్రయాణీకులకు వసతి కల్పించడానికి సవరించబడింది కొత్త మరియు మరింత శక్తివంతమైన ఇంజిన్. [2] ప్రామాణిక 6W-3 అనేది స్థిరమైన తీగతో ఒకే బే బైప్‌లేన్, స్ట్రెయిట్-ఎడ్జ్డ్ రెక్కలు 5 at వద్ద కొట్టుకుపోయాయి మరియు WWI సమయంలో ఉపయోగించిన వాటిలో చాలా ఆధునిక, మందమైన ఎయిర్‌ఫాయిల్‌తో. దాని ఎగువ రెక్క ఫ్లాట్ అయితే దిగువ ఒకటి 1.5 ° డైహెడ్రల్ కలిగి ఉంది. ఎగువ రెక్కపై సమతుల్య ఐలెరన్లు ఉన్నాయి. రెండు రెక్కలు జంట స్ప్రూస్ బాక్స్ స్పార్‌ల ఆధారంగా చెక్క నిర్మాణాలు, దిగువ వింగ్ దిగువ ఫ్యూజ్‌లేజ్ లాంగన్స్‌కు అనుసంధానించబడి ఉన్నాయి మరియు దానికి అప్పర్ వింగ్. అస్థిరంగా లేకుండా, స్పార్స్ మధ్య ప్రతి వైపు ఒక జత నిలువు ఇంటర్‌ప్లేన్ స్ట్రట్‌ల ద్వారా. పైలట్ యొక్క పైకి వీక్షణ క్షేత్రాన్ని మెరుగుపరచడానికి తీగ తగ్గించబడిన ఇరుకైన సెంటర్ విభాగం, N- రూపం క్యాబన్ స్ట్రట్‌ల జతలతో ఫ్యూజ్‌లేజ్‌పై మద్దతు ఇచ్చింది. [2] దాని సవరించిన ప్రామాణిక ఫ్యూజ్‌లేజ్, న్యూ లాంగన్స్ మరియు కవరింగ్‌తో, ఇప్పుడు 120 కిలోవాట్ల (160 హెచ్‌పి) ఆరు-సిలిండర్లను కలిగి ఉంది, దాని ముందు తేనెగూడు రేడియేటర్‌తో మరియు ఎగువ వింగ్‌లో ఇంధన ట్యాంక్‌తో నీటి-చల్లబడిన ఇన్లైన్ కర్టిస్ సి -6 ఇంజన్ ఉంది. వెంటనే దాని వెనుక నలుగురు ప్రయాణీకులకు సీట్లతో కొత్త, పెద్ద, అండర్ వింగ్ కాక్‌పిట్, రెండు వైపుల పక్కపక్కనే సీట్లలో ఇద్దరు మరియు మరో రెండు ఎదురుగా ఉన్నాయి. సీట్లు సులభంగా మార్చగలవు, 6W-3 ను మెయిల్‌ప్లేన్‌గా పనిచేయడానికి వీలు కల్పిస్తుంది. పైలట్ ప్రయాణీకుల వెనుక ఒక ప్రత్యేక కాక్‌పిట్‌లో అతని తల వెనుక పెద్ద ఫెయిరింగ్ ఉంది. [2] సామ్రాజ్యం సాంప్రదాయికమైనది, తక్కువ కారక నిష్పత్తి టెయిల్‌ప్లేన్ మరియు ఫ్యూజ్‌లేజ్ పైన ఉదారంగా ఎలివేటర్లు ఉన్నాయి. ఫిన్ త్రిభుజాకారంగా ఉంది, గుండ్రని చుక్కానితో. 6W-3 లో సాంప్రదాయిక, స్థిర, టెయిల్స్కిడ్ ల్యాండింగ్ గేర్‌ను చక్రాలు కలిగి ఉన్నాయి, ఒకే ఇరుసుపై జంట V- స్ట్రట్స్ చేత దిగువ ఫ్యూజ్‌లేజ్ లాంగన్స్‌కు. రబ్బరు త్రాడు షాక్ అబ్జార్బర్స్ అమర్చారు. [2] మొదటి ఫ్లైట్ 1925 లో జరిగింది. పది కంటే తక్కువ నిర్మించబడింది. [1] లెస్ ఐల్స్ నుండి డేటా, ఫిబ్రవరి 1926 [2] సాధారణ లక్షణాల పనితీరు</v>
      </c>
      <c r="E136" s="1" t="s">
        <v>1979</v>
      </c>
      <c r="F136" s="1" t="str">
        <f>IFERROR(__xludf.DUMMYFUNCTION("GOOGLETRANSLATE(E:E, ""en"", ""te"")"),"వాణిజ్య రవాణా విమానం")</f>
        <v>వాణిజ్య రవాణా విమానం</v>
      </c>
      <c r="G136" s="1" t="s">
        <v>1980</v>
      </c>
      <c r="H136" s="1" t="s">
        <v>227</v>
      </c>
      <c r="I136" s="1" t="str">
        <f>IFERROR(__xludf.DUMMYFUNCTION("GOOGLETRANSLATE(H:H, ""en"", ""te"")"),"అమెరికా")</f>
        <v>అమెరికా</v>
      </c>
      <c r="J136" s="3" t="s">
        <v>228</v>
      </c>
      <c r="K136" s="1" t="s">
        <v>1981</v>
      </c>
      <c r="L136" s="2" t="str">
        <f>IFERROR(__xludf.DUMMYFUNCTION("GOOGLETRANSLATE(K:K, ""en"", ""te"")"),"వైమానిక ఇంజనీరింగ్ కార్పొరేషన్ [1]")</f>
        <v>వైమానిక ఇంజనీరింగ్ కార్పొరేషన్ [1]</v>
      </c>
      <c r="Q136" s="1" t="s">
        <v>212</v>
      </c>
      <c r="R136" s="1" t="s">
        <v>1982</v>
      </c>
      <c r="S136" s="1" t="s">
        <v>1983</v>
      </c>
      <c r="U136" s="1" t="s">
        <v>1984</v>
      </c>
      <c r="X136" s="1" t="s">
        <v>1985</v>
      </c>
      <c r="Y136" s="1" t="s">
        <v>1986</v>
      </c>
      <c r="Z136" s="1" t="s">
        <v>1987</v>
      </c>
      <c r="AA136" s="1" t="s">
        <v>1988</v>
      </c>
      <c r="AB136" s="1" t="s">
        <v>1989</v>
      </c>
      <c r="AD136" s="1">
        <v>1925.0</v>
      </c>
      <c r="AE136" s="1" t="s">
        <v>1990</v>
      </c>
      <c r="AF136" s="1" t="s">
        <v>1991</v>
      </c>
      <c r="AG136" s="1" t="s">
        <v>1992</v>
      </c>
      <c r="AH136" s="1" t="s">
        <v>1993</v>
      </c>
      <c r="AI136" s="1" t="s">
        <v>1994</v>
      </c>
      <c r="AJ136" s="1" t="s">
        <v>1995</v>
      </c>
      <c r="AL136" s="1" t="s">
        <v>1996</v>
      </c>
      <c r="AM136" s="1" t="s">
        <v>1997</v>
      </c>
      <c r="AP136" s="1" t="s">
        <v>1998</v>
      </c>
      <c r="AQ136" s="1" t="s">
        <v>1026</v>
      </c>
      <c r="AS136" s="1" t="s">
        <v>1999</v>
      </c>
      <c r="BS136" s="1" t="s">
        <v>2000</v>
      </c>
    </row>
    <row r="137">
      <c r="A137" s="1" t="s">
        <v>2001</v>
      </c>
      <c r="B137" s="1" t="str">
        <f>IFERROR(__xludf.DUMMYFUNCTION("GOOGLETRANSLATE(A:A, ""en"", ""te"")"),"వైమానిక సేవ మెర్క్యురీ సీనియర్")</f>
        <v>వైమానిక సేవ మెర్క్యురీ సీనియర్</v>
      </c>
      <c r="C137" s="1" t="s">
        <v>2002</v>
      </c>
      <c r="D137" s="1" t="str">
        <f>IFERROR(__xludf.DUMMYFUNCTION("GOOGLETRANSLATE(C:C, ""en"", ""te"")"),"ఏరియల్ సర్వీస్ మెర్క్యురీ సీనియర్, ఏరియల్ మెర్క్యురీ సీనియర్ లేదా జస్ట్ మెర్క్యురీ సీనియర్ న్యూయార్క్ నగరం మరియు చికాగో మధ్య రాత్రిపూట పనిచేయడానికి రూపొందించిన యుఎస్ బిప్‌లేన్ మెయిల్‌ప్లేన్. భిన్నమైన, చిన్న, దిగువ వింగ్ పగటిపూట విమానాల కోసం దాని పనితీరును"&amp;" మెరుగుపరిచింది. ఒకటి అమెరికా పోస్ట్ ఆఫీస్ విభాగం నిర్మించింది మరియు ఉపయోగించబడింది. మెర్క్యురీ సీనియర్ ఒకే బే బైప్‌లేన్, అస్థిరత లేకుండా మరియు డైహెడ్రాల్‌తో మాత్రమే దిగువ రెక్కపై మాత్రమే. రెండు రెక్కలు మొద్దుబారిన చిట్కాలకు ప్రణాళికలో దీర్ఘచతురస్రాకారంగా"&amp;" ఉన్నాయి మరియు స్థిరమైన, మందపాటి విభాగాలు కలిగి ఉన్నాయి; అవి ట్విన్ స్ప్రూస్ మరియు ప్లైవుడ్ స్పార్స్ మరియు ఫాబ్రిక్ చుట్టూ నిర్మించబడ్డాయి. ఎగువ రెక్కను ఫ్యూజ్‌లేజ్‌పై ఒక జత ఎన్-ఫారమ్ క్యాబనే స్ట్రట్స్ ఉంచారు. ఇంటర్‌ప్లేన్ స్ట్రట్స్ సమాంతర జతలలో ఉన్నాయి, "&amp;"సాధారణ వైర్ క్రాస్ బ్రేసింగ్ సహాయంతో. ఎగువ మరియు దిగువ రెక్కలపై బాహ్యంగా ఒకదానితో ఒకటి అనుసంధానించబడిన ఐలెరోన్లు ఉన్నాయి. [1] సీనియర్ యొక్క నవల లక్షణం లోయర్ వింగ్ ఎంపిక: రెండు అందుబాటులో ఉన్నాయి, ఒకటి అప్పర్ వింగ్ కంటే తక్కువ వ్యవధి మరియు ఒకటి ఎక్కువ కాలం"&amp;" ఉంటుంది. తరువాతి మొత్తం రెక్క ప్రాంతాన్ని సుమారు 27% పెంచింది మరియు వింగ్ లోడింగ్ 19% తగ్గింది. దిగువ వింగ్ లోడింగ్‌లు విమాన వేగాన్ని తగ్గిస్తాయి, కాబట్టి పొడవైన స్పాన్ సెట్ తక్కువ రాత్రి ల్యాండింగ్ వేగాన్ని తగ్గించిన క్రూయిజింగ్ వేగం ధర వద్ద అందించింది."&amp;" [1] సీనియర్ యొక్క ఫ్యూజ్‌లేజ్ వెల్డెడ్ స్టీల్ ట్యూబ్ ఫ్రేమ్, దాని ఫార్వర్డ్ భాగం లైట్ మెటల్‌తో కప్పబడి ఉంటుంది మరియు వెనుక భాగంలో ప్లైవుడ్‌తో కప్పబడి ఉంటుంది. బాహ్యంగా ఇది గుండ్రని ఎగువ డెక్కింగ్‌తో ఫ్లాట్-సైడెడ్ చేయబడింది. ముక్కులో 400 హెచ్‌పి (300 కిలో"&amp;"వాట్ల) లిబర్టీ ఎల్ -12 వాటర్-కూల్డ్ వి 12 ఇంజిన్ రెండు బ్లేడెడ్, స్టీల్ కర్టిస్ ప్రొపెల్లర్‌ను నడిపించింది. దాని తేనెగూడు రేడియేటర్ ఇంజిన్ కంటే ముందుంది, ఇది పైలట్ దాటి ఉద్గారాలను తీసుకోవడానికి ఫ్యూజ్‌లేజ్ యొక్క రెండు వైపులా లాంగ్ ఎగ్జాస్ట్ పైపులను కలిగి "&amp;"ఉంది. అతని ఓపెన్ కాక్‌పిట్ రెక్క యొక్క వెనుకంజలో ఉన్న అంచు వెనుక ఉంది. [1] 1,000 lb (450 kg) [2] మెయిల్ ఇంజిన్ మరియు కాక్‌పిట్ మధ్య స్థలంలో నిల్వ చేయబడింది. [1] సీనియర్ యొక్క వెనుక ఉపరితలాలు పెద్దవి, దీర్ఘచతురస్రాకార, స్ట్రట్-బ్రేస్డ్ టెయిల్‌ప్లేన్ ఫ్యూజ్"&amp;"‌లేజ్ పైన అమర్చబడి, దాని చివర ఎలివేటర్లను మోసుకెళ్ళింది. దాని వైర్-బ్రేస్డ్, పొడవైన, విశాలమైన, గుండ్రని ఫిన్ నిటారుగా ఉన్న అసమతుల్య చుక్కాని కలిగి ఉంది, ఇది ఎలివేటర్ల మాదిరిగా, విపరీతమైన తోకను కదిలించింది. [1] సీనియర్ యొక్క ల్యాండింగ్ గేర్ రెండు V- స్ట్రట"&amp;"్స్‌పై ఉన్న ఒకే ఇరుసుపై చక్రాలతో పరిష్కరించబడింది మరియు సాంప్రదాయకంగా ఉంది; VS యొక్క ఫార్వర్డ్ స్ట్రట్స్ షాక్ అబ్జార్బర్స్ కలిగి ఉన్నాయి. ఒక కోణ, సౌకర్యవంతమైన తోక, దాని చివరల మధ్య మరొక చిన్న షాక్ శోషకంతో, విపరీతమైన తోకకు మించి అంచనా వేయబడింది. రాత్రి ల్యా"&amp;"ండింగ్ల కోసం, స్ట్రీమ్లైన్డ్ హౌసింగ్‌లలో ఒక జత సెర్చ్ లైట్లు దిగువ రెక్కల క్రింద, ఇంటర్‌ప్లేన్ స్ట్రట్స్ యొక్క పాదాల క్రింద జతచేయబడ్డాయి. [1] ఏకైక సీనియర్ 1925 లో మొదటిసారిగా ప్రయాణించారు మరియు దీనిని 1928 వరకు పోస్ట్ ఆఫీస్ ఉపయోగించారు. [2] లెస్ ఐల్స్ నుం"&amp;"డి డేటా, జూలై 1925 [1] సాధారణ లక్షణాల పనితీరు")</f>
        <v>ఏరియల్ సర్వీస్ మెర్క్యురీ సీనియర్, ఏరియల్ మెర్క్యురీ సీనియర్ లేదా జస్ట్ మెర్క్యురీ సీనియర్ న్యూయార్క్ నగరం మరియు చికాగో మధ్య రాత్రిపూట పనిచేయడానికి రూపొందించిన యుఎస్ బిప్‌లేన్ మెయిల్‌ప్లేన్. భిన్నమైన, చిన్న, దిగువ వింగ్ పగటిపూట విమానాల కోసం దాని పనితీరును మెరుగుపరిచింది. ఒకటి అమెరికా పోస్ట్ ఆఫీస్ విభాగం నిర్మించింది మరియు ఉపయోగించబడింది. మెర్క్యురీ సీనియర్ ఒకే బే బైప్‌లేన్, అస్థిరత లేకుండా మరియు డైహెడ్రాల్‌తో మాత్రమే దిగువ రెక్కపై మాత్రమే. రెండు రెక్కలు మొద్దుబారిన చిట్కాలకు ప్రణాళికలో దీర్ఘచతురస్రాకారంగా ఉన్నాయి మరియు స్థిరమైన, మందపాటి విభాగాలు కలిగి ఉన్నాయి; అవి ట్విన్ స్ప్రూస్ మరియు ప్లైవుడ్ స్పార్స్ మరియు ఫాబ్రిక్ చుట్టూ నిర్మించబడ్డాయి. ఎగువ రెక్కను ఫ్యూజ్‌లేజ్‌పై ఒక జత ఎన్-ఫారమ్ క్యాబనే స్ట్రట్స్ ఉంచారు. ఇంటర్‌ప్లేన్ స్ట్రట్స్ సమాంతర జతలలో ఉన్నాయి, సాధారణ వైర్ క్రాస్ బ్రేసింగ్ సహాయంతో. ఎగువ మరియు దిగువ రెక్కలపై బాహ్యంగా ఒకదానితో ఒకటి అనుసంధానించబడిన ఐలెరోన్లు ఉన్నాయి. [1] సీనియర్ యొక్క నవల లక్షణం లోయర్ వింగ్ ఎంపిక: రెండు అందుబాటులో ఉన్నాయి, ఒకటి అప్పర్ వింగ్ కంటే తక్కువ వ్యవధి మరియు ఒకటి ఎక్కువ కాలం ఉంటుంది. తరువాతి మొత్తం రెక్క ప్రాంతాన్ని సుమారు 27% పెంచింది మరియు వింగ్ లోడింగ్ 19% తగ్గింది. దిగువ వింగ్ లోడింగ్‌లు విమాన వేగాన్ని తగ్గిస్తాయి, కాబట్టి పొడవైన స్పాన్ సెట్ తక్కువ రాత్రి ల్యాండింగ్ వేగాన్ని తగ్గించిన క్రూయిజింగ్ వేగం ధర వద్ద అందించింది. [1] సీనియర్ యొక్క ఫ్యూజ్‌లేజ్ వెల్డెడ్ స్టీల్ ట్యూబ్ ఫ్రేమ్, దాని ఫార్వర్డ్ భాగం లైట్ మెటల్‌తో కప్పబడి ఉంటుంది మరియు వెనుక భాగంలో ప్లైవుడ్‌తో కప్పబడి ఉంటుంది. బాహ్యంగా ఇది గుండ్రని ఎగువ డెక్కింగ్‌తో ఫ్లాట్-సైడెడ్ చేయబడింది. ముక్కులో 400 హెచ్‌పి (300 కిలోవాట్ల) లిబర్టీ ఎల్ -12 వాటర్-కూల్డ్ వి 12 ఇంజిన్ రెండు బ్లేడెడ్, స్టీల్ కర్టిస్ ప్రొపెల్లర్‌ను నడిపించింది. దాని తేనెగూడు రేడియేటర్ ఇంజిన్ కంటే ముందుంది, ఇది పైలట్ దాటి ఉద్గారాలను తీసుకోవడానికి ఫ్యూజ్‌లేజ్ యొక్క రెండు వైపులా లాంగ్ ఎగ్జాస్ట్ పైపులను కలిగి ఉంది. అతని ఓపెన్ కాక్‌పిట్ రెక్క యొక్క వెనుకంజలో ఉన్న అంచు వెనుక ఉంది. [1] 1,000 lb (450 kg) [2] మెయిల్ ఇంజిన్ మరియు కాక్‌పిట్ మధ్య స్థలంలో నిల్వ చేయబడింది. [1] సీనియర్ యొక్క వెనుక ఉపరితలాలు పెద్దవి, దీర్ఘచతురస్రాకార, స్ట్రట్-బ్రేస్డ్ టెయిల్‌ప్లేన్ ఫ్యూజ్‌లేజ్ పైన అమర్చబడి, దాని చివర ఎలివేటర్లను మోసుకెళ్ళింది. దాని వైర్-బ్రేస్డ్, పొడవైన, విశాలమైన, గుండ్రని ఫిన్ నిటారుగా ఉన్న అసమతుల్య చుక్కాని కలిగి ఉంది, ఇది ఎలివేటర్ల మాదిరిగా, విపరీతమైన తోకను కదిలించింది. [1] సీనియర్ యొక్క ల్యాండింగ్ గేర్ రెండు V- స్ట్రట్స్‌పై ఉన్న ఒకే ఇరుసుపై చక్రాలతో పరిష్కరించబడింది మరియు సాంప్రదాయకంగా ఉంది; VS యొక్క ఫార్వర్డ్ స్ట్రట్స్ షాక్ అబ్జార్బర్స్ కలిగి ఉన్నాయి. ఒక కోణ, సౌకర్యవంతమైన తోక, దాని చివరల మధ్య మరొక చిన్న షాక్ శోషకంతో, విపరీతమైన తోకకు మించి అంచనా వేయబడింది. రాత్రి ల్యాండింగ్ల కోసం, స్ట్రీమ్లైన్డ్ హౌసింగ్‌లలో ఒక జత సెర్చ్ లైట్లు దిగువ రెక్కల క్రింద, ఇంటర్‌ప్లేన్ స్ట్రట్స్ యొక్క పాదాల క్రింద జతచేయబడ్డాయి. [1] ఏకైక సీనియర్ 1925 లో మొదటిసారిగా ప్రయాణించారు మరియు దీనిని 1928 వరకు పోస్ట్ ఆఫీస్ ఉపయోగించారు. [2] లెస్ ఐల్స్ నుండి డేటా, జూలై 1925 [1] సాధారణ లక్షణాల పనితీరు</v>
      </c>
      <c r="E137" s="1" t="s">
        <v>2003</v>
      </c>
      <c r="F137" s="1" t="str">
        <f>IFERROR(__xludf.DUMMYFUNCTION("GOOGLETRANSLATE(E:E, ""en"", ""te"")"),"మెయిల్‌ప్లేన్")</f>
        <v>మెయిల్‌ప్లేన్</v>
      </c>
      <c r="G137" s="3" t="s">
        <v>2004</v>
      </c>
      <c r="H137" s="1" t="s">
        <v>453</v>
      </c>
      <c r="I137" s="1" t="str">
        <f>IFERROR(__xludf.DUMMYFUNCTION("GOOGLETRANSLATE(H:H, ""en"", ""te"")"),"మాకు")</f>
        <v>మాకు</v>
      </c>
      <c r="J137" s="3" t="s">
        <v>454</v>
      </c>
      <c r="K137" s="1" t="s">
        <v>2005</v>
      </c>
      <c r="L137" s="2" t="str">
        <f>IFERROR(__xludf.DUMMYFUNCTION("GOOGLETRANSLATE(K:K, ""en"", ""te"")"),"వైమానిక సేవ")</f>
        <v>వైమానిక సేవ</v>
      </c>
      <c r="M137" s="1" t="s">
        <v>2006</v>
      </c>
      <c r="Q137" s="1" t="s">
        <v>162</v>
      </c>
      <c r="S137" s="1" t="s">
        <v>2007</v>
      </c>
      <c r="U137" s="1" t="s">
        <v>2008</v>
      </c>
      <c r="X137" s="1" t="s">
        <v>2009</v>
      </c>
      <c r="Y137" s="1" t="s">
        <v>2010</v>
      </c>
      <c r="Z137" s="1" t="s">
        <v>2011</v>
      </c>
      <c r="AB137" s="1" t="s">
        <v>1989</v>
      </c>
      <c r="AD137" s="1">
        <v>1925.0</v>
      </c>
      <c r="AE137" s="1">
        <v>1.0</v>
      </c>
      <c r="AF137" s="1" t="s">
        <v>2012</v>
      </c>
      <c r="AG137" s="1" t="s">
        <v>2013</v>
      </c>
      <c r="AI137" s="1" t="s">
        <v>2014</v>
      </c>
      <c r="AJ137" s="1" t="s">
        <v>2015</v>
      </c>
      <c r="AN137" s="1" t="s">
        <v>2016</v>
      </c>
      <c r="AO137" s="1" t="s">
        <v>2017</v>
      </c>
      <c r="AP137" s="1" t="s">
        <v>2018</v>
      </c>
      <c r="AQ137" s="1" t="s">
        <v>2019</v>
      </c>
      <c r="AU137" s="1" t="s">
        <v>2020</v>
      </c>
      <c r="CZ137" s="1" t="s">
        <v>2021</v>
      </c>
      <c r="DB137" s="1">
        <v>1928.0</v>
      </c>
      <c r="DF137" s="1" t="s">
        <v>2022</v>
      </c>
      <c r="EE137" s="1" t="s">
        <v>2023</v>
      </c>
    </row>
    <row r="138">
      <c r="A138" s="1" t="s">
        <v>2024</v>
      </c>
      <c r="B138" s="1" t="str">
        <f>IFERROR(__xludf.DUMMYFUNCTION("GOOGLETRANSLATE(A:A, ""en"", ""te"")"),"అరోరా డి 8")</f>
        <v>అరోరా డి 8</v>
      </c>
      <c r="C138" s="1" t="s">
        <v>2025</v>
      </c>
      <c r="D138" s="1" t="str">
        <f>IFERROR(__xludf.DUMMYFUNCTION("GOOGLETRANSLATE(C:C, ""en"", ""te"")"),"అరోరా డి 8, డి 8 విమానాల అని కూడా పిలుస్తారు, ఇది 2017 మధ్య నాటికి అభివృద్ధిలో ఒక విమాన భావన. [2] ఈ ప్రాజెక్టును 2008 లో అరోరా ఫ్లైట్ సైన్సెస్, మసాచుసెట్స్ ఇన్స్టిట్యూట్ ఆఫ్ టెక్నాలజీ (MIT) మరియు ప్రాట్ &amp; విట్నీ నాసా యొక్క స్పాన్సర్షిప్ కింద 9 2.9 మిలియన్"&amp;" (.1 2.19 మిలియన్లు) ప్రారంభించాయి. [3] అరోరా MIT చేత నాసా కోసం రూపొందించిన ఇంధన-సమర్థవంతమైన D8 ను మెరుగుపరుస్తుంది, 2022 లో సగం స్కేల్ ప్రదర్శనకారుడిని ఎగరాలని ఆశించారు. [4] 180-సీట్ల, 3,000 ఎన్‌ఎంఐ (5,600 కిమీ; 2027 ప్రారంభంలో మరియు 2035 తాజాగా. [5] అరో"&amp;"రా ఫ్లైట్ సైన్సెస్ వారి డ్రోన్ పరిణామాల కోసం నవంబర్ 8, 2017 న బోయింగ్ కొనుగోలు చేసింది. అనుబంధ సంస్థ బోయింగ్ యొక్క అటానమస్ టెక్నాలజీ అభివృద్ధిని వేగవంతం చేయడానికి ఉద్దేశించబడింది. [6] పక్కపక్కనే ""డబుల్ బబుల్"" ఫ్యూజ్‌లేజ్ ముక్కు విభాగంలో అదనపు లిఫ్ట్‌ను "&amp;"అందిస్తుంది మరియు దాని విస్తృత ఫ్యూజ్‌లేజ్ కారణంగా వేగంగా టర్నరౌండ్ అందిస్తుంది. తత్ఫలితంగా, లిఫ్ట్ ఉత్పత్తి చేయడానికి చిన్న రెక్కలను ఉపయోగించవచ్చు, ఇది డ్రాగ్‌ను తగ్గిస్తుంది. సాంప్రదాయిక విమాన రూపకల్పనలో ఉపయోగించిన రెక్కల క్రింద కాకుండా D8 వెనుక భాగంలో "&amp;"ఇంజిన్ల మౌంటు సరిహద్దు పొర తీసుకోవడం (BLI) నుండి అసమర్థతను తగ్గించడం ద్వారా థ్రస్ట్ అవసరాలను తగ్గించడానికి అనుమతిస్తుంది. ఇది చిన్న మరియు తేలికైన అధిక బైపాస్ నిష్పత్తి ఇంజిన్లను ఉపయోగించగల సామర్థ్యాన్ని కలిగిస్తుంది. [2] ఏదేమైనా, చట్రం ఇప్పటికే ఉన్న విమాన"&amp;"ాశ్రయ మౌలిక సదుపాయాలు మరియు BLI ని సవరించకుండా పోటీ బ్లెండెడ్ వింగ్ బాడీ కాన్సెప్ట్స్ కంటే తక్కువ రాడికల్ కలిగి ఉంది. అసలు లక్ష్యం MACH 0.74 వద్ద ఎగురుతూ 70% మరియు శబ్దాన్ని 71 dB తగ్గించడం, అయితే మరింత సాంప్రదాయ మాక్ 0.82 రెక్కలు మరియు ఫ్యూజ్‌లేజ్ పెరుగు"&amp;"దల ఫలితంగా 49% ఇంధన బర్న్ తగ్గింపు మరియు 40 EPNDB శబ్దం తగ్గింపు బోయింగ్ 737-800. [7] చదునైన ఫ్యూజ్‌లేజ్ యొక్క విశాలమైన తోక పైన ఇంజిన్‌లను కలిసి క్లస్టరింగ్ చేయడం వల్ల సామర్థ్యాన్ని పెంచడానికి ఫ్యూజ్‌లేజ్‌పై నెమ్మదిగా కదిలే సరిహద్దు పొరను పునరుద్ఘాటించడాన"&amp;"ికి మరియు శుభ్రమైన, తక్కువ డ్రాగ్, అధిక కారక నిష్పత్తి విభాగాన్ని అనుమతించడానికి వీలు కల్పిస్తుంది. నెమ్మదిగా ప్రవాహంతో ప్రారంభించి, ఎగ్జాస్ట్ వేగం తగ్గింపు ఇదే విధమైన నిర్దిష్ట థ్రస్ట్‌తో ప్రొపల్సివ్ సామర్థ్యాన్ని పెంచుతుంది. సరిహద్దు పొర ప్రవాహాన్ని తీస"&amp;"ుకోవడం మరియు పునరుద్ఘాటించడం ద్వారా, D8 లో BLI 40% తగ్గిస్తుంది, అధిక-వేగం జెట్ జెట్ ఎగ్జాస్ట్ మరియు ఫ్యూజ్‌లేజ్ వెనుక స్లో-స్పీడ్ మేల్కొలుపులో వృధా గతి శక్తి. నాసాతో పెద్ద ఎత్తున విండ్-టన్నెల్ పరీక్ష BLI నుండి 8.4% నుండి అదే జెట్ నాజిల్ ప్రాంతంతో అదే ద్ర"&amp;"వ్యరాశి ప్రవాహంతో 10.4% కి శక్తిని ఆదా చేసింది. BLI ప్రయోజనం అనేది వక్రీకృత సరిహద్దు-పొర ప్రవాహాన్ని తీసుకోవడం ద్వారా నష్టం కంటే ఎక్కువ పరిమాణం. [8] 20: 1 బైపాస్ నిష్పత్తిని మించి పెద్ద అభిమాని పరిమాణం అవసరం. యునైటెడ్ టెక్నాలజీస్ రీసెర్చ్ సెంటర్ చేత అభివృ"&amp;"ద్ధి చేయబడిన, వక్రీకరణ-తట్టుకోగల అభిమాని నాసా వద్ద స్కేల్ పరీక్షించబడింది మరియు ఎగువ ఫ్యూజ్‌లేజ్ ఉపరితలానికి దగ్గరగా సరిహద్దు పొరను తీసుకోకుండా ప్రవాహ వక్రీకరణను ఎదుర్కున్నారు. కాంపాక్ట్ కోర్ బెండింగ్ కారణంగా బ్లేడ్ చిట్కా క్లియరెన్స్ సమస్యలను పరిమితం చేస"&amp;"్తుంది, కానీ అభిమానిని తక్కువ-పీడన టర్బైన్ డ్రైవ్‌షాఫ్ట్‌కు ఉంచలేము, ప్రాట్ &amp; విట్నీ పిటి 6 అమరిక మాదిరిగానే, తక్కువ పీడన పవర్ టర్బైన్ ద్వారా వేడి గ్యాస్ ముందుకు విడుదల అవుతుంది, అనుసంధానించబడి ఉంది చిన్న షాఫ్ట్ మరియు గేర్‌బాక్స్ ద్వారా అభిమానికి. రెండవ ఇ"&amp;"ంజిన్ విఫలం కావడానికి కారణమైన ఇంజిన్ వైఫల్యం యొక్క ప్రమాదాన్ని నివారించడానికి, కోర్లు 50 by ద్వారా కోణాలు చేయబడతాయి, ఎందుకంటే అవి ఇకపై యాంత్రికంగా అభిమానితో అనుసంధానించబడవు, కోర్ ప్రవాహం మాత్రమే మారినందున తక్కువ పీడన నష్టాలతో. శక్తి విభాగానికి అనుసంధానించ"&amp;"బడలేదు, నిర్వహణ కోసం కోర్ విడదీయవచ్చు. [8]")</f>
        <v>అరోరా డి 8, డి 8 విమానాల అని కూడా పిలుస్తారు, ఇది 2017 మధ్య నాటికి అభివృద్ధిలో ఒక విమాన భావన. [2] ఈ ప్రాజెక్టును 2008 లో అరోరా ఫ్లైట్ సైన్సెస్, మసాచుసెట్స్ ఇన్స్టిట్యూట్ ఆఫ్ టెక్నాలజీ (MIT) మరియు ప్రాట్ &amp; విట్నీ నాసా యొక్క స్పాన్సర్షిప్ కింద 9 2.9 మిలియన్ (.1 2.19 మిలియన్లు) ప్రారంభించాయి. [3] అరోరా MIT చేత నాసా కోసం రూపొందించిన ఇంధన-సమర్థవంతమైన D8 ను మెరుగుపరుస్తుంది, 2022 లో సగం స్కేల్ ప్రదర్శనకారుడిని ఎగరాలని ఆశించారు. [4] 180-సీట్ల, 3,000 ఎన్‌ఎంఐ (5,600 కిమీ; 2027 ప్రారంభంలో మరియు 2035 తాజాగా. [5] అరోరా ఫ్లైట్ సైన్సెస్ వారి డ్రోన్ పరిణామాల కోసం నవంబర్ 8, 2017 న బోయింగ్ కొనుగోలు చేసింది. అనుబంధ సంస్థ బోయింగ్ యొక్క అటానమస్ టెక్నాలజీ అభివృద్ధిని వేగవంతం చేయడానికి ఉద్దేశించబడింది. [6] పక్కపక్కనే "డబుల్ బబుల్" ఫ్యూజ్‌లేజ్ ముక్కు విభాగంలో అదనపు లిఫ్ట్‌ను అందిస్తుంది మరియు దాని విస్తృత ఫ్యూజ్‌లేజ్ కారణంగా వేగంగా టర్నరౌండ్ అందిస్తుంది. తత్ఫలితంగా, లిఫ్ట్ ఉత్పత్తి చేయడానికి చిన్న రెక్కలను ఉపయోగించవచ్చు, ఇది డ్రాగ్‌ను తగ్గిస్తుంది. సాంప్రదాయిక విమాన రూపకల్పనలో ఉపయోగించిన రెక్కల క్రింద కాకుండా D8 వెనుక భాగంలో ఇంజిన్ల మౌంటు సరిహద్దు పొర తీసుకోవడం (BLI) నుండి అసమర్థతను తగ్గించడం ద్వారా థ్రస్ట్ అవసరాలను తగ్గించడానికి అనుమతిస్తుంది. ఇది చిన్న మరియు తేలికైన అధిక బైపాస్ నిష్పత్తి ఇంజిన్లను ఉపయోగించగల సామర్థ్యాన్ని కలిగిస్తుంది. [2] ఏదేమైనా, చట్రం ఇప్పటికే ఉన్న విమానాశ్రయ మౌలిక సదుపాయాలు మరియు BLI ని సవరించకుండా పోటీ బ్లెండెడ్ వింగ్ బాడీ కాన్సెప్ట్స్ కంటే తక్కువ రాడికల్ కలిగి ఉంది. అసలు లక్ష్యం MACH 0.74 వద్ద ఎగురుతూ 70% మరియు శబ్దాన్ని 71 dB తగ్గించడం, అయితే మరింత సాంప్రదాయ మాక్ 0.82 రెక్కలు మరియు ఫ్యూజ్‌లేజ్ పెరుగుదల ఫలితంగా 49% ఇంధన బర్న్ తగ్గింపు మరియు 40 EPNDB శబ్దం తగ్గింపు బోయింగ్ 737-800. [7] చదునైన ఫ్యూజ్‌లేజ్ యొక్క విశాలమైన తోక పైన ఇంజిన్‌లను కలిసి క్లస్టరింగ్ చేయడం వల్ల సామర్థ్యాన్ని పెంచడానికి ఫ్యూజ్‌లేజ్‌పై నెమ్మదిగా కదిలే సరిహద్దు పొరను పునరుద్ఘాటించడానికి మరియు శుభ్రమైన, తక్కువ డ్రాగ్, అధిక కారక నిష్పత్తి విభాగాన్ని అనుమతించడానికి వీలు కల్పిస్తుంది. నెమ్మదిగా ప్రవాహంతో ప్రారంభించి, ఎగ్జాస్ట్ వేగం తగ్గింపు ఇదే విధమైన నిర్దిష్ట థ్రస్ట్‌తో ప్రొపల్సివ్ సామర్థ్యాన్ని పెంచుతుంది. సరిహద్దు పొర ప్రవాహాన్ని తీసుకోవడం మరియు పునరుద్ఘాటించడం ద్వారా, D8 లో BLI 40% తగ్గిస్తుంది, అధిక-వేగం జెట్ జెట్ ఎగ్జాస్ట్ మరియు ఫ్యూజ్‌లేజ్ వెనుక స్లో-స్పీడ్ మేల్కొలుపులో వృధా గతి శక్తి. నాసాతో పెద్ద ఎత్తున విండ్-టన్నెల్ పరీక్ష BLI నుండి 8.4% నుండి అదే జెట్ నాజిల్ ప్రాంతంతో అదే ద్రవ్యరాశి ప్రవాహంతో 10.4% కి శక్తిని ఆదా చేసింది. BLI ప్రయోజనం అనేది వక్రీకృత సరిహద్దు-పొర ప్రవాహాన్ని తీసుకోవడం ద్వారా నష్టం కంటే ఎక్కువ పరిమాణం. [8] 20: 1 బైపాస్ నిష్పత్తిని మించి పెద్ద అభిమాని పరిమాణం అవసరం. యునైటెడ్ టెక్నాలజీస్ రీసెర్చ్ సెంటర్ చేత అభివృద్ధి చేయబడిన, వక్రీకరణ-తట్టుకోగల అభిమాని నాసా వద్ద స్కేల్ పరీక్షించబడింది మరియు ఎగువ ఫ్యూజ్‌లేజ్ ఉపరితలానికి దగ్గరగా సరిహద్దు పొరను తీసుకోకుండా ప్రవాహ వక్రీకరణను ఎదుర్కున్నారు. కాంపాక్ట్ కోర్ బెండింగ్ కారణంగా బ్లేడ్ చిట్కా క్లియరెన్స్ సమస్యలను పరిమితం చేస్తుంది, కానీ అభిమానిని తక్కువ-పీడన టర్బైన్ డ్రైవ్‌షాఫ్ట్‌కు ఉంచలేము, ప్రాట్ &amp; విట్నీ పిటి 6 అమరిక మాదిరిగానే, తక్కువ పీడన పవర్ టర్బైన్ ద్వారా వేడి గ్యాస్ ముందుకు విడుదల అవుతుంది, అనుసంధానించబడి ఉంది చిన్న షాఫ్ట్ మరియు గేర్‌బాక్స్ ద్వారా అభిమానికి. రెండవ ఇంజిన్ విఫలం కావడానికి కారణమైన ఇంజిన్ వైఫల్యం యొక్క ప్రమాదాన్ని నివారించడానికి, కోర్లు 50 by ద్వారా కోణాలు చేయబడతాయి, ఎందుకంటే అవి ఇకపై యాంత్రికంగా అభిమానితో అనుసంధానించబడవు, కోర్ ప్రవాహం మాత్రమే మారినందున తక్కువ పీడన నష్టాలతో. శక్తి విభాగానికి అనుసంధానించబడలేదు, నిర్వహణ కోసం కోర్ విడదీయవచ్చు. [8]</v>
      </c>
      <c r="E138" s="1" t="s">
        <v>2026</v>
      </c>
      <c r="F138" s="1" t="str">
        <f>IFERROR(__xludf.DUMMYFUNCTION("GOOGLETRANSLATE(E:E, ""en"", ""te"")"),"వైడ్-బాడీ జెట్ ఎయిర్లైనర్ కాన్సెప్ట్")</f>
        <v>వైడ్-బాడీ జెట్ ఎయిర్లైనర్ కాన్సెప్ట్</v>
      </c>
      <c r="G138" s="1" t="s">
        <v>2027</v>
      </c>
      <c r="H138" s="1" t="s">
        <v>227</v>
      </c>
      <c r="I138" s="1" t="str">
        <f>IFERROR(__xludf.DUMMYFUNCTION("GOOGLETRANSLATE(H:H, ""en"", ""te"")"),"అమెరికా")</f>
        <v>అమెరికా</v>
      </c>
      <c r="J138" s="3" t="s">
        <v>228</v>
      </c>
      <c r="K138" s="1" t="s">
        <v>2028</v>
      </c>
      <c r="L138" s="2" t="str">
        <f>IFERROR(__xludf.DUMMYFUNCTION("GOOGLETRANSLATE(K:K, ""en"", ""te"")"),"అరోరా ఫ్లైట్ సైన్సెస్")</f>
        <v>అరోరా ఫ్లైట్ సైన్సెస్</v>
      </c>
      <c r="M138" s="1" t="s">
        <v>2029</v>
      </c>
      <c r="N138" s="1" t="s">
        <v>2030</v>
      </c>
      <c r="O138" s="1" t="str">
        <f>IFERROR(__xludf.DUMMYFUNCTION("GOOGLETRANSLATE(N:N, ""en"", ""te"")"),"అభివృద్ధి మరియు పరీక్ష")</f>
        <v>అభివృద్ధి మరియు పరీక్ష</v>
      </c>
      <c r="AB138" s="1" t="s">
        <v>2031</v>
      </c>
      <c r="AL138" s="1" t="s">
        <v>2032</v>
      </c>
      <c r="BS138" s="1" t="s">
        <v>2033</v>
      </c>
    </row>
    <row r="139">
      <c r="A139" s="1" t="s">
        <v>2034</v>
      </c>
      <c r="B139" s="1" t="str">
        <f>IFERROR(__xludf.DUMMYFUNCTION("GOOGLETRANSLATE(A:A, ""en"", ""te"")"),"గ్రులిచ్ S.1")</f>
        <v>గ్రులిచ్ S.1</v>
      </c>
      <c r="C139" s="1" t="s">
        <v>2035</v>
      </c>
      <c r="D139" s="1" t="str">
        <f>IFERROR(__xludf.DUMMYFUNCTION("GOOGLETRANSLATE(C:C, ""en"", ""te"")"),"గ్రులిచ్ S.1 ఒక జర్మన్ పారాసోల్ మోనోప్లేన్, ఇది 1920 ల మధ్యలో నిర్మించబడింది. ఇది రెండు కూర్చుని రెండు ఇంజిన్ల మధ్య ఎంపిక చేసింది. గ్రులిచ్ S.1 ను డాక్టర్ ఇంగ్ రూపొందించారు. ప్రపంచ యుద్ధంలో గోథర్ వాగ్గోన్‌ఫాబ్రిక్‌తో సంబంధం ఉన్న కార్ల్ గ్రులిచ్, గోథర్ వాగ"&amp;"్గోన్‌ఫాబ్రిక్‌తో సంబంధం కలిగి ఉంది. యుద్ధానికి ముందు అతను హర్లాన్ మోనోప్లేన్ రూపకల్పన చేసి, ఎగిరిపోయాడు మరియు యుద్ధానంతర డ్యూయిష్ ఏరో-లాయిడ్‌తో కూడా సంబంధం కలిగి ఉంది, [2] జనవరి 1926 నాటికి జంకర్స్ లుఫ్ట్వెర్కెహర్‌తో విలీనం అయ్యింది. దాని కాంటిలివర్ వింగ"&amp;"్ నేరుగా టేపర్డ్ చేయబడింది, ప్రముఖ అంచులలో స్వీప్ లేకుండా, మరియు పొడవైన, వంగిన చిట్కాలతో. ఇది రెండు స్పార్‌ల చుట్టూ నిర్మించబడింది మరియు కేంద్రంగా చాలా మందంగా ఉంది, కానీ బయటికి సన్నగివేయబడింది; ఎగువ ఉపరితలంపై డైహెడ్రల్ లేదు, కానీ సన్నబడటం మొత్తం డైహెడ్రల్"&amp;"‌ను ఉత్పత్తి చేస్తుంది. దెబ్బతిన్న ఐలెరాన్లు సగం వ్యవధిలో నింపబడ్డాయి. రెక్కను ఫ్యూజ్‌లేజ్ మీద నాలుగు వాలుగా ఉన్న మెటల్ స్ట్రట్‌ల క్యాబనేపై ముందు స్పార్ మరియు మరో ఆరు వెనుక భాగంలో అమర్చారు. [1] S.1 రెండు సిమెన్స్-హాల్స్కే రేడియల్ ఇంజిన్లలో ఒకటి, ఏడు సిలిం"&amp;"డర్ల 60 కిలోవాట్ల (80 హెచ్‌పి) ఎస్‌హెచ్ 5 లేదా తొమ్మిది సిలిండర్ 75 కిలోవాట్ (100 హెచ్‌పి) ఎస్‌హెచ్ 6, ముక్కులో అమర్చబడి ఉండేలా రూపొందించబడింది. శీతలీకరణ కోసం సిలిండర్లను బహిర్గతం చేసిన కౌలింగ్. దాని ఇంధన ట్యాంక్ రెక్కలో ఉంది. [1] ఇంజిన్ వెనుక ఫ్యూజ్‌లేజ్"&amp;"‌లో టేపింగ్, దీర్ఘచతురస్రాకార విభాగం ఉంది. ద్వంద్వ నియంత్రణలతో అమర్చిన రెండు ఓపెన్ కాక్‌పిట్‌లు ఉన్నాయి. రెండూ రెక్కల క్రింద ఉన్నాయి, అయినప్పటికీ వెనుక స్థానం మీద వెనుకంజలో ఉన్న అంచులో ఒక చిన్న కటౌట్ ఉంది. సామ్రాజ్యం సాంప్రదాయికమైనది, కొద్దిగా గుండ్రని ఫి"&amp;"న్ మరియు లోతైన దీర్ఘచతురస్రాకార చుక్కానితో. చుక్కాని కదలికను అనుమతించడానికి స్ప్లిట్ ఎలివేటర్లతో ఫ్యూజ్‌లేజ్ పైన ఒక పెద్ద ప్రాంతం టెయిల్‌ప్లేన్ అమర్చబడింది. S.1 లో సాంప్రదాయ, స్థిర ల్యాండింగ్ గేర్ ఉంది. దిగువ ఫ్యూజ్‌లేజ్ యొక్క ప్రతి వైపు నుండి మెటల్ వి-ఫా"&amp;"రమ్ ల్యాండింగ్ కాళ్ళు, స్ట్రట్-రీన్ఫోర్స్డ్ పార్శ్వంగా, రబ్బరు తీగ షాక్ అబ్జార్బర్స్ ద్వారా జతచేయబడిన ఒకే ఇరుసును తీసుకువెళ్లారు. మెయిన్‌వీల్స్ V- స్ట్రట్‌ల యొక్క అవుట్‌బోర్డ్, 1.50 M (4 ft 11 in) ట్రాక్‌ను ఇస్తుంది. [1] S.1 యొక్క మొదటి ఫ్లైట్ యొక్క ఖచ్చి"&amp;"తమైన తేదీ తెలియదు; ఇది 1925 మధ్య నాటికి పూర్తయింది, కానీ అంతకుముందు ఎగిరి ఉండవచ్చు. [1] ఇది ఆ సంవత్సరంలో D-584 గా నమోదు చేయబడింది, హెస్సెన్ పేరును ఇచ్చింది మరియు ప్రారంభంలో డ్యూయిష్ ఏరో-లాయిడ్ యాజమాన్యంలో ఉంది. తరువాత డార్మ్‌స్టాడ్ట్ నుండి హెస్సిచ్ ఫ్లగ్‌"&amp;"బెట్రీబ్స్ ఉపయోగించారు, దాని రిజిస్ట్రేషన్ 1932 లో రద్దు చేయబడింది. [4] లెస్ ఐల్స్ నుండి డేటా. జూన్ 1926 [1] సాధారణ లక్షణాల పనితీరు")</f>
        <v>గ్రులిచ్ S.1 ఒక జర్మన్ పారాసోల్ మోనోప్లేన్, ఇది 1920 ల మధ్యలో నిర్మించబడింది. ఇది రెండు కూర్చుని రెండు ఇంజిన్ల మధ్య ఎంపిక చేసింది. గ్రులిచ్ S.1 ను డాక్టర్ ఇంగ్ రూపొందించారు. ప్రపంచ యుద్ధంలో గోథర్ వాగ్గోన్‌ఫాబ్రిక్‌తో సంబంధం ఉన్న కార్ల్ గ్రులిచ్, గోథర్ వాగ్గోన్‌ఫాబ్రిక్‌తో సంబంధం కలిగి ఉంది. యుద్ధానికి ముందు అతను హర్లాన్ మోనోప్లేన్ రూపకల్పన చేసి, ఎగిరిపోయాడు మరియు యుద్ధానంతర డ్యూయిష్ ఏరో-లాయిడ్‌తో కూడా సంబంధం కలిగి ఉంది, [2] జనవరి 1926 నాటికి జంకర్స్ లుఫ్ట్వెర్కెహర్‌తో విలీనం అయ్యింది. దాని కాంటిలివర్ వింగ్ నేరుగా టేపర్డ్ చేయబడింది, ప్రముఖ అంచులలో స్వీప్ లేకుండా, మరియు పొడవైన, వంగిన చిట్కాలతో. ఇది రెండు స్పార్‌ల చుట్టూ నిర్మించబడింది మరియు కేంద్రంగా చాలా మందంగా ఉంది, కానీ బయటికి సన్నగివేయబడింది; ఎగువ ఉపరితలంపై డైహెడ్రల్ లేదు, కానీ సన్నబడటం మొత్తం డైహెడ్రల్‌ను ఉత్పత్తి చేస్తుంది. దెబ్బతిన్న ఐలెరాన్లు సగం వ్యవధిలో నింపబడ్డాయి. రెక్కను ఫ్యూజ్‌లేజ్ మీద నాలుగు వాలుగా ఉన్న మెటల్ స్ట్రట్‌ల క్యాబనేపై ముందు స్పార్ మరియు మరో ఆరు వెనుక భాగంలో అమర్చారు. [1] S.1 రెండు సిమెన్స్-హాల్స్కే రేడియల్ ఇంజిన్లలో ఒకటి, ఏడు సిలిండర్ల 60 కిలోవాట్ల (80 హెచ్‌పి) ఎస్‌హెచ్ 5 లేదా తొమ్మిది సిలిండర్ 75 కిలోవాట్ (100 హెచ్‌పి) ఎస్‌హెచ్ 6, ముక్కులో అమర్చబడి ఉండేలా రూపొందించబడింది. శీతలీకరణ కోసం సిలిండర్లను బహిర్గతం చేసిన కౌలింగ్. దాని ఇంధన ట్యాంక్ రెక్కలో ఉంది. [1] ఇంజిన్ వెనుక ఫ్యూజ్‌లేజ్‌లో టేపింగ్, దీర్ఘచతురస్రాకార విభాగం ఉంది. ద్వంద్వ నియంత్రణలతో అమర్చిన రెండు ఓపెన్ కాక్‌పిట్‌లు ఉన్నాయి. రెండూ రెక్కల క్రింద ఉన్నాయి, అయినప్పటికీ వెనుక స్థానం మీద వెనుకంజలో ఉన్న అంచులో ఒక చిన్న కటౌట్ ఉంది. సామ్రాజ్యం సాంప్రదాయికమైనది, కొద్దిగా గుండ్రని ఫిన్ మరియు లోతైన దీర్ఘచతురస్రాకార చుక్కానితో. చుక్కాని కదలికను అనుమతించడానికి స్ప్లిట్ ఎలివేటర్లతో ఫ్యూజ్‌లేజ్ పైన ఒక పెద్ద ప్రాంతం టెయిల్‌ప్లేన్ అమర్చబడింది. S.1 లో సాంప్రదాయ, స్థిర ల్యాండింగ్ గేర్ ఉంది. దిగువ ఫ్యూజ్‌లేజ్ యొక్క ప్రతి వైపు నుండి మెటల్ వి-ఫారమ్ ల్యాండింగ్ కాళ్ళు, స్ట్రట్-రీన్ఫోర్స్డ్ పార్శ్వంగా, రబ్బరు తీగ షాక్ అబ్జార్బర్స్ ద్వారా జతచేయబడిన ఒకే ఇరుసును తీసుకువెళ్లారు. మెయిన్‌వీల్స్ V- స్ట్రట్‌ల యొక్క అవుట్‌బోర్డ్, 1.50 M (4 ft 11 in) ట్రాక్‌ను ఇస్తుంది. [1] S.1 యొక్క మొదటి ఫ్లైట్ యొక్క ఖచ్చితమైన తేదీ తెలియదు; ఇది 1925 మధ్య నాటికి పూర్తయింది, కానీ అంతకుముందు ఎగిరి ఉండవచ్చు. [1] ఇది ఆ సంవత్సరంలో D-584 గా నమోదు చేయబడింది, హెస్సెన్ పేరును ఇచ్చింది మరియు ప్రారంభంలో డ్యూయిష్ ఏరో-లాయిడ్ యాజమాన్యంలో ఉంది. తరువాత డార్మ్‌స్టాడ్ట్ నుండి హెస్సిచ్ ఫ్లగ్‌బెట్రీబ్స్ ఉపయోగించారు, దాని రిజిస్ట్రేషన్ 1932 లో రద్దు చేయబడింది. [4] లెస్ ఐల్స్ నుండి డేటా. జూన్ 1926 [1] సాధారణ లక్షణాల పనితీరు</v>
      </c>
      <c r="E139" s="1" t="s">
        <v>2036</v>
      </c>
      <c r="F139" s="1" t="str">
        <f>IFERROR(__xludf.DUMMYFUNCTION("GOOGLETRANSLATE(E:E, ""en"", ""te"")"),"శిక్షణ మరియు క్రీడా విమానం")</f>
        <v>శిక్షణ మరియు క్రీడా విమానం</v>
      </c>
      <c r="G139" s="1" t="s">
        <v>2037</v>
      </c>
      <c r="H139" s="1" t="s">
        <v>1484</v>
      </c>
      <c r="I139" s="1" t="str">
        <f>IFERROR(__xludf.DUMMYFUNCTION("GOOGLETRANSLATE(H:H, ""en"", ""te"")"),"జర్మనీ")</f>
        <v>జర్మనీ</v>
      </c>
      <c r="J139" s="3" t="s">
        <v>1485</v>
      </c>
      <c r="L139" s="2"/>
      <c r="N139" s="1">
        <v>1932.0</v>
      </c>
      <c r="O139" s="1" t="str">
        <f>IFERROR(__xludf.DUMMYFUNCTION("GOOGLETRANSLATE(N:N, ""en"", ""te"")"),"1932")</f>
        <v>1932</v>
      </c>
      <c r="Q139" s="1" t="s">
        <v>162</v>
      </c>
      <c r="R139" s="1" t="s">
        <v>2038</v>
      </c>
      <c r="S139" s="1" t="s">
        <v>2039</v>
      </c>
      <c r="U139" s="1" t="s">
        <v>1064</v>
      </c>
      <c r="X139" s="1" t="s">
        <v>2040</v>
      </c>
      <c r="Y139" s="1" t="s">
        <v>2041</v>
      </c>
      <c r="AA139" s="1" t="s">
        <v>2042</v>
      </c>
      <c r="AB139" s="1" t="s">
        <v>2043</v>
      </c>
      <c r="AD139" s="1">
        <v>1925.0</v>
      </c>
      <c r="AE139" s="1">
        <v>1.0</v>
      </c>
      <c r="AF139" s="1" t="s">
        <v>2044</v>
      </c>
      <c r="AG139" s="1" t="s">
        <v>2045</v>
      </c>
      <c r="AI139" s="1" t="s">
        <v>2046</v>
      </c>
      <c r="AJ139" s="1" t="s">
        <v>222</v>
      </c>
      <c r="AK139" s="1" t="s">
        <v>2047</v>
      </c>
      <c r="AL139" s="1" t="s">
        <v>2048</v>
      </c>
      <c r="AM139" s="1" t="s">
        <v>330</v>
      </c>
      <c r="AP139" s="1" t="s">
        <v>1048</v>
      </c>
      <c r="AQ139" s="1" t="s">
        <v>2049</v>
      </c>
      <c r="DB139" s="1" t="s">
        <v>2050</v>
      </c>
      <c r="EG139" s="1" t="s">
        <v>2051</v>
      </c>
      <c r="EH139" s="1" t="s">
        <v>2052</v>
      </c>
      <c r="EI139" s="1" t="s">
        <v>2053</v>
      </c>
    </row>
    <row r="140">
      <c r="A140" s="1" t="s">
        <v>2054</v>
      </c>
      <c r="B140" s="1" t="str">
        <f>IFERROR(__xludf.DUMMYFUNCTION("GOOGLETRANSLATE(A:A, ""en"", ""te"")"),"మాగ్ని విట్టోరియా")</f>
        <v>మాగ్ని విట్టోరియా</v>
      </c>
      <c r="C140" s="1" t="s">
        <v>2055</v>
      </c>
      <c r="D140" s="1" t="str">
        <f>IFERROR(__xludf.DUMMYFUNCTION("GOOGLETRANSLATE(C:C, ""en"", ""te"")"),"మాగ్ని PM.2 విట్టోరియా ఒక ఇటాలియన్ ప్రయోగాత్మక, సింగిల్ సీటు, 1920 ల మధ్యలో నిర్మించిన పారాసోల్ వింగ్ విమానం. ఇది దాని సింగిల్ వింగ్ బ్రేసింగ్ స్ట్రట్‌లపై పెద్ద ఏరోఫాయిల్‌ను కలిగి ఉంది, వీటిని లిఫ్ట్ లేదా డ్రాగ్ ఇవ్వడానికి కలిసి లేదా స్వతంత్రంగా తిప్పవచ్చ"&amp;"ు. ఒక సమకాలీన నివేదిక మాగ్ని విట్టోరియాను సెస్క్విప్లేన్‌గా అభివర్ణించింది, అయినప్పటికీ దీనిని లిఫ్టింగ్ స్ట్రట్ అని పిలుస్తారు. లిఫ్టింగ్ స్ట్రట్ యొక్క ప్రగతిశీల తగ్గింపు ద్వారా, సాంప్రదాయకంగా బ్రేస్డ్ పారాసోల్ వింగ్ మోనోప్లేన్లోకి ఇది అభివృద్ధి చెందింది"&amp;". స్ట్రట్ దిగువ ఫ్యూజ్‌లేజ్‌పై ఒకే బిందువు వద్ద మరియు ఎగువ వింగ్ లీడింగ్ ఎడ్జ్‌పై 70% వ్యవధిలో అమర్చబడి, ఈ అక్షం గురించి తిప్పవచ్చు ఎత్తైన కోణాల వద్ద ఎయిర్ బ్రేక్. మాగ్ని ఈ ఆలోచనను 1919 లోనే అధ్యయనం చేయడం ప్రారంభించాడు, అతను ఒక విమానం యొక్క స్కేల్ మోడల్‌న"&amp;"ు ప్రదర్శించినప్పుడు, 37 కిలోవాట్ల (50 హెచ్‌పి) గ్నోమ్ రోటరీ ఇంజిన్ చుట్టూ రూపొందించబడింది, ఇది యుద్ధానంతర పారిస్ సెలూన్లో ప్రదర్శించబడింది. అతను ఈఫిల్ విండ్-టన్నెల్ లో మోడళ్లను కూడా పరీక్షించాడు. [1] విట్టోరియా 1924 అతని మొదటి పూర్తి స్థాయి విమానం. దాని "&amp;"సన్నని రెక్కలు విప్పాయి మరియు క్వాడ్రాంటల్ చిట్కాలకు స్థిరమైన తీగను కలిగి ఉన్నాయి. పైలట్ యొక్క పైకి వీక్షణ మరియు విస్తృత-తీగ, పొడవైన ఐలెరాన్స్ యొక్క క్షేత్రాన్ని పెంచడానికి కాక్‌పిట్ మీద లోతైన మరియు విస్తృత వంగిన కటౌట్ ఉంది. పూర్తిగా చెక్క వింగ్ రెండు భాగ"&amp;"ాలుగా ఉంది, ఒక్కొక్కటి ఐదు స్పార్లు, పది పక్కటెముకలు మరియు ప్లైవుడ్ కవరింగ్ ఉన్నాయి. ఫార్వర్డ్ నాలుగు స్పారలను చిట్కా దగ్గర వక్రంగా, వెనుక స్పార్ మీద కలుసుకున్నారు. రెక్కలు ఒక చిన్న, ఉక్కు ఫ్రేమ్ క్యాబనేలో ఫ్యూజ్‌లేజ్‌పై తక్కువగా అమర్చబడి, దిగువ రెక్కల అక"&amp;"్షాలతో కలుపుతారు. [1] [2] ప్రతి దిగువ వింగ్, చెక్కతో, దాని అక్షం పక్కటెముకలతో మరియు ప్రముఖ అంచు చుట్టూ ఒక స్ట్రిప్ మరియు దాని దిగువ గుండ్రని ముగింపును కలిగి ఉంటుంది. ఈ చివర ఫ్యూజ్‌లేజ్ లోపల త్రిభుజాకార, విలోమ ఉక్కు చట్రానికి పైవట్ చేయబడింది, ఇది క్యాబనేను"&amp;" దాని ఎగువ శీర్షంలో కూడా తీసుకువెళ్ళింది. ప్లై-కప్పబడిన రెక్కను నేరుగా స్క్వేర్డ్-ఎగువ చివరకు తీసుకువెళ్లారు, ఇక్కడ ఇది ఎగువ వింగ్ అండర్ సైడ్ మీద విస్తృతంగా ఫెయిర్డ్ ఫుట్ తో చిన్న, లోపలి కోణాల మౌంటులో పైవట్ చేయబడింది. ప్రతి దిగువ రెక్క యొక్క సంభవం యొక్క క"&amp;"ోణం -3 ° మరియు 90 between మధ్య సర్దుబాటు చేయగలదు, పైలట్ వైపు లివర్‌తో; లెఫ్తాండ్ లివర్‌ను కదిలించడం ద్వారా రెక్కలను కదిలించవచ్చు. [1] [2] విట్టోరియా 37 కిలోవాట్ల (50 హెచ్‌పి), ఆరు సిలిండర్ అంజాని 6 ఎ .20 రేడియల్ ఇంజిన్ ద్వారా శక్తినిచ్చింది. మెటల్ ఇంజిన్ "&amp;"ఫ్రేమ్, ఇంజిన్, అల్యూమినియం కౌలింగ్, అల్యూమినియం స్పిన్నర్ మరియు రెండు బ్లేడ్ ప్రొపెల్లర్‌లను దాని వెనుక ఉన్న ఫ్యూజ్‌లేజ్ నుండి సులభంగా వేరు చేయవచ్చు, చెక్క హోప్స్, ఫ్రేమ్‌లు మరియు లాంగన్‌లతో ప్లై-కప్పబడిన సెమీ-మోనోకోక్. పెద్ద, ఓపెన్ కాక్‌పిట్ వింగ్ కటౌట్"&amp;" కింద ఉంది, సమర్థవంతమైన ట్రిపులెక్స్ విండ్‌స్క్రీన్ మరియు ప్రముఖ, ఫెయిర్‌డ్ హెడ్‌రెస్ట్ కూడా పారాచూట్‌ను కలిగి ఉంది. [1] [2] విట్టోరియా యొక్క తోక ఉపరితలాలు రెక్కల మాదిరిగా, ప్లై కవరింగ్ తో నిర్మించబడ్డాయి. క్షితిజ సమాంతర ఉపరితలాలు మధ్య-ఫ్యూజ్‌లేజ్ వద్ద అమ"&amp;"ర్చబడ్డాయి, అయినప్పటికీ టెయిల్‌ప్లేన్ వెస్టిజియల్, పొడవైన ఫిల్లెట్ లాగా ఉంటుంది, ఇది పెద్ద, సమతుల్య ఎలివేటర్లను వక్ర ప్రముఖ అంచులతో తీసుకువెళుతుంది. ఫిన్ విస్తృతంగా మరియు గమనించదగ్గదిగా ఉంది, ఇది చాలా విస్తృతమైన, గుండ్రని చుక్కానిని కలిగి ఉంది. దీని అండర్"&amp;" క్యారేజ్ స్థిరంగా మరియు సాంప్రదాయంగా ఉంది, ఒక జత ఫెయిర్డ్-ఇన్, కలప మరియు ప్లై విలోమ ఎల్-స్ట్రట్స్ ఇరువైపులా రబ్బరు త్రాడు మొలకెత్తిన స్టీల్ సింగిల్ ఇరుసును మోసుకెళ్ళి, పెద్ద వ్యాసం చక్రాలతో అమర్చారు. ఉక్కు-షాడ్ టెయిల్స్కిడ్ లామినేటెడ్ బూడిద వసంతంపై అమర్చ"&amp;"బడింది. [1] [2] విట్టోరియా మొదటిసారి 22 అక్టోబర్ 1924 న ఎగురవేయబడింది. రెండవ ఉదాహరణ, నియమించబడిన మోడల్ విట్టోరియా 1925-ఎ, సెప్టెంబర్ 1925 లో పూర్తయింది, 1924 మోడల్ ""వివరాలతో"" నుండి భిన్నంగా ఉంటుంది. [1] [3] ఒక సంవత్సరం తరువాత, మాగ్ని దాని ఆధారంగా ఆరు వై"&amp;"విధ్యాల శ్రేణిని క్రమపద్ధతిలో పరిశోధించింది, ఇది A మరియు B, C మరియు D మరియు E మరియు F అక్షరాల ద్వారా జతగా నియమించబడింది. అప్పర్ వింగ్ అంతటా మారలేదు కాని దిగువ రెక్కల ప్రాంతం వరుస జతల మధ్య తగ్గించబడింది ; E మరియు F రకాలు క్రమబద్ధీకరించబడిన, భ్రమణ బ్రేసింగ్"&amp;" స్ట్రట్‌లను మాత్రమే కలిగి ఉన్నాయి. ప్రతి జత యొక్క మొదటి సభ్యుడు రెండవ దాని కంటే పెద్ద ఐలెరాన్‌లను కలిగి ఉన్నాడు. A కాన్ఫిగరేషన్ కోసం కొన్ని పనితీరు గణాంకాలు విడుదలైనప్పటికీ, ల్యాండింగ్ వేగాన్ని తగ్గించే అసలు లక్ష్యం గురించి చాలా తక్కువ చెప్పబడింది. [3] ర"&amp;"ెండవ ప్రపంచ యుద్ధం ప్రారంభానికి మాగ్ని తిరిగే బ్రేసింగ్ స్ట్రట్‌లతో ప్రయోగాలు చేస్తూనే ఉన్నాడు. 1935 నాటి మాగ్ని వేల్ ప్రతి వైపు రెక్కను బ్రేసింగ్ చేసే v- స్ట్రట్ కలిగి ఉంది. వీటిలో ప్రముఖ సభ్యులు పరిష్కరించబడ్డారు, కాని వెనుక భాగాలను విట్టోరియాలో వీలైనంత"&amp;" ఎయిర్‌బ్రేక్‌లుగా తిప్పవచ్చు. [4] లెస్ ఐల్స్ నుండి డేటా, సెప్టెంబర్ 1925 [2] లెస్ ఐల్స్ నుండి విట్టోరియా 1925-ఎ పనితీరు బొమ్మలు. సెప్టెంబర్ 1926 [3] సాధారణ లక్షణాలు")</f>
        <v>మాగ్ని PM.2 విట్టోరియా ఒక ఇటాలియన్ ప్రయోగాత్మక, సింగిల్ సీటు, 1920 ల మధ్యలో నిర్మించిన పారాసోల్ వింగ్ విమానం. ఇది దాని సింగిల్ వింగ్ బ్రేసింగ్ స్ట్రట్‌లపై పెద్ద ఏరోఫాయిల్‌ను కలిగి ఉంది, వీటిని లిఫ్ట్ లేదా డ్రాగ్ ఇవ్వడానికి కలిసి లేదా స్వతంత్రంగా తిప్పవచ్చు. ఒక సమకాలీన నివేదిక మాగ్ని విట్టోరియాను సెస్క్విప్లేన్‌గా అభివర్ణించింది, అయినప్పటికీ దీనిని లిఫ్టింగ్ స్ట్రట్ అని పిలుస్తారు. లిఫ్టింగ్ స్ట్రట్ యొక్క ప్రగతిశీల తగ్గింపు ద్వారా, సాంప్రదాయకంగా బ్రేస్డ్ పారాసోల్ వింగ్ మోనోప్లేన్లోకి ఇది అభివృద్ధి చెందింది. స్ట్రట్ దిగువ ఫ్యూజ్‌లేజ్‌పై ఒకే బిందువు వద్ద మరియు ఎగువ వింగ్ లీడింగ్ ఎడ్జ్‌పై 70% వ్యవధిలో అమర్చబడి, ఈ అక్షం గురించి తిప్పవచ్చు ఎత్తైన కోణాల వద్ద ఎయిర్ బ్రేక్. మాగ్ని ఈ ఆలోచనను 1919 లోనే అధ్యయనం చేయడం ప్రారంభించాడు, అతను ఒక విమానం యొక్క స్కేల్ మోడల్‌ను ప్రదర్శించినప్పుడు, 37 కిలోవాట్ల (50 హెచ్‌పి) గ్నోమ్ రోటరీ ఇంజిన్ చుట్టూ రూపొందించబడింది, ఇది యుద్ధానంతర పారిస్ సెలూన్లో ప్రదర్శించబడింది. అతను ఈఫిల్ విండ్-టన్నెల్ లో మోడళ్లను కూడా పరీక్షించాడు. [1] విట్టోరియా 1924 అతని మొదటి పూర్తి స్థాయి విమానం. దాని సన్నని రెక్కలు విప్పాయి మరియు క్వాడ్రాంటల్ చిట్కాలకు స్థిరమైన తీగను కలిగి ఉన్నాయి. పైలట్ యొక్క పైకి వీక్షణ మరియు విస్తృత-తీగ, పొడవైన ఐలెరాన్స్ యొక్క క్షేత్రాన్ని పెంచడానికి కాక్‌పిట్ మీద లోతైన మరియు విస్తృత వంగిన కటౌట్ ఉంది. పూర్తిగా చెక్క వింగ్ రెండు భాగాలుగా ఉంది, ఒక్కొక్కటి ఐదు స్పార్లు, పది పక్కటెముకలు మరియు ప్లైవుడ్ కవరింగ్ ఉన్నాయి. ఫార్వర్డ్ నాలుగు స్పారలను చిట్కా దగ్గర వక్రంగా, వెనుక స్పార్ మీద కలుసుకున్నారు. రెక్కలు ఒక చిన్న, ఉక్కు ఫ్రేమ్ క్యాబనేలో ఫ్యూజ్‌లేజ్‌పై తక్కువగా అమర్చబడి, దిగువ రెక్కల అక్షాలతో కలుపుతారు. [1] [2] ప్రతి దిగువ వింగ్, చెక్కతో, దాని అక్షం పక్కటెముకలతో మరియు ప్రముఖ అంచు చుట్టూ ఒక స్ట్రిప్ మరియు దాని దిగువ గుండ్రని ముగింపును కలిగి ఉంటుంది. ఈ చివర ఫ్యూజ్‌లేజ్ లోపల త్రిభుజాకార, విలోమ ఉక్కు చట్రానికి పైవట్ చేయబడింది, ఇది క్యాబనేను దాని ఎగువ శీర్షంలో కూడా తీసుకువెళ్ళింది. ప్లై-కప్పబడిన రెక్కను నేరుగా స్క్వేర్డ్-ఎగువ చివరకు తీసుకువెళ్లారు, ఇక్కడ ఇది ఎగువ వింగ్ అండర్ సైడ్ మీద విస్తృతంగా ఫెయిర్డ్ ఫుట్ తో చిన్న, లోపలి కోణాల మౌంటులో పైవట్ చేయబడింది. ప్రతి దిగువ రెక్క యొక్క సంభవం యొక్క కోణం -3 ° మరియు 90 between మధ్య సర్దుబాటు చేయగలదు, పైలట్ వైపు లివర్‌తో; లెఫ్తాండ్ లివర్‌ను కదిలించడం ద్వారా రెక్కలను కదిలించవచ్చు. [1] [2] విట్టోరియా 37 కిలోవాట్ల (50 హెచ్‌పి), ఆరు సిలిండర్ అంజాని 6 ఎ .20 రేడియల్ ఇంజిన్ ద్వారా శక్తినిచ్చింది. మెటల్ ఇంజిన్ ఫ్రేమ్, ఇంజిన్, అల్యూమినియం కౌలింగ్, అల్యూమినియం స్పిన్నర్ మరియు రెండు బ్లేడ్ ప్రొపెల్లర్‌లను దాని వెనుక ఉన్న ఫ్యూజ్‌లేజ్ నుండి సులభంగా వేరు చేయవచ్చు, చెక్క హోప్స్, ఫ్రేమ్‌లు మరియు లాంగన్‌లతో ప్లై-కప్పబడిన సెమీ-మోనోకోక్. పెద్ద, ఓపెన్ కాక్‌పిట్ వింగ్ కటౌట్ కింద ఉంది, సమర్థవంతమైన ట్రిపులెక్స్ విండ్‌స్క్రీన్ మరియు ప్రముఖ, ఫెయిర్‌డ్ హెడ్‌రెస్ట్ కూడా పారాచూట్‌ను కలిగి ఉంది. [1] [2] విట్టోరియా యొక్క తోక ఉపరితలాలు రెక్కల మాదిరిగా, ప్లై కవరింగ్ తో నిర్మించబడ్డాయి. క్షితిజ సమాంతర ఉపరితలాలు మధ్య-ఫ్యూజ్‌లేజ్ వద్ద అమర్చబడ్డాయి, అయినప్పటికీ టెయిల్‌ప్లేన్ వెస్టిజియల్, పొడవైన ఫిల్లెట్ లాగా ఉంటుంది, ఇది పెద్ద, సమతుల్య ఎలివేటర్లను వక్ర ప్రముఖ అంచులతో తీసుకువెళుతుంది. ఫిన్ విస్తృతంగా మరియు గమనించదగ్గదిగా ఉంది, ఇది చాలా విస్తృతమైన, గుండ్రని చుక్కానిని కలిగి ఉంది. దీని అండర్ క్యారేజ్ స్థిరంగా మరియు సాంప్రదాయంగా ఉంది, ఒక జత ఫెయిర్డ్-ఇన్, కలప మరియు ప్లై విలోమ ఎల్-స్ట్రట్స్ ఇరువైపులా రబ్బరు త్రాడు మొలకెత్తిన స్టీల్ సింగిల్ ఇరుసును మోసుకెళ్ళి, పెద్ద వ్యాసం చక్రాలతో అమర్చారు. ఉక్కు-షాడ్ టెయిల్స్కిడ్ లామినేటెడ్ బూడిద వసంతంపై అమర్చబడింది. [1] [2] విట్టోరియా మొదటిసారి 22 అక్టోబర్ 1924 న ఎగురవేయబడింది. రెండవ ఉదాహరణ, నియమించబడిన మోడల్ విట్టోరియా 1925-ఎ, సెప్టెంబర్ 1925 లో పూర్తయింది, 1924 మోడల్ "వివరాలతో" నుండి భిన్నంగా ఉంటుంది. [1] [3] ఒక సంవత్సరం తరువాత, మాగ్ని దాని ఆధారంగా ఆరు వైవిధ్యాల శ్రేణిని క్రమపద్ధతిలో పరిశోధించింది, ఇది A మరియు B, C మరియు D మరియు E మరియు F అక్షరాల ద్వారా జతగా నియమించబడింది. అప్పర్ వింగ్ అంతటా మారలేదు కాని దిగువ రెక్కల ప్రాంతం వరుస జతల మధ్య తగ్గించబడింది ; E మరియు F రకాలు క్రమబద్ధీకరించబడిన, భ్రమణ బ్రేసింగ్ స్ట్రట్‌లను మాత్రమే కలిగి ఉన్నాయి. ప్రతి జత యొక్క మొదటి సభ్యుడు రెండవ దాని కంటే పెద్ద ఐలెరాన్‌లను కలిగి ఉన్నాడు. A కాన్ఫిగరేషన్ కోసం కొన్ని పనితీరు గణాంకాలు విడుదలైనప్పటికీ, ల్యాండింగ్ వేగాన్ని తగ్గించే అసలు లక్ష్యం గురించి చాలా తక్కువ చెప్పబడింది. [3] రెండవ ప్రపంచ యుద్ధం ప్రారంభానికి మాగ్ని తిరిగే బ్రేసింగ్ స్ట్రట్‌లతో ప్రయోగాలు చేస్తూనే ఉన్నాడు. 1935 నాటి మాగ్ని వేల్ ప్రతి వైపు రెక్కను బ్రేసింగ్ చేసే v- స్ట్రట్ కలిగి ఉంది. వీటిలో ప్రముఖ సభ్యులు పరిష్కరించబడ్డారు, కాని వెనుక భాగాలను విట్టోరియాలో వీలైనంత ఎయిర్‌బ్రేక్‌లుగా తిప్పవచ్చు. [4] లెస్ ఐల్స్ నుండి డేటా, సెప్టెంబర్ 1925 [2] లెస్ ఐల్స్ నుండి విట్టోరియా 1925-ఎ పనితీరు బొమ్మలు. సెప్టెంబర్ 1926 [3] సాధారణ లక్షణాలు</v>
      </c>
      <c r="E140" s="1" t="s">
        <v>2056</v>
      </c>
      <c r="F140" s="1" t="str">
        <f>IFERROR(__xludf.DUMMYFUNCTION("GOOGLETRANSLATE(E:E, ""en"", ""te"")"),"సింగిల్-సీట్ స్పోర్ట్స్ విమానం")</f>
        <v>సింగిల్-సీట్ స్పోర్ట్స్ విమానం</v>
      </c>
      <c r="G140" s="1" t="s">
        <v>2057</v>
      </c>
      <c r="H140" s="1" t="s">
        <v>606</v>
      </c>
      <c r="I140" s="1" t="str">
        <f>IFERROR(__xludf.DUMMYFUNCTION("GOOGLETRANSLATE(H:H, ""en"", ""te"")"),"ఇటలీ")</f>
        <v>ఇటలీ</v>
      </c>
      <c r="J140" s="3" t="s">
        <v>607</v>
      </c>
      <c r="K140" s="1" t="s">
        <v>2058</v>
      </c>
      <c r="L140" s="2" t="str">
        <f>IFERROR(__xludf.DUMMYFUNCTION("GOOGLETRANSLATE(K:K, ""en"", ""te"")"),"పియరో మాగ్ని-ఎవియాజియోన్")</f>
        <v>పియరో మాగ్ని-ఎవియాజియోన్</v>
      </c>
      <c r="M140" s="1" t="s">
        <v>2059</v>
      </c>
      <c r="Q140" s="1" t="s">
        <v>212</v>
      </c>
      <c r="R140" s="1" t="s">
        <v>2060</v>
      </c>
      <c r="S140" s="1" t="s">
        <v>2061</v>
      </c>
      <c r="U140" s="1" t="s">
        <v>1460</v>
      </c>
      <c r="W140" s="1" t="s">
        <v>177</v>
      </c>
      <c r="X140" s="1" t="s">
        <v>2062</v>
      </c>
      <c r="AB140" s="1" t="s">
        <v>2063</v>
      </c>
      <c r="AD140" s="4">
        <v>9062.0</v>
      </c>
      <c r="AE140" s="1" t="s">
        <v>2064</v>
      </c>
      <c r="AF140" s="1" t="s">
        <v>2065</v>
      </c>
      <c r="AG140" s="1" t="s">
        <v>2066</v>
      </c>
      <c r="AH140" s="1" t="s">
        <v>2067</v>
      </c>
      <c r="AI140" s="1" t="s">
        <v>2068</v>
      </c>
      <c r="AJ140" s="1" t="s">
        <v>2069</v>
      </c>
      <c r="AK140" s="1" t="s">
        <v>2070</v>
      </c>
      <c r="AL140" s="1" t="s">
        <v>2071</v>
      </c>
      <c r="AR140" s="1" t="s">
        <v>2072</v>
      </c>
      <c r="BS140" s="1" t="s">
        <v>2073</v>
      </c>
    </row>
    <row r="141">
      <c r="A141" s="1" t="s">
        <v>2074</v>
      </c>
      <c r="B141" s="1" t="str">
        <f>IFERROR(__xludf.DUMMYFUNCTION("GOOGLETRANSLATE(A:A, ""en"", ""te"")"),"సికోర్స్కీ ఎస్ -28")</f>
        <v>సికోర్స్కీ ఎస్ -28</v>
      </c>
      <c r="C141" s="1" t="s">
        <v>2075</v>
      </c>
      <c r="D141" s="1" t="str">
        <f>IFERROR(__xludf.DUMMYFUNCTION("GOOGLETRANSLATE(C:C, ""en"", ""te"")"),"సికోర్స్కీ ఎస్ -28 అనేది మొదటి ప్రపంచ యుద్ధంలో ఫ్రాన్స్‌లో నిర్మించటానికి ఇగోర్ సికోర్స్కీ రూపొందించిన నాలుగు ఇంజిన్ బిప్‌లేన్ బాంబర్ విమానం. మార్చి 1918 లో సికోర్స్కీ ఫ్రాన్స్‌కు వెళ్లారు మరియు త్వరలోనే ఆర్మీ డి ఎల్ ఎయిర్ అధికారులతో సమావేశమయ్యారు, అతను అ"&amp;"తనిని అడిగారు కొత్త 1,000 కిలోల (2,200 ఎల్బి) బాంబును మోయగల విమానాన్ని రూపొందించండి. ఈ విమానం మొదట్లో రెండు లిబర్టీ ఎల్ -12 ఇంజిన్లచే శక్తినిచ్చేలా రూపొందించబడినప్పటికీ, ఆర్మీ డి ఎయిర్ యొక్క సాంకేతిక విభాగం బదులుగా నాలుగు హిస్పానో-సుయిజా 8 ఇంజిన్లను ఉపయోగ"&amp;"ించమని సూచించింది. [1] [2] ఆగష్టు 1918 నాటికి సికోర్స్కీ యొక్క ప్రణాళికలు పూర్తయ్యాయి మరియు ఈ ప్రాజెక్ట్ ఆమోదించబడింది. నిర్మాణాన్ని ప్రారంభించడానికి ఫ్రెంచ్ ఐదు ఉదాహరణలు మరియు సన్నాహాలు చేయబడ్డాయి, కాని మొదటి ప్రపంచ యుద్ధం ముగిసినప్పుడు మరియు S-28 లు పూర"&amp;"్తి కాలేదు. [1] [2]")</f>
        <v>సికోర్స్కీ ఎస్ -28 అనేది మొదటి ప్రపంచ యుద్ధంలో ఫ్రాన్స్‌లో నిర్మించటానికి ఇగోర్ సికోర్స్కీ రూపొందించిన నాలుగు ఇంజిన్ బిప్‌లేన్ బాంబర్ విమానం. మార్చి 1918 లో సికోర్స్కీ ఫ్రాన్స్‌కు వెళ్లారు మరియు త్వరలోనే ఆర్మీ డి ఎల్ ఎయిర్ అధికారులతో సమావేశమయ్యారు, అతను అతనిని అడిగారు కొత్త 1,000 కిలోల (2,200 ఎల్బి) బాంబును మోయగల విమానాన్ని రూపొందించండి. ఈ విమానం మొదట్లో రెండు లిబర్టీ ఎల్ -12 ఇంజిన్లచే శక్తినిచ్చేలా రూపొందించబడినప్పటికీ, ఆర్మీ డి ఎయిర్ యొక్క సాంకేతిక విభాగం బదులుగా నాలుగు హిస్పానో-సుయిజా 8 ఇంజిన్లను ఉపయోగించమని సూచించింది. [1] [2] ఆగష్టు 1918 నాటికి సికోర్స్కీ యొక్క ప్రణాళికలు పూర్తయ్యాయి మరియు ఈ ప్రాజెక్ట్ ఆమోదించబడింది. నిర్మాణాన్ని ప్రారంభించడానికి ఫ్రెంచ్ ఐదు ఉదాహరణలు మరియు సన్నాహాలు చేయబడ్డాయి, కాని మొదటి ప్రపంచ యుద్ధం ముగిసినప్పుడు మరియు S-28 లు పూర్తి కాలేదు. [1] [2]</v>
      </c>
      <c r="E141" s="1" t="s">
        <v>2076</v>
      </c>
      <c r="F141" s="1" t="str">
        <f>IFERROR(__xludf.DUMMYFUNCTION("GOOGLETRANSLATE(E:E, ""en"", ""te"")"),"ప్రతిపాదిత బిప్‌లేన్ బాంబర్")</f>
        <v>ప్రతిపాదిత బిప్‌లేన్ బాంబర్</v>
      </c>
      <c r="G141" s="1" t="s">
        <v>2077</v>
      </c>
      <c r="H141" s="1" t="s">
        <v>208</v>
      </c>
      <c r="I141" s="1" t="str">
        <f>IFERROR(__xludf.DUMMYFUNCTION("GOOGLETRANSLATE(H:H, ""en"", ""te"")"),"ఫ్రాన్స్")</f>
        <v>ఫ్రాన్స్</v>
      </c>
      <c r="J141" s="3" t="s">
        <v>209</v>
      </c>
      <c r="L141" s="2"/>
      <c r="N141" s="1" t="s">
        <v>2078</v>
      </c>
      <c r="O141" s="1" t="str">
        <f>IFERROR(__xludf.DUMMYFUNCTION("GOOGLETRANSLATE(N:N, ""en"", ""te"")"),"ఏదీ నిర్మించిన ఆర్డర్ రద్దు చేయబడలేదు")</f>
        <v>ఏదీ నిర్మించిన ఆర్డర్ రద్దు చేయబడలేదు</v>
      </c>
      <c r="AB141" s="1" t="s">
        <v>382</v>
      </c>
      <c r="BS141" s="1" t="s">
        <v>511</v>
      </c>
    </row>
    <row r="142">
      <c r="A142" s="1" t="s">
        <v>2079</v>
      </c>
      <c r="B142" s="1" t="str">
        <f>IFERROR(__xludf.DUMMYFUNCTION("GOOGLETRANSLATE(A:A, ""en"", ""te"")"),"లాక్‌హీడ్ మార్టిన్ ఎఫ్ -35 మెరుపు II అభివృద్ధి")</f>
        <v>లాక్‌హీడ్ మార్టిన్ ఎఫ్ -35 మెరుపు II అభివృద్ధి</v>
      </c>
      <c r="E142" s="1" t="s">
        <v>2080</v>
      </c>
      <c r="F142" s="1" t="str">
        <f>IFERROR(__xludf.DUMMYFUNCTION("GOOGLETRANSLATE(E:E, ""en"", ""te"")"),"స్టీల్త్ మల్టీరోల్ ఫైటర్")</f>
        <v>స్టీల్త్ మల్టీరోల్ ఫైటర్</v>
      </c>
      <c r="G142" s="1" t="s">
        <v>2081</v>
      </c>
      <c r="H142" s="1" t="s">
        <v>227</v>
      </c>
      <c r="I142" s="1" t="str">
        <f>IFERROR(__xludf.DUMMYFUNCTION("GOOGLETRANSLATE(H:H, ""en"", ""te"")"),"అమెరికా")</f>
        <v>అమెరికా</v>
      </c>
      <c r="K142" s="1" t="s">
        <v>2082</v>
      </c>
      <c r="L142" s="2" t="str">
        <f>IFERROR(__xludf.DUMMYFUNCTION("GOOGLETRANSLATE(K:K, ""en"", ""te"")"),"లాక్‌హీడ్ మార్టిన్ ఏరోనాటిక్స్")</f>
        <v>లాక్‌హీడ్ మార్టిన్ ఏరోనాటిక్స్</v>
      </c>
      <c r="M142" s="1" t="s">
        <v>2083</v>
      </c>
      <c r="N142" s="1" t="s">
        <v>54</v>
      </c>
      <c r="O142" s="1" t="str">
        <f>IFERROR(__xludf.DUMMYFUNCTION("GOOGLETRANSLATE(N:N, ""en"", ""te"")"),"సేవలో")</f>
        <v>సేవలో</v>
      </c>
      <c r="AC142" s="1" t="s">
        <v>2084</v>
      </c>
      <c r="AD142" s="1" t="s">
        <v>2085</v>
      </c>
      <c r="AL142" s="1" t="s">
        <v>2086</v>
      </c>
      <c r="BO142" s="1" t="s">
        <v>2087</v>
      </c>
      <c r="BR142" s="1" t="s">
        <v>2088</v>
      </c>
      <c r="EJ142" s="1" t="s">
        <v>2089</v>
      </c>
    </row>
    <row r="143">
      <c r="A143" s="1" t="s">
        <v>2090</v>
      </c>
      <c r="B143" s="1" t="str">
        <f>IFERROR(__xludf.DUMMYFUNCTION("GOOGLETRANSLATE(A:A, ""en"", ""te"")"),"రేడియోప్లేన్ OQ-17")</f>
        <v>రేడియోప్లేన్ OQ-17</v>
      </c>
      <c r="C143" s="1" t="s">
        <v>2091</v>
      </c>
      <c r="D143" s="1" t="str">
        <f>IFERROR(__xludf.DUMMYFUNCTION("GOOGLETRANSLATE(C:C, ""en"", ""te"")"),"రేడియోప్లేన్ OQ-17 అనేది అమెరికా ఆర్మీ ఎయిర్ ఫోర్సెస్ కోసం రేడియోప్లాన్ కంపెనీ నిర్మించిన టార్గెట్ డ్రోన్ మరియు TD4D/KDR క్వాయిల్, అమెరికా నేవీ. నమ్మదగని ఇంజిన్‌తో బాధపడుతున్న, OQ-17 ప్రొడక్షన్ రన్ OQ-19 కు అనుకూలంగా తగ్గించబడింది. రెండవ ప్రపంచ యుద్ధం ముగ"&amp;"ిసే సమయానికి, యు.ఎస్. ఆర్మీ ఎయిర్ ఫోర్సెస్ రేడియోప్లేన్ OQ-2 కుటుంబ డ్రోన్‌ల స్థానంలో కొత్త టార్గెట్ డ్రోన్ కోసం ఒక అవసరాన్ని జారీ చేసింది, అధిక పనితీరుతో పోరాట విమానాల యొక్క మెరుగైన సామర్థ్యాలను బాగా అనుకరించడానికి. [1] RP-18, రేడియోప్లేన్ యొక్క రెజినాల్"&amp;"డ్ డెన్నీ చేత రూపొందించబడింది, [2] ఆల్-మెటల్ నిర్మాణానికి చెందినది, అధిక-మౌంటెడ్ వింగ్ మరియు సాంప్రదాయ సామ్రాజ్యం. అధిక O-45 నాలుగు-సిలిండర్ క్షితిజ సమాంతరంగా ప్రతిబింబించే ఇంజిన్ ద్వారా శక్తిని సరఫరా చేశారు, మరియు ప్రయోగం కాటాపుల్ట్ ద్వారా. [1] సాంప్రదాయ"&amp;"ిక రేడియో నియంత్రణ ద్వారా నియంత్రణ నిర్వహించబడుతుంది, అయితే డ్రోన్‌ను గన్నర్స్ శిక్షణ కోసం ఉపయోగించుకోకపోతే, దాన్ని ఆన్‌బోర్డ్ పారాచూట్ ద్వారా తిరిగి పొందవచ్చు. [3] ఒక సాధారణ ఫైటర్ విమానం చేయగల ఏ యుక్తిని OQ-17 చేయగలదని పేర్కొంది. [3] RP-18 యొక్క మూల్యాంక"&amp;"నం మార్చి 1945 లో ప్రారంభమైంది; ట్రయల్స్ తరువాత, యు.ఎస్. ఆర్మీ ఎయిర్ ఫోర్సెస్ ఫిబ్రవరి 1946 లో డ్రోన్‌ను ఉత్పత్తిలోకి ఆదేశించింది, దీనిని OQ-17 ని నియమించింది. యు.ఎస్. నేవీ డ్రోన్‌ను కూడా ఆదేశించింది; ఇది XTD4D-1 గా అంచనా వేయబడింది, కాని సేవలోకి ప్రవేశించ"&amp;"ే ముందు TD4D-1 ఉత్పత్తికి KDR-1 క్వాయిల్ యొక్క కొత్త హోదా ఇవ్వబడింది. [1] O-45 ఇంజిన్‌తో నిరంతర విశ్వసనీయత సమస్యలను అధిగమించలేనందున, 430 విమానాలు పూర్తయిన తర్వాత OQ-17 మరియు KDR యొక్క ఉత్పత్తి ముగిసింది; రేడియోప్లేన్ OQ-19 ను భర్తీగా ఆదేశించారు. [1] పార్స"&amp;"్చ్ 2003 నుండి డేటా [1] సాధారణ లక్షణాలు పనితీరు సంబంధిత అభివృద్ధి అభివృద్ధి విమానం పోల్చదగిన పాత్ర, కాన్ఫిగరేషన్ మరియు ERA సంబంధిత జాబితాలు")</f>
        <v>రేడియోప్లేన్ OQ-17 అనేది అమెరికా ఆర్మీ ఎయిర్ ఫోర్సెస్ కోసం రేడియోప్లాన్ కంపెనీ నిర్మించిన టార్గెట్ డ్రోన్ మరియు TD4D/KDR క్వాయిల్, అమెరికా నేవీ. నమ్మదగని ఇంజిన్‌తో బాధపడుతున్న, OQ-17 ప్రొడక్షన్ రన్ OQ-19 కు అనుకూలంగా తగ్గించబడింది. రెండవ ప్రపంచ యుద్ధం ముగిసే సమయానికి, యు.ఎస్. ఆర్మీ ఎయిర్ ఫోర్సెస్ రేడియోప్లేన్ OQ-2 కుటుంబ డ్రోన్‌ల స్థానంలో కొత్త టార్గెట్ డ్రోన్ కోసం ఒక అవసరాన్ని జారీ చేసింది, అధిక పనితీరుతో పోరాట విమానాల యొక్క మెరుగైన సామర్థ్యాలను బాగా అనుకరించడానికి. [1] RP-18, రేడియోప్లేన్ యొక్క రెజినాల్డ్ డెన్నీ చేత రూపొందించబడింది, [2] ఆల్-మెటల్ నిర్మాణానికి చెందినది, అధిక-మౌంటెడ్ వింగ్ మరియు సాంప్రదాయ సామ్రాజ్యం. అధిక O-45 నాలుగు-సిలిండర్ క్షితిజ సమాంతరంగా ప్రతిబింబించే ఇంజిన్ ద్వారా శక్తిని సరఫరా చేశారు, మరియు ప్రయోగం కాటాపుల్ట్ ద్వారా. [1] సాంప్రదాయిక రేడియో నియంత్రణ ద్వారా నియంత్రణ నిర్వహించబడుతుంది, అయితే డ్రోన్‌ను గన్నర్స్ శిక్షణ కోసం ఉపయోగించుకోకపోతే, దాన్ని ఆన్‌బోర్డ్ పారాచూట్ ద్వారా తిరిగి పొందవచ్చు. [3] ఒక సాధారణ ఫైటర్ విమానం చేయగల ఏ యుక్తిని OQ-17 చేయగలదని పేర్కొంది. [3] RP-18 యొక్క మూల్యాంకనం మార్చి 1945 లో ప్రారంభమైంది; ట్రయల్స్ తరువాత, యు.ఎస్. ఆర్మీ ఎయిర్ ఫోర్సెస్ ఫిబ్రవరి 1946 లో డ్రోన్‌ను ఉత్పత్తిలోకి ఆదేశించింది, దీనిని OQ-17 ని నియమించింది. యు.ఎస్. నేవీ డ్రోన్‌ను కూడా ఆదేశించింది; ఇది XTD4D-1 గా అంచనా వేయబడింది, కాని సేవలోకి ప్రవేశించే ముందు TD4D-1 ఉత్పత్తికి KDR-1 క్వాయిల్ యొక్క కొత్త హోదా ఇవ్వబడింది. [1] O-45 ఇంజిన్‌తో నిరంతర విశ్వసనీయత సమస్యలను అధిగమించలేనందున, 430 విమానాలు పూర్తయిన తర్వాత OQ-17 మరియు KDR యొక్క ఉత్పత్తి ముగిసింది; రేడియోప్లేన్ OQ-19 ను భర్తీగా ఆదేశించారు. [1] పార్స్చ్ 2003 నుండి డేటా [1] సాధారణ లక్షణాలు పనితీరు సంబంధిత అభివృద్ధి అభివృద్ధి విమానం పోల్చదగిన పాత్ర, కాన్ఫిగరేషన్ మరియు ERA సంబంధిత జాబితాలు</v>
      </c>
      <c r="E143" s="1" t="s">
        <v>2092</v>
      </c>
      <c r="F143" s="1" t="str">
        <f>IFERROR(__xludf.DUMMYFUNCTION("GOOGLETRANSLATE(E:E, ""en"", ""te"")"),"టార్గెట్ డ్రోన్")</f>
        <v>టార్గెట్ డ్రోన్</v>
      </c>
      <c r="G143" s="1" t="s">
        <v>2093</v>
      </c>
      <c r="H143" s="1" t="s">
        <v>227</v>
      </c>
      <c r="I143" s="1" t="str">
        <f>IFERROR(__xludf.DUMMYFUNCTION("GOOGLETRANSLATE(H:H, ""en"", ""te"")"),"అమెరికా")</f>
        <v>అమెరికా</v>
      </c>
      <c r="K143" s="1" t="s">
        <v>2094</v>
      </c>
      <c r="L143" s="2" t="str">
        <f>IFERROR(__xludf.DUMMYFUNCTION("GOOGLETRANSLATE(K:K, ""en"", ""te"")"),"రేడియోప్లేన్ కంపెనీ")</f>
        <v>రేడియోప్లేన్ కంపెనీ</v>
      </c>
      <c r="M143" s="1" t="s">
        <v>2095</v>
      </c>
      <c r="Q143" s="1">
        <v>0.0</v>
      </c>
      <c r="R143" s="1" t="s">
        <v>2096</v>
      </c>
      <c r="U143" s="1" t="s">
        <v>2097</v>
      </c>
      <c r="Y143" s="1" t="s">
        <v>2098</v>
      </c>
      <c r="AB143" s="1" t="s">
        <v>2099</v>
      </c>
      <c r="AE143" s="1">
        <v>430.0</v>
      </c>
      <c r="AF143" s="1" t="s">
        <v>2100</v>
      </c>
      <c r="AI143" s="1" t="s">
        <v>2101</v>
      </c>
      <c r="AL143" s="1" t="s">
        <v>2102</v>
      </c>
      <c r="AQ143" s="1" t="s">
        <v>243</v>
      </c>
      <c r="BK143" s="1" t="s">
        <v>2103</v>
      </c>
      <c r="BS143" s="1" t="s">
        <v>2104</v>
      </c>
      <c r="BT143" s="1" t="s">
        <v>2105</v>
      </c>
      <c r="BU143" s="1" t="s">
        <v>2106</v>
      </c>
      <c r="CU143" s="1" t="s">
        <v>2107</v>
      </c>
      <c r="CV143" s="1" t="s">
        <v>2108</v>
      </c>
    </row>
    <row r="144">
      <c r="A144" s="1" t="s">
        <v>2109</v>
      </c>
      <c r="B144" s="1" t="str">
        <f>IFERROR(__xludf.DUMMYFUNCTION("GOOGLETRANSLATE(A:A, ""en"", ""te"")"),"ట్రిక్సీ ట్రిక్స్ఫార్మర్")</f>
        <v>ట్రిక్సీ ట్రిక్స్ఫార్మర్</v>
      </c>
      <c r="C144" s="1" t="s">
        <v>2110</v>
      </c>
      <c r="D144" s="1" t="str">
        <f>IFERROR(__xludf.DUMMYFUNCTION("GOOGLETRANSLATE(C:C, ""en"", ""te"")"),"ట్రిక్సీ ట్రిక్స్‌ఫార్మర్ అనేది ఆస్ట్రియన్ రోడబుల్ ఎయిర్‌క్రాఫ్ట్ ఆటోజీరో/ఎలక్ట్రిక్ మోటార్‌సైకిల్, ఇది 2014 లో ప్రవేశపెట్టిన డోర్న్‌బిర్న్ యొక్క ట్రిక్సీ ఏవియేషన్ ఉత్పత్తులచే రూపొందించబడింది మరియు ఉత్పత్తి చేయబడింది. వాహనం పూర్తి మరియు రెడీ-ఫ్లై సరఫరా చే"&amp;"యబడుతుంది. [1] ట్రిక్స్ఫార్మర్ రెండు చక్రాల ఎలక్ట్రిక్ మోటారుసైకిల్ చట్రం మీద ల్యాండ్ వెహికల్ మీద ఆధారపడి ఉంటుంది మరియు మాడ్యులర్ ఫ్లయింగ్ భాగాలను జోడించడానికి రూపొందించబడింది. ప్లగ్-ఇన్ గైరో మాడ్యూల్‌తో దీనిని అమర్చవచ్చు మరియు ఆటోజీరోగా ఎగురవేయవచ్చు. హెల"&amp;"ికాప్టర్ లేదా స్థిర వింగ్ ఎయిర్క్రాఫ్ట్ మాడ్యూల్స్ 2015 లో అభివృద్ధిలో ఉన్నాయి. [1] ఆటోజొరోగా, ట్రిక్స్‌ఫార్మర్‌లో ఒకే మెయిన్ రోటర్, విండ్‌షీల్డ్‌తో రెండు-సీట్ల టెన్డం ఓపెన్ కాక్‌పిట్, ట్రైసైకిల్ ల్యాండింగ్ గేర్‌తో పాటు తోక క్యాస్టర్ మరియు నాలుగు సిలిండర్"&amp;", ద్రవ మరియు ఎయిర్-కూల్డ్, నాలుగు స్ట్రోక్ 130 హెచ్‌పి (నాలుగు స్ట్రోక్ 130 హెచ్‌పి ఉన్నాయి ( 97 kW) పషర్ కాన్ఫిగరేషన్‌లో ట్రిక్సీ 912 టి ఇంజిన్. [1] విమానం ఫ్యూజ్‌లేజ్ మెటల్ గొట్టాలు మరియు మిశ్రమాల నుండి తయారవుతుంది. దీని రెండు-బ్లేడెడ్ రోటర్ 8.6 మీ (28."&amp;"2 అడుగులు) వ్యాసం కలిగి ఉంది. ఈ విమానం 350 కిలోల (772 ఎల్బి) యొక్క సాధారణ ఖాళీ బరువు మరియు 560 కిలోల (1,235 ఎల్బి) స్థూల బరువును కలిగి ఉంది, ఇది 210 కిలోల (463 పౌండ్లు) ఉపయోగకరమైన లోడ్ ఇస్తుంది. 80 లీటర్ల పూర్తి ఇంధనంతో (18 ఇంప్ గల్; 21 యుఎస్ గాల్) పైలట్,"&amp;" ప్రయాణీకుడు మరియు సామాను 153 కిలోలు (337 ఎల్బి). [1] అనేక ఇతర ఆటోజీరో బిల్డర్ల మాదిరిగా కాకుండా, ట్రిక్సీ ఏవియేషన్ వంపు తల కాకుండా దాని రోటర్ హెడ్ డిజైన్లలో స్వాష్ ప్లేట్‌ను ఉపయోగిస్తుంది. ఇది డిజైన్‌ను ఎగరడానికి మరింత సున్నితంగా చేస్తుంది మరియు ప్రత్యేక"&amp;" రకం శిక్షణ అవసరం. [1] టాక్ నుండి డేటా [1] సాధారణ లక్షణాల పనితీరు")</f>
        <v>ట్రిక్సీ ట్రిక్స్‌ఫార్మర్ అనేది ఆస్ట్రియన్ రోడబుల్ ఎయిర్‌క్రాఫ్ట్ ఆటోజీరో/ఎలక్ట్రిక్ మోటార్‌సైకిల్, ఇది 2014 లో ప్రవేశపెట్టిన డోర్న్‌బిర్న్ యొక్క ట్రిక్సీ ఏవియేషన్ ఉత్పత్తులచే రూపొందించబడింది మరియు ఉత్పత్తి చేయబడింది. వాహనం పూర్తి మరియు రెడీ-ఫ్లై సరఫరా చేయబడుతుంది. [1] ట్రిక్స్ఫార్మర్ రెండు చక్రాల ఎలక్ట్రిక్ మోటారుసైకిల్ చట్రం మీద ల్యాండ్ వెహికల్ మీద ఆధారపడి ఉంటుంది మరియు మాడ్యులర్ ఫ్లయింగ్ భాగాలను జోడించడానికి రూపొందించబడింది. ప్లగ్-ఇన్ గైరో మాడ్యూల్‌తో దీనిని అమర్చవచ్చు మరియు ఆటోజీరోగా ఎగురవేయవచ్చు. హెలికాప్టర్ లేదా స్థిర వింగ్ ఎయిర్క్రాఫ్ట్ మాడ్యూల్స్ 2015 లో అభివృద్ధిలో ఉన్నాయి. [1] ఆటోజొరోగా, ట్రిక్స్‌ఫార్మర్‌లో ఒకే మెయిన్ రోటర్, విండ్‌షీల్డ్‌తో రెండు-సీట్ల టెన్డం ఓపెన్ కాక్‌పిట్, ట్రైసైకిల్ ల్యాండింగ్ గేర్‌తో పాటు తోక క్యాస్టర్ మరియు నాలుగు సిలిండర్, ద్రవ మరియు ఎయిర్-కూల్డ్, నాలుగు స్ట్రోక్ 130 హెచ్‌పి (నాలుగు స్ట్రోక్ 130 హెచ్‌పి ఉన్నాయి ( 97 kW) పషర్ కాన్ఫిగరేషన్‌లో ట్రిక్సీ 912 టి ఇంజిన్. [1] విమానం ఫ్యూజ్‌లేజ్ మెటల్ గొట్టాలు మరియు మిశ్రమాల నుండి తయారవుతుంది. దీని రెండు-బ్లేడెడ్ రోటర్ 8.6 మీ (28.2 అడుగులు) వ్యాసం కలిగి ఉంది. ఈ విమానం 350 కిలోల (772 ఎల్బి) యొక్క సాధారణ ఖాళీ బరువు మరియు 560 కిలోల (1,235 ఎల్బి) స్థూల బరువును కలిగి ఉంది, ఇది 210 కిలోల (463 పౌండ్లు) ఉపయోగకరమైన లోడ్ ఇస్తుంది. 80 లీటర్ల పూర్తి ఇంధనంతో (18 ఇంప్ గల్; 21 యుఎస్ గాల్) పైలట్, ప్రయాణీకుడు మరియు సామాను 153 కిలోలు (337 ఎల్బి). [1] అనేక ఇతర ఆటోజీరో బిల్డర్ల మాదిరిగా కాకుండా, ట్రిక్సీ ఏవియేషన్ వంపు తల కాకుండా దాని రోటర్ హెడ్ డిజైన్లలో స్వాష్ ప్లేట్‌ను ఉపయోగిస్తుంది. ఇది డిజైన్‌ను ఎగరడానికి మరింత సున్నితంగా చేస్తుంది మరియు ప్రత్యేక రకం శిక్షణ అవసరం. [1] టాక్ నుండి డేటా [1] సాధారణ లక్షణాల పనితీరు</v>
      </c>
      <c r="E144" s="1" t="s">
        <v>1916</v>
      </c>
      <c r="F144" s="1" t="str">
        <f>IFERROR(__xludf.DUMMYFUNCTION("GOOGLETRANSLATE(E:E, ""en"", ""te"")"),"ఆటోజీరో")</f>
        <v>ఆటోజీరో</v>
      </c>
      <c r="G144" s="3" t="s">
        <v>1917</v>
      </c>
      <c r="H144" s="1" t="s">
        <v>2111</v>
      </c>
      <c r="I144" s="1" t="str">
        <f>IFERROR(__xludf.DUMMYFUNCTION("GOOGLETRANSLATE(H:H, ""en"", ""te"")"),"ఆస్ట్రియా")</f>
        <v>ఆస్ట్రియా</v>
      </c>
      <c r="J144" s="3" t="s">
        <v>2112</v>
      </c>
      <c r="K144" s="1" t="s">
        <v>2113</v>
      </c>
      <c r="L144" s="2" t="str">
        <f>IFERROR(__xludf.DUMMYFUNCTION("GOOGLETRANSLATE(K:K, ""en"", ""te"")"),"ట్రిక్సీ ఏవియేషన్ ఉత్పత్తులు")</f>
        <v>ట్రిక్సీ ఏవియేషన్ ఉత్పత్తులు</v>
      </c>
      <c r="M144" s="1" t="s">
        <v>2114</v>
      </c>
      <c r="N144" s="1" t="s">
        <v>1922</v>
      </c>
      <c r="O144" s="1" t="str">
        <f>IFERROR(__xludf.DUMMYFUNCTION("GOOGLETRANSLATE(N:N, ""en"", ""te"")"),"ఉత్పత్తిలో (2017)")</f>
        <v>ఉత్పత్తిలో (2017)</v>
      </c>
      <c r="Q144" s="1" t="s">
        <v>162</v>
      </c>
      <c r="U144" s="1" t="s">
        <v>555</v>
      </c>
      <c r="X144" s="1" t="s">
        <v>2115</v>
      </c>
      <c r="Y144" s="1" t="s">
        <v>1925</v>
      </c>
      <c r="AD144" s="5">
        <v>41699.0</v>
      </c>
      <c r="AI144" s="1" t="s">
        <v>2116</v>
      </c>
      <c r="AJ144" s="1" t="s">
        <v>1259</v>
      </c>
      <c r="AM144" s="1" t="s">
        <v>330</v>
      </c>
      <c r="AS144" s="1" t="s">
        <v>2117</v>
      </c>
      <c r="BP144" s="1" t="s">
        <v>2118</v>
      </c>
      <c r="BW144" s="1" t="s">
        <v>2119</v>
      </c>
      <c r="BX144" s="1" t="s">
        <v>2120</v>
      </c>
      <c r="EF144" s="1" t="s">
        <v>2121</v>
      </c>
    </row>
    <row r="145">
      <c r="A145" s="1" t="s">
        <v>2122</v>
      </c>
      <c r="B145" s="1" t="str">
        <f>IFERROR(__xludf.DUMMYFUNCTION("GOOGLETRANSLATE(A:A, ""en"", ""te"")"),"మరైస్ ఏవియోనెట్")</f>
        <v>మరైస్ ఏవియోనెట్</v>
      </c>
      <c r="C145" s="1" t="s">
        <v>2123</v>
      </c>
      <c r="D145" s="1" t="str">
        <f>IFERROR(__xludf.DUMMYFUNCTION("GOOGLETRANSLATE(C:C, ""en"", ""te"")"),"మారైస్ ఏవియోనెట్ [నోట్స్ 1] ఒక వార్తాపత్రిక-ప్రాయోజిత పర్యటన పోటీలో పోటీ పడటానికి 1923 లో ఫ్రాన్స్‌లో నిర్మించిన తక్కువ శక్తితో కూడిన కాంటిలివర్ మోనోప్లేన్. ఇంజిన్ ఎంపిక సమస్యలు పాల్గొనకుండా నిరోధించాయి. ఇది తరువాత పోటీకి గ్లైడర్‌గా సవరించబడింది, కాని అర్"&amp;"హత సమయంలో క్రాష్ చేయబడింది. ముడుచుకునే అండర్ క్యారేజ్ ఉన్న మొదటి విమానంలో ఇది ఒకటి. మరైస్ ఒక మిడ్ వింగ్ కాంటిలివర్ మోనోప్లేన్, ఇది దీర్ఘచతురస్రాకార ప్రణాళిక యొక్క రెక్కతో మొద్దుబారిన చిట్కాలకు, విభాగంలో మందంగా గరిష్ట మందంతో తీగ నిష్పత్తికి 17% మరియు డైహెడ"&amp;"్రల్ లేకుండా అమర్చబడుతుంది. ఇది రెండు స్ప్రూస్ బాక్స్ స్పార్‌ల చుట్టూ నిర్మించబడింది, దాని ప్రముఖ అంచులు మరియు చిట్కాలు ప్లైవుడ్ మరియు మిగిలినవి ఫాబ్రిక్‌తో కప్పబడి ఉన్నాయి. 3 మీ (9 అడుగుల 10 అంగుళాలు) పొడవైన విశాలమైన ఐలెరాన్లు వెనుక స్పార్ మీద అమర్చబడ్డా"&amp;"యి. [1] దీని ఫ్యూజ్‌లేజ్ చాలా సరళమైనది మరియు నాలుగు లాంగన్‌లపై ఆధారపడి ఉంటుంది, విభాగంలో దీర్ఘచతురస్రాకార మరియు ప్లై-కప్పబడినది, ఫ్యూజ్‌లేజ్ మీదుగా చదరపు విభాగం నుండి తోక వద్ద క్షితిజ సమాంతర కత్తి-అంచు వరకు ప్రొఫైల్‌లో బలంగా టేప్ చేస్తుంది. ప్రణాళికలో సంబ"&amp;"ంధిత టేపర్ స్వల్పంగా ఉంది. మరైస్ మొదట్లో ఒక చిన్న అంజని 5.2–7.5 కిలోవాట్ (7–10 హెచ్‌పి) ఫ్లాట్ ట్విన్ ముక్కులో అన్‌కల్ చేయబడలేదు మరియు ఓపెన్, వైడ్ కాక్‌పిట్ రెక్క వెనుకంజలో ఉన్న అంచు కంటే ముందు ఉంది. దీని అధిక కారక నిష్పత్తి, దీర్ఘచతురస్రాకార ప్రణాళిక టెయ"&amp;"ిల్‌ప్లేన్ ఫ్యూజ్‌లేజ్ పైభాగంలో కత్తి-అంచుపై దాని దీర్ఘచతురస్రాకార ఎలివేటర్ల కీలు రేఖతో అమర్చబడింది. రోంబోడెడ్రల్ చుక్కాని కదలిక కోసం ఎలివేటర్లు కటౌట్ కలిగి ఉన్నాయి. స్థిర ఫిన్ లేదు. [1] మరైస్ ముడుచుకునే ల్యాండింగ్ గేర్‌ను కలిగి ఉంది, దాని రోజులో ఏదైనా వి"&amp;"మానానికి చాలా అసాధారణమైనది కాని ముఖ్యంగా లైట్‌ప్లేన్ కోసం; స్థిరమైన అండర్ క్యారేజ్ యొక్క లాగడం చాలా తక్కువ శక్తితో కూడిన విమానం యొక్క పనితీరుకు హానికరమని మరైస్ తెలుసు. ప్రతి మెయిన్‌వీల్‌ను ఒకే డ్యూరాలిమిన్ బాక్స్-ట్యూబ్ లెగ్‌పై అమర్చారు, ఇది రెండు డ్యూరల్"&amp;" బలోపేతం చేసే పలకలపై ఫ్యూజ్‌లేజ్ లోపల స్థిరపడిన మరొక బాక్స్-ట్యూబ్ లోపల రోలర్లపై జారిపోయింది. క్రాంక్-నడిచే గొలుసు ద్వారా కాళ్ళను పైలట్ పెంచవచ్చు లేదా తగ్గించవచ్చు మరియు ఆటోమేటిక్ లాకింగ్ పరికరం గేర్‌ను పైకి లేదా క్రిందికి పరిష్కరించవచ్చు. పెరిగినప్పుడు, "&amp;"చక్రాలు పూర్తిగా ఆకారపు ఫెయిరింగ్‌ల క్రింద ఉన్నాయి. కాళ్ళకు షాక్ అబ్జార్బర్స్ లేవు; బదులుగా, పెద్ద న్యూమాటిక్ టైర్లు ల్యాండింగ్ షాక్‌లను మృదువుగా చేశాయి. [1] చార్లెస్ మరైస్ జూలై 1923 గ్రాండ్-ప్రిక్స్ డు ""పెటిట్ పారిసియన్"" లో పోటీ పడటానికి తన ఏవియోనెట్‌న"&amp;"ు రూపొందించాడు మరియు నిర్మించాడు, ఇది ఫ్రెంచ్ వార్తాపత్రిక ఆ పేరును నిర్వహించిన తక్కువ శక్తితో కూడిన విమానాల కోసం పోటీ. దాని మొదటి ఫ్లైట్ తేదీ ఖచ్చితంగా తెలియదు కాని జూన్ 1923 లో ఈ విమానం BUC వద్ద మెరుగుపరచబడింది. [2] రోజు ఆలస్యం, అంజాని ఇంజిన్ పోటీ యొక్క"&amp;" ఆల్-ఫ్రెంచ్ అవసరాన్ని తీర్చలేదని మరియు అతను అందుబాటులో ఉన్న పున ment స్థాపనతో ఫ్రెంచ్ విమాన ఇంజిన్ సరఫరాదారుని కనుగొనలేకపోయాడని మారైస్ గ్రహించాడు. [1] అతను గ్రాండ్-ప్రిక్స్లో రిజిస్టర్డ్ పోటీదారుడు మరియు ఇది ఫ్రెంచ్ మోటారు-సైకిల్ ఇంజిన్‌ను ఉపయోగించడం ప్ర"&amp;"ారంభించడానికి ముందు నివేదించబడింది, [3] కానీ ఈ కార్యక్రమంలో అతని గురించి ఇంకా ప్రస్తావించలేదు. బదులుగా, అతను విమానాన్ని గ్లైడర్‌గా సవరించాడు, ఇంజిన్‌ను తొలగించిన తర్వాత గురుత్వాకర్షణ కేంద్రాన్ని దాని సరైన స్థానానికి తిరిగి ఇవ్వడానికి పైలట్ యొక్క స్థానం యొ"&amp;"క్క కొంత సర్దుబాటుతో. ఇది ఆగస్టులో కాంగ్రేస్ డి వౌవిల్లెకు వెళ్ళింది, ఇది గ్లైడర్లు మరియు తక్కువ శక్తితో కూడిన విమానాలతో సహా పోటీ. అతని సాధారణ పైలట్, కొల్లాంగెట్స్, మరొక విమానం ఎగురుతున్నప్పుడు ప్రమాదంలో తీవ్రంగా గాయపడ్డాడు, కాబట్టి మరైస్ దానిని స్వయంగా ఎ"&amp;"గరవలసి వచ్చింది. [1] అతను 24 ఆగస్టు 1923 న, అర్హత యొక్క చివరి రోజు, కానీ వెంటనే గాలి అతనిని పట్టుకుంది మరియు గ్లైడర్ నిలిచిపోయి క్రాష్ అయ్యింది. సంతోషంగా అతను దూరంగా వెళ్ళిపోయాడు మరియు అతని విమానం చాలా ఘోరంగా దెబ్బతినలేదు కాని అది అర్హత సాధించడంలో విఫలమైం"&amp;"ది. [4] పోటీ ముగింపులో జ్యూరీ అతని ప్రయత్నాలకు రెండు ప్రత్యేక అవార్డులను అందించింది. [1] లెస్ ఐల్స్, జనవరి 1924 నుండి డేటా [1] సాధారణ లక్షణాలు")</f>
        <v>మారైస్ ఏవియోనెట్ [నోట్స్ 1] ఒక వార్తాపత్రిక-ప్రాయోజిత పర్యటన పోటీలో పోటీ పడటానికి 1923 లో ఫ్రాన్స్‌లో నిర్మించిన తక్కువ శక్తితో కూడిన కాంటిలివర్ మోనోప్లేన్. ఇంజిన్ ఎంపిక సమస్యలు పాల్గొనకుండా నిరోధించాయి. ఇది తరువాత పోటీకి గ్లైడర్‌గా సవరించబడింది, కాని అర్హత సమయంలో క్రాష్ చేయబడింది. ముడుచుకునే అండర్ క్యారేజ్ ఉన్న మొదటి విమానంలో ఇది ఒకటి. మరైస్ ఒక మిడ్ వింగ్ కాంటిలివర్ మోనోప్లేన్, ఇది దీర్ఘచతురస్రాకార ప్రణాళిక యొక్క రెక్కతో మొద్దుబారిన చిట్కాలకు, విభాగంలో మందంగా గరిష్ట మందంతో తీగ నిష్పత్తికి 17% మరియు డైహెడ్రల్ లేకుండా అమర్చబడుతుంది. ఇది రెండు స్ప్రూస్ బాక్స్ స్పార్‌ల చుట్టూ నిర్మించబడింది, దాని ప్రముఖ అంచులు మరియు చిట్కాలు ప్లైవుడ్ మరియు మిగిలినవి ఫాబ్రిక్‌తో కప్పబడి ఉన్నాయి. 3 మీ (9 అడుగుల 10 అంగుళాలు) పొడవైన విశాలమైన ఐలెరాన్లు వెనుక స్పార్ మీద అమర్చబడ్డాయి. [1] దీని ఫ్యూజ్‌లేజ్ చాలా సరళమైనది మరియు నాలుగు లాంగన్‌లపై ఆధారపడి ఉంటుంది, విభాగంలో దీర్ఘచతురస్రాకార మరియు ప్లై-కప్పబడినది, ఫ్యూజ్‌లేజ్ మీదుగా చదరపు విభాగం నుండి తోక వద్ద క్షితిజ సమాంతర కత్తి-అంచు వరకు ప్రొఫైల్‌లో బలంగా టేప్ చేస్తుంది. ప్రణాళికలో సంబంధిత టేపర్ స్వల్పంగా ఉంది. మరైస్ మొదట్లో ఒక చిన్న అంజని 5.2–7.5 కిలోవాట్ (7–10 హెచ్‌పి) ఫ్లాట్ ట్విన్ ముక్కులో అన్‌కల్ చేయబడలేదు మరియు ఓపెన్, వైడ్ కాక్‌పిట్ రెక్క వెనుకంజలో ఉన్న అంచు కంటే ముందు ఉంది. దీని అధిక కారక నిష్పత్తి, దీర్ఘచతురస్రాకార ప్రణాళిక టెయిల్‌ప్లేన్ ఫ్యూజ్‌లేజ్ పైభాగంలో కత్తి-అంచుపై దాని దీర్ఘచతురస్రాకార ఎలివేటర్ల కీలు రేఖతో అమర్చబడింది. రోంబోడెడ్రల్ చుక్కాని కదలిక కోసం ఎలివేటర్లు కటౌట్ కలిగి ఉన్నాయి. స్థిర ఫిన్ లేదు. [1] మరైస్ ముడుచుకునే ల్యాండింగ్ గేర్‌ను కలిగి ఉంది, దాని రోజులో ఏదైనా విమానానికి చాలా అసాధారణమైనది కాని ముఖ్యంగా లైట్‌ప్లేన్ కోసం; స్థిరమైన అండర్ క్యారేజ్ యొక్క లాగడం చాలా తక్కువ శక్తితో కూడిన విమానం యొక్క పనితీరుకు హానికరమని మరైస్ తెలుసు. ప్రతి మెయిన్‌వీల్‌ను ఒకే డ్యూరాలిమిన్ బాక్స్-ట్యూబ్ లెగ్‌పై అమర్చారు, ఇది రెండు డ్యూరల్ బలోపేతం చేసే పలకలపై ఫ్యూజ్‌లేజ్ లోపల స్థిరపడిన మరొక బాక్స్-ట్యూబ్ లోపల రోలర్లపై జారిపోయింది. క్రాంక్-నడిచే గొలుసు ద్వారా కాళ్ళను పైలట్ పెంచవచ్చు లేదా తగ్గించవచ్చు మరియు ఆటోమేటిక్ లాకింగ్ పరికరం గేర్‌ను పైకి లేదా క్రిందికి పరిష్కరించవచ్చు. పెరిగినప్పుడు, చక్రాలు పూర్తిగా ఆకారపు ఫెయిరింగ్‌ల క్రింద ఉన్నాయి. కాళ్ళకు షాక్ అబ్జార్బర్స్ లేవు; బదులుగా, పెద్ద న్యూమాటిక్ టైర్లు ల్యాండింగ్ షాక్‌లను మృదువుగా చేశాయి. [1] చార్లెస్ మరైస్ జూలై 1923 గ్రాండ్-ప్రిక్స్ డు "పెటిట్ పారిసియన్" లో పోటీ పడటానికి తన ఏవియోనెట్‌ను రూపొందించాడు మరియు నిర్మించాడు, ఇది ఫ్రెంచ్ వార్తాపత్రిక ఆ పేరును నిర్వహించిన తక్కువ శక్తితో కూడిన విమానాల కోసం పోటీ. దాని మొదటి ఫ్లైట్ తేదీ ఖచ్చితంగా తెలియదు కాని జూన్ 1923 లో ఈ విమానం BUC వద్ద మెరుగుపరచబడింది. [2] రోజు ఆలస్యం, అంజాని ఇంజిన్ పోటీ యొక్క ఆల్-ఫ్రెంచ్ అవసరాన్ని తీర్చలేదని మరియు అతను అందుబాటులో ఉన్న పున ment స్థాపనతో ఫ్రెంచ్ విమాన ఇంజిన్ సరఫరాదారుని కనుగొనలేకపోయాడని మారైస్ గ్రహించాడు. [1] అతను గ్రాండ్-ప్రిక్స్లో రిజిస్టర్డ్ పోటీదారుడు మరియు ఇది ఫ్రెంచ్ మోటారు-సైకిల్ ఇంజిన్‌ను ఉపయోగించడం ప్రారంభించడానికి ముందు నివేదించబడింది, [3] కానీ ఈ కార్యక్రమంలో అతని గురించి ఇంకా ప్రస్తావించలేదు. బదులుగా, అతను విమానాన్ని గ్లైడర్‌గా సవరించాడు, ఇంజిన్‌ను తొలగించిన తర్వాత గురుత్వాకర్షణ కేంద్రాన్ని దాని సరైన స్థానానికి తిరిగి ఇవ్వడానికి పైలట్ యొక్క స్థానం యొక్క కొంత సర్దుబాటుతో. ఇది ఆగస్టులో కాంగ్రేస్ డి వౌవిల్లెకు వెళ్ళింది, ఇది గ్లైడర్లు మరియు తక్కువ శక్తితో కూడిన విమానాలతో సహా పోటీ. అతని సాధారణ పైలట్, కొల్లాంగెట్స్, మరొక విమానం ఎగురుతున్నప్పుడు ప్రమాదంలో తీవ్రంగా గాయపడ్డాడు, కాబట్టి మరైస్ దానిని స్వయంగా ఎగరవలసి వచ్చింది. [1] అతను 24 ఆగస్టు 1923 న, అర్హత యొక్క చివరి రోజు, కానీ వెంటనే గాలి అతనిని పట్టుకుంది మరియు గ్లైడర్ నిలిచిపోయి క్రాష్ అయ్యింది. సంతోషంగా అతను దూరంగా వెళ్ళిపోయాడు మరియు అతని విమానం చాలా ఘోరంగా దెబ్బతినలేదు కాని అది అర్హత సాధించడంలో విఫలమైంది. [4] పోటీ ముగింపులో జ్యూరీ అతని ప్రయత్నాలకు రెండు ప్రత్యేక అవార్డులను అందించింది. [1] లెస్ ఐల్స్, జనవరి 1924 నుండి డేటా [1] సాధారణ లక్షణాలు</v>
      </c>
      <c r="E145" s="1" t="s">
        <v>1056</v>
      </c>
      <c r="F145" s="1" t="str">
        <f>IFERROR(__xludf.DUMMYFUNCTION("GOOGLETRANSLATE(E:E, ""en"", ""te"")"),"అల్ట్రాలైట్ విమానం")</f>
        <v>అల్ట్రాలైట్ విమానం</v>
      </c>
      <c r="G145" s="1" t="s">
        <v>1057</v>
      </c>
      <c r="H145" s="1" t="s">
        <v>208</v>
      </c>
      <c r="I145" s="1" t="str">
        <f>IFERROR(__xludf.DUMMYFUNCTION("GOOGLETRANSLATE(H:H, ""en"", ""te"")"),"ఫ్రాన్స్")</f>
        <v>ఫ్రాన్స్</v>
      </c>
      <c r="J145" s="3" t="s">
        <v>209</v>
      </c>
      <c r="L145" s="2"/>
      <c r="Q145" s="1" t="s">
        <v>212</v>
      </c>
      <c r="R145" s="1" t="s">
        <v>2124</v>
      </c>
      <c r="S145" s="1" t="s">
        <v>1685</v>
      </c>
      <c r="X145" s="1" t="s">
        <v>2125</v>
      </c>
      <c r="Y145" s="1" t="s">
        <v>2126</v>
      </c>
      <c r="AB145" s="1" t="s">
        <v>2127</v>
      </c>
      <c r="AD145" s="1" t="s">
        <v>2128</v>
      </c>
      <c r="AE145" s="1">
        <v>1.0</v>
      </c>
      <c r="AF145" s="1" t="s">
        <v>617</v>
      </c>
      <c r="AG145" s="1" t="s">
        <v>2129</v>
      </c>
      <c r="AI145" s="1" t="s">
        <v>2130</v>
      </c>
      <c r="AJ145" s="1" t="s">
        <v>222</v>
      </c>
    </row>
    <row r="146">
      <c r="A146" s="1" t="s">
        <v>2131</v>
      </c>
      <c r="B146" s="1" t="str">
        <f>IFERROR(__xludf.DUMMYFUNCTION("GOOGLETRANSLATE(A:A, ""en"", ""te"")"),"సెర్గాంట్ a")</f>
        <v>సెర్గాంట్ a</v>
      </c>
      <c r="C146" s="1" t="s">
        <v>2132</v>
      </c>
      <c r="D146" s="1" t="str">
        <f>IFERROR(__xludf.DUMMYFUNCTION("GOOGLETRANSLATE(C:C, ""en"", ""te"")"),"సెర్గాంట్ ఎ ఫ్రెంచ్ 4-సిలిండర్, ఎయిర్-కూల్డ్, నిటారుగా ఉన్న ఇన్లైన్ పిస్టన్ ఇంజిన్, ఇది గరిష్టంగా 7.5 kW (10 HP) ఉత్పత్తి, ఇది 1920 ల ప్రారంభంలో చాలా చిన్న మరియు తేలికపాటి సింగిల్ సీట్ స్పోర్ట్స్ విమానం యొక్క అవసరాలను తీర్చడానికి రూపొందించబడింది. దీనిని క"&amp;"నీసం పది రకాలు ఉపయోగించాయి. 1920 ల ప్రారంభంలో UK మరియు ఫ్రాన్స్ రెండింటిలోనూ, మూలధన వ్యయంలో మరియు నడుస్తున్న ఖర్చులలో పౌరుడి ఎగురుతూ మరింత సరసమైనదిగా చేయాలనే కోరిక ఉంది. ఇది తక్కువ విద్యుత్ ఇంజన్ల అవసరానికి దారితీసింది. బ్రిటన్లో బ్రిస్టల్ కెరూబ్ వంటి తగి"&amp;"న ఇంజన్లు ఉన్నాయి, కాని ఫ్రెంచ్ డిజైనర్లు ఎక్కువగా UK లేదా ఇటలీ నుండి ఇంజిన్లను దిగుమతి చేసుకోవలసి వచ్చింది. సెర్గాంట్ A స్థానిక ఉత్పత్తిని అందించడానికి ఉద్దేశించబడింది. ఇది నవంబర్ 1923 లో పారిస్ సెలూన్లో ప్రదర్శనలో ఉంది మరియు ఫ్లైట్ యొక్క రిపోర్టర్‌ను """&amp;"చాలా ఆసక్తికరంగా"" మరియు కార్-ఇంజిన్ దాని నాలుగు సిలిండర్ ఇన్లైన్ అమరికలో, కొద్దిగా భారీగా కానీ నమ్మదగినది. 3,200 ఆర్‌పిఎమ్ యొక్క అధిక గరిష్ట క్రాంక్ షాఫ్ట్ వేగం మరియు తగ్గింపు గేర్ నిష్పత్తుల ఎంపిక లభ్యతలో ఇది అసాధారణమైనది. [1] మొట్టమొదటి రన్నింగ్ తేదీ త"&amp;"ెలియదు కాని ఇది కనిపించింది, మరియు 1923 లో 1923 లో అనేక విమానాలు మరియు అనేక పోటీలలో విస్తృతంగా ఉపయోగించబడ్డాయి. లెస్ ఐల్స్, ఆగస్టు 1923 నుండి డేటా; [2] ఫ్లైట్, ఫిబ్రవరి 1924 [1 ]")</f>
        <v>సెర్గాంట్ ఎ ఫ్రెంచ్ 4-సిలిండర్, ఎయిర్-కూల్డ్, నిటారుగా ఉన్న ఇన్లైన్ పిస్టన్ ఇంజిన్, ఇది గరిష్టంగా 7.5 kW (10 HP) ఉత్పత్తి, ఇది 1920 ల ప్రారంభంలో చాలా చిన్న మరియు తేలికపాటి సింగిల్ సీట్ స్పోర్ట్స్ విమానం యొక్క అవసరాలను తీర్చడానికి రూపొందించబడింది. దీనిని కనీసం పది రకాలు ఉపయోగించాయి. 1920 ల ప్రారంభంలో UK మరియు ఫ్రాన్స్ రెండింటిలోనూ, మూలధన వ్యయంలో మరియు నడుస్తున్న ఖర్చులలో పౌరుడి ఎగురుతూ మరింత సరసమైనదిగా చేయాలనే కోరిక ఉంది. ఇది తక్కువ విద్యుత్ ఇంజన్ల అవసరానికి దారితీసింది. బ్రిటన్లో బ్రిస్టల్ కెరూబ్ వంటి తగిన ఇంజన్లు ఉన్నాయి, కాని ఫ్రెంచ్ డిజైనర్లు ఎక్కువగా UK లేదా ఇటలీ నుండి ఇంజిన్లను దిగుమతి చేసుకోవలసి వచ్చింది. సెర్గాంట్ A స్థానిక ఉత్పత్తిని అందించడానికి ఉద్దేశించబడింది. ఇది నవంబర్ 1923 లో పారిస్ సెలూన్లో ప్రదర్శనలో ఉంది మరియు ఫ్లైట్ యొక్క రిపోర్టర్‌ను "చాలా ఆసక్తికరంగా" మరియు కార్-ఇంజిన్ దాని నాలుగు సిలిండర్ ఇన్లైన్ అమరికలో, కొద్దిగా భారీగా కానీ నమ్మదగినది. 3,200 ఆర్‌పిఎమ్ యొక్క అధిక గరిష్ట క్రాంక్ షాఫ్ట్ వేగం మరియు తగ్గింపు గేర్ నిష్పత్తుల ఎంపిక లభ్యతలో ఇది అసాధారణమైనది. [1] మొట్టమొదటి రన్నింగ్ తేదీ తెలియదు కాని ఇది కనిపించింది, మరియు 1923 లో 1923 లో అనేక విమానాలు మరియు అనేక పోటీలలో విస్తృతంగా ఉపయోగించబడ్డాయి. లెస్ ఐల్స్, ఆగస్టు 1923 నుండి డేటా; [2] ఫ్లైట్, ఫిబ్రవరి 1924 [1 ]</v>
      </c>
      <c r="H146" s="1" t="s">
        <v>208</v>
      </c>
      <c r="I146" s="1" t="str">
        <f>IFERROR(__xludf.DUMMYFUNCTION("GOOGLETRANSLATE(H:H, ""en"", ""te"")"),"ఫ్రాన్స్")</f>
        <v>ఫ్రాన్స్</v>
      </c>
      <c r="J146" s="3" t="s">
        <v>209</v>
      </c>
      <c r="K146" s="1" t="s">
        <v>2133</v>
      </c>
      <c r="L146" s="2" t="str">
        <f>IFERROR(__xludf.DUMMYFUNCTION("GOOGLETRANSLATE(K:K, ""en"", ""te"")"),"సెర్గాంట్")</f>
        <v>సెర్గాంట్</v>
      </c>
      <c r="AF146" s="1" t="s">
        <v>2134</v>
      </c>
      <c r="AG146" s="1" t="s">
        <v>2135</v>
      </c>
      <c r="AZ146" s="1" t="s">
        <v>2136</v>
      </c>
      <c r="BA146" s="1" t="s">
        <v>2137</v>
      </c>
      <c r="CI146" s="1" t="s">
        <v>2138</v>
      </c>
      <c r="CJ146" s="1" t="s">
        <v>2139</v>
      </c>
      <c r="CK146" s="1" t="s">
        <v>2140</v>
      </c>
      <c r="CM146" s="1" t="s">
        <v>2141</v>
      </c>
      <c r="CN146" s="1" t="s">
        <v>2142</v>
      </c>
      <c r="CO146" s="1" t="s">
        <v>2143</v>
      </c>
      <c r="CP146" s="1" t="s">
        <v>2144</v>
      </c>
      <c r="CQ146" s="1" t="s">
        <v>2145</v>
      </c>
      <c r="CR146" s="1" t="s">
        <v>2146</v>
      </c>
      <c r="EK146" s="1" t="s">
        <v>2133</v>
      </c>
      <c r="EL146" s="1" t="s">
        <v>2147</v>
      </c>
      <c r="EM146" s="1" t="s">
        <v>2148</v>
      </c>
      <c r="EN146" s="1" t="s">
        <v>2149</v>
      </c>
      <c r="EO146" s="1" t="s">
        <v>2150</v>
      </c>
      <c r="EP146" s="1" t="s">
        <v>2151</v>
      </c>
    </row>
    <row r="147">
      <c r="A147" s="1" t="s">
        <v>2152</v>
      </c>
      <c r="B147" s="1" t="str">
        <f>IFERROR(__xludf.DUMMYFUNCTION("GOOGLETRANSLATE(A:A, ""en"", ""te"")"),"సికోర్స్కీ ఎస్ -4")</f>
        <v>సికోర్స్కీ ఎస్ -4</v>
      </c>
      <c r="C147" s="1" t="s">
        <v>2153</v>
      </c>
      <c r="D147" s="1" t="str">
        <f>IFERROR(__xludf.DUMMYFUNCTION("GOOGLETRANSLATE(C:C, ""en"", ""te"")"),"సికోర్స్కీ ఎస్ -4 అనేది ఇగోర్ సికోర్స్కీ చేత నిర్మించిన రష్యన్ విమానం, ఇది ఎస్ -3 లోని అనేక భాగాలను ఉపయోగించి 40 హెచ్‌పి (30 కిలోవాట్) అంజాని త్రీ-సిలిండర్ల ఇంజిన్‌తో సహా. బిప్‌లేన్ నిర్మాణం డిసెంబర్ 1910 చివరలో ప్రారంభమైంది మరియు 1911 వసంతకాలంలోనే పూర్తయ"&amp;"ింది. ఈ యంత్రం 1911 వసంత ఖార్కోవ్‌లో జరిగిన ఏరోనాటికల్ ప్రదర్శనలో స్టాటిక్ ప్రదర్శనలో కనిపించింది, కానీ ఎప్పుడూ ఎగరలేదు. కొంత సమయం తరువాత అది విడదీయబడింది. [1] [2] రష్యన్ ఏవియేషన్ మ్యూజియం నుండి డేటా [3] సాధారణ లక్షణాల పనితీరు")</f>
        <v>సికోర్స్కీ ఎస్ -4 అనేది ఇగోర్ సికోర్స్కీ చేత నిర్మించిన రష్యన్ విమానం, ఇది ఎస్ -3 లోని అనేక భాగాలను ఉపయోగించి 40 హెచ్‌పి (30 కిలోవాట్) అంజాని త్రీ-సిలిండర్ల ఇంజిన్‌తో సహా. బిప్‌లేన్ నిర్మాణం డిసెంబర్ 1910 చివరలో ప్రారంభమైంది మరియు 1911 వసంతకాలంలోనే పూర్తయింది. ఈ యంత్రం 1911 వసంత ఖార్కోవ్‌లో జరిగిన ఏరోనాటికల్ ప్రదర్శనలో స్టాటిక్ ప్రదర్శనలో కనిపించింది, కానీ ఎప్పుడూ ఎగరలేదు. కొంత సమయం తరువాత అది విడదీయబడింది. [1] [2] రష్యన్ ఏవియేషన్ మ్యూజియం నుండి డేటా [3] సాధారణ లక్షణాల పనితీరు</v>
      </c>
      <c r="E147" s="1" t="s">
        <v>502</v>
      </c>
      <c r="F147" s="1" t="str">
        <f>IFERROR(__xludf.DUMMYFUNCTION("GOOGLETRANSLATE(E:E, ""en"", ""te"")"),"ప్రయోగాత్మక")</f>
        <v>ప్రయోగాత్మక</v>
      </c>
      <c r="H147" s="1" t="s">
        <v>376</v>
      </c>
      <c r="I147" s="1" t="str">
        <f>IFERROR(__xludf.DUMMYFUNCTION("GOOGLETRANSLATE(H:H, ""en"", ""te"")"),"రష్యన్ సామ్రాజ్యం")</f>
        <v>రష్యన్ సామ్రాజ్యం</v>
      </c>
      <c r="J147" s="1" t="s">
        <v>377</v>
      </c>
      <c r="L147" s="2"/>
      <c r="N147" s="1" t="s">
        <v>2154</v>
      </c>
      <c r="O147" s="1" t="str">
        <f>IFERROR(__xludf.DUMMYFUNCTION("GOOGLETRANSLATE(N:N, ""en"", ""te"")"),"విడదీయబడింది")</f>
        <v>విడదీయబడింది</v>
      </c>
      <c r="Q147" s="1" t="s">
        <v>212</v>
      </c>
      <c r="S147" s="1" t="s">
        <v>2155</v>
      </c>
      <c r="X147" s="1" t="s">
        <v>506</v>
      </c>
      <c r="Y147" s="1" t="s">
        <v>2156</v>
      </c>
      <c r="AB147" s="1" t="s">
        <v>382</v>
      </c>
      <c r="AC147" s="1">
        <v>1911.0</v>
      </c>
      <c r="AE147" s="1">
        <v>1.0</v>
      </c>
      <c r="AF147" s="1" t="s">
        <v>387</v>
      </c>
      <c r="AI147" s="1" t="s">
        <v>2157</v>
      </c>
      <c r="AL147" s="1" t="s">
        <v>2158</v>
      </c>
      <c r="AN147" s="1" t="s">
        <v>2159</v>
      </c>
      <c r="BO147" s="1" t="s">
        <v>512</v>
      </c>
      <c r="BR147" s="1" t="s">
        <v>513</v>
      </c>
      <c r="BS147" s="1" t="s">
        <v>511</v>
      </c>
    </row>
    <row r="148">
      <c r="A148" s="1" t="s">
        <v>2160</v>
      </c>
      <c r="B148" s="1" t="str">
        <f>IFERROR(__xludf.DUMMYFUNCTION("GOOGLETRANSLATE(A:A, ""en"", ""te"")"),"కాస్పర్ సి 17")</f>
        <v>కాస్పర్ సి 17</v>
      </c>
      <c r="C148" s="1" t="s">
        <v>2161</v>
      </c>
      <c r="D148" s="1" t="str">
        <f>IFERROR(__xludf.DUMMYFUNCTION("GOOGLETRANSLATE(C:C, ""en"", ""te"")"),"కాస్పర్ సి 17 1920 ల మధ్యలో జర్మన్, తక్కువ శక్తి, రెండు సీట్ల అల్ట్రాలైట్ విమానాలు అసాధారణంగా అధిక కారక నిష్పత్తి యొక్క కాంటిలివర్ వింగ్, మితమైన గస్ట్ ఎఫెక్ట్‌లకు ఫ్యూజ్‌లేజ్‌కు సరళంగా జతచేయబడతాయి. సి 17 యొక్క డిజైనర్ అయిన ఎర్నెస్ట్ రిట్టర్ వాన్ లోసెల్ యొ"&amp;"క్క ప్రధాన లక్ష్యం, టూరింగ్, స్పోర్ట్స్ లేదా ట్రైనింగ్ విమానాగా ఉపయోగపడేంత శక్తితో తేలికపాటి రెండు సీట్ల ఉత్పత్తిని ఉత్పత్తి చేస్తుంది. ఇంధన ఆర్థిక వ్యవస్థ దాని శుభ్రమైన, తక్కువ వింగ్, కాంటిలివర్ మోనోప్లేన్ లేఅవుట్ ద్వారా మరింత మెరుగుపరచబడింది. [1] ప్రతి "&amp;"వింగ్ స్థిరమైన తీగ మరియు స్థిరమైన, మందపాటి విభాగంతో అంతర్గత భాగాన్ని కలిగి ఉంటుంది. ఐలెరాన్లను తీసుకువెళ్ళిన బయటి ప్యానెల్లు ప్రణాళికలో కొద్దిగా దెబ్బతిన్నాయి మరియు కోణీయ చిట్కాలకు గట్టిగా సన్నగా ఉన్నాయి. 9.2 యొక్క కారక నిష్పత్తి ఆ సమయంలో ఎక్కువగా ఉంది, ["&amp;"1] తక్కువ వేగం ప్రేరేపిత డ్రాగ్‌ను తగ్గిస్తుంది. [2] ప్రతి ఒక్కటి రెండు బాక్స్ సెక్షన్ స్పార్స్ చుట్టూ నిర్మించబడింది, ఉక్కు గొట్టాలు మరియు ప్లైవుడ్-స్కిన్డ్లతో రేఖాంశంగా క్రాస్-బ్రెడ్ చేయబడింది. చాలా అసాధారణమైన లక్షణం ఏమిటంటే, వింగ్ రూట్ మౌంటు దాడి కోణం "&amp;"యొక్క వసంత-పున estion త్వం ఉన్న వైవిధ్యాలను అనుమతించింది. రెక్కలు ఫార్వర్డ్ స్పార్ వెనుక ఒక క్షితిజ సమాంతర, స్పాన్ వారీగా ఉన్న అక్షం చుట్టూ, వెనుక స్పార్ వద్ద స్ప్రింగ్-లోడెడ్ బోల్ట్‌తో పైవట్ చేయగలవు. [1] [3] [4] ఇది తేలికపాటి సి 17 ను గస్ట్‌లకు తక్కువ సు"&amp;"న్నితంగా మార్చడానికి ఉద్దేశించబడింది మరియు నోల్లర్-బెట్జ్ [5] ప్రభావాన్ని దోపిడీ చేయడానికి కూడా ఉద్దేశించబడింది, దీని ద్వారా కొంత గస్ట్ ఎనర్జీని థ్రస్ట్ గా మార్చారు మరియు పడిపోతున్న రెక్క ద్వారా ఎత్తండి. వాన్ లోస్సెల్ ఇంతకుముందు ఈ ప్రభావాన్ని ఉపయోగించడాని"&amp;"కి సౌకర్యవంతమైన రెక్కలను కలుపుకొని గ్లైడర్‌ను రూపొందించాడు, కాని సి 17 ట్రిమ్‌ను నిర్వహించడానికి ఎలివేటర్-వింగ్ క్రాస్-కనెక్షన్‌తో ఈ ఆలోచనను అభివృద్ధి చేసింది. [1] ఫ్యూజ్‌లేజ్ స్టీల్ ట్యూబ్, దీర్ఘచతురస్రాకార విభాగం లోపలి నిర్మాణం, ప్లైవుడ్ చేత స్ట్రింగర్‌"&amp;"లకు కట్టుబడి ఉంది. దాని ABC స్కార్పియన్ ఫ్లాట్ ట్విన్, దాని సిలిండర్ తలలతో శీతలీకరణ కోసం బహిర్గతమవుతుంది, గరిష్టంగా 22 కిలోవాట్ల (30 హెచ్‌పి) 3,200 ఆర్‌పిఎమ్ వద్ద ఉత్పత్తి చేసింది. ఇంజిన్ వెనుక రెండు కాక్‌పిట్‌లు ఉన్నాయి, ఒకటి వింగ్ లీడింగ్ ఎడ్జ్ దగ్గర మర"&amp;"ియు మరొకటి వెనుకంజలో ఉన్న అంచు యొక్క వెనుక. సామ్రాజ్యం అసాధారణమైనది, ఎందుకంటే క్షితిజ సమాంతర మరియు నిలువు ఉపరితలాలు అన్నింటినీ కదిలేవి. రెండూ ప్రణాళికలో బహుభుజి, మిడ్-ఫ్యూజ్‌లేజ్ ఎత్తులో ఎలివేటర్ అమర్చబడి, చుక్కాని పొడవైన మరియు దాని పైన ఇరుకైనది. [1] సి 1"&amp;"7 లో మెయిన్‌వీల్స్ 1.0 మీ (3 అడుగుల 3 అంగుళాలు) తో ఒక స్థిర, తోక అండర్ క్యారేజీని కలిగి ఉంది. ఇరుసును బయటి, ఫ్యూజ్‌లేజ్ ఫ్రేమ్ యొక్క దిగువ గొట్టాల నుండి V- స్ట్రట్‌లపై అమర్చారు, ఒకటి దాని కేంద్రానికి అడ్డంగా మరియు దాని చివరలకు రెండు రేఖాంశ జతలు. [3] సి 17"&amp;" యొక్క మొదటి ఫ్లైట్ యొక్క ఖచ్చితమైన తేదీ తెలియదు కాని నవంబర్ 1924 లో ఈ విమానం ""కొంతకాలం క్రితం"" పూర్తయిందని మరియు అది ""దాని చిన్న బ్రిటిష్ ఇంజిన్‌తో బాగా ఎగిరింది"" అని నివేదించబడింది. స్థాయి విమానాన్ని 2,200 ఆర్‌పిఎమ్ ఇంజిన్ వేగంతో నిర్వహించవచ్చు, ఇది"&amp;" 12 కిలోవాట్ (16 హెచ్‌పి) ను ఉత్పత్తి చేసింది. [1] అయినప్పటికీ, దాని గురించి కొంచెం ఎక్కువ వినబడింది మరియు 1925 రౌండ్-జర్మనీ విమానంలో పాల్గొన్న అనేక కాస్పర్ విమానాలలో ఇది ఒకటి కాదు. [6] లెస్ ఐల్స్, జనవరి 1925 నుండి డేటా [3] సాధారణ లక్షణాల పనితీరు")</f>
        <v>కాస్పర్ సి 17 1920 ల మధ్యలో జర్మన్, తక్కువ శక్తి, రెండు సీట్ల అల్ట్రాలైట్ విమానాలు అసాధారణంగా అధిక కారక నిష్పత్తి యొక్క కాంటిలివర్ వింగ్, మితమైన గస్ట్ ఎఫెక్ట్‌లకు ఫ్యూజ్‌లేజ్‌కు సరళంగా జతచేయబడతాయి. సి 17 యొక్క డిజైనర్ అయిన ఎర్నెస్ట్ రిట్టర్ వాన్ లోసెల్ యొక్క ప్రధాన లక్ష్యం, టూరింగ్, స్పోర్ట్స్ లేదా ట్రైనింగ్ విమానాగా ఉపయోగపడేంత శక్తితో తేలికపాటి రెండు సీట్ల ఉత్పత్తిని ఉత్పత్తి చేస్తుంది. ఇంధన ఆర్థిక వ్యవస్థ దాని శుభ్రమైన, తక్కువ వింగ్, కాంటిలివర్ మోనోప్లేన్ లేఅవుట్ ద్వారా మరింత మెరుగుపరచబడింది. [1] ప్రతి వింగ్ స్థిరమైన తీగ మరియు స్థిరమైన, మందపాటి విభాగంతో అంతర్గత భాగాన్ని కలిగి ఉంటుంది. ఐలెరాన్లను తీసుకువెళ్ళిన బయటి ప్యానెల్లు ప్రణాళికలో కొద్దిగా దెబ్బతిన్నాయి మరియు కోణీయ చిట్కాలకు గట్టిగా సన్నగా ఉన్నాయి. 9.2 యొక్క కారక నిష్పత్తి ఆ సమయంలో ఎక్కువగా ఉంది, [1] తక్కువ వేగం ప్రేరేపిత డ్రాగ్‌ను తగ్గిస్తుంది. [2] ప్రతి ఒక్కటి రెండు బాక్స్ సెక్షన్ స్పార్స్ చుట్టూ నిర్మించబడింది, ఉక్కు గొట్టాలు మరియు ప్లైవుడ్-స్కిన్డ్లతో రేఖాంశంగా క్రాస్-బ్రెడ్ చేయబడింది. చాలా అసాధారణమైన లక్షణం ఏమిటంటే, వింగ్ రూట్ మౌంటు దాడి కోణం యొక్క వసంత-పున estion త్వం ఉన్న వైవిధ్యాలను అనుమతించింది. రెక్కలు ఫార్వర్డ్ స్పార్ వెనుక ఒక క్షితిజ సమాంతర, స్పాన్ వారీగా ఉన్న అక్షం చుట్టూ, వెనుక స్పార్ వద్ద స్ప్రింగ్-లోడెడ్ బోల్ట్‌తో పైవట్ చేయగలవు. [1] [3] [4] ఇది తేలికపాటి సి 17 ను గస్ట్‌లకు తక్కువ సున్నితంగా మార్చడానికి ఉద్దేశించబడింది మరియు నోల్లర్-బెట్జ్ [5] ప్రభావాన్ని దోపిడీ చేయడానికి కూడా ఉద్దేశించబడింది, దీని ద్వారా కొంత గస్ట్ ఎనర్జీని థ్రస్ట్ గా మార్చారు మరియు పడిపోతున్న రెక్క ద్వారా ఎత్తండి. వాన్ లోస్సెల్ ఇంతకుముందు ఈ ప్రభావాన్ని ఉపయోగించడానికి సౌకర్యవంతమైన రెక్కలను కలుపుకొని గ్లైడర్‌ను రూపొందించాడు, కాని సి 17 ట్రిమ్‌ను నిర్వహించడానికి ఎలివేటర్-వింగ్ క్రాస్-కనెక్షన్‌తో ఈ ఆలోచనను అభివృద్ధి చేసింది. [1] ఫ్యూజ్‌లేజ్ స్టీల్ ట్యూబ్, దీర్ఘచతురస్రాకార విభాగం లోపలి నిర్మాణం, ప్లైవుడ్ చేత స్ట్రింగర్‌లకు కట్టుబడి ఉంది. దాని ABC స్కార్పియన్ ఫ్లాట్ ట్విన్, దాని సిలిండర్ తలలతో శీతలీకరణ కోసం బహిర్గతమవుతుంది, గరిష్టంగా 22 కిలోవాట్ల (30 హెచ్‌పి) 3,200 ఆర్‌పిఎమ్ వద్ద ఉత్పత్తి చేసింది. ఇంజిన్ వెనుక రెండు కాక్‌పిట్‌లు ఉన్నాయి, ఒకటి వింగ్ లీడింగ్ ఎడ్జ్ దగ్గర మరియు మరొకటి వెనుకంజలో ఉన్న అంచు యొక్క వెనుక. సామ్రాజ్యం అసాధారణమైనది, ఎందుకంటే క్షితిజ సమాంతర మరియు నిలువు ఉపరితలాలు అన్నింటినీ కదిలేవి. రెండూ ప్రణాళికలో బహుభుజి, మిడ్-ఫ్యూజ్‌లేజ్ ఎత్తులో ఎలివేటర్ అమర్చబడి, చుక్కాని పొడవైన మరియు దాని పైన ఇరుకైనది. [1] సి 17 లో మెయిన్‌వీల్స్ 1.0 మీ (3 అడుగుల 3 అంగుళాలు) తో ఒక స్థిర, తోక అండర్ క్యారేజీని కలిగి ఉంది. ఇరుసును బయటి, ఫ్యూజ్‌లేజ్ ఫ్రేమ్ యొక్క దిగువ గొట్టాల నుండి V- స్ట్రట్‌లపై అమర్చారు, ఒకటి దాని కేంద్రానికి అడ్డంగా మరియు దాని చివరలకు రెండు రేఖాంశ జతలు. [3] సి 17 యొక్క మొదటి ఫ్లైట్ యొక్క ఖచ్చితమైన తేదీ తెలియదు కాని నవంబర్ 1924 లో ఈ విమానం "కొంతకాలం క్రితం" పూర్తయిందని మరియు అది "దాని చిన్న బ్రిటిష్ ఇంజిన్‌తో బాగా ఎగిరింది" అని నివేదించబడింది. స్థాయి విమానాన్ని 2,200 ఆర్‌పిఎమ్ ఇంజిన్ వేగంతో నిర్వహించవచ్చు, ఇది 12 కిలోవాట్ (16 హెచ్‌పి) ను ఉత్పత్తి చేసింది. [1] అయినప్పటికీ, దాని గురించి కొంచెం ఎక్కువ వినబడింది మరియు 1925 రౌండ్-జర్మనీ విమానంలో పాల్గొన్న అనేక కాస్పర్ విమానాలలో ఇది ఒకటి కాదు. [6] లెస్ ఐల్స్, జనవరి 1925 నుండి డేటా [3] సాధారణ లక్షణాల పనితీరు</v>
      </c>
      <c r="E148" s="1" t="s">
        <v>1220</v>
      </c>
      <c r="F148" s="1" t="str">
        <f>IFERROR(__xludf.DUMMYFUNCTION("GOOGLETRANSLATE(E:E, ""en"", ""te"")"),"రెండు సీటు అల్ట్రాలైట్")</f>
        <v>రెండు సీటు అల్ట్రాలైట్</v>
      </c>
      <c r="G148" s="1" t="s">
        <v>1221</v>
      </c>
      <c r="H148" s="1" t="s">
        <v>1484</v>
      </c>
      <c r="I148" s="1" t="str">
        <f>IFERROR(__xludf.DUMMYFUNCTION("GOOGLETRANSLATE(H:H, ""en"", ""te"")"),"జర్మనీ")</f>
        <v>జర్మనీ</v>
      </c>
      <c r="J148" s="3" t="s">
        <v>1485</v>
      </c>
      <c r="K148" s="1" t="s">
        <v>2162</v>
      </c>
      <c r="L148" s="2" t="str">
        <f>IFERROR(__xludf.DUMMYFUNCTION("GOOGLETRANSLATE(K:K, ""en"", ""te"")"),"కాస్పర్-ట్రావెర్మోండే ఫ్లూగ్జ్యూగెర్కే")</f>
        <v>కాస్పర్-ట్రావెర్మోండే ఫ్లూగ్జ్యూగెర్కే</v>
      </c>
      <c r="Q148" s="1" t="s">
        <v>230</v>
      </c>
      <c r="R148" s="1" t="s">
        <v>2038</v>
      </c>
      <c r="S148" s="1" t="s">
        <v>2163</v>
      </c>
      <c r="T148" s="1">
        <v>9.2</v>
      </c>
      <c r="U148" s="1" t="s">
        <v>2164</v>
      </c>
      <c r="X148" s="1" t="s">
        <v>2165</v>
      </c>
      <c r="Y148" s="1" t="s">
        <v>2166</v>
      </c>
      <c r="AB148" s="1" t="s">
        <v>2167</v>
      </c>
      <c r="AD148" s="1">
        <v>1924.0</v>
      </c>
      <c r="AF148" s="1" t="s">
        <v>2168</v>
      </c>
      <c r="AG148" s="1" t="s">
        <v>2169</v>
      </c>
      <c r="AH148" s="1" t="s">
        <v>2170</v>
      </c>
      <c r="AI148" s="1" t="s">
        <v>2171</v>
      </c>
      <c r="AJ148" s="1" t="s">
        <v>2172</v>
      </c>
      <c r="AK148" s="1" t="s">
        <v>2047</v>
      </c>
      <c r="AL148" s="1" t="s">
        <v>2173</v>
      </c>
      <c r="AP148" s="1" t="s">
        <v>2174</v>
      </c>
      <c r="AQ148" s="1" t="s">
        <v>886</v>
      </c>
      <c r="BK148" s="1" t="s">
        <v>2175</v>
      </c>
      <c r="BQ148" s="1" t="s">
        <v>2176</v>
      </c>
      <c r="EH148" s="1" t="s">
        <v>2177</v>
      </c>
    </row>
    <row r="149">
      <c r="A149" s="1" t="s">
        <v>2178</v>
      </c>
      <c r="B149" s="1" t="str">
        <f>IFERROR(__xludf.DUMMYFUNCTION("GOOGLETRANSLATE(A:A, ""en"", ""te"")"),"డైనోరో R180")</f>
        <v>డైనోరో R180</v>
      </c>
      <c r="C149" s="1" t="s">
        <v>2179</v>
      </c>
      <c r="D149" s="1" t="str">
        <f>IFERROR(__xludf.DUMMYFUNCTION("GOOGLETRANSLATE(C:C, ""en"", ""te"")"),"డైనోరో R180 అనేది ఫ్రాన్స్ te త్సాహిక-నిర్మిత విమానం, దీనిని డారోయిస్ యొక్క డైనోరో రూపొందించారు మరియు ఉత్పత్తి చేసింది. ఇది అందుబాటులో ఉన్నప్పుడు విమానం ప్రణాళికలుగా మరియు te త్సాహిక నిర్మాణానికి కిట్‌గా సరఫరా చేయబడింది. [1] మార్చి 2017 నాటికి డిజైన్ ఇకపై"&amp;" కంపెనీ అందుబాటులో ఉన్న విధంగా ప్రచారం చేయబడదు. [2] R180 పోటీ ఏరోబాటిక్స్ కోసం మరియు సైనిక శిక్షకుడిగా కూడా రూపొందించబడింది. ఇది కాంటిలివర్ లో-వింగ్, తక్కువ-మౌంటెడ్ టెయిల్‌ప్లేన్, బబుల్ పందిరి కింద రెండు-సైడ్-ఇన్-సైడ్-సైడ్ కాన్ఫిగరేషన్ పరివేష్టిత కాక్‌పిట"&amp;"్, వీల్ ప్యాంటుతో స్థిర సాంప్రదాయ ల్యాండింగ్ గేర్ మరియు ట్రాక్టర్ కాన్ఫిగరేషన్‌లో ఒకే ఇంజిన్ ఉన్నాయి. ట్రైసైకిల్ ల్యాండింగ్ గేర్ వెర్షన్ కూడా రూపొందించబడింది. [1] ఈ విమానం కలప మరియు కార్బన్ ఫైబర్ నుండి తయారు చేయబడింది. దాని 8.72 మీ (28.6 అడుగులు) స్పాన్ వ"&amp;"ింగ్ 8.31 మీ 2 (89.4 చదరపు అడుగులు) విస్తీర్ణంలో ఉంది, పూర్తి-స్పాన్ ఐలెరాన్లను మౌంట్ చేస్తుంది మరియు ఫ్లాప్స్ మరియు వింగ్లెట్స్ లేదు. పేర్కొన్న ప్రామాణిక ఇంజిన్ 180 HP (134 kW) లైమింగ్ O-360 ఫోర్-స్ట్రోక్ ఎయిర్క్రాఫ్ట్ ఇంజిన్. [1] సమీక్షకులు రాయ్ బీస్వెం"&amp;"జర్ మరియు మారినో బోరిక్ 2015 సమీక్షలో ఈ డిజైన్‌ను మడ్రీ క్యాప్ 10 కన్నా మెరుగైన నియంత్రణ సామరస్యాన్ని కలిగి ఉన్నారని అభివర్ణించారు. [1] టాక్ నుండి డేటా [1] సాధారణ లక్షణాల పనితీరు")</f>
        <v>డైనోరో R180 అనేది ఫ్రాన్స్ te త్సాహిక-నిర్మిత విమానం, దీనిని డారోయిస్ యొక్క డైనోరో రూపొందించారు మరియు ఉత్పత్తి చేసింది. ఇది అందుబాటులో ఉన్నప్పుడు విమానం ప్రణాళికలుగా మరియు te త్సాహిక నిర్మాణానికి కిట్‌గా సరఫరా చేయబడింది. [1] మార్చి 2017 నాటికి డిజైన్ ఇకపై కంపెనీ అందుబాటులో ఉన్న విధంగా ప్రచారం చేయబడదు. [2] R180 పోటీ ఏరోబాటిక్స్ కోసం మరియు సైనిక శిక్షకుడిగా కూడా రూపొందించబడింది. ఇది కాంటిలివర్ లో-వింగ్, తక్కువ-మౌంటెడ్ టెయిల్‌ప్లేన్, బబుల్ పందిరి కింద రెండు-సైడ్-ఇన్-సైడ్-సైడ్ కాన్ఫిగరేషన్ పరివేష్టిత కాక్‌పిట్, వీల్ ప్యాంటుతో స్థిర సాంప్రదాయ ల్యాండింగ్ గేర్ మరియు ట్రాక్టర్ కాన్ఫిగరేషన్‌లో ఒకే ఇంజిన్ ఉన్నాయి. ట్రైసైకిల్ ల్యాండింగ్ గేర్ వెర్షన్ కూడా రూపొందించబడింది. [1] ఈ విమానం కలప మరియు కార్బన్ ఫైబర్ నుండి తయారు చేయబడింది. దాని 8.72 మీ (28.6 అడుగులు) స్పాన్ వింగ్ 8.31 మీ 2 (89.4 చదరపు అడుగులు) విస్తీర్ణంలో ఉంది, పూర్తి-స్పాన్ ఐలెరాన్లను మౌంట్ చేస్తుంది మరియు ఫ్లాప్స్ మరియు వింగ్లెట్స్ లేదు. పేర్కొన్న ప్రామాణిక ఇంజిన్ 180 HP (134 kW) లైమింగ్ O-360 ఫోర్-స్ట్రోక్ ఎయిర్క్రాఫ్ట్ ఇంజిన్. [1] సమీక్షకులు రాయ్ బీస్వెంజర్ మరియు మారినో బోరిక్ 2015 సమీక్షలో ఈ డిజైన్‌ను మడ్రీ క్యాప్ 10 కన్నా మెరుగైన నియంత్రణ సామరస్యాన్ని కలిగి ఉన్నారని అభివర్ణించారు. [1] టాక్ నుండి డేటా [1] సాధారణ లక్షణాల పనితీరు</v>
      </c>
      <c r="E149" s="1" t="s">
        <v>1071</v>
      </c>
      <c r="F149" s="1" t="str">
        <f>IFERROR(__xludf.DUMMYFUNCTION("GOOGLETRANSLATE(E:E, ""en"", ""te"")"),"Te త్సాహిక నిర్మించిన విమానం")</f>
        <v>Te త్సాహిక నిర్మించిన విమానం</v>
      </c>
      <c r="G149" s="1" t="s">
        <v>1072</v>
      </c>
      <c r="H149" s="1" t="s">
        <v>208</v>
      </c>
      <c r="I149" s="1" t="str">
        <f>IFERROR(__xludf.DUMMYFUNCTION("GOOGLETRANSLATE(H:H, ""en"", ""te"")"),"ఫ్రాన్స్")</f>
        <v>ఫ్రాన్స్</v>
      </c>
      <c r="J149" s="3" t="s">
        <v>209</v>
      </c>
      <c r="K149" s="1" t="s">
        <v>2180</v>
      </c>
      <c r="L149" s="2" t="str">
        <f>IFERROR(__xludf.DUMMYFUNCTION("GOOGLETRANSLATE(K:K, ""en"", ""te"")"),"డైనోరో")</f>
        <v>డైనోరో</v>
      </c>
      <c r="M149" s="1" t="s">
        <v>2181</v>
      </c>
      <c r="N149" s="1" t="s">
        <v>2182</v>
      </c>
      <c r="O149" s="1" t="str">
        <f>IFERROR(__xludf.DUMMYFUNCTION("GOOGLETRANSLATE(N:N, ""en"", ""te"")"),"ఉత్పత్తి పూర్తయింది (2017)")</f>
        <v>ఉత్పత్తి పూర్తయింది (2017)</v>
      </c>
      <c r="Q149" s="1" t="s">
        <v>162</v>
      </c>
      <c r="R149" s="1" t="s">
        <v>2183</v>
      </c>
      <c r="S149" s="1" t="s">
        <v>2184</v>
      </c>
      <c r="U149" s="1" t="s">
        <v>2185</v>
      </c>
      <c r="X149" s="1" t="s">
        <v>2186</v>
      </c>
      <c r="Y149" s="1" t="s">
        <v>631</v>
      </c>
      <c r="Z149" s="1" t="s">
        <v>2187</v>
      </c>
      <c r="AA149" s="1" t="s">
        <v>623</v>
      </c>
      <c r="AI149" s="1" t="s">
        <v>2188</v>
      </c>
      <c r="AM149" s="1" t="s">
        <v>330</v>
      </c>
      <c r="AU149" s="1" t="s">
        <v>2189</v>
      </c>
      <c r="BP149" s="1" t="s">
        <v>1948</v>
      </c>
    </row>
    <row r="150">
      <c r="A150" s="1" t="s">
        <v>2190</v>
      </c>
      <c r="B150" s="1" t="str">
        <f>IFERROR(__xludf.DUMMYFUNCTION("GOOGLETRANSLATE(A:A, ""en"", ""te"")"),"సికోర్స్కీ ఎస్ -13 మరియు ఎస్ -14")</f>
        <v>సికోర్స్కీ ఎస్ -13 మరియు ఎస్ -14</v>
      </c>
      <c r="C150" s="1" t="s">
        <v>2191</v>
      </c>
      <c r="D150" s="1" t="str">
        <f>IFERROR(__xludf.DUMMYFUNCTION("GOOGLETRANSLATE(C:C, ""en"", ""te"")"),"సికోర్స్కీ ఎస్ -13 మరియు ఎస్ -14 రష్యన్ బాల్టిక్ రైల్‌రోడ్ కారు పనుల వద్ద నిర్మించబడే విమాన నమూనాలను ప్రతిపాదించాయి, ఇగోర్ సికోర్స్కీ విమాన తయారీ విభాగానికి చీఫ్ ఇంజనీర్. ఇంజిన్ లభ్యత సమస్యల కారణంగా యంత్రాలు ఎప్పుడూ పూర్తి కాలేదు. [1]")</f>
        <v>సికోర్స్కీ ఎస్ -13 మరియు ఎస్ -14 రష్యన్ బాల్టిక్ రైల్‌రోడ్ కారు పనుల వద్ద నిర్మించబడే విమాన నమూనాలను ప్రతిపాదించాయి, ఇగోర్ సికోర్స్కీ విమాన తయారీ విభాగానికి చీఫ్ ఇంజనీర్. ఇంజిన్ లభ్యత సమస్యల కారణంగా యంత్రాలు ఎప్పుడూ పూర్తి కాలేదు. [1]</v>
      </c>
      <c r="E150" s="1" t="s">
        <v>502</v>
      </c>
      <c r="F150" s="1" t="str">
        <f>IFERROR(__xludf.DUMMYFUNCTION("GOOGLETRANSLATE(E:E, ""en"", ""te"")"),"ప్రయోగాత్మక")</f>
        <v>ప్రయోగాత్మక</v>
      </c>
      <c r="H150" s="1" t="s">
        <v>376</v>
      </c>
      <c r="I150" s="1" t="str">
        <f>IFERROR(__xludf.DUMMYFUNCTION("GOOGLETRANSLATE(H:H, ""en"", ""te"")"),"రష్యన్ సామ్రాజ్యం")</f>
        <v>రష్యన్ సామ్రాజ్యం</v>
      </c>
      <c r="J150" s="1" t="s">
        <v>377</v>
      </c>
      <c r="K150" s="1" t="s">
        <v>378</v>
      </c>
      <c r="L150" s="2" t="str">
        <f>IFERROR(__xludf.DUMMYFUNCTION("GOOGLETRANSLATE(K:K, ""en"", ""te"")"),"రష్యన్ బాల్టిక్ రైల్‌రోడ్ కార్ వర్క్స్")</f>
        <v>రష్యన్ బాల్టిక్ రైల్‌రోడ్ కార్ వర్క్స్</v>
      </c>
      <c r="M150" s="1" t="s">
        <v>379</v>
      </c>
      <c r="AB150" s="1" t="s">
        <v>382</v>
      </c>
    </row>
    <row r="151">
      <c r="A151" s="1" t="s">
        <v>2192</v>
      </c>
      <c r="B151" s="1" t="str">
        <f>IFERROR(__xludf.DUMMYFUNCTION("GOOGLETRANSLATE(A:A, ""en"", ""te"")"),"సికోర్స్కీ ఎస్ -50")</f>
        <v>సికోర్స్కీ ఎస్ -50</v>
      </c>
      <c r="C151" s="1" t="s">
        <v>2193</v>
      </c>
      <c r="D151" s="1" t="str">
        <f>IFERROR(__xludf.DUMMYFUNCTION("GOOGLETRANSLATE(C:C, ""en"", ""te"")"),"సికోర్స్కీ ఎస్ -50 అనేది 1943 లో ద్వంద్వ నియంత్రణలతో కూడిన అబ్జర్వేషన్ హెలికాప్టర్‌గా అమెరికా ఆర్మీ ఎయిర్ కార్ప్స్ కోసం రూపొందించిన సికోర్స్కీ ఆర్ -6 యొక్క చిన్న తేలికైన వెర్షన్. ఈ డిజైన్ కనీస బరువును నొక్కి చెప్పింది మరియు 150 హెచ్‌పి (112 కిలోవాట్ల ద్వా"&amp;"రా శక్తినిస్తుంది . తోక రోటర్‌లో లామినేటెడ్ కలపతో తయారు చేసిన మూడు బ్లేడ్లు కూడా ఉన్నాయి. డిజైన్ యొక్క మరింత బరువు ఆదా అనేది మూడు రబ్బరు డోనట్స్ చేత కుషన్ చేయబడిన పైవట్ మీద తోక స్కిడ్ కు అనుకూలంగా సాంప్రదాయిక ఒలియో స్ట్రట్ టెయిల్ వీల్ యొక్క తిరస్కరణను కలి"&amp;"గి ఉంది. ఒక పూర్తి స్థాయి చెక్క మాక్-అప్ నిర్మించబడింది కాని ఎగిరే ఉదాహరణలు ఎప్పుడూ ఉత్పత్తి చేయబడలేదు. [1] సికోర్స్కీ ఆర్కైవ్స్ నుండి డేటా [1] సాధారణ లక్షణాల పనితీరు")</f>
        <v>సికోర్స్కీ ఎస్ -50 అనేది 1943 లో ద్వంద్వ నియంత్రణలతో కూడిన అబ్జర్వేషన్ హెలికాప్టర్‌గా అమెరికా ఆర్మీ ఎయిర్ కార్ప్స్ కోసం రూపొందించిన సికోర్స్కీ ఆర్ -6 యొక్క చిన్న తేలికైన వెర్షన్. ఈ డిజైన్ కనీస బరువును నొక్కి చెప్పింది మరియు 150 హెచ్‌పి (112 కిలోవాట్ల ద్వారా శక్తినిస్తుంది . తోక రోటర్‌లో లామినేటెడ్ కలపతో తయారు చేసిన మూడు బ్లేడ్లు కూడా ఉన్నాయి. డిజైన్ యొక్క మరింత బరువు ఆదా అనేది మూడు రబ్బరు డోనట్స్ చేత కుషన్ చేయబడిన పైవట్ మీద తోక స్కిడ్ కు అనుకూలంగా సాంప్రదాయిక ఒలియో స్ట్రట్ టెయిల్ వీల్ యొక్క తిరస్కరణను కలిగి ఉంది. ఒక పూర్తి స్థాయి చెక్క మాక్-అప్ నిర్మించబడింది కాని ఎగిరే ఉదాహరణలు ఎప్పుడూ ఉత్పత్తి చేయబడలేదు. [1] సికోర్స్కీ ఆర్కైవ్స్ నుండి డేటా [1] సాధారణ లక్షణాల పనితీరు</v>
      </c>
      <c r="E151" s="1" t="s">
        <v>2194</v>
      </c>
      <c r="F151" s="1" t="str">
        <f>IFERROR(__xludf.DUMMYFUNCTION("GOOGLETRANSLATE(E:E, ""en"", ""te"")"),"కాంతి పరిశీలన హెలికాప్టర్")</f>
        <v>కాంతి పరిశీలన హెలికాప్టర్</v>
      </c>
      <c r="G151" s="1" t="s">
        <v>2195</v>
      </c>
      <c r="K151" s="1" t="s">
        <v>229</v>
      </c>
      <c r="L151" s="2" t="str">
        <f>IFERROR(__xludf.DUMMYFUNCTION("GOOGLETRANSLATE(K:K, ""en"", ""te"")"),"సికోర్స్కీ")</f>
        <v>సికోర్స్కీ</v>
      </c>
      <c r="M151" s="3" t="s">
        <v>2196</v>
      </c>
      <c r="Q151" s="1">
        <v>1.0</v>
      </c>
      <c r="U151" s="1" t="s">
        <v>2197</v>
      </c>
      <c r="X151" s="1" t="s">
        <v>2198</v>
      </c>
      <c r="AF151" s="1" t="s">
        <v>2199</v>
      </c>
      <c r="AI151" s="1" t="s">
        <v>2200</v>
      </c>
      <c r="AM151" s="1" t="s">
        <v>2201</v>
      </c>
      <c r="AP151" s="1" t="s">
        <v>2202</v>
      </c>
      <c r="AQ151" s="1" t="s">
        <v>2203</v>
      </c>
      <c r="AR151" s="1" t="s">
        <v>2204</v>
      </c>
      <c r="BO151" s="1" t="s">
        <v>2205</v>
      </c>
      <c r="BP151" s="1" t="s">
        <v>2206</v>
      </c>
      <c r="BR151" s="1" t="s">
        <v>2207</v>
      </c>
      <c r="BW151" s="1" t="s">
        <v>2208</v>
      </c>
      <c r="BX151" s="1" t="s">
        <v>2209</v>
      </c>
    </row>
    <row r="152">
      <c r="A152" s="1" t="s">
        <v>2210</v>
      </c>
      <c r="B152" s="1" t="str">
        <f>IFERROR(__xludf.DUMMYFUNCTION("GOOGLETRANSLATE(A:A, ""en"", ""te"")"),"LMS-9/19")</f>
        <v>LMS-9/19</v>
      </c>
      <c r="C152" s="1" t="s">
        <v>2211</v>
      </c>
      <c r="D152" s="1" t="str">
        <f>IFERROR(__xludf.DUMMYFUNCTION("GOOGLETRANSLATE(C:C, ""en"", ""te"")"),"LMS-9 మరియు LMS-19 (రష్యన్: леегкие многоцелевые కూడా-лм,, తేలికపాటి మల్టీఫంక్షనల్ విమానాలు) అనేది ఆస్ట్రియన్ డైమండ్ ఎయిర్‌క్రాఫ్ట్ మరియు రష్యన్ రోస్టెక్ ద్వారా పౌర విమానాల ద్వారా అంచనా వేయబడిన తేలికపాటి విమానాలు. [3] జూన్ 2013 పారిస్ ఎయిర్ షోలో, వారు 19 "&amp;"సీట్ల మిశ్రమ ఎయిర్‌ఫ్రేమ్‌ను అభివృద్ధి చేయడానికి అంగీకరించారు. [2] ఆగష్టు 2013 MAKS ఎయిర్ షోలో, దీని ధర Rb120 మిలియన్ (62 3.62 మిలియన్లు) తో పాటు RB80 మిలియన్ (41 2.41 మిలియన్) తొమ్మిది-సీట్లతో పాటు, స్కేల్ మోడల్స్ ప్రదర్శనలో ఉన్నాయి. [4] నవంబర్‌లో, మొదటి"&amp;" విమానంలో 2015 కోసం ప్రణాళిక చేయబడింది. [1] 2017-2018లో ఉత్పత్తికి ముందు విమాన పరీక్షలకు వెళ్లడానికి విమాన రూపకల్పన ప్రక్రియను 2014 లో పూర్తి చేయాలి. 9.4 బిలియన్ రూబిళ్లు వ్యయ అంచనాతో, రోస్టెక్ 2 బిఎల్ఎన్ లోపల 383 మిలియన్ రూబిళ్లకు పాల్పడుతోంది, 8 బిఎల్ఎన"&amp;"్ అవసరాన్ని వదిలివేసింది. 2013-2016లో, పరిశోధన మరియు అభివృద్ధి, సాంకేతిక పరిజ్ఞానం బదిలీ, కొత్త ఫ్యాక్టరీ సృష్టి మరియు రకం ధృవీకరణ కోసం రష్యన్ నేషనల్ వెల్త్ ఫండ్ నుండి 5 బిలియన్ రూబిళ్లు పరపతి పొందబడతాయి. 2016-2017లో, ఫెడరల్ బడ్జెట్ ఆఫ్ రష్యా నుండి 3 బిలి"&amp;"యన్ రూబిళ్లు ధృవీకరణ పూర్తి, ప్రారంభ అవసరమైన పరికరాల సముపార్జన మరియు విమాన నిర్వహణ మరియు మరమ్మత్తు వ్యవస్థ సృష్టికి నిధులు సమకూరుస్తాయి. డిజైన్ సామర్థ్యాన్ని సాధించడానికి 2016-2018లో 900 మిలియన్ రూబిళ్లు అవసరం. రోస్టెక్ 2025 నాటికి 51.4 బిలియన్ రూబిళ్లు ("&amp;"వ్యాట్ మినహా) 16.235 బిలియన్ రూబిళ్లు సేకరించిన లాభం కోసం విక్రయించాలని యోచిస్తోంది - అమ్మకాలపై 32% రాబడి, మరియు 2030 నాటికి 800 విమానాలను సరఫరా చేయడానికి, 10.39 సంవత్సరాల తరువాత పేబ్యాక్ వ్యవధిలో డిస్కౌంట్ చేసిన తరువాత. [5] ఈ విమానం సమర్థవంతమైన, టర్బోచార"&amp;"్జ్డ్ డీజిల్ ఎయిర్క్రాఫ్ట్ ఇంజన్లు 2016 లో ప్రవేశపెట్టబోయే జెట్ ఇంధనాన్ని కాల్చివేయాలి. రష్యాలో, ఆధునిక మరియు సరసమైన తేలికపాటి విమానం లోపించింది: వాడుకలో లేని విమానాలను భర్తీ చేయడానికి 200 కంటే ఎక్కువ అవసరం లీజు ప్రోగ్రామ్. ప్రారంభంలో విమానం మరియు ఇంజన్లు"&amp;" ఆస్ట్రియాలో సమావేశమవుతాయి, తరువాత అన్ని విమాన భాగాలు మరియు ఇంజిన్ల ముందు రష్యాలో భాగాలు ఉత్పత్తి చేయబడతాయి. [2] సేవలో AN-2 మరియు L-410 తక్కువ ఇంధన సామర్థ్యం మరియు అధిక నిర్వహణ ఖర్చులను కలిగి ఉన్నాయి. [6] కొత్త విమాన కుటుంబం ఆర్కిటిక్ పరిస్థితులలో పనిచేయగ"&amp;"లదు, మంచు కోసం స్కిడ్ల ల్యాండింగ్ గేర్‌ను లేదా నీటి కోసం పాంటూన్‌లను అటాచ్ చేయవచ్చు. [4] రెండూ 80% సామాన్యత నుండి ప్రయోజనం పొందుతాయి. [7] వారు క్యాబిన్ ఒత్తిడిను ఉపయోగిస్తారు. [8] రష్యా ప్రధాన మంత్రి డిమిత్రి మెద్వెదేవ్ తన మిశ్రమ పదార్థాల కీలక వినియోగాన్న"&amp;"ి పేర్కొన్నారు. ఫ్యూజ్‌లేజ్ పొడవు పొడిగింపు ప్లగ్‌ల ద్వారా పెద్ద వెనుక తలుపు కలిగి ఉన్న పొడవైన వేరియంట్‌తో భిన్నంగా ఉంటుంది మరియు రెండూ ఒక సాధారణ రెక్క, ముక్కు మరియు ఎంపెనేజ్‌ను పంచుకుంటాయి. MC-21 వింగ్ బాక్సులను పరీక్షించిన RT-KHIMKOMPOSIT (రసాయన మిశ్రమా"&amp;"లు) మరియు TSAGI (సెంట్రల్ ఏరోహైడ్రోడైనమిక్స్ ఇన్స్టిట్యూట్) కూడా ఉన్నాయి. ఆటోక్లేవ్ ఇన్ఫ్యూషన్ పద్ధతుల నుండి ఇలాంటివి పెద్ద ఉత్పత్తి పరుగులో మోనోకోక్ నిర్మాణాల ఖర్చులను తగ్గిస్తాయి. పరిమిత గ్రౌండ్ హ్యాండ్లింగ్ అవసరం మరియు తక్కువ-పీడన టైర్లు చదును చేయని నే"&amp;"ల/ లేదా గడ్డి రన్‌వేల నుండి కార్యకలాపాలను ప్రారంభిస్తాయి.")</f>
        <v>LMS-9 మరియు LMS-19 (రష్యన్: леегкие многоцелевые కూడా-лм,, తేలికపాటి మల్టీఫంక్షనల్ విమానాలు) అనేది ఆస్ట్రియన్ డైమండ్ ఎయిర్‌క్రాఫ్ట్ మరియు రష్యన్ రోస్టెక్ ద్వారా పౌర విమానాల ద్వారా అంచనా వేయబడిన తేలికపాటి విమానాలు. [3] జూన్ 2013 పారిస్ ఎయిర్ షోలో, వారు 19 సీట్ల మిశ్రమ ఎయిర్‌ఫ్రేమ్‌ను అభివృద్ధి చేయడానికి అంగీకరించారు. [2] ఆగష్టు 2013 MAKS ఎయిర్ షోలో, దీని ధర Rb120 మిలియన్ (62 3.62 మిలియన్లు) తో పాటు RB80 మిలియన్ (41 2.41 మిలియన్) తొమ్మిది-సీట్లతో పాటు, స్కేల్ మోడల్స్ ప్రదర్శనలో ఉన్నాయి. [4] నవంబర్‌లో, మొదటి విమానంలో 2015 కోసం ప్రణాళిక చేయబడింది. [1] 2017-2018లో ఉత్పత్తికి ముందు విమాన పరీక్షలకు వెళ్లడానికి విమాన రూపకల్పన ప్రక్రియను 2014 లో పూర్తి చేయాలి. 9.4 బిలియన్ రూబిళ్లు వ్యయ అంచనాతో, రోస్టెక్ 2 బిఎల్ఎన్ లోపల 383 మిలియన్ రూబిళ్లకు పాల్పడుతోంది, 8 బిఎల్ఎన్ అవసరాన్ని వదిలివేసింది. 2013-2016లో, పరిశోధన మరియు అభివృద్ధి, సాంకేతిక పరిజ్ఞానం బదిలీ, కొత్త ఫ్యాక్టరీ సృష్టి మరియు రకం ధృవీకరణ కోసం రష్యన్ నేషనల్ వెల్త్ ఫండ్ నుండి 5 బిలియన్ రూబిళ్లు పరపతి పొందబడతాయి. 2016-2017లో, ఫెడరల్ బడ్జెట్ ఆఫ్ రష్యా నుండి 3 బిలియన్ రూబిళ్లు ధృవీకరణ పూర్తి, ప్రారంభ అవసరమైన పరికరాల సముపార్జన మరియు విమాన నిర్వహణ మరియు మరమ్మత్తు వ్యవస్థ సృష్టికి నిధులు సమకూరుస్తాయి. డిజైన్ సామర్థ్యాన్ని సాధించడానికి 2016-2018లో 900 మిలియన్ రూబిళ్లు అవసరం. రోస్టెక్ 2025 నాటికి 51.4 బిలియన్ రూబిళ్లు (వ్యాట్ మినహా) 16.235 బిలియన్ రూబిళ్లు సేకరించిన లాభం కోసం విక్రయించాలని యోచిస్తోంది - అమ్మకాలపై 32% రాబడి, మరియు 2030 నాటికి 800 విమానాలను సరఫరా చేయడానికి, 10.39 సంవత్సరాల తరువాత పేబ్యాక్ వ్యవధిలో డిస్కౌంట్ చేసిన తరువాత. [5] ఈ విమానం సమర్థవంతమైన, టర్బోచార్జ్డ్ డీజిల్ ఎయిర్క్రాఫ్ట్ ఇంజన్లు 2016 లో ప్రవేశపెట్టబోయే జెట్ ఇంధనాన్ని కాల్చివేయాలి. రష్యాలో, ఆధునిక మరియు సరసమైన తేలికపాటి విమానం లోపించింది: వాడుకలో లేని విమానాలను భర్తీ చేయడానికి 200 కంటే ఎక్కువ అవసరం లీజు ప్రోగ్రామ్. ప్రారంభంలో విమానం మరియు ఇంజన్లు ఆస్ట్రియాలో సమావేశమవుతాయి, తరువాత అన్ని విమాన భాగాలు మరియు ఇంజిన్ల ముందు రష్యాలో భాగాలు ఉత్పత్తి చేయబడతాయి. [2] సేవలో AN-2 మరియు L-410 తక్కువ ఇంధన సామర్థ్యం మరియు అధిక నిర్వహణ ఖర్చులను కలిగి ఉన్నాయి. [6] కొత్త విమాన కుటుంబం ఆర్కిటిక్ పరిస్థితులలో పనిచేయగలదు, మంచు కోసం స్కిడ్ల ల్యాండింగ్ గేర్‌ను లేదా నీటి కోసం పాంటూన్‌లను అటాచ్ చేయవచ్చు. [4] రెండూ 80% సామాన్యత నుండి ప్రయోజనం పొందుతాయి. [7] వారు క్యాబిన్ ఒత్తిడిను ఉపయోగిస్తారు. [8] రష్యా ప్రధాన మంత్రి డిమిత్రి మెద్వెదేవ్ తన మిశ్రమ పదార్థాల కీలక వినియోగాన్ని పేర్కొన్నారు. ఫ్యూజ్‌లేజ్ పొడవు పొడిగింపు ప్లగ్‌ల ద్వారా పెద్ద వెనుక తలుపు కలిగి ఉన్న పొడవైన వేరియంట్‌తో భిన్నంగా ఉంటుంది మరియు రెండూ ఒక సాధారణ రెక్క, ముక్కు మరియు ఎంపెనేజ్‌ను పంచుకుంటాయి. MC-21 వింగ్ బాక్సులను పరీక్షించిన RT-KHIMKOMPOSIT (రసాయన మిశ్రమాలు) మరియు TSAGI (సెంట్రల్ ఏరోహైడ్రోడైనమిక్స్ ఇన్స్టిట్యూట్) కూడా ఉన్నాయి. ఆటోక్లేవ్ ఇన్ఫ్యూషన్ పద్ధతుల నుండి ఇలాంటివి పెద్ద ఉత్పత్తి పరుగులో మోనోకోక్ నిర్మాణాల ఖర్చులను తగ్గిస్తాయి. పరిమిత గ్రౌండ్ హ్యాండ్లింగ్ అవసరం మరియు తక్కువ-పీడన టైర్లు చదును చేయని నేల/ లేదా గడ్డి రన్‌వేల నుండి కార్యకలాపాలను ప్రారంభిస్తాయి.</v>
      </c>
      <c r="E152" s="1" t="s">
        <v>2212</v>
      </c>
      <c r="F152" s="1" t="str">
        <f>IFERROR(__xludf.DUMMYFUNCTION("GOOGLETRANSLATE(E:E, ""en"", ""te"")"),"లైట్ రీజినల్ విమానం")</f>
        <v>లైట్ రీజినల్ విమానం</v>
      </c>
      <c r="G152" s="1" t="s">
        <v>2213</v>
      </c>
      <c r="H152" s="1" t="s">
        <v>2214</v>
      </c>
      <c r="I152" s="1" t="str">
        <f>IFERROR(__xludf.DUMMYFUNCTION("GOOGLETRANSLATE(H:H, ""en"", ""te"")"),"ఆస్ట్రియన్ మరియు రష్యన్")</f>
        <v>ఆస్ట్రియన్ మరియు రష్యన్</v>
      </c>
      <c r="K152" s="1" t="s">
        <v>2215</v>
      </c>
      <c r="L152" s="2" t="str">
        <f>IFERROR(__xludf.DUMMYFUNCTION("GOOGLETRANSLATE(K:K, ""en"", ""te"")"),"ఓబోరోన్‌ప్రోమ్ ద్వారా డైమండ్ ఎయిర్‌క్రాఫ్ట్ / రోస్టెక్")</f>
        <v>ఓబోరోన్‌ప్రోమ్ ద్వారా డైమండ్ ఎయిర్‌క్రాఫ్ట్ / రోస్టెక్</v>
      </c>
      <c r="M152" s="1" t="s">
        <v>2216</v>
      </c>
      <c r="AC152" s="1" t="s">
        <v>2217</v>
      </c>
      <c r="AD152" s="1" t="s">
        <v>2218</v>
      </c>
      <c r="AL152" s="1" t="s">
        <v>2219</v>
      </c>
    </row>
    <row r="153">
      <c r="A153" s="1" t="s">
        <v>2220</v>
      </c>
      <c r="B153" s="1" t="str">
        <f>IFERROR(__xludf.DUMMYFUNCTION("GOOGLETRANSLATE(A:A, ""en"", ""te"")"),"బీచ్‌క్రాఫ్ట్ ఆర్‌సి -12 గార్డ్రెయిల్")</f>
        <v>బీచ్‌క్రాఫ్ట్ ఆర్‌సి -12 గార్డ్రెయిల్</v>
      </c>
      <c r="C153" s="1" t="s">
        <v>2221</v>
      </c>
      <c r="D153" s="1" t="str">
        <f>IFERROR(__xludf.DUMMYFUNCTION("GOOGLETRANSLATE(C:C, ""en"", ""te"")"),"బీచ్‌క్రాఫ్ట్ ఆర్‌సి -12 గార్డ్రెయిల్ అనేది బీచ్‌క్రాఫ్ట్ కింగ్ ఎయిర్ మరియు సూపర్ కింగ్ ఎయిర్ ఆధారంగా వైమానిక సంకేతాల ఇంటెలిజెన్స్ (సిగింట్) సేకరణ వేదిక. యుఎస్ మిలిటరీ మరియు ప్రత్యేకంగా అమెరికా సైన్యం సాధారణ సి -12 హోదాతో సూచించబడిన కింగ్ ఎయిర్ ప్లాట్‌ఫార"&amp;"మ్‌ల యొక్క అనేక సిబ్బంది రవాణా వైవిధ్యాలను కలిగి ఉండగా, ఆర్‌సి -12 స్పెసిఫికేషన్ వివిధ సెన్సార్లు మరియు ఆన్‌బోర్డ్ ప్రాసెసర్ల ద్వారా సిజింట్‌ను సేకరించే భారీగా సవరించిన వేదికను సూచిస్తుంది. యుఎస్ ఆర్మీ గార్డ్రెయిల్ ప్లాట్‌ఫాం 1971 నుండి సేవలో ఉంది. [1] 19"&amp;"80 ల ప్రారంభంలో ముందు ప్రారంభ గార్డ్రైల్ వేరియంట్లు U-21 ఆధారంగా ఉన్నాయి. U-21 లో సి -12 ప్లాట్‌ఫామ్‌ను స్వీకరించిన తరువాత, గార్డ్రెయిల్ ప్లాట్‌ఫాం ఎక్కువగా దాని చర్మం క్రింద నిర్మాణ, విద్యుత్ ప్లాంట్ మరియు పరికరాల నవీకరణల ద్వారా క్రింద వివరించిన వివిధ నమ"&amp;"ూనాలు గుర్తించినట్లుగా అభివృద్ధి చెందింది. ప్రారంభంలో, యుఎస్ ఆర్మీకి 13 RC-12D లు C-12DS నుండి మార్చబడ్డాయి, 1983 మధ్యలో డెలివరీలు ప్రారంభమయ్యాయి. జార్జియాలోని ఫోర్ట్ మెక్‌ఫెర్సన్ వద్ద యుఎస్ ఆర్మీ ఫోర్సెస్ కమాండ్ (ఫోర్స్కామ్) మరియు జర్మనీలోని వైస్‌బాడెన్ "&amp;"వద్ద మిగిలిన 1 వ మిలిటరీ ఇంటెలిజెన్స్ బెటాలియన్ మరియు జర్మనీలోని స్టుట్‌గార్ట్‌లో 2 వ మిలిటరీ ఇంటెలిజెన్స్ బెటాలియన్‌కు ఒక విమానాన్ని నియమించారు. జర్మన్ ఆధారిత విమానాలను వరుసగా క్యాంప్ హంఫ్రీస్ (దక్షిణ కొరియా), ఫోర్ట్ హుడ్ (టెక్సాస్) మరియు ఫోర్ట్ హువాచుకా"&amp;" (అరిజోనా) వద్ద 1991 చివరలో 3 వ, 15 మరియు 304 వ మిలిటరీ ఇంటెలిజెన్స్ బెటాలియన్లను తిరిగి కేటాయించారు. ఒకటి మునుపటి కాన్ఫిగరేషన్‌కు C-12D-1 గా మార్చబడింది. [2] తదుపరి మోడల్ RC-12G. సి -12 డి ఎయిర్‌ఫ్రేమ్‌ల నుండి మారిన తరువాత 1985 లో మూడు ఆర్‌సి -12 జి పంపి"&amp;"ణీ చేయబడ్డాయి. ఈ విమానాలు లాటిన్ అమెరికాలో మరియు తరువాత ఫ్లోరిడాలోని ఓర్లాండోలోని 138 వ మిలిటరీ ఇంటెలిజెన్స్ కంపెనీ (వైమానిక దోపిడీ) తో పనిచేశాయి, ఓక్లహోమాలోని ఫోర్ట్ సిల్ వద్ద నిల్వకు తరలించబడటానికి ముందు. [2] తదుపరి మోడల్ RC-12H. ప్రారంభ సిస్టమ్ కాంట్రా"&amp;"క్టర్ ESL ఇంక్. 1988 లో 6 RC-12H ను దక్షిణ కొరియాలోని ప్యోంగ్‌టేక్‌లోని క్యాంప్ హంఫ్రీస్ వద్ద 3 వ మిలిటరీ ఇంటెలిజెన్స్ బెటాలియన్ కోసం పంపిణీ చేసింది. [2] తదుపరి మోడల్ RC-12K. అక్టోబర్ 1985 లో యుఎస్ ఆర్మీ తొమ్మిది ఆర్‌సి -12 కెను ఆదేశించింది, వీటిలో ఎనిమిద"&amp;"ి మంది మే 1991 లో 1 వ మిలిటరీ ఇంటెలిజెన్స్ బెటాలియన్‌లో ఎనిమిది మంది ఆర్‌సి -12 డిఎస్‌ను భర్తీ చేసింది. వీటిలో ఒకటి తరువాత ప్రమాదంలో ఓడిపోయింది. తొమ్మిదవ యుఎస్ ఆర్మీ విమానాన్ని కాంట్రాక్టర్ రేథియోన్ ప్రణాళికాబద్ధమైన RC-12N కాన్ఫిగరేషన్‌కు మార్చడానికి నిలు"&amp;"పుకున్నారు. మే-జూన్ 1991 లో అదనంగా 2 RC-12K విమానం ఇజ్రాయెల్కు పంపిణీ చేయబడింది. [2] ప్రోటోటైప్ RC-12N ను RC-12K నుండి మార్చారు. మొత్తం 15 మందిని ఇ-సిస్టమ్స్ ద్వారా మార్చారు మరియు 1992-93 ను జార్జియాలోని హంటర్ ఆర్మీ ఎయిర్ఫీల్డ్ వద్ద 224 వ మిలిటరీ ఇంటెలిజె"&amp;"న్స్ బెటాలియన్‌కు మరియు అరిజోనాలోని ఫోర్ట్ హువాచుకాలోని లిబ్బి ఆర్మీ ఎయిర్‌ఫీల్డ్‌లోని 304 వ మిలిటరీ ఇంటెలిజెన్స్ బెటాలియన్‌కు పంపిణీ చేశారు. వీటిలో ఒకటి ప్రమాదంలో పోయింది. [2] తదుపరి మోడల్ RC-12P. 1994 మరియు 1995 చివరిలో మోఫెట్ ఫెడరల్ ఎయిర్ఫీల్డ్ వద్ద మొ"&amp;"త్తం 9 RC-12P విమానం ESL/TRW కి పంపిణీ చేయబడింది, మరియు ఈ ఎయిర్ఫ్రేమ్‌లు 1999 లో అక్కడే ఉన్నాయి. [2] మూడు RC-12P లను రేథియాన్ మరియు TRW చేత సవరించారు. వారు 1996 లో TRW కి బదిలీ చేయబడ్డారు, అక్కడ అవి 1999 లో ఉన్నాయి. ఈ విమానం ఒక ప్రముఖ డోర్సల్ రాడోమ్ను కలి"&amp;"గి ఉంది, ఇది ఉపగ్రహ సమాచార యాంటెన్నా. [2] సరికొత్త RC-12X మరియు RC-12x+ ను చేర్చడానికి వివిధ వెర్షన్లలో RC-12 OEF మరియు OIF లకు విస్తరణలను చూసింది. జూలై 2012 నాటికి, నార్త్రోప్ గ్రుమ్మన్ తన RC-12X గార్డ్రెయిల్స్ 2011 లో థియేటర్ [ఎక్కడ?] ఇటీవలి నవీకరణలు మర"&amp;"ియు ఫోర్స్ రియల్మెంట్లు ఈ సరికొత్త నమూనాలు కొరియాలో పాత వైవిధ్యాలను భర్తీ చేస్తాయి. నార్త్రోప్ గ్రుమ్మన్ వద్ద ప్రస్తుతం జరుగుతున్న 2 462 మిలియన్ల ఆర్‌సి -12 ఎక్స్ కార్యక్రమం ఆర్మీ యొక్క ఆర్‌సి -12 విమానాలలోని అన్ని విమానాలను ఆర్‌సి -12 ఎక్స్ ప్రమాణానికి అ"&amp;"ప్‌గ్రేడ్ చేయడం ద్వారా ఆర్‌సి -12 గార్డ్రెయిల్ విమానాల అంతటా సాధారణ ప్రమాణాలను ప్రవేశపెట్టడానికి వివిధ విమానాలను తీసుకువస్తుందని భావిస్తున్నారు, తద్వారా భర్తీ చేస్తుంది లేదా అన్ని పాత వైవిధ్యాలను అప్‌గ్రేడ్ చేయడం. గార్డ్రెయిల్ ఆధునీకరణ కార్యక్రమం 2025 వరక"&amp;"ు విమానం యొక్క జీవితాన్ని విస్తరించింది మరియు మెరుగైన సామర్థ్యాలతో సిస్టమ్‌కు కొత్త పేలోడ్లను పరిచయం చేస్తుంది. ఈ కార్యక్రమం సాధారణలిటీ, కొత్త గ్లాస్ కాక్‌పిట్, స్ట్రక్చరల్ నవీకరణలు మరియు ముఖ్యమైన హార్డ్‌వేర్ మరియు సాఫ్ట్‌వేర్ మెరుగుదలల ద్వారా RC-12X యొక్"&amp;"క స్థిరత్వాన్ని పెంచుతుంది. [4] సరికొత్త గార్డ్రెయిల్ వేరియంట్ యొక్క యుఎస్ ఆర్మీ యొక్క సముపార్జన మద్దతు కేంద్రం యొక్క పోర్ట్‌ఫోలియో వివరణ ప్రకారం, గార్డ్రెయిల్ కామన్ సెన్సార్ (GR/CS) కూడా RC-12X లేదా RC-12X+ అని సూచించబడింది స్థాన వ్యవస్థ. ఇది తక్కువ, మిడ"&amp;"్ మరియు హై-బ్యాండ్ రేడియో సిగ్నల్స్ మరియు ఎలింట్ సిగ్నల్స్ సేకరిస్తుంది; వాటిని గుర్తించి వర్గీకరిస్తుంది; మూల స్థానాన్ని నిర్ణయిస్తుంది; నియంత్రణ, డేటా ప్రాసెసింగ్ మరియు మెసేజ్ సెంటర్ ఫర్ ది సిస్టమ్ కోసం. ”[5] 16 ఏప్రిల్ 1997 న, 224 వ మిలిటరీ ఇంటెలిజెన్స"&amp;"్ బెటాలియన్ ఒక ప్రాణాంతకమైన శిక్షణా ప్రమాదంలో RC-12N మరియు 2 సిబ్బందిని కోల్పోయింది. మరుసటి సంవత్సరం 6 నవంబర్ 1998 న, 1 వ మిలిటరీ ఇంటెలిజెన్స్ బెటాలియన్ ఇదే విధమైన శిక్షణా ప్రమాదంలో ఆర్‌సి -12 కె మరియు 2 మంది సిబ్బందిని కోల్పోయింది. రెండు ప్రమాదాలలో, అమెర"&amp;"ికా ఆర్మీ ఆర్మీ సేఫ్టీ సెంటర్ ప్రమాద బోర్డులు వారి సిఫారసులలో జాబితా చేయబడ్డాయి, 'స్టాల్స్, స్లో ఫ్లైట్ మరియు వి కోసం ఎటిఎం పనులను పున val పరిశీలించడానికి' MC. ' ఫిబ్రవరి 1999 లో, కమాండింగ్ జనరల్, USAIC మరియు FH, మేజర్ జనరల్ జాన్ డి. కారకం. వారు మేజర్ జనర"&amp;"ల్ థామస్‌కు టిసి 1-219, స్లో ఫ్లైట్, స్టాల్స్ మరియు విఎంసి కోసం పనులు తిరిగి వ్రాయాలని సిఫార్సు చేశారు. [2] సంబంధిత అభివృద్ధి")</f>
        <v>బీచ్‌క్రాఫ్ట్ ఆర్‌సి -12 గార్డ్రెయిల్ అనేది బీచ్‌క్రాఫ్ట్ కింగ్ ఎయిర్ మరియు సూపర్ కింగ్ ఎయిర్ ఆధారంగా వైమానిక సంకేతాల ఇంటెలిజెన్స్ (సిగింట్) సేకరణ వేదిక. యుఎస్ మిలిటరీ మరియు ప్రత్యేకంగా అమెరికా సైన్యం సాధారణ సి -12 హోదాతో సూచించబడిన కింగ్ ఎయిర్ ప్లాట్‌ఫారమ్‌ల యొక్క అనేక సిబ్బంది రవాణా వైవిధ్యాలను కలిగి ఉండగా, ఆర్‌సి -12 స్పెసిఫికేషన్ వివిధ సెన్సార్లు మరియు ఆన్‌బోర్డ్ ప్రాసెసర్ల ద్వారా సిజింట్‌ను సేకరించే భారీగా సవరించిన వేదికను సూచిస్తుంది. యుఎస్ ఆర్మీ గార్డ్రెయిల్ ప్లాట్‌ఫాం 1971 నుండి సేవలో ఉంది. [1] 1980 ల ప్రారంభంలో ముందు ప్రారంభ గార్డ్రైల్ వేరియంట్లు U-21 ఆధారంగా ఉన్నాయి. U-21 లో సి -12 ప్లాట్‌ఫామ్‌ను స్వీకరించిన తరువాత, గార్డ్రెయిల్ ప్లాట్‌ఫాం ఎక్కువగా దాని చర్మం క్రింద నిర్మాణ, విద్యుత్ ప్లాంట్ మరియు పరికరాల నవీకరణల ద్వారా క్రింద వివరించిన వివిధ నమూనాలు గుర్తించినట్లుగా అభివృద్ధి చెందింది. ప్రారంభంలో, యుఎస్ ఆర్మీకి 13 RC-12D లు C-12DS నుండి మార్చబడ్డాయి, 1983 మధ్యలో డెలివరీలు ప్రారంభమయ్యాయి. జార్జియాలోని ఫోర్ట్ మెక్‌ఫెర్సన్ వద్ద యుఎస్ ఆర్మీ ఫోర్సెస్ కమాండ్ (ఫోర్స్కామ్) మరియు జర్మనీలోని వైస్‌బాడెన్ వద్ద మిగిలిన 1 వ మిలిటరీ ఇంటెలిజెన్స్ బెటాలియన్ మరియు జర్మనీలోని స్టుట్‌గార్ట్‌లో 2 వ మిలిటరీ ఇంటెలిజెన్స్ బెటాలియన్‌కు ఒక విమానాన్ని నియమించారు. జర్మన్ ఆధారిత విమానాలను వరుసగా క్యాంప్ హంఫ్రీస్ (దక్షిణ కొరియా), ఫోర్ట్ హుడ్ (టెక్సాస్) మరియు ఫోర్ట్ హువాచుకా (అరిజోనా) వద్ద 1991 చివరలో 3 వ, 15 మరియు 304 వ మిలిటరీ ఇంటెలిజెన్స్ బెటాలియన్లను తిరిగి కేటాయించారు. ఒకటి మునుపటి కాన్ఫిగరేషన్‌కు C-12D-1 గా మార్చబడింది. [2] తదుపరి మోడల్ RC-12G. సి -12 డి ఎయిర్‌ఫ్రేమ్‌ల నుండి మారిన తరువాత 1985 లో మూడు ఆర్‌సి -12 జి పంపిణీ చేయబడ్డాయి. ఈ విమానాలు లాటిన్ అమెరికాలో మరియు తరువాత ఫ్లోరిడాలోని ఓర్లాండోలోని 138 వ మిలిటరీ ఇంటెలిజెన్స్ కంపెనీ (వైమానిక దోపిడీ) తో పనిచేశాయి, ఓక్లహోమాలోని ఫోర్ట్ సిల్ వద్ద నిల్వకు తరలించబడటానికి ముందు. [2] తదుపరి మోడల్ RC-12H. ప్రారంభ సిస్టమ్ కాంట్రాక్టర్ ESL ఇంక్. 1988 లో 6 RC-12H ను దక్షిణ కొరియాలోని ప్యోంగ్‌టేక్‌లోని క్యాంప్ హంఫ్రీస్ వద్ద 3 వ మిలిటరీ ఇంటెలిజెన్స్ బెటాలియన్ కోసం పంపిణీ చేసింది. [2] తదుపరి మోడల్ RC-12K. అక్టోబర్ 1985 లో యుఎస్ ఆర్మీ తొమ్మిది ఆర్‌సి -12 కెను ఆదేశించింది, వీటిలో ఎనిమిది మంది మే 1991 లో 1 వ మిలిటరీ ఇంటెలిజెన్స్ బెటాలియన్‌లో ఎనిమిది మంది ఆర్‌సి -12 డిఎస్‌ను భర్తీ చేసింది. వీటిలో ఒకటి తరువాత ప్రమాదంలో ఓడిపోయింది. తొమ్మిదవ యుఎస్ ఆర్మీ విమానాన్ని కాంట్రాక్టర్ రేథియోన్ ప్రణాళికాబద్ధమైన RC-12N కాన్ఫిగరేషన్‌కు మార్చడానికి నిలుపుకున్నారు. మే-జూన్ 1991 లో అదనంగా 2 RC-12K విమానం ఇజ్రాయెల్కు పంపిణీ చేయబడింది. [2] ప్రోటోటైప్ RC-12N ను RC-12K నుండి మార్చారు. మొత్తం 15 మందిని ఇ-సిస్టమ్స్ ద్వారా మార్చారు మరియు 1992-93 ను జార్జియాలోని హంటర్ ఆర్మీ ఎయిర్ఫీల్డ్ వద్ద 224 వ మిలిటరీ ఇంటెలిజెన్స్ బెటాలియన్‌కు మరియు అరిజోనాలోని ఫోర్ట్ హువాచుకాలోని లిబ్బి ఆర్మీ ఎయిర్‌ఫీల్డ్‌లోని 304 వ మిలిటరీ ఇంటెలిజెన్స్ బెటాలియన్‌కు పంపిణీ చేశారు. వీటిలో ఒకటి ప్రమాదంలో పోయింది. [2] తదుపరి మోడల్ RC-12P. 1994 మరియు 1995 చివరిలో మోఫెట్ ఫెడరల్ ఎయిర్ఫీల్డ్ వద్ద మొత్తం 9 RC-12P విమానం ESL/TRW కి పంపిణీ చేయబడింది, మరియు ఈ ఎయిర్ఫ్రేమ్‌లు 1999 లో అక్కడే ఉన్నాయి. [2] మూడు RC-12P లను రేథియాన్ మరియు TRW చేత సవరించారు. వారు 1996 లో TRW కి బదిలీ చేయబడ్డారు, అక్కడ అవి 1999 లో ఉన్నాయి. ఈ విమానం ఒక ప్రముఖ డోర్సల్ రాడోమ్ను కలిగి ఉంది, ఇది ఉపగ్రహ సమాచార యాంటెన్నా. [2] సరికొత్త RC-12X మరియు RC-12x+ ను చేర్చడానికి వివిధ వెర్షన్లలో RC-12 OEF మరియు OIF లకు విస్తరణలను చూసింది. జూలై 2012 నాటికి, నార్త్రోప్ గ్రుమ్మన్ తన RC-12X గార్డ్రెయిల్స్ 2011 లో థియేటర్ [ఎక్కడ?] ఇటీవలి నవీకరణలు మరియు ఫోర్స్ రియల్మెంట్లు ఈ సరికొత్త నమూనాలు కొరియాలో పాత వైవిధ్యాలను భర్తీ చేస్తాయి. నార్త్రోప్ గ్రుమ్మన్ వద్ద ప్రస్తుతం జరుగుతున్న 2 462 మిలియన్ల ఆర్‌సి -12 ఎక్స్ కార్యక్రమం ఆర్మీ యొక్క ఆర్‌సి -12 విమానాలలోని అన్ని విమానాలను ఆర్‌సి -12 ఎక్స్ ప్రమాణానికి అప్‌గ్రేడ్ చేయడం ద్వారా ఆర్‌సి -12 గార్డ్రెయిల్ విమానాల అంతటా సాధారణ ప్రమాణాలను ప్రవేశపెట్టడానికి వివిధ విమానాలను తీసుకువస్తుందని భావిస్తున్నారు, తద్వారా భర్తీ చేస్తుంది లేదా అన్ని పాత వైవిధ్యాలను అప్‌గ్రేడ్ చేయడం. గార్డ్రెయిల్ ఆధునీకరణ కార్యక్రమం 2025 వరకు విమానం యొక్క జీవితాన్ని విస్తరించింది మరియు మెరుగైన సామర్థ్యాలతో సిస్టమ్‌కు కొత్త పేలోడ్లను పరిచయం చేస్తుంది. ఈ కార్యక్రమం సాధారణలిటీ, కొత్త గ్లాస్ కాక్‌పిట్, స్ట్రక్చరల్ నవీకరణలు మరియు ముఖ్యమైన హార్డ్‌వేర్ మరియు సాఫ్ట్‌వేర్ మెరుగుదలల ద్వారా RC-12X యొక్క స్థిరత్వాన్ని పెంచుతుంది. [4] సరికొత్త గార్డ్రెయిల్ వేరియంట్ యొక్క యుఎస్ ఆర్మీ యొక్క సముపార్జన మద్దతు కేంద్రం యొక్క పోర్ట్‌ఫోలియో వివరణ ప్రకారం, గార్డ్రెయిల్ కామన్ సెన్సార్ (GR/CS) కూడా RC-12X లేదా RC-12X+ అని సూచించబడింది స్థాన వ్యవస్థ. ఇది తక్కువ, మిడ్ మరియు హై-బ్యాండ్ రేడియో సిగ్నల్స్ మరియు ఎలింట్ సిగ్నల్స్ సేకరిస్తుంది; వాటిని గుర్తించి వర్గీకరిస్తుంది; మూల స్థానాన్ని నిర్ణయిస్తుంది; నియంత్రణ, డేటా ప్రాసెసింగ్ మరియు మెసేజ్ సెంటర్ ఫర్ ది సిస్టమ్ కోసం. ”[5] 16 ఏప్రిల్ 1997 న, 224 వ మిలిటరీ ఇంటెలిజెన్స్ బెటాలియన్ ఒక ప్రాణాంతకమైన శిక్షణా ప్రమాదంలో RC-12N మరియు 2 సిబ్బందిని కోల్పోయింది. మరుసటి సంవత్సరం 6 నవంబర్ 1998 న, 1 వ మిలిటరీ ఇంటెలిజెన్స్ బెటాలియన్ ఇదే విధమైన శిక్షణా ప్రమాదంలో ఆర్‌సి -12 కె మరియు 2 మంది సిబ్బందిని కోల్పోయింది. రెండు ప్రమాదాలలో, అమెరికా ఆర్మీ ఆర్మీ సేఫ్టీ సెంటర్ ప్రమాద బోర్డులు వారి సిఫారసులలో జాబితా చేయబడ్డాయి, 'స్టాల్స్, స్లో ఫ్లైట్ మరియు వి కోసం ఎటిఎం పనులను పున val పరిశీలించడానికి' MC. ' ఫిబ్రవరి 1999 లో, కమాండింగ్ జనరల్, USAIC మరియు FH, మేజర్ జనరల్ జాన్ డి. కారకం. వారు మేజర్ జనరల్ థామస్‌కు టిసి 1-219, స్లో ఫ్లైట్, స్టాల్స్ మరియు విఎంసి కోసం పనులు తిరిగి వ్రాయాలని సిఫార్సు చేశారు. [2] సంబంధిత అభివృద్ధి</v>
      </c>
      <c r="E153" s="1" t="s">
        <v>2222</v>
      </c>
      <c r="F153" s="1" t="str">
        <f>IFERROR(__xludf.DUMMYFUNCTION("GOOGLETRANSLATE(E:E, ""en"", ""te"")"),"సిగ్నల్స్ ఇంటెలిజెన్స్ విమానం")</f>
        <v>సిగ్నల్స్ ఇంటెలిజెన్స్ విమానం</v>
      </c>
      <c r="G153" s="1" t="s">
        <v>2223</v>
      </c>
      <c r="K153" s="1" t="s">
        <v>2224</v>
      </c>
      <c r="L153" s="2" t="str">
        <f>IFERROR(__xludf.DUMMYFUNCTION("GOOGLETRANSLATE(K:K, ""en"", ""te"")"),"బీచ్‌క్రాఫ్ట్")</f>
        <v>బీచ్‌క్రాఫ్ట్</v>
      </c>
      <c r="M153" s="3" t="s">
        <v>2225</v>
      </c>
      <c r="N153" s="1" t="s">
        <v>2226</v>
      </c>
      <c r="O153" s="1" t="str">
        <f>IFERROR(__xludf.DUMMYFUNCTION("GOOGLETRANSLATE(N:N, ""en"", ""te"")"),"క్రియాశీల సేవ")</f>
        <v>క్రియాశీల సేవ</v>
      </c>
      <c r="W153" s="1" t="s">
        <v>2227</v>
      </c>
      <c r="AL153" s="1" t="s">
        <v>2228</v>
      </c>
      <c r="BO153" s="1" t="s">
        <v>2229</v>
      </c>
      <c r="BR153" s="1" t="s">
        <v>2230</v>
      </c>
      <c r="CZ153" s="1" t="s">
        <v>1160</v>
      </c>
      <c r="DF153" s="1" t="s">
        <v>1161</v>
      </c>
    </row>
    <row r="154">
      <c r="A154" s="1" t="s">
        <v>2231</v>
      </c>
      <c r="B154" s="1" t="str">
        <f>IFERROR(__xludf.DUMMYFUNCTION("GOOGLETRANSLATE(A:A, ""en"", ""te"")"),"మార్క్ చిలుక")</f>
        <v>మార్క్ చిలుక</v>
      </c>
      <c r="C154" s="1" t="s">
        <v>2232</v>
      </c>
      <c r="D154" s="1" t="str">
        <f>IFERROR(__xludf.DUMMYFUNCTION("GOOGLETRANSLATE(C:C, ""en"", ""te"")"),"మోంటే రోసా మాసిఫ్‌లోని పుంటా చిలుక శిఖరం పేరు పెట్టబడిన మార్క్ చిలుక, ప్రత్యేకంగా సిద్ధం కాని పొలాలు మరియు పర్వత ల్యాండింగ్ స్ట్రిప్స్‌లోకి వెళ్లడానికి రూపొందించబడింది. ప్రోటోటైప్ మొదట 2013 లో ఎగిరింది, కాని సుమారు 2015 నాటికి పూర్తి కాలేదు. చిలుక మార్క్-"&amp;"ఇంగోగ్నో యొక్క మొదటి విమానం. దీనికి ముందు వారు ఐదు లేదా అంతకంటే ఎక్కువ పెద్ద విమాన సంస్థల కోసం విమాన బ్రేక్‌ల రూపకల్పన మరియు నిర్మించడంలో నైపుణ్యం కలిగి ఉన్నారు. లక్ష్యంగా ఉన్న కఠినమైన మరియు పర్వత క్షేత్రాలను యాక్సెస్ చేయడానికి, చిలుక పైలట్‌కు అద్భుతమైన ఆ"&amp;"ల్ రౌండ్ దృష్టిని అందించడానికి, త్వరగా ఎక్కడానికి, నెమ్మదిగా ఎగురుతూ ఉండటానికి మరియు బలమైన బ్రేక్‌లతో అండర్ క్యారేజీని గ్రహించే శక్తిని కలిగి ఉండటానికి అవసరమైన అవసరం ఉంది. [1] [2] [3 ] చిలుకలో రెండు విభాగాలలో జంకర్స్ స్టైల్ ఫ్లాపెరాన్లతో అమర్చిన అధిక, ఆల్"&amp;"-మెటల్, దీర్ఘచతురస్రాకార ప్రణాళిక వింగ్ ఉంది, లోపలి భాగం కొద్దిగా తగ్గిపోతుంది. ఇది ప్రతి వైపు V- రూప స్ట్రట్ ద్వారా దిగువ ఫ్యూజ్‌లేజ్‌కు కలుపుతారు. ఫ్యూజ్‌లేజ్ ఫ్రేమ్ యొక్క స్టీల్ ట్యూబ్ పొడిగింపులు పూర్తిగా పారదర్శకంగా ఉన్న వింగ్ సెంటర్ విభాగానికి మద్దత"&amp;"ు ఇస్తాయి, స్పార్స్ దాని ద్వారా కొనసాగుతున్నాయి. [1] [2] చిలుక యొక్క ముక్కులోని ప్రామాణిక ఇంజిన్ రోటాక్స్ 912 ఉల్, మార్క్-ఇంగోగ్నో 0.8 బార్ (80 kPa; 12 lb/sq in) చేరిక ద్వారా 59.6 kW (79.9 HP) నుండి 89.5 kW (120.0 HP) వరకు ఉంటుంది. కంప్రెసర్. మార్పులేని ర"&amp;"ోటాక్స్ ఒక ఎంపిక. ఈ ఇంజన్లు మూడు, స్కిమిటార్ ఆకారపు వంగిన బ్లేడ్‌లతో ప్రొపెల్లర్లను నడుపుతాయి. రెక్కలలో రెండు 60 ఎల్ (13 ఇంప్ గల్; 16 యుఎస్ గాల్) ఇంధన ట్యాంకులు మరియు 8 ఎల్ (1.8 ఇంప్ గల్; 2.1 యుఎస్ గాల్) రిజర్వ్ ట్యాంక్ ఉన్నాయి. [1] [3] ఫ్యూజ్‌లేజ్‌లో వెల"&amp;"్డెడ్ ట్యూబ్ స్టీల్ స్ట్రక్చర్ ఉంది, ఇది కౌలింగ్ యొక్క వంగిన, మిశ్రమ ఉపరితలాలు మరియు ఇంజిన్ మరియు కాక్‌పిట్ మధ్య ఎగువ ఫ్యూజ్‌లేజ్, ఫ్లాట్ సైడెడ్ రూపాన్ని నిర్వచిస్తుంది. కాక్‌పిట్ మరియు తోక మధ్య క్రాస్ సెక్షన్ ఒక సక్రమంగా షట్కాగన్. కాక్‌పిట్ రెండు దగ్గరగా"&amp;" ఉంటుంది. ఇది విస్తృతంగా మెరుస్తున్నది, వీక్షణను నిరోధించడానికి ఫ్రేమ్ ట్యూబ్‌లు మాత్రమే ఉన్నాయి మరియు స్టార్‌బోర్డ్ వైపు, పైకి అతుక్కొని ఉన్న తలుపు ద్వారా నమోదు చేయబడతాయి. పోర్ట్ వైపు విండో పైకి అతుక్కొని ఉంది; తలుపు మరియు కిటికీ రెండూ విమానంలో తెరవబడతాయ"&amp;"ి. వెనుక సీటు వెనుక ఒక సామాను స్థలం ఉంది మరియు నిల్వ స్థలాన్ని పెంచడానికి కాక్‌పిట్ క్రింద ఉన్న ఫ్యూజ్‌లేజ్ దిగువ భాగంలో పన్నీర్ జతచేయవచ్చు. [1] [2] చిలుక యొక్క వైర్-బ్రేస్డ్ ఎంపెనేజ్ సంప్రదాయమైనది. నిలువు ఉపరితలాలు పెద్దవి, కోణీయ మరియు కొద్దిగా తుడిచిపెట"&amp;"్టుకుపోతాయి. దాని క్షితిజ సమాంతర ఉపరితలాలు ప్రణాళికలో దీర్ఘచతురస్రాకారంగా ఉంటాయి, ఒక చిన్న టెయిల్‌ప్లేన్ చాలా పెద్ద, ఒక-ముక్క ఎలివేటర్‌ను కలిగి ఉంది, చుక్కాని వెనుకంజలో వెనుక ఉంది. చుక్కాని మరియు ఎలివేటర్ రెండూ కొమ్ము సమతుల్యతతో ఉంటాయి. [1] [2] చిలుకలో సా"&amp;"ంప్రదాయ ల్యాండింగ్ గేర్ ఉంది. ప్రతి వైపు ఒక ధృ dy నిర్మాణంగల, స్థిర, ఫార్వర్డ్-ర్యాక్డ్ లెగ్ ఫ్యూజ్‌లేజ్ దిగువ లాంగన్ ఒక అతుక్కొని దిగువ విభాగాన్ని కలిగి ఉంటుంది, సాధారణంగా 90 at వద్ద ఎగువ భాగానికి, దాని చివర ఇరుసు ఉంటుంది. ఒక నత్రజని/చమురు షాక్ శోషక అదనప"&amp;"ు కాలు యొక్క దిగువ భాగంలో ఇరుసును ఉమ్మడికి కలుపుతుంది. చక్రాలు పెద్ద 29 లో (740 మిమీ) టైర్లు మరియు కాలిపర్ హైడ్రాలిక్ బ్రేక్‌లు కలిగి ఉన్నాయి. టెయిల్‌వీల్ కూడా పెద్దది, సుదీర్ఘ వసంతకాలంలో విలోమ యు ఫ్రేమ్‌లో విపరీతమైన ఫ్యూజ్‌లేజ్ వెనుక బాగా అమర్చబడి ఉంటుంద"&amp;"ి. చక్రాల స్థానంలో స్కిస్‌ను అమర్చవచ్చు. [1] [2] గెలాక్సీ బాలిస్టిక్ రికవరీ పారాచూట్ ఒక ఎంపిక. [1] చిలుక మొదట 4 ఏప్రిల్ 2013 న ప్రయాణించింది మరియు ఏప్రిల్ చివరిలో ఫ్రీడ్రిచ్‌షాఫెన్ ఎయిర్‌షోలో బహిరంగంగా కనిపిస్తుంది. ఇది జూన్ 2013 లో నమోదు చేయబడింది [1] [3"&amp;"] మరియు జూన్ 2015 నాటికి ఎయిర్‌షోస్ మరియు ఫ్లై-ఇన్‌లలో చురుకుగా ఉంది, కానీ ఏకైక ఉదాహరణ. జేన్ యొక్క అన్ని ప్రపంచ విమానాల నుండి డేటా 2016/7 [1] సాధారణ లక్షణాల పనితీరు")</f>
        <v>మోంటే రోసా మాసిఫ్‌లోని పుంటా చిలుక శిఖరం పేరు పెట్టబడిన మార్క్ చిలుక, ప్రత్యేకంగా సిద్ధం కాని పొలాలు మరియు పర్వత ల్యాండింగ్ స్ట్రిప్స్‌లోకి వెళ్లడానికి రూపొందించబడింది. ప్రోటోటైప్ మొదట 2013 లో ఎగిరింది, కాని సుమారు 2015 నాటికి పూర్తి కాలేదు. చిలుక మార్క్-ఇంగోగ్నో యొక్క మొదటి విమానం. దీనికి ముందు వారు ఐదు లేదా అంతకంటే ఎక్కువ పెద్ద విమాన సంస్థల కోసం విమాన బ్రేక్‌ల రూపకల్పన మరియు నిర్మించడంలో నైపుణ్యం కలిగి ఉన్నారు. లక్ష్యంగా ఉన్న కఠినమైన మరియు పర్వత క్షేత్రాలను యాక్సెస్ చేయడానికి, చిలుక పైలట్‌కు అద్భుతమైన ఆల్ రౌండ్ దృష్టిని అందించడానికి, త్వరగా ఎక్కడానికి, నెమ్మదిగా ఎగురుతూ ఉండటానికి మరియు బలమైన బ్రేక్‌లతో అండర్ క్యారేజీని గ్రహించే శక్తిని కలిగి ఉండటానికి అవసరమైన అవసరం ఉంది. [1] [2] [3 ] చిలుకలో రెండు విభాగాలలో జంకర్స్ స్టైల్ ఫ్లాపెరాన్లతో అమర్చిన అధిక, ఆల్-మెటల్, దీర్ఘచతురస్రాకార ప్రణాళిక వింగ్ ఉంది, లోపలి భాగం కొద్దిగా తగ్గిపోతుంది. ఇది ప్రతి వైపు V- రూప స్ట్రట్ ద్వారా దిగువ ఫ్యూజ్‌లేజ్‌కు కలుపుతారు. ఫ్యూజ్‌లేజ్ ఫ్రేమ్ యొక్క స్టీల్ ట్యూబ్ పొడిగింపులు పూర్తిగా పారదర్శకంగా ఉన్న వింగ్ సెంటర్ విభాగానికి మద్దతు ఇస్తాయి, స్పార్స్ దాని ద్వారా కొనసాగుతున్నాయి. [1] [2] చిలుక యొక్క ముక్కులోని ప్రామాణిక ఇంజిన్ రోటాక్స్ 912 ఉల్, మార్క్-ఇంగోగ్నో 0.8 బార్ (80 kPa; 12 lb/sq in) చేరిక ద్వారా 59.6 kW (79.9 HP) నుండి 89.5 kW (120.0 HP) వరకు ఉంటుంది. కంప్రెసర్. మార్పులేని రోటాక్స్ ఒక ఎంపిక. ఈ ఇంజన్లు మూడు, స్కిమిటార్ ఆకారపు వంగిన బ్లేడ్‌లతో ప్రొపెల్లర్లను నడుపుతాయి. రెక్కలలో రెండు 60 ఎల్ (13 ఇంప్ గల్; 16 యుఎస్ గాల్) ఇంధన ట్యాంకులు మరియు 8 ఎల్ (1.8 ఇంప్ గల్; 2.1 యుఎస్ గాల్) రిజర్వ్ ట్యాంక్ ఉన్నాయి. [1] [3] ఫ్యూజ్‌లేజ్‌లో వెల్డెడ్ ట్యూబ్ స్టీల్ స్ట్రక్చర్ ఉంది, ఇది కౌలింగ్ యొక్క వంగిన, మిశ్రమ ఉపరితలాలు మరియు ఇంజిన్ మరియు కాక్‌పిట్ మధ్య ఎగువ ఫ్యూజ్‌లేజ్, ఫ్లాట్ సైడెడ్ రూపాన్ని నిర్వచిస్తుంది. కాక్‌పిట్ మరియు తోక మధ్య క్రాస్ సెక్షన్ ఒక సక్రమంగా షట్కాగన్. కాక్‌పిట్ రెండు దగ్గరగా ఉంటుంది. ఇది విస్తృతంగా మెరుస్తున్నది, వీక్షణను నిరోధించడానికి ఫ్రేమ్ ట్యూబ్‌లు మాత్రమే ఉన్నాయి మరియు స్టార్‌బోర్డ్ వైపు, పైకి అతుక్కొని ఉన్న తలుపు ద్వారా నమోదు చేయబడతాయి. పోర్ట్ వైపు విండో పైకి అతుక్కొని ఉంది; తలుపు మరియు కిటికీ రెండూ విమానంలో తెరవబడతాయి. వెనుక సీటు వెనుక ఒక సామాను స్థలం ఉంది మరియు నిల్వ స్థలాన్ని పెంచడానికి కాక్‌పిట్ క్రింద ఉన్న ఫ్యూజ్‌లేజ్ దిగువ భాగంలో పన్నీర్ జతచేయవచ్చు. [1] [2] చిలుక యొక్క వైర్-బ్రేస్డ్ ఎంపెనేజ్ సంప్రదాయమైనది. నిలువు ఉపరితలాలు పెద్దవి, కోణీయ మరియు కొద్దిగా తుడిచిపెట్టుకుపోతాయి. దాని క్షితిజ సమాంతర ఉపరితలాలు ప్రణాళికలో దీర్ఘచతురస్రాకారంగా ఉంటాయి, ఒక చిన్న టెయిల్‌ప్లేన్ చాలా పెద్ద, ఒక-ముక్క ఎలివేటర్‌ను కలిగి ఉంది, చుక్కాని వెనుకంజలో వెనుక ఉంది. చుక్కాని మరియు ఎలివేటర్ రెండూ కొమ్ము సమతుల్యతతో ఉంటాయి. [1] [2] చిలుకలో సాంప్రదాయ ల్యాండింగ్ గేర్ ఉంది. ప్రతి వైపు ఒక ధృ dy నిర్మాణంగల, స్థిర, ఫార్వర్డ్-ర్యాక్డ్ లెగ్ ఫ్యూజ్‌లేజ్ దిగువ లాంగన్ ఒక అతుక్కొని దిగువ విభాగాన్ని కలిగి ఉంటుంది, సాధారణంగా 90 at వద్ద ఎగువ భాగానికి, దాని చివర ఇరుసు ఉంటుంది. ఒక నత్రజని/చమురు షాక్ శోషక అదనపు కాలు యొక్క దిగువ భాగంలో ఇరుసును ఉమ్మడికి కలుపుతుంది. చక్రాలు పెద్ద 29 లో (740 మిమీ) టైర్లు మరియు కాలిపర్ హైడ్రాలిక్ బ్రేక్‌లు కలిగి ఉన్నాయి. టెయిల్‌వీల్ కూడా పెద్దది, సుదీర్ఘ వసంతకాలంలో విలోమ యు ఫ్రేమ్‌లో విపరీతమైన ఫ్యూజ్‌లేజ్ వెనుక బాగా అమర్చబడి ఉంటుంది. చక్రాల స్థానంలో స్కిస్‌ను అమర్చవచ్చు. [1] [2] గెలాక్సీ బాలిస్టిక్ రికవరీ పారాచూట్ ఒక ఎంపిక. [1] చిలుక మొదట 4 ఏప్రిల్ 2013 న ప్రయాణించింది మరియు ఏప్రిల్ చివరిలో ఫ్రీడ్రిచ్‌షాఫెన్ ఎయిర్‌షోలో బహిరంగంగా కనిపిస్తుంది. ఇది జూన్ 2013 లో నమోదు చేయబడింది [1] [3] మరియు జూన్ 2015 నాటికి ఎయిర్‌షోస్ మరియు ఫ్లై-ఇన్‌లలో చురుకుగా ఉంది, కానీ ఏకైక ఉదాహరణ. జేన్ యొక్క అన్ని ప్రపంచ విమానాల నుండి డేటా 2016/7 [1] సాధారణ లక్షణాల పనితీరు</v>
      </c>
      <c r="E154" s="1" t="s">
        <v>2233</v>
      </c>
      <c r="F154" s="1" t="str">
        <f>IFERROR(__xludf.DUMMYFUNCTION("GOOGLETRANSLATE(E:E, ""en"", ""te"")"),"రెండు-సీట్ల అల్ట్రాలైట్ విమానం")</f>
        <v>రెండు-సీట్ల అల్ట్రాలైట్ విమానం</v>
      </c>
      <c r="G154" s="1" t="s">
        <v>2234</v>
      </c>
      <c r="H154" s="1" t="s">
        <v>606</v>
      </c>
      <c r="I154" s="1" t="str">
        <f>IFERROR(__xludf.DUMMYFUNCTION("GOOGLETRANSLATE(H:H, ""en"", ""te"")"),"ఇటలీ")</f>
        <v>ఇటలీ</v>
      </c>
      <c r="J154" s="3" t="s">
        <v>607</v>
      </c>
      <c r="K154" s="1" t="s">
        <v>2235</v>
      </c>
      <c r="L154" s="2" t="str">
        <f>IFERROR(__xludf.DUMMYFUNCTION("GOOGLETRANSLATE(K:K, ""en"", ""te"")"),"మార్క్-గజిగ్నో డి అల్బెర్టో మార్చ్ సాస్")</f>
        <v>మార్క్-గజిగ్నో డి అల్బెర్టో మార్చ్ సాస్</v>
      </c>
      <c r="Q154" s="1" t="s">
        <v>212</v>
      </c>
      <c r="R154" s="1" t="s">
        <v>2236</v>
      </c>
      <c r="S154" s="1" t="s">
        <v>2237</v>
      </c>
      <c r="U154" s="1" t="s">
        <v>2238</v>
      </c>
      <c r="X154" s="1" t="s">
        <v>2239</v>
      </c>
      <c r="Z154" s="1" t="s">
        <v>2240</v>
      </c>
      <c r="AA154" s="1" t="s">
        <v>2241</v>
      </c>
      <c r="AD154" s="4">
        <v>41368.0</v>
      </c>
      <c r="AF154" s="1" t="s">
        <v>1964</v>
      </c>
      <c r="AG154" s="1" t="s">
        <v>2242</v>
      </c>
      <c r="AI154" s="1" t="s">
        <v>2243</v>
      </c>
      <c r="AJ154" s="1" t="s">
        <v>2244</v>
      </c>
      <c r="AM154" s="1" t="s">
        <v>524</v>
      </c>
      <c r="AQ154" s="1" t="s">
        <v>2245</v>
      </c>
      <c r="AR154" s="1" t="s">
        <v>2246</v>
      </c>
      <c r="AS154" s="1" t="s">
        <v>2247</v>
      </c>
      <c r="BJ154" s="1" t="s">
        <v>1358</v>
      </c>
      <c r="BK154" s="1" t="s">
        <v>2248</v>
      </c>
      <c r="BL154" s="1" t="s">
        <v>1241</v>
      </c>
      <c r="BP154" s="1" t="s">
        <v>2249</v>
      </c>
      <c r="EQ154" s="1" t="s">
        <v>2250</v>
      </c>
    </row>
    <row r="155">
      <c r="A155" s="1" t="s">
        <v>2251</v>
      </c>
      <c r="B155" s="1" t="str">
        <f>IFERROR(__xludf.DUMMYFUNCTION("GOOGLETRANSLATE(A:A, ""en"", ""te"")"),"Tupolev '102'")</f>
        <v>Tupolev '102'</v>
      </c>
      <c r="C155" s="1" t="s">
        <v>2252</v>
      </c>
      <c r="D155" s="1" t="str">
        <f>IFERROR(__xludf.DUMMYFUNCTION("GOOGLETRANSLATE(C:C, ""en"", ""te"")"),"టుపోలెవ్ '102' మరియు టుపోలేవ్ '101' టర్బోప్రాప్ విమానాల కోసం 1950 ల ప్రాజెక్టులు మరియు టుపోలెవ్ డిజైన్ బ్యూరో చేత దాడి రవాణా. విమాన నమూనాలు దాదాపు ఒకేలా ఉన్నాయి, కాని '101' రెండు న్యూడెల్మాన్-రిఖ్టర్ NR-23 ఫిరంగి కోసం వెనుక లోడింగ్ రాంప్ మరియు తోక బార్బెట"&amp;"్‌ను కలిగి ఉంది. '101' క్యాబిన్ ఫ్లైట్‌డెక్ మరియు పది మంది ప్రయాణీకులకు ఒక చిన్న క్యాబిన్ కాకుండా అన్‌ప్రెసరైజ్ చేయబడటంతో అంతర్గత అమరిక భిన్నంగా ఉంది, అదే సమయంలో '102 యొక్క ఒత్తిడితో కూడిన క్యాబిన్ ఒక విభాగంలో ఉంది, 40 మంది ప్రయాణీకులకు కాన్ఫిగర్ చేయబడింద"&amp;"ి. OKB-23 (V.M. మయాసిచ్చెవ్) మరియు OKB-473 (ఒలేగ్ K. ఆంటోనోవ్) లకు కూడా ఇలాంటి అవసరాలు జారీ చేయబడ్డాయి, దీని ఫలితంగా ఆంటోనోవ్ AN-8 ఏర్పడింది, ఇది అన్ని ఆంటోనోవ్ యొక్క టర్బోప్రాప్ యొక్క డిజైన్ రూట్ AN-22 వరకు రవాణా అవుతుంది [[[ 1] OKB TUPOLEV నుండి డేటా: ఎ"&amp;" హిస్టరీ ఆఫ్ ది డిజైన్ బ్యూరో మరియు దాని విమానం [1] సాధారణ లక్షణాలు పనితీరు ఆయుధాలు")</f>
        <v>టుపోలెవ్ '102' మరియు టుపోలేవ్ '101' టర్బోప్రాప్ విమానాల కోసం 1950 ల ప్రాజెక్టులు మరియు టుపోలెవ్ డిజైన్ బ్యూరో చేత దాడి రవాణా. విమాన నమూనాలు దాదాపు ఒకేలా ఉన్నాయి, కాని '101' రెండు న్యూడెల్మాన్-రిఖ్టర్ NR-23 ఫిరంగి కోసం వెనుక లోడింగ్ రాంప్ మరియు తోక బార్బెట్‌ను కలిగి ఉంది. '101' క్యాబిన్ ఫ్లైట్‌డెక్ మరియు పది మంది ప్రయాణీకులకు ఒక చిన్న క్యాబిన్ కాకుండా అన్‌ప్రెసరైజ్ చేయబడటంతో అంతర్గత అమరిక భిన్నంగా ఉంది, అదే సమయంలో '102 యొక్క ఒత్తిడితో కూడిన క్యాబిన్ ఒక విభాగంలో ఉంది, 40 మంది ప్రయాణీకులకు కాన్ఫిగర్ చేయబడింది. OKB-23 (V.M. మయాసిచ్చెవ్) మరియు OKB-473 (ఒలేగ్ K. ఆంటోనోవ్) లకు కూడా ఇలాంటి అవసరాలు జారీ చేయబడ్డాయి, దీని ఫలితంగా ఆంటోనోవ్ AN-8 ఏర్పడింది, ఇది అన్ని ఆంటోనోవ్ యొక్క టర్బోప్రాప్ యొక్క డిజైన్ రూట్ AN-22 వరకు రవాణా అవుతుంది [[[ 1] OKB TUPOLEV నుండి డేటా: ఎ హిస్టరీ ఆఫ్ ది డిజైన్ బ్యూరో మరియు దాని విమానం [1] సాధారణ లక్షణాలు పనితీరు ఆయుధాలు</v>
      </c>
      <c r="E155" s="1" t="s">
        <v>2253</v>
      </c>
      <c r="F155" s="1" t="str">
        <f>IFERROR(__xludf.DUMMYFUNCTION("GOOGLETRANSLATE(E:E, ""en"", ""te"")"),"విమానాల")</f>
        <v>విమానాల</v>
      </c>
      <c r="G155" s="3" t="s">
        <v>2254</v>
      </c>
      <c r="H155" s="1" t="s">
        <v>1036</v>
      </c>
      <c r="I155" s="1" t="str">
        <f>IFERROR(__xludf.DUMMYFUNCTION("GOOGLETRANSLATE(H:H, ""en"", ""te"")"),"సోవియట్ యూనియన్")</f>
        <v>సోవియట్ యూనియన్</v>
      </c>
      <c r="J155" s="1" t="s">
        <v>1037</v>
      </c>
      <c r="K155" s="1" t="s">
        <v>2255</v>
      </c>
      <c r="L155" s="2" t="str">
        <f>IFERROR(__xludf.DUMMYFUNCTION("GOOGLETRANSLATE(K:K, ""en"", ""te"")"),"Tupolev")</f>
        <v>Tupolev</v>
      </c>
      <c r="M155" s="3" t="s">
        <v>2256</v>
      </c>
      <c r="Q155" s="1">
        <v>7.0</v>
      </c>
      <c r="R155" s="1" t="s">
        <v>2257</v>
      </c>
      <c r="S155" s="1" t="s">
        <v>2258</v>
      </c>
      <c r="U155" s="1" t="s">
        <v>2259</v>
      </c>
      <c r="Y155" s="1" t="s">
        <v>2260</v>
      </c>
      <c r="AB155" s="1" t="s">
        <v>2261</v>
      </c>
      <c r="AE155" s="1" t="s">
        <v>566</v>
      </c>
      <c r="AF155" s="1" t="s">
        <v>2262</v>
      </c>
      <c r="AI155" s="1" t="s">
        <v>2263</v>
      </c>
      <c r="AM155" s="1" t="s">
        <v>2264</v>
      </c>
      <c r="AP155" s="1" t="s">
        <v>2265</v>
      </c>
      <c r="AQ155" s="1" t="s">
        <v>2266</v>
      </c>
      <c r="BO155" s="1" t="s">
        <v>2267</v>
      </c>
      <c r="BR155" s="1" t="s">
        <v>2268</v>
      </c>
      <c r="BS155" s="1" t="s">
        <v>2269</v>
      </c>
      <c r="CG155" s="1" t="s">
        <v>2270</v>
      </c>
      <c r="CL155" s="1" t="s">
        <v>2271</v>
      </c>
      <c r="DA155" s="1" t="s">
        <v>2272</v>
      </c>
      <c r="ER155" s="1" t="s">
        <v>2273</v>
      </c>
      <c r="ES155" s="1" t="s">
        <v>2274</v>
      </c>
    </row>
    <row r="156">
      <c r="A156" s="1" t="s">
        <v>2275</v>
      </c>
      <c r="B156" s="1" t="str">
        <f>IFERROR(__xludf.DUMMYFUNCTION("GOOGLETRANSLATE(A:A, ""en"", ""te"")"),"సికోర్స్కీ ఎస్ -6")</f>
        <v>సికోర్స్కీ ఎస్ -6</v>
      </c>
      <c r="C156" s="1" t="s">
        <v>2276</v>
      </c>
      <c r="D156" s="1" t="str">
        <f>IFERROR(__xludf.DUMMYFUNCTION("GOOGLETRANSLATE(C:C, ""en"", ""te"")"),"సికోర్స్కీ ఎస్ -6 అనేది రష్యన్ సింగిల్ ఇంజిన్ ప్రయోగాత్మక విమానం, ఇది ఎస్ -5 మాదిరిగానే ఉంది, దీనిని 1911 లో ఇగోర్ సికోర్స్కీ నిర్మించారు. మొదటి ఎస్ -6 నిర్మాణం ఆగస్టు 1911 లో ప్రారంభమైంది. త్రీ బే బిప్‌లేన్ ఆర్గస్ 4-సిలిండర్ వాటర్-కూల్డ్ ఇంజిన్ 100 హెచ్‌"&amp;"పి (75 కిలోవాట్) ను ఉత్పత్తి చేసింది. నవంబర్ చివరలో ప్రారంభ విమాన పరీక్షలు నిరాశపరిచాయి, ఇది సుదీర్ఘ టేక్-ఆఫ్ రన్ మరియు పేలవమైన ఆరోహణ పనితీరును వెల్లడించింది. సికోర్స్కీ ఈ విమానాన్ని విడదీసి ఇంటికి తీసుకువెళ్ళాడు, అక్కడ గణనీయమైన మార్పులు చేపట్టాయి, వీటిలో"&amp;" వింగ్స్పాన్‌ను పొడిగించడం మరియు కలప వెనియర్‌తో ఫ్యూజ్‌లేజ్‌ను చుట్టుముట్టడం ద్వారా ఏరోడైనమిక్ డ్రాగ్‌ను తగ్గించడం. దిగువ రెక్కపై ఉన్న ఐలెరాన్లు తొలగించబడ్డాయి మరియు స్ట్రట్ బ్రేసింగ్ వైర్లు వాటి మధ్య చెక్క స్పేసర్లతో జంటగా అమర్చబడ్డాయి, లాగడం మరింత తగ్గి"&amp;"స్తుంది. [1] [2] [3] సికోర్స్కీ ఇప్పుడు యంత్రాన్ని S-6-A అని పిలిచారు మరియు ఇది గొప్ప మెరుగుదలని ప్రదర్శించింది. విమానంలో ముగ్గురు వ్యక్తులతో ఒక విమానంలో గంటకు 113 కిలోమీటర్ల వేగంతో (70 mph) నమోదైంది, ఆ సమయంలో ప్రపంచ రికార్డును మించిపోయింది మరియు ఫిబ్రవరి"&amp;" 1912 లో ఎస్ -6-ఎ 1912 మాస్కో ఏవియేషన్ ఎగ్జిబిషన్‌లో అత్యధిక అవార్డును సంపాదించింది . [[ వసంత చివరలో 1912 వసంత late తువులో సికోర్స్కీ రష్యన్ బాల్టిక్ రైల్‌రోడ్ కారులో విమాన తయారీ విభాగం యొక్క చీఫ్ ఇంజనీర్‌గా పనిచేయడం ప్రారంభించాడు. S-6-A యొక్క శుద్ధి చేసి"&amp;"న సంస్కరణపై S-6-B అని పిలువబడే సంస్కరణపై బలోపేతం చేసిన ల్యాండింగ్ గేర్ మరియు కాక్‌పిట్ నుండి ఇంజిన్‌ను ప్రారంభించడానికి అనుమతించే యంత్రాంగాన్ని ప్రారంభించారు. జూలైలో పూర్తయిన, ఆగస్టులో సెయింట్ పీటర్స్‌బర్గ్‌లో జరిగిన అంతర్జాతీయ సైనిక పోటీలో ఎస్ -6-బి ప్రవ"&amp;"ేశించి సికోర్స్కీ ఎగిరింది. S-6-B 327 కిలోల (721 lb) లోడ్‌ను మోసుకెళ్ళేటప్పుడు 113 కిమీ/గం (61 kn; 70 mph) వేగంతో చేరుకుంది, పదిహేను నిమిషాల్లో 1,500 మీ (4,900 అడుగులు) కు ఎక్కైంది మరియు కంటే ఎక్కువ ఓర్పును ప్రదర్శించింది 90 నిమిషాలు. సెప్టెంబర్ 30 న పోటీ"&amp;" ముగింపులో, ఎస్ -6-బి విజేతగా ప్రకటించబడింది ""కొన్నింటికి ఆర్డర్‌కు ఒక ఆర్డర్"" ఎక్కువ. [1] [3] రష్యన్ ఏవియేషన్ మ్యూజియం నుండి డేటా [3] సాధారణ లక్షణాల పనితీరు")</f>
        <v>సికోర్స్కీ ఎస్ -6 అనేది రష్యన్ సింగిల్ ఇంజిన్ ప్రయోగాత్మక విమానం, ఇది ఎస్ -5 మాదిరిగానే ఉంది, దీనిని 1911 లో ఇగోర్ సికోర్స్కీ నిర్మించారు. మొదటి ఎస్ -6 నిర్మాణం ఆగస్టు 1911 లో ప్రారంభమైంది. త్రీ బే బిప్‌లేన్ ఆర్గస్ 4-సిలిండర్ వాటర్-కూల్డ్ ఇంజిన్ 100 హెచ్‌పి (75 కిలోవాట్) ను ఉత్పత్తి చేసింది. నవంబర్ చివరలో ప్రారంభ విమాన పరీక్షలు నిరాశపరిచాయి, ఇది సుదీర్ఘ టేక్-ఆఫ్ రన్ మరియు పేలవమైన ఆరోహణ పనితీరును వెల్లడించింది. సికోర్స్కీ ఈ విమానాన్ని విడదీసి ఇంటికి తీసుకువెళ్ళాడు, అక్కడ గణనీయమైన మార్పులు చేపట్టాయి, వీటిలో వింగ్స్పాన్‌ను పొడిగించడం మరియు కలప వెనియర్‌తో ఫ్యూజ్‌లేజ్‌ను చుట్టుముట్టడం ద్వారా ఏరోడైనమిక్ డ్రాగ్‌ను తగ్గించడం. దిగువ రెక్కపై ఉన్న ఐలెరాన్లు తొలగించబడ్డాయి మరియు స్ట్రట్ బ్రేసింగ్ వైర్లు వాటి మధ్య చెక్క స్పేసర్లతో జంటగా అమర్చబడ్డాయి, లాగడం మరింత తగ్గిస్తుంది. [1] [2] [3] సికోర్స్కీ ఇప్పుడు యంత్రాన్ని S-6-A అని పిలిచారు మరియు ఇది గొప్ప మెరుగుదలని ప్రదర్శించింది. విమానంలో ముగ్గురు వ్యక్తులతో ఒక విమానంలో గంటకు 113 కిలోమీటర్ల వేగంతో (70 mph) నమోదైంది, ఆ సమయంలో ప్రపంచ రికార్డును మించిపోయింది మరియు ఫిబ్రవరి 1912 లో ఎస్ -6-ఎ 1912 మాస్కో ఏవియేషన్ ఎగ్జిబిషన్‌లో అత్యధిక అవార్డును సంపాదించింది . [[ వసంత చివరలో 1912 వసంత late తువులో సికోర్స్కీ రష్యన్ బాల్టిక్ రైల్‌రోడ్ కారులో విమాన తయారీ విభాగం యొక్క చీఫ్ ఇంజనీర్‌గా పనిచేయడం ప్రారంభించాడు. S-6-A యొక్క శుద్ధి చేసిన సంస్కరణపై S-6-B అని పిలువబడే సంస్కరణపై బలోపేతం చేసిన ల్యాండింగ్ గేర్ మరియు కాక్‌పిట్ నుండి ఇంజిన్‌ను ప్రారంభించడానికి అనుమతించే యంత్రాంగాన్ని ప్రారంభించారు. జూలైలో పూర్తయిన, ఆగస్టులో సెయింట్ పీటర్స్‌బర్గ్‌లో జరిగిన అంతర్జాతీయ సైనిక పోటీలో ఎస్ -6-బి ప్రవేశించి సికోర్స్కీ ఎగిరింది. S-6-B 327 కిలోల (721 lb) లోడ్‌ను మోసుకెళ్ళేటప్పుడు 113 కిమీ/గం (61 kn; 70 mph) వేగంతో చేరుకుంది, పదిహేను నిమిషాల్లో 1,500 మీ (4,900 అడుగులు) కు ఎక్కైంది మరియు కంటే ఎక్కువ ఓర్పును ప్రదర్శించింది 90 నిమిషాలు. సెప్టెంబర్ 30 న పోటీ ముగింపులో, ఎస్ -6-బి విజేతగా ప్రకటించబడింది "కొన్నింటికి ఆర్డర్‌కు ఒక ఆర్డర్" ఎక్కువ. [1] [3] రష్యన్ ఏవియేషన్ మ్యూజియం నుండి డేటా [3] సాధారణ లక్షణాల పనితీరు</v>
      </c>
      <c r="E156" s="1" t="s">
        <v>502</v>
      </c>
      <c r="F156" s="1" t="str">
        <f>IFERROR(__xludf.DUMMYFUNCTION("GOOGLETRANSLATE(E:E, ""en"", ""te"")"),"ప్రయోగాత్మక")</f>
        <v>ప్రయోగాత్మక</v>
      </c>
      <c r="H156" s="1" t="s">
        <v>376</v>
      </c>
      <c r="I156" s="1" t="str">
        <f>IFERROR(__xludf.DUMMYFUNCTION("GOOGLETRANSLATE(H:H, ""en"", ""te"")"),"రష్యన్ సామ్రాజ్యం")</f>
        <v>రష్యన్ సామ్రాజ్యం</v>
      </c>
      <c r="J156" s="1" t="s">
        <v>377</v>
      </c>
      <c r="L156" s="2"/>
      <c r="Q156" s="1" t="s">
        <v>212</v>
      </c>
      <c r="S156" s="1" t="s">
        <v>2277</v>
      </c>
      <c r="U156" s="1" t="s">
        <v>2278</v>
      </c>
      <c r="X156" s="1" t="s">
        <v>2279</v>
      </c>
      <c r="Y156" s="1" t="s">
        <v>2280</v>
      </c>
      <c r="AD156" s="1">
        <v>1911.0</v>
      </c>
      <c r="AE156" s="1">
        <v>5.0</v>
      </c>
      <c r="AF156" s="1" t="s">
        <v>2281</v>
      </c>
      <c r="AI156" s="1" t="s">
        <v>2282</v>
      </c>
      <c r="AL156" s="1" t="s">
        <v>2283</v>
      </c>
      <c r="AM156" s="1" t="s">
        <v>2284</v>
      </c>
      <c r="AN156" s="1" t="s">
        <v>2285</v>
      </c>
      <c r="BO156" s="1" t="s">
        <v>2286</v>
      </c>
      <c r="BR156" s="1" t="s">
        <v>2287</v>
      </c>
      <c r="BT156" s="1" t="s">
        <v>2288</v>
      </c>
    </row>
    <row r="157">
      <c r="A157" s="1" t="s">
        <v>512</v>
      </c>
      <c r="B157" s="1" t="str">
        <f>IFERROR(__xludf.DUMMYFUNCTION("GOOGLETRANSLATE(A:A, ""en"", ""te"")"),"సికోర్స్కీ ఎస్ -3")</f>
        <v>సికోర్స్కీ ఎస్ -3</v>
      </c>
      <c r="C157" s="1" t="s">
        <v>2289</v>
      </c>
      <c r="D157" s="1" t="str">
        <f>IFERROR(__xludf.DUMMYFUNCTION("GOOGLETRANSLATE(C:C, ""en"", ""te"")"),"సికోర్స్కీ ఎస్ -3 ఇగోర్ సికోర్స్కీ రాసిన ప్రారంభ రష్యన్ సింగిల్ సీట్ బిప్‌లేన్ డిజైన్. యంత్రం మీద పని జూలై 1910 లో ప్రారంభమైంది మరియు నవంబర్ చివరలో పూర్తయింది. S-3 S-2 యొక్క పెద్ద మెరుగైన వెర్షన్, ఇది మరింత శక్తివంతమైన 40 HP (30 kW) అంజాని త్రీ-సిలిండర్ల "&amp;"ఇంజిన్‌తో. ప్రధాన రెక్కలు మరింత ఏకరీతిగా తయారు చేయబడ్డాయి, పక్కటెముకలు దగ్గరగా సహనానికి గురవుతాయి మరియు ఫాబ్రిక్ కవరింగ్ మంచి నాణ్యతతో ఉంది. ఇతర శుద్ధీకరణలలో పెద్ద ఐలెరాన్లు మరియు వేగంగా స్పందించే విమాన నియంత్రణ ఉపరితలాలు ఉన్నాయి. [1] S-3 S-2 కంటే ఉన్నతమై"&amp;"న పనితీరును ప్రదర్శించింది, మరియు సికోర్స్కీ డిసెంబర్ ప్రారంభంలో డజను విజయవంతమైన విమానాలను చేశాడు. ఎస్ -3 డిసెంబర్ 13, 1910 న 90 అడుగుల ఎత్తులో ఇంజిన్ల పంపిణీదారుడు రిటార్డెడ్ స్థానానికి మారి శక్తిని కోల్పోయినప్పుడు ఎస్ -3 చివరి విమానంలో సాధించింది. విమాన"&amp;"ం స్తంభింపచేసిన చెరువుపై గట్టిగా దిగి, మంచుతో విరిగింది మరియు మునిగిపోతుంది. S-3 సాల్వేజ్ చేయబడింది మరియు ఇంజిన్‌తో సహా కొన్ని భాగాలు S-4 నిర్మాణంలో ఉపయోగించబడ్డాయి. [2] రష్యన్ ఏవియేషన్ మ్యూజియం నుండి డేటా [3] సాధారణ లక్షణాల పనితీరు")</f>
        <v>సికోర్స్కీ ఎస్ -3 ఇగోర్ సికోర్స్కీ రాసిన ప్రారంభ రష్యన్ సింగిల్ సీట్ బిప్‌లేన్ డిజైన్. యంత్రం మీద పని జూలై 1910 లో ప్రారంభమైంది మరియు నవంబర్ చివరలో పూర్తయింది. S-3 S-2 యొక్క పెద్ద మెరుగైన వెర్షన్, ఇది మరింత శక్తివంతమైన 40 HP (30 kW) అంజాని త్రీ-సిలిండర్ల ఇంజిన్‌తో. ప్రధాన రెక్కలు మరింత ఏకరీతిగా తయారు చేయబడ్డాయి, పక్కటెముకలు దగ్గరగా సహనానికి గురవుతాయి మరియు ఫాబ్రిక్ కవరింగ్ మంచి నాణ్యతతో ఉంది. ఇతర శుద్ధీకరణలలో పెద్ద ఐలెరాన్లు మరియు వేగంగా స్పందించే విమాన నియంత్రణ ఉపరితలాలు ఉన్నాయి. [1] S-3 S-2 కంటే ఉన్నతమైన పనితీరును ప్రదర్శించింది, మరియు సికోర్స్కీ డిసెంబర్ ప్రారంభంలో డజను విజయవంతమైన విమానాలను చేశాడు. ఎస్ -3 డిసెంబర్ 13, 1910 న 90 అడుగుల ఎత్తులో ఇంజిన్ల పంపిణీదారుడు రిటార్డెడ్ స్థానానికి మారి శక్తిని కోల్పోయినప్పుడు ఎస్ -3 చివరి విమానంలో సాధించింది. విమానం స్తంభింపచేసిన చెరువుపై గట్టిగా దిగి, మంచుతో విరిగింది మరియు మునిగిపోతుంది. S-3 సాల్వేజ్ చేయబడింది మరియు ఇంజిన్‌తో సహా కొన్ని భాగాలు S-4 నిర్మాణంలో ఉపయోగించబడ్డాయి. [2] రష్యన్ ఏవియేషన్ మ్యూజియం నుండి డేటా [3] సాధారణ లక్షణాల పనితీరు</v>
      </c>
      <c r="E157" s="1" t="s">
        <v>502</v>
      </c>
      <c r="F157" s="1" t="str">
        <f>IFERROR(__xludf.DUMMYFUNCTION("GOOGLETRANSLATE(E:E, ""en"", ""te"")"),"ప్రయోగాత్మక")</f>
        <v>ప్రయోగాత్మక</v>
      </c>
      <c r="H157" s="1" t="s">
        <v>376</v>
      </c>
      <c r="I157" s="1" t="str">
        <f>IFERROR(__xludf.DUMMYFUNCTION("GOOGLETRANSLATE(H:H, ""en"", ""te"")"),"రష్యన్ సామ్రాజ్యం")</f>
        <v>రష్యన్ సామ్రాజ్యం</v>
      </c>
      <c r="J157" s="1" t="s">
        <v>377</v>
      </c>
      <c r="L157" s="2"/>
      <c r="N157" s="1" t="s">
        <v>2290</v>
      </c>
      <c r="O157" s="1" t="str">
        <f>IFERROR(__xludf.DUMMYFUNCTION("GOOGLETRANSLATE(N:N, ""en"", ""te"")"),"సికోర్స్కీ ఎస్ -4 లో తిరిగి ఉపయోగించిన భాగాలతో దెబ్బతింది")</f>
        <v>సికోర్స్కీ ఎస్ -4 లో తిరిగి ఉపయోగించిన భాగాలతో దెబ్బతింది</v>
      </c>
      <c r="Q157" s="1" t="s">
        <v>212</v>
      </c>
      <c r="S157" s="1" t="s">
        <v>504</v>
      </c>
      <c r="X157" s="1" t="s">
        <v>2291</v>
      </c>
      <c r="Y157" s="1" t="s">
        <v>2292</v>
      </c>
      <c r="AD157" s="5">
        <v>3988.0</v>
      </c>
      <c r="AE157" s="1">
        <v>1.0</v>
      </c>
      <c r="AF157" s="1" t="s">
        <v>387</v>
      </c>
      <c r="AI157" s="1" t="s">
        <v>2293</v>
      </c>
      <c r="AL157" s="1" t="s">
        <v>2294</v>
      </c>
      <c r="AN157" s="1" t="s">
        <v>387</v>
      </c>
      <c r="AQ157" s="1" t="s">
        <v>2295</v>
      </c>
      <c r="BO157" s="1" t="s">
        <v>500</v>
      </c>
      <c r="BR157" s="1" t="s">
        <v>699</v>
      </c>
      <c r="BT157" s="1" t="s">
        <v>2152</v>
      </c>
      <c r="BU157" s="1" t="s">
        <v>2296</v>
      </c>
      <c r="BV157" s="1" t="s">
        <v>2297</v>
      </c>
    </row>
    <row r="158">
      <c r="A158" s="1" t="s">
        <v>2298</v>
      </c>
      <c r="B158" s="1" t="str">
        <f>IFERROR(__xludf.DUMMYFUNCTION("GOOGLETRANSLATE(A:A, ""en"", ""te"")"),"సికోర్స్కీ ఎస్ -73")</f>
        <v>సికోర్స్కీ ఎస్ -73</v>
      </c>
      <c r="C158" s="1" t="s">
        <v>2299</v>
      </c>
      <c r="D158" s="1" t="str">
        <f>IFERROR(__xludf.DUMMYFUNCTION("GOOGLETRANSLATE(C:C, ""en"", ""te"")"),"సికోర్స్కీ ఎస్ -73 [1] 1970 లో అమెరికా సైన్యం అవసరాన్ని తీర్చడానికి ప్రతిపాదిత విమాన రూపకల్పన, ఇది 45,000 ఎల్బి (20,000 కిలోల; 20 టి) ను మోయగల భారీ లిఫ్ట్ హెలికాప్టర్ (హెచ్‌ఎల్‌హెచ్) కోసం, ఇది ఎత్తే రెండు రెట్లు ఎక్కువ ఎత్తే సామర్థ్యం ఆ సమయంలో సికోర్స్కీ "&amp;"యొక్క అత్యంత శక్తివంతమైన హెలికాప్టర్. సికోర్స్కీ యొక్క S-73 డిజైన్ విజయవంతమైన CH-54/S-64 యొక్క విస్తరించిన సంస్కరణ, ఇది మూడు సాధారణ ఎలక్ట్రిక్ TF34-58 టర్బోషాఫ్ట్ ఇంజిన్లతో నడిచే సరళీకృత మరియు మెరుగైన సింగిల్ మెయిన్ రోటర్‌తో కలిపి 21,000 HP (15,660 kW) వద"&amp;"్ద రేట్ చేయబడింది. ఐదుగురు సిబ్బంది ఫార్వర్డ్ కాక్‌పిట్ నుండి విమానాన్ని సాంప్రదాయ చక్రీయ కర్ర మరియు సామూహిక లివర్‌ను భర్తీ చేస్తాయి. కాక్‌పిట్ వెనుక ఒక వెనుక క్యాబిన్ 12 పోరాట దళాలకు సామర్థ్యాన్ని అందించింది. [2] [3] సికోర్స్కీ ఫిబ్రవరి 1971 లో వారి రూపక"&amp;"ల్పనను సమర్పించారు, తరువాత మేలో సైన్యం బోయింగ్ వెర్టోల్ XCH-62 కాంట్రాక్టు విజేతను ప్రకటించింది, సికోర్స్కీ S-73 కార్యక్రమాన్ని ముగించింది. [2] సికోర్స్కీ ఆర్కైవ్స్ నుండి డేటా [2] పోల్చదగిన పాత్ర, కాన్ఫిగరేషన్ మరియు ERA సంబంధిత జాబితాల యొక్క సాధారణ లక్షణా"&amp;"లు సంబంధిత అభివృద్ధి విమానం")</f>
        <v>సికోర్స్కీ ఎస్ -73 [1] 1970 లో అమెరికా సైన్యం అవసరాన్ని తీర్చడానికి ప్రతిపాదిత విమాన రూపకల్పన, ఇది 45,000 ఎల్బి (20,000 కిలోల; 20 టి) ను మోయగల భారీ లిఫ్ట్ హెలికాప్టర్ (హెచ్‌ఎల్‌హెచ్) కోసం, ఇది ఎత్తే రెండు రెట్లు ఎక్కువ ఎత్తే సామర్థ్యం ఆ సమయంలో సికోర్స్కీ యొక్క అత్యంత శక్తివంతమైన హెలికాప్టర్. సికోర్స్కీ యొక్క S-73 డిజైన్ విజయవంతమైన CH-54/S-64 యొక్క విస్తరించిన సంస్కరణ, ఇది మూడు సాధారణ ఎలక్ట్రిక్ TF34-58 టర్బోషాఫ్ట్ ఇంజిన్లతో నడిచే సరళీకృత మరియు మెరుగైన సింగిల్ మెయిన్ రోటర్‌తో కలిపి 21,000 HP (15,660 kW) వద్ద రేట్ చేయబడింది. ఐదుగురు సిబ్బంది ఫార్వర్డ్ కాక్‌పిట్ నుండి విమానాన్ని సాంప్రదాయ చక్రీయ కర్ర మరియు సామూహిక లివర్‌ను భర్తీ చేస్తాయి. కాక్‌పిట్ వెనుక ఒక వెనుక క్యాబిన్ 12 పోరాట దళాలకు సామర్థ్యాన్ని అందించింది. [2] [3] సికోర్స్కీ ఫిబ్రవరి 1971 లో వారి రూపకల్పనను సమర్పించారు, తరువాత మేలో సైన్యం బోయింగ్ వెర్టోల్ XCH-62 కాంట్రాక్టు విజేతను ప్రకటించింది, సికోర్స్కీ S-73 కార్యక్రమాన్ని ముగించింది. [2] సికోర్స్కీ ఆర్కైవ్స్ నుండి డేటా [2] పోల్చదగిన పాత్ర, కాన్ఫిగరేషన్ మరియు ERA సంబంధిత జాబితాల యొక్క సాధారణ లక్షణాలు సంబంధిత అభివృద్ధి విమానం</v>
      </c>
      <c r="E158" s="1" t="s">
        <v>2300</v>
      </c>
      <c r="F158" s="1" t="str">
        <f>IFERROR(__xludf.DUMMYFUNCTION("GOOGLETRANSLATE(E:E, ""en"", ""te"")"),"హెవీ-లిఫ్ట్ కార్గో హెలికాప్టర్")</f>
        <v>హెవీ-లిఫ్ట్ కార్గో హెలికాప్టర్</v>
      </c>
      <c r="G158" s="1" t="s">
        <v>2301</v>
      </c>
      <c r="H158" s="1" t="s">
        <v>227</v>
      </c>
      <c r="I158" s="1" t="str">
        <f>IFERROR(__xludf.DUMMYFUNCTION("GOOGLETRANSLATE(H:H, ""en"", ""te"")"),"అమెరికా")</f>
        <v>అమెరికా</v>
      </c>
      <c r="K158" s="1" t="s">
        <v>2302</v>
      </c>
      <c r="L158" s="2" t="str">
        <f>IFERROR(__xludf.DUMMYFUNCTION("GOOGLETRANSLATE(K:K, ""en"", ""te"")"),"సికోర్స్కీ విమానం")</f>
        <v>సికోర్స్కీ విమానం</v>
      </c>
      <c r="M158" s="1" t="s">
        <v>2303</v>
      </c>
      <c r="Q158" s="1" t="s">
        <v>2304</v>
      </c>
      <c r="X158" s="1" t="s">
        <v>2305</v>
      </c>
      <c r="AF158" s="1" t="s">
        <v>2306</v>
      </c>
      <c r="AG158" s="1" t="s">
        <v>2307</v>
      </c>
      <c r="AI158" s="1" t="s">
        <v>2308</v>
      </c>
      <c r="AM158" s="1" t="s">
        <v>2309</v>
      </c>
      <c r="AR158" s="1" t="s">
        <v>2310</v>
      </c>
      <c r="BO158" s="1" t="s">
        <v>2311</v>
      </c>
      <c r="BR158" s="1" t="s">
        <v>2312</v>
      </c>
      <c r="BW158" s="1" t="s">
        <v>2313</v>
      </c>
      <c r="BX158" s="1" t="s">
        <v>2314</v>
      </c>
    </row>
    <row r="159">
      <c r="A159" s="1" t="s">
        <v>2315</v>
      </c>
      <c r="B159" s="1" t="str">
        <f>IFERROR(__xludf.DUMMYFUNCTION("GOOGLETRANSLATE(A:A, ""en"", ""te"")"),"Denhaut hy.479")</f>
        <v>Denhaut hy.479</v>
      </c>
      <c r="C159" s="1" t="s">
        <v>2316</v>
      </c>
      <c r="D159" s="1" t="str">
        <f>IFERROR(__xludf.DUMMYFUNCTION("GOOGLETRANSLATE(C:C, ""en"", ""te"")"),"డెన్హాట్ HY.479 అనేది 1926 లో ఒక ఫ్రెంచ్ ఎగిరే పడవ మరియు ఇది వాణిజ్య లేదా సైనిక అనువర్తనాలకు అనువైనది. ఒకటి మాత్రమే, సైనిక ఆకృతీకరణలో, నిర్మించబడింది మరియు కొన్నిసార్లు దీనిని ఫ్రాన్స్-ఏవియేషన్ డెన్హాట్ అని పిలుస్తారు. HY.479 అసమాన విస్తరణ, మందపాటి విభాగం"&amp;" రెక్కలతో సింగిల్ బే బైప్‌లేన్. పొడవైన ఎగువ వింగ్ మూడు భాగాలలో ఉంది, చిన్న, దాదాపు దీర్ఘచతురస్రాకార కేంద్ర విభాగం మరియు ట్రాపెజోయిడల్ బాహ్య ప్యానెల్లు ఉన్నాయి. దిగువ రెక్కలు ఎగువ పొట్టుకు జతచేయబడ్డాయి మరియు స్థిరమైన తీగతో తుడుచుకుంటాయి, తరువాత స్క్వేర్డ్ "&amp;"చిట్కాలకు నేరుగా టేపర్డ్ చేయబడ్డాయి. ఎగువ రెక్క యొక్క పై ఉపరితలం చదునుగా ఉంది, కానీ మందంగా మందంగా కొన్ని డైహెడ్రల్ అందించింది; దిగువ వింగ్ రెండు ఉపరితలాలపై డైహెడ్రల్ తీసుకువెళ్ళింది. ఐలెరాన్స్, ఇది సగం వ్యవధిలో కప్పబడి ఉంది. ఎగువ రెక్కపై మాత్రమే అమర్చారు."&amp;" [1] నిర్మాణాత్మకంగా రెక్కలు చెక్కతో ఉన్నాయి, రెండు స్పార్స్ మరియు ప్లైవుడ్ కప్పబడిన ప్రముఖ అంచులు ఉన్నాయి; మిగతా చోట్ల కవరింగ్ ఫాబ్రిక్. రెక్కలు ప్రతి వైపు ఒక జత సమాంతర, బాహ్య-వాలుగా ఉన్న ఇంటర్‌ప్లేన్ స్ట్రట్‌లతో కలిసి ఉన్నాయి. వీటి క్రింద, నిటారుగా కోణా"&amp;"ల స్థిరీకరణ ఫ్లోట్లు దిగువ వింగ్ అండర్‌సైడ్‌కు చిన్న స్ట్రట్‌లతో జతచేయబడ్డాయి. హ్యాంగర్ స్థలాన్ని తగ్గించడానికి, బయటి రెక్కలను పొట్టుతో పాటు తిరిగి ముడుచుకోవచ్చు. [1] HY.479 ఒక జత 280 kW (380 HP) గ్నోమ్ &amp; రోన్ 9A బృహస్పతి తొమ్మిదవ-సిలిండర్ రేడియల్ ఇంజన్లు"&amp;" ఎగువ సెంటర్-సెక్షన్ చివర వెంటనే రెక్కల మధ్య స్ట్రట్-మౌంటెడ్ మిడ్ వే, వాటిని దగ్గరగా ఉంచుతుంది ప్రొపెల్లర్లు అనుమతించబడ్డాయి. ఇంజిన్లు అన్‌కల్ చేయబడ్డాయి, అయినప్పటికీ వారి ఉపకరణాలు వారి వెనుక శంఖాకార ఫెయిరింగ్‌ల క్రింద ఉంచబడ్డాయి. [1] దాని పొట్టు లోతుగా ఉ"&amp;"ంది, నిటారుగా ఉండే వైపులా మరియు దశలు లేకుండా నిస్సారమైన V- విభాగం అడుగు. ఇది పైన కప్పబడిన వాటర్‌లైన్ మరియు ప్లైవుడ్ క్రింద కంపార్ట్‌మెంట్, డబుల్- మరియు ట్రిపుల్-ప్లాంక్ చేయబడింది. పైలట్లు ప్రొపెల్లర్ల ముందు ఓపెన్ కాక్‌పిట్‌లో పక్కపక్కనే కూర్చున్నారు, ఉదార"&amp;" ​​విండ్‌స్క్రీన్ ద్వారా రక్షించబడింది. మొదట కాన్ఫిగర్ చేయబడిన మిలిటరీలో మొదట మరియు ఏకైక నమూనాలో గుండ్రని ముక్కు మరియు రెక్కలు మరియు తోక మధ్య మధ్యలో మెషిన్ గన్నర్స్ స్థానాలు ఉన్నాయి. డెన్హాట్ లో పెద్ద, త్రిభుజాకార ఫిన్ కలిగి ఉంది, లోతైన, వంగిన, సమతుల్య చు"&amp;"క్కానితో. దీని డెల్టా ప్లాన్ టెయిల్‌ప్లేన్ ఫిన్‌కు సగం వరకు అమర్చబడి, ప్రతి వైపున ఒకే స్ట్రట్‌తో దిగువ పొట్టుకు కలుపుతారు మరియు సమతుల్య ఎలివేటర్లను చుక్కాని ఉద్యమానికి కటౌట్‌తో తీసుకువెళ్లారు. [1] HY.479 ను ఉభయచరంగా సులభంగా కాన్ఫిగర్ చేయవచ్చు, V- స్ట్రట్స"&amp;"్‌లోని మెయిన్‌వీల్స్ ఇంజిన్ స్ట్రట్స్ మరియు లోపలి V- స్ట్రట్‌ల పొడిగింపులపై అతుక్కొని ఉన్నాయి. లోపలి స్ట్రట్స్ డిస్‌కనెక్ట్ కావడంతో, చక్రాలను వింగ్ అండర్‌సైడ్‌కు బయటికి పెంచవచ్చు. [1] HY.479 యొక్క మొదటి ఫ్లైట్ యొక్క తేదీ తెలియదు కాని డిసెంబర్ 1926 ప్రారంభ"&amp;"ంలో ట్రయల్స్ జరుగుతున్నాయి, ఎటాంగ్ డి బెర్రే నుండి ఎగిరింది. సింగిల్-ఇంజిన్ పనితీరుతో సహా విమాన లక్షణాలు మంచివిగా నివేదించబడ్డాయి; [2] జనవరి 1927 లో అధికారిక పరీక్షల కోసం విమానం సెయింట్ రాఫాల్‌కు వెళ్లడానికి వీలు కల్పిస్తుంది. [3] ఒక చిన్న ప్రమాదం తరువాత,"&amp;" క్రేన్ కేబుల్ విఫలమైనప్పుడు, డెన్హాట్ ప్రాజెక్ట్ నుండి వైదొలిగినప్పుడు అభివృద్ధి ఆగిపోయింది, బహుశా టెన్డం ఇంజిన్లకు ఏరోనావాలే యొక్క ప్రాధాన్యత (ఇంజిన్ వైఫల్యం / అవకలన థొరెటల్ సెట్టింగుల సమయంలో అసమాన థ్రస్ట్ యొక్క సమస్యలను తగ్గించడం). అంతర్గత క్యాబిన్ [1]"&amp;" తో ప్రతిపాదిత ప్రయాణీకుల వెర్షన్ నిర్మించబడలేదు. లెస్ ఐల్స్, డిసెంబర్ 1926 నుండి డేటా [1] సాధారణ లక్షణాల పనితీరు")</f>
        <v>డెన్హాట్ HY.479 అనేది 1926 లో ఒక ఫ్రెంచ్ ఎగిరే పడవ మరియు ఇది వాణిజ్య లేదా సైనిక అనువర్తనాలకు అనువైనది. ఒకటి మాత్రమే, సైనిక ఆకృతీకరణలో, నిర్మించబడింది మరియు కొన్నిసార్లు దీనిని ఫ్రాన్స్-ఏవియేషన్ డెన్హాట్ అని పిలుస్తారు. HY.479 అసమాన విస్తరణ, మందపాటి విభాగం రెక్కలతో సింగిల్ బే బైప్‌లేన్. పొడవైన ఎగువ వింగ్ మూడు భాగాలలో ఉంది, చిన్న, దాదాపు దీర్ఘచతురస్రాకార కేంద్ర విభాగం మరియు ట్రాపెజోయిడల్ బాహ్య ప్యానెల్లు ఉన్నాయి. దిగువ రెక్కలు ఎగువ పొట్టుకు జతచేయబడ్డాయి మరియు స్థిరమైన తీగతో తుడుచుకుంటాయి, తరువాత స్క్వేర్డ్ చిట్కాలకు నేరుగా టేపర్డ్ చేయబడ్డాయి. ఎగువ రెక్క యొక్క పై ఉపరితలం చదునుగా ఉంది, కానీ మందంగా మందంగా కొన్ని డైహెడ్రల్ అందించింది; దిగువ వింగ్ రెండు ఉపరితలాలపై డైహెడ్రల్ తీసుకువెళ్ళింది. ఐలెరాన్స్, ఇది సగం వ్యవధిలో కప్పబడి ఉంది. ఎగువ రెక్కపై మాత్రమే అమర్చారు. [1] నిర్మాణాత్మకంగా రెక్కలు చెక్కతో ఉన్నాయి, రెండు స్పార్స్ మరియు ప్లైవుడ్ కప్పబడిన ప్రముఖ అంచులు ఉన్నాయి; మిగతా చోట్ల కవరింగ్ ఫాబ్రిక్. రెక్కలు ప్రతి వైపు ఒక జత సమాంతర, బాహ్య-వాలుగా ఉన్న ఇంటర్‌ప్లేన్ స్ట్రట్‌లతో కలిసి ఉన్నాయి. వీటి క్రింద, నిటారుగా కోణాల స్థిరీకరణ ఫ్లోట్లు దిగువ వింగ్ అండర్‌సైడ్‌కు చిన్న స్ట్రట్‌లతో జతచేయబడ్డాయి. హ్యాంగర్ స్థలాన్ని తగ్గించడానికి, బయటి రెక్కలను పొట్టుతో పాటు తిరిగి ముడుచుకోవచ్చు. [1] HY.479 ఒక జత 280 kW (380 HP) గ్నోమ్ &amp; రోన్ 9A బృహస్పతి తొమ్మిదవ-సిలిండర్ రేడియల్ ఇంజన్లు ఎగువ సెంటర్-సెక్షన్ చివర వెంటనే రెక్కల మధ్య స్ట్రట్-మౌంటెడ్ మిడ్ వే, వాటిని దగ్గరగా ఉంచుతుంది ప్రొపెల్లర్లు అనుమతించబడ్డాయి. ఇంజిన్లు అన్‌కల్ చేయబడ్డాయి, అయినప్పటికీ వారి ఉపకరణాలు వారి వెనుక శంఖాకార ఫెయిరింగ్‌ల క్రింద ఉంచబడ్డాయి. [1] దాని పొట్టు లోతుగా ఉంది, నిటారుగా ఉండే వైపులా మరియు దశలు లేకుండా నిస్సారమైన V- విభాగం అడుగు. ఇది పైన కప్పబడిన వాటర్‌లైన్ మరియు ప్లైవుడ్ క్రింద కంపార్ట్‌మెంట్, డబుల్- మరియు ట్రిపుల్-ప్లాంక్ చేయబడింది. పైలట్లు ప్రొపెల్లర్ల ముందు ఓపెన్ కాక్‌పిట్‌లో పక్కపక్కనే కూర్చున్నారు, ఉదార ​​విండ్‌స్క్రీన్ ద్వారా రక్షించబడింది. మొదట కాన్ఫిగర్ చేయబడిన మిలిటరీలో మొదట మరియు ఏకైక నమూనాలో గుండ్రని ముక్కు మరియు రెక్కలు మరియు తోక మధ్య మధ్యలో మెషిన్ గన్నర్స్ స్థానాలు ఉన్నాయి. డెన్హాట్ లో పెద్ద, త్రిభుజాకార ఫిన్ కలిగి ఉంది, లోతైన, వంగిన, సమతుల్య చుక్కానితో. దీని డెల్టా ప్లాన్ టెయిల్‌ప్లేన్ ఫిన్‌కు సగం వరకు అమర్చబడి, ప్రతి వైపున ఒకే స్ట్రట్‌తో దిగువ పొట్టుకు కలుపుతారు మరియు సమతుల్య ఎలివేటర్లను చుక్కాని ఉద్యమానికి కటౌట్‌తో తీసుకువెళ్లారు. [1] HY.479 ను ఉభయచరంగా సులభంగా కాన్ఫిగర్ చేయవచ్చు, V- స్ట్రట్స్‌లోని మెయిన్‌వీల్స్ ఇంజిన్ స్ట్రట్స్ మరియు లోపలి V- స్ట్రట్‌ల పొడిగింపులపై అతుక్కొని ఉన్నాయి. లోపలి స్ట్రట్స్ డిస్‌కనెక్ట్ కావడంతో, చక్రాలను వింగ్ అండర్‌సైడ్‌కు బయటికి పెంచవచ్చు. [1] HY.479 యొక్క మొదటి ఫ్లైట్ యొక్క తేదీ తెలియదు కాని డిసెంబర్ 1926 ప్రారంభంలో ట్రయల్స్ జరుగుతున్నాయి, ఎటాంగ్ డి బెర్రే నుండి ఎగిరింది. సింగిల్-ఇంజిన్ పనితీరుతో సహా విమాన లక్షణాలు మంచివిగా నివేదించబడ్డాయి; [2] జనవరి 1927 లో అధికారిక పరీక్షల కోసం విమానం సెయింట్ రాఫాల్‌కు వెళ్లడానికి వీలు కల్పిస్తుంది. [3] ఒక చిన్న ప్రమాదం తరువాత, క్రేన్ కేబుల్ విఫలమైనప్పుడు, డెన్హాట్ ప్రాజెక్ట్ నుండి వైదొలిగినప్పుడు అభివృద్ధి ఆగిపోయింది, బహుశా టెన్డం ఇంజిన్లకు ఏరోనావాలే యొక్క ప్రాధాన్యత (ఇంజిన్ వైఫల్యం / అవకలన థొరెటల్ సెట్టింగుల సమయంలో అసమాన థ్రస్ట్ యొక్క సమస్యలను తగ్గించడం). అంతర్గత క్యాబిన్ [1] తో ప్రతిపాదిత ప్రయాణీకుల వెర్షన్ నిర్మించబడలేదు. లెస్ ఐల్స్, డిసెంబర్ 1926 నుండి డేటా [1] సాధారణ లక్షణాల పనితీరు</v>
      </c>
      <c r="E159" s="1" t="s">
        <v>2317</v>
      </c>
      <c r="F159" s="1" t="str">
        <f>IFERROR(__xludf.DUMMYFUNCTION("GOOGLETRANSLATE(E:E, ""en"", ""te"")"),"సైనిక లేదా వాణిజ్య ఉభయచర ఎగిరే పడవ")</f>
        <v>సైనిక లేదా వాణిజ్య ఉభయచర ఎగిరే పడవ</v>
      </c>
      <c r="G159" s="1" t="s">
        <v>2318</v>
      </c>
      <c r="H159" s="1" t="s">
        <v>208</v>
      </c>
      <c r="I159" s="1" t="str">
        <f>IFERROR(__xludf.DUMMYFUNCTION("GOOGLETRANSLATE(H:H, ""en"", ""te"")"),"ఫ్రాన్స్")</f>
        <v>ఫ్రాన్స్</v>
      </c>
      <c r="J159" s="3" t="s">
        <v>209</v>
      </c>
      <c r="K159" s="1" t="s">
        <v>2319</v>
      </c>
      <c r="L159" s="2" t="str">
        <f>IFERROR(__xludf.DUMMYFUNCTION("GOOGLETRANSLATE(K:K, ""en"", ""te"")"),"ఫ్రాన్స్-ఏవియేషన్")</f>
        <v>ఫ్రాన్స్-ఏవియేషన్</v>
      </c>
      <c r="M159" s="3" t="s">
        <v>2320</v>
      </c>
      <c r="S159" s="1" t="s">
        <v>2321</v>
      </c>
      <c r="U159" s="1" t="s">
        <v>2322</v>
      </c>
      <c r="X159" s="1" t="s">
        <v>2323</v>
      </c>
      <c r="Y159" s="1" t="s">
        <v>2324</v>
      </c>
      <c r="Z159" s="1" t="s">
        <v>1460</v>
      </c>
      <c r="AA159" s="1" t="s">
        <v>2325</v>
      </c>
      <c r="AB159" s="1" t="s">
        <v>2326</v>
      </c>
      <c r="AD159" s="1" t="s">
        <v>2327</v>
      </c>
      <c r="AE159" s="1">
        <v>1.0</v>
      </c>
      <c r="AF159" s="1" t="s">
        <v>2328</v>
      </c>
      <c r="AG159" s="1" t="s">
        <v>2168</v>
      </c>
      <c r="AI159" s="1" t="s">
        <v>2329</v>
      </c>
      <c r="AJ159" s="1" t="s">
        <v>222</v>
      </c>
      <c r="AK159" s="1" t="s">
        <v>2330</v>
      </c>
      <c r="AL159" s="1" t="s">
        <v>2331</v>
      </c>
      <c r="AN159" s="1" t="s">
        <v>2332</v>
      </c>
      <c r="AO159" s="1" t="s">
        <v>2333</v>
      </c>
      <c r="AP159" s="1" t="s">
        <v>1300</v>
      </c>
      <c r="BS159" s="1" t="s">
        <v>2334</v>
      </c>
      <c r="ET159" s="1" t="s">
        <v>2335</v>
      </c>
    </row>
    <row r="160">
      <c r="A160" s="1" t="s">
        <v>2336</v>
      </c>
      <c r="B160" s="1" t="str">
        <f>IFERROR(__xludf.DUMMYFUNCTION("GOOGLETRANSLATE(A:A, ""en"", ""te"")"),"కూజినెట్ 10")</f>
        <v>కూజినెట్ 10</v>
      </c>
      <c r="C160" s="1" t="s">
        <v>2337</v>
      </c>
      <c r="D160" s="1" t="str">
        <f>IFERROR(__xludf.DUMMYFUNCTION("GOOGLETRANSLATE(C:C, ""en"", ""te"")"),"కూజినెట్ 10 ఆర్క్-ఎన్-సిల్ ('రెయిన్బో') మూడు ఇంజిన్, ఏరోడైనమిక్‌గా శుద్ధి చేయబడిన, కాంటిలివర్ తక్కువ వింగ్ మోనోప్లేన్ డిజైనర్ రెనే కూజినెట్ ఆలోచనకు మొదటి ఉదాహరణగా నిర్మించబడింది, ఉదాహరణకు దక్షిణ అట్లాంటిక్లో సురక్షితమైన సుదూర ప్రయాణీకుల రవాణాను అందించింది"&amp;" మార్గం. ఒకటి మాత్రమే పూర్తయింది, మరొకటి అయినప్పటికీ, వివిధ పరిమాణాలు మరియు శక్తుల సారూప్య విమానాలు అనుసరించాయి. అతని డిజైన్ స్టడీ నంబర్ 27 యొక్క ఫలితం అయినప్పటికీ, కూజినెట్ 10 నిర్మించిన అతని డిజైన్లలో మొదటిది. ఇది చిన్న కూజినెట్ 20 మరియు 30 సిరీస్ మరియు"&amp;" పెద్ద కూజినెట్ 40 మరియు 70 లకు దారితీసింది. [1] కూజినెట్ 10 యొక్క వన్-పీస్ వింగ్ రూట్ వద్ద 900 మిమీ (35.4 అంగుళాలు) మందంగా ఉంది, ఇది మందం నుండి తీగ నిష్పత్తి 18%, [2] మరియు చిట్కా వరకు నిరంతరం సన్నబడదు. ప్రణాళికలో ప్రతి రెక్కలు ట్రాపెజోయిడల్, అయితే పొడవై"&amp;"న చిట్కాలు సుమారు దీర్ఘవృత్తాకార రూపాన్ని ఉత్పత్తి చేస్తాయి. పొడవైన, ఇరుకైన తీగ ఐలెరాన్స్ వెనుకంజలో ఉన్న అంచులలో చాలా భాగాన్ని నింపాయి. ఇది పూర్తిగా చెక్క, రెండు బాక్స్ స్పార్స్ మరియు ప్లైవుడ్ చుట్టూ నిర్మించబడింది. [3] ఆర్క్-ఎన్-సిల్ మూడు 170 కిలోవాట్ల ("&amp;"230 హెచ్‌పి) హిస్పానో-సుజా 8 ఎసి వాటర్-కూల్డ్ నిటారుగా ఉన్న వి 8 ఇంజన్లు. ఒకటి ముక్కులో ఉంది మరియు మిగతా రెండు వింగ్ లీడింగ్ ఎడ్జ్ కంటే ముందు ఉన్నాయి, అన్నీ V8 యొక్క సిలిండర్ తలలను అనుసరించి లాంబ్లిన్ రేడియేటర్లతో చల్లబడిన కౌలింగ్స్ లోపల ఉన్నాయి. ఏడు వింగ"&amp;"్ ఇంధన ట్యాంకులు మొత్తం 6,200 ఎల్ (1,400 ఇంప్ గల్; 1,600 యుఎస్ గాల్) ను కలిగి ఉన్నాయి. [3] దాని రూట్ వద్ద రెక్క యొక్క మందం కారిడార్ 700 మిమీ (27.6 అంగుళాలు) ఎత్తు ద్వారా విమానంలో ఉన్న ఇంజిన్లను చేరుకోవడానికి సిబ్బందిని అనుమతించింది. [4] సెంట్రల్ ఇంజిన్ వె"&amp;"నుక ఫ్యూజ్‌లేజ్ ఎక్కువగా వృత్తాకార విభాగాన్ని కలిగి ఉంది, ఇది గరిష్టంగా 2.4 మీ (7 అడుగుల 10 అంగుళాలు) స్ట్రింగర్‌లతో అనుసంధానించబడిన ఫ్రేమ్‌ల నుండి నిర్మించబడింది మరియు సెమీ-మోనోకోక్ నిర్మాణంలోకి కప్పబడి ఉంటుంది. పరివేష్టిత కాక్‌పిట్ వింగ్ లీడింగ్ ఎడ్జ్‌ప"&amp;"ై ఉంది మరియు దాని వెనుక స్టార్‌బోర్డ్ వైపు తలుపు ద్వారా ప్రాప్యతతో విండోస్ క్యాబిన్ ఉంది. [3] ఇందులో రెండు బెర్తులు ముందుకు మరియు వెనుక వైపు, రేడియో-ఆపరేటర్ మరియు నావిగేటర్ కోసం టేబుల్స్ ఉన్నాయి, టాయిలెట్ మరింత వెనుక ఉంది. [2] [4] ఫిన్ శరీరంతో సమగ్రంగా ఉం"&amp;"ది, దాని నుండి నెమ్మదిగా పెరుగుతుంది (కూజినెట్ యొక్క డిజైన్ల యొక్క లక్షణం) మరియు కోణాల, వంగిన, లోతైన మరియు ఇరుకైన చుక్కానిని మోస్తుంది. ఆర్క్-ఎన్-సిల్ యొక్క త్రిభుజాకార ప్రణాళిక టెయిల్‌ప్లేన్, మధ్య-ఫ్యూజ్‌లేజ్ దగ్గర అమర్చబడి, చుక్కాని కదలిక కోసం వంగిన కటౌ"&amp;"ట్‌తో దెబ్బతిన్న ఎలివేటర్‌ను కలిగి ఉంది. [3] కూజినెట్ 10 స్థిర, సాంప్రదాయిక ల్యాండింగ్ గేర్లను కలిగి ఉంది, మెయిన్‌వీల్స్ బయటి ఇంజిన్ల క్రింద వింగ్ స్పార్స్ నుండి మరియు రబ్బరు త్రాడు షాక్ అబ్జార్బర్‌లతో ఉన్నాయి. వెనుకంజలో ఉన్న అంచులకు తిరిగి చేరుకున్న ఫెయి"&amp;"రింగ్‌లలో, దాని ట్రాక్ 5.4 మీ (17 అడుగులు 9 అంగుళాలు). టెయిల్‌ప్లేన్ యొక్క ప్రముఖ అంచు క్రింద ఉన్న ఫ్యూజ్‌లేజ్‌పై ఒక చిన్న టెయిల్‌స్కిడ్ అమర్చబడింది. [2] [3] కౌజినెట్ 10 ను మొదటిసారి 7 మే 1928 న మారిస్ డ్రౌహిన్ చేత ఎగురవేయబడింది. [5] మరింత విమానాలు బాగా స"&amp;"మన్వయంతో కూడిన నియంత్రణలను మరియు బాహ్య ఇంజిన్ వేగంతో ఎత్తును నిర్వహించే సామర్థ్యాన్ని 500 ఆర్‌పిఎమ్‌కి తగ్గించాయి మరియు సెంట్రల్ ఒకటి 1,500 ఆర్‌పిఎమ్ వద్ద, గరిష్టంగా 1,900 ఆర్‌పిఎమ్‌లతో పోలిస్తే. [5] అందించిన ఒక సెంట్రల్ ఇంజిన్‌లో సురక్షితంగా ఎగురుతున్న స"&amp;"ామర్థ్యం, ​​కౌజినెట్ ఆలోచన, బాహ్య ఇంజిన్ విఫలమైతే భద్రత. [2] జూలై 1928 నాటికి [6] దీనిని కౌజినెట్ 11 గా సెంట్రల్ 450 కిలోవాట్ (600 హెచ్‌పి) హిస్పానో 12 ఎల్బి వి 12 ఇంజిన్‌తో మార్చారు. [1] కూజినెట్ 11 ను కొన్నిసార్లు కూజినెట్ 27 అని పిలుస్తారు, ఇది డిజైన్ "&amp;"స్టడీ నంబర్‌ను టైప్ నంబర్‌గా ఉపయోగిస్తుంది, అయితే కూజినెట్ 20 సిరీస్ చాలా చిన్న విమానాలు. కొత్త ఇంజిన్ సంస్థాపన ఖాళీ బరువును 700 కిలోలు (1,500 ఎల్బి) మరియు కొద్దిగా పెరిగిన వేగం, పైకప్పు మరియు ఉపయోగకరమైన లోడ్ పెంచింది. [6] టైప్ 11 ఆగష్టు 8 1928 న ఓర్లీ వద"&amp;"్ద క్రాష్ అయ్యింది, తీవ్రమైన ఐలెరాన్ వేగంతో అల్లాడుతూ, డ్రౌహిన్ మరియు ఇంజనీర్ ఆండ్రే లానెట్ ఇద్దరినీ చంపింది. రెండవ ఎయిర్ఫ్రేమ్, మూడు హిస్పానో 12 ఎల్బి ఇంజన్లను కలిగి ఉండటానికి ఉద్దేశించబడింది, ఇది మొదటి కూజినెట్ 20 తో హ్యాంగర్ ఫైర్తో నాశనం అయినప్పుడు ప్ర"&amp;"ారంభించబడింది, ఇది ఫిబ్రవరి 17 న ఫ్రాన్స్‌లోని మీడాన్ వద్ద ఉన్న సోషియాట్ డి ఏవియేషన్ లెటార్డ్ యొక్క వర్క్‌షాప్‌లలో. [8 న. [8 ] FAIX [1] నుండి లెస్ ఐల్స్ నుండి డేటా, మార్చి 1928 [3] సాధారణ లక్షణాల పనితీరు")</f>
        <v>కూజినెట్ 10 ఆర్క్-ఎన్-సిల్ ('రెయిన్బో') మూడు ఇంజిన్, ఏరోడైనమిక్‌గా శుద్ధి చేయబడిన, కాంటిలివర్ తక్కువ వింగ్ మోనోప్లేన్ డిజైనర్ రెనే కూజినెట్ ఆలోచనకు మొదటి ఉదాహరణగా నిర్మించబడింది, ఉదాహరణకు దక్షిణ అట్లాంటిక్లో సురక్షితమైన సుదూర ప్రయాణీకుల రవాణాను అందించింది మార్గం. ఒకటి మాత్రమే పూర్తయింది, మరొకటి అయినప్పటికీ, వివిధ పరిమాణాలు మరియు శక్తుల సారూప్య విమానాలు అనుసరించాయి. అతని డిజైన్ స్టడీ నంబర్ 27 యొక్క ఫలితం అయినప్పటికీ, కూజినెట్ 10 నిర్మించిన అతని డిజైన్లలో మొదటిది. ఇది చిన్న కూజినెట్ 20 మరియు 30 సిరీస్ మరియు పెద్ద కూజినెట్ 40 మరియు 70 లకు దారితీసింది. [1] కూజినెట్ 10 యొక్క వన్-పీస్ వింగ్ రూట్ వద్ద 900 మిమీ (35.4 అంగుళాలు) మందంగా ఉంది, ఇది మందం నుండి తీగ నిష్పత్తి 18%, [2] మరియు చిట్కా వరకు నిరంతరం సన్నబడదు. ప్రణాళికలో ప్రతి రెక్కలు ట్రాపెజోయిడల్, అయితే పొడవైన చిట్కాలు సుమారు దీర్ఘవృత్తాకార రూపాన్ని ఉత్పత్తి చేస్తాయి. పొడవైన, ఇరుకైన తీగ ఐలెరాన్స్ వెనుకంజలో ఉన్న అంచులలో చాలా భాగాన్ని నింపాయి. ఇది పూర్తిగా చెక్క, రెండు బాక్స్ స్పార్స్ మరియు ప్లైవుడ్ చుట్టూ నిర్మించబడింది. [3] ఆర్క్-ఎన్-సిల్ మూడు 170 కిలోవాట్ల (230 హెచ్‌పి) హిస్పానో-సుజా 8 ఎసి వాటర్-కూల్డ్ నిటారుగా ఉన్న వి 8 ఇంజన్లు. ఒకటి ముక్కులో ఉంది మరియు మిగతా రెండు వింగ్ లీడింగ్ ఎడ్జ్ కంటే ముందు ఉన్నాయి, అన్నీ V8 యొక్క సిలిండర్ తలలను అనుసరించి లాంబ్లిన్ రేడియేటర్లతో చల్లబడిన కౌలింగ్స్ లోపల ఉన్నాయి. ఏడు వింగ్ ఇంధన ట్యాంకులు మొత్తం 6,200 ఎల్ (1,400 ఇంప్ గల్; 1,600 యుఎస్ గాల్) ను కలిగి ఉన్నాయి. [3] దాని రూట్ వద్ద రెక్క యొక్క మందం కారిడార్ 700 మిమీ (27.6 అంగుళాలు) ఎత్తు ద్వారా విమానంలో ఉన్న ఇంజిన్లను చేరుకోవడానికి సిబ్బందిని అనుమతించింది. [4] సెంట్రల్ ఇంజిన్ వెనుక ఫ్యూజ్‌లేజ్ ఎక్కువగా వృత్తాకార విభాగాన్ని కలిగి ఉంది, ఇది గరిష్టంగా 2.4 మీ (7 అడుగుల 10 అంగుళాలు) స్ట్రింగర్‌లతో అనుసంధానించబడిన ఫ్రేమ్‌ల నుండి నిర్మించబడింది మరియు సెమీ-మోనోకోక్ నిర్మాణంలోకి కప్పబడి ఉంటుంది. పరివేష్టిత కాక్‌పిట్ వింగ్ లీడింగ్ ఎడ్జ్‌పై ఉంది మరియు దాని వెనుక స్టార్‌బోర్డ్ వైపు తలుపు ద్వారా ప్రాప్యతతో విండోస్ క్యాబిన్ ఉంది. [3] ఇందులో రెండు బెర్తులు ముందుకు మరియు వెనుక వైపు, రేడియో-ఆపరేటర్ మరియు నావిగేటర్ కోసం టేబుల్స్ ఉన్నాయి, టాయిలెట్ మరింత వెనుక ఉంది. [2] [4] ఫిన్ శరీరంతో సమగ్రంగా ఉంది, దాని నుండి నెమ్మదిగా పెరుగుతుంది (కూజినెట్ యొక్క డిజైన్ల యొక్క లక్షణం) మరియు కోణాల, వంగిన, లోతైన మరియు ఇరుకైన చుక్కానిని మోస్తుంది. ఆర్క్-ఎన్-సిల్ యొక్క త్రిభుజాకార ప్రణాళిక టెయిల్‌ప్లేన్, మధ్య-ఫ్యూజ్‌లేజ్ దగ్గర అమర్చబడి, చుక్కాని కదలిక కోసం వంగిన కటౌట్‌తో దెబ్బతిన్న ఎలివేటర్‌ను కలిగి ఉంది. [3] కూజినెట్ 10 స్థిర, సాంప్రదాయిక ల్యాండింగ్ గేర్లను కలిగి ఉంది, మెయిన్‌వీల్స్ బయటి ఇంజిన్ల క్రింద వింగ్ స్పార్స్ నుండి మరియు రబ్బరు త్రాడు షాక్ అబ్జార్బర్‌లతో ఉన్నాయి. వెనుకంజలో ఉన్న అంచులకు తిరిగి చేరుకున్న ఫెయిరింగ్‌లలో, దాని ట్రాక్ 5.4 మీ (17 అడుగులు 9 అంగుళాలు). టెయిల్‌ప్లేన్ యొక్క ప్రముఖ అంచు క్రింద ఉన్న ఫ్యూజ్‌లేజ్‌పై ఒక చిన్న టెయిల్‌స్కిడ్ అమర్చబడింది. [2] [3] కౌజినెట్ 10 ను మొదటిసారి 7 మే 1928 న మారిస్ డ్రౌహిన్ చేత ఎగురవేయబడింది. [5] మరింత విమానాలు బాగా సమన్వయంతో కూడిన నియంత్రణలను మరియు బాహ్య ఇంజిన్ వేగంతో ఎత్తును నిర్వహించే సామర్థ్యాన్ని 500 ఆర్‌పిఎమ్‌కి తగ్గించాయి మరియు సెంట్రల్ ఒకటి 1,500 ఆర్‌పిఎమ్ వద్ద, గరిష్టంగా 1,900 ఆర్‌పిఎమ్‌లతో పోలిస్తే. [5] అందించిన ఒక సెంట్రల్ ఇంజిన్‌లో సురక్షితంగా ఎగురుతున్న సామర్థ్యం, ​​కౌజినెట్ ఆలోచన, బాహ్య ఇంజిన్ విఫలమైతే భద్రత. [2] జూలై 1928 నాటికి [6] దీనిని కౌజినెట్ 11 గా సెంట్రల్ 450 కిలోవాట్ (600 హెచ్‌పి) హిస్పానో 12 ఎల్బి వి 12 ఇంజిన్‌తో మార్చారు. [1] కూజినెట్ 11 ను కొన్నిసార్లు కూజినెట్ 27 అని పిలుస్తారు, ఇది డిజైన్ స్టడీ నంబర్‌ను టైప్ నంబర్‌గా ఉపయోగిస్తుంది, అయితే కూజినెట్ 20 సిరీస్ చాలా చిన్న విమానాలు. కొత్త ఇంజిన్ సంస్థాపన ఖాళీ బరువును 700 కిలోలు (1,500 ఎల్బి) మరియు కొద్దిగా పెరిగిన వేగం, పైకప్పు మరియు ఉపయోగకరమైన లోడ్ పెంచింది. [6] టైప్ 11 ఆగష్టు 8 1928 న ఓర్లీ వద్ద క్రాష్ అయ్యింది, తీవ్రమైన ఐలెరాన్ వేగంతో అల్లాడుతూ, డ్రౌహిన్ మరియు ఇంజనీర్ ఆండ్రే లానెట్ ఇద్దరినీ చంపింది. రెండవ ఎయిర్ఫ్రేమ్, మూడు హిస్పానో 12 ఎల్బి ఇంజన్లను కలిగి ఉండటానికి ఉద్దేశించబడింది, ఇది మొదటి కూజినెట్ 20 తో హ్యాంగర్ ఫైర్తో నాశనం అయినప్పుడు ప్రారంభించబడింది, ఇది ఫిబ్రవరి 17 న ఫ్రాన్స్‌లోని మీడాన్ వద్ద ఉన్న సోషియాట్ డి ఏవియేషన్ లెటార్డ్ యొక్క వర్క్‌షాప్‌లలో. [8 న. [8 ] FAIX [1] నుండి లెస్ ఐల్స్ నుండి డేటా, మార్చి 1928 [3] సాధారణ లక్షణాల పనితీరు</v>
      </c>
      <c r="E160" s="1" t="s">
        <v>2338</v>
      </c>
      <c r="F160" s="1" t="str">
        <f>IFERROR(__xludf.DUMMYFUNCTION("GOOGLETRANSLATE(E:E, ""en"", ""te"")"),"లాంగ్ రేంజ్ సివిల్ ఎయిర్క్రాఫ్ట్")</f>
        <v>లాంగ్ రేంజ్ సివిల్ ఎయిర్క్రాఫ్ట్</v>
      </c>
      <c r="H160" s="1" t="s">
        <v>208</v>
      </c>
      <c r="I160" s="1" t="str">
        <f>IFERROR(__xludf.DUMMYFUNCTION("GOOGLETRANSLATE(H:H, ""en"", ""te"")"),"ఫ్రాన్స్")</f>
        <v>ఫ్రాన్స్</v>
      </c>
      <c r="J160" s="3" t="s">
        <v>209</v>
      </c>
      <c r="K160" s="1" t="s">
        <v>2339</v>
      </c>
      <c r="L160" s="2" t="str">
        <f>IFERROR(__xludf.DUMMYFUNCTION("GOOGLETRANSLATE(K:K, ""en"", ""te"")"),"సోషియాట్ డెస్ ఏవియన్లు కౌజినెట్")</f>
        <v>సోషియాట్ డెస్ ఏవియన్లు కౌజినెట్</v>
      </c>
      <c r="Q160" s="1" t="s">
        <v>2340</v>
      </c>
      <c r="R160" s="1" t="s">
        <v>2341</v>
      </c>
      <c r="S160" s="1" t="s">
        <v>2342</v>
      </c>
      <c r="U160" s="1" t="s">
        <v>1127</v>
      </c>
      <c r="W160" s="1" t="s">
        <v>2343</v>
      </c>
      <c r="X160" s="1" t="s">
        <v>2344</v>
      </c>
      <c r="Y160" s="1" t="s">
        <v>2345</v>
      </c>
      <c r="Z160" s="1" t="s">
        <v>555</v>
      </c>
      <c r="AB160" s="1" t="s">
        <v>2346</v>
      </c>
      <c r="AD160" s="1" t="s">
        <v>2347</v>
      </c>
      <c r="AE160" s="1">
        <v>1.0</v>
      </c>
      <c r="AF160" s="1" t="s">
        <v>2348</v>
      </c>
      <c r="AG160" s="1" t="s">
        <v>2349</v>
      </c>
      <c r="AI160" s="1" t="s">
        <v>2350</v>
      </c>
      <c r="AJ160" s="1" t="s">
        <v>2351</v>
      </c>
      <c r="AL160" s="1" t="s">
        <v>2352</v>
      </c>
      <c r="AP160" s="1" t="s">
        <v>2353</v>
      </c>
      <c r="AQ160" s="1" t="s">
        <v>2354</v>
      </c>
      <c r="AS160" s="1" t="s">
        <v>2355</v>
      </c>
      <c r="BS160" s="1" t="s">
        <v>2356</v>
      </c>
    </row>
    <row r="161">
      <c r="A161" s="1" t="s">
        <v>2357</v>
      </c>
      <c r="B161" s="1" t="str">
        <f>IFERROR(__xludf.DUMMYFUNCTION("GOOGLETRANSLATE(A:A, ""en"", ""te"")"),"టెస్ట్‌బెడ్ విమానం")</f>
        <v>టెస్ట్‌బెడ్ విమానం</v>
      </c>
      <c r="C161" s="1" t="s">
        <v>2358</v>
      </c>
      <c r="D161" s="1" t="str">
        <f>IFERROR(__xludf.DUMMYFUNCTION("GOOGLETRANSLATE(C:C, ""en"", ""te"")"),"టెస్ట్‌బెడ్ విమానం ఒక విమానం, హెలికాప్టర్ లేదా విమాన పరిశోధన లేదా విమాన భావనలను లేదా ఆన్-బోర్డు పరికరాలను పరీక్షించడానికి ఉద్దేశించిన ఇతర రకాల విమానాలు. వీటిని సీరియల్ ఉత్పత్తి విమానాల నుండి ప్రత్యేకంగా రూపొందించవచ్చు లేదా సవరించవచ్చు. [1] [2] ఉదాహరణకు, క"&amp;"ొత్త విమాన ఇంజిన్ల అభివృద్ధిలో, ఇవి ధృవీకరణకు ముందు, విమాన పరీక్ష కోసం టెస్ట్‌బెడ్ విమానానికి అమర్చబడి ఉంటాయి. ఈ అనుసరణ కోసం, ఇతర మార్పులతో, కొత్త ఇన్స్ట్రుమెంటేషన్ వైరింగ్ మరియు పరికరాలు, ఇంధన వ్యవస్థ మరియు పైపింగ్, అలాగే రెక్క యొక్క నిర్మాణ మార్పులు అవస"&amp;"రం. [3] [4] ఫోలాండ్ FO.108 (""ఫోలాండ్ ఫ్రైట్ఫుల్"" అనే మారుపేరు) 1940 లలో ప్రత్యేకమైన ఇంజిన్ టెస్ట్‌బెడ్ విమానం. ఈ విమానం పరీక్ష ఇన్స్ట్రుమెంటేషన్ మరియు పరిశీలకుల కోసం మిడ్ ఫ్యూజ్‌లేజ్ క్యాబిన్ కలిగి ఉంది. పన్నెండు మందిని నిర్మించి బ్రిటిష్ ఏరో-ఇంజిన్ కంప"&amp;"ెనీలకు అందించారు. గ్రోమోవ్ ఫ్లైట్ రీసెర్చ్ ఇన్స్టిట్యూట్ 1941 నుండి రష్యా మరియు రష్యాలో 1941 నుండి పెద్ద సంఖ్యలో విమాన పరీక్షలను ఉత్పత్తి చేసింది మరియు పరీక్షించారు. [2] [5] అలైడ్సిగ్నల్, [6] హనీవెల్ ఏరోస్పేస్ [7] మరియు ప్రాట్ &amp; విట్నీ [8] మరియు ఇతర ఏరోస్"&amp;"పేస్ కంపెనీలు బోయింగ్ జెట్‌లైనర్‌లను ఫ్లయింగ్ టెస్ట్‌బెడ్ విమానంగా ఉపయోగించాయి. [9] ఈ విమానం సంబంధిత వ్యాసం ఒక స్టబ్. వికీపీడియా విస్తరించడం ద్వారా మీరు సహాయపడవచ్చు.")</f>
        <v>టెస్ట్‌బెడ్ విమానం ఒక విమానం, హెలికాప్టర్ లేదా విమాన పరిశోధన లేదా విమాన భావనలను లేదా ఆన్-బోర్డు పరికరాలను పరీక్షించడానికి ఉద్దేశించిన ఇతర రకాల విమానాలు. వీటిని సీరియల్ ఉత్పత్తి విమానాల నుండి ప్రత్యేకంగా రూపొందించవచ్చు లేదా సవరించవచ్చు. [1] [2] ఉదాహరణకు, కొత్త విమాన ఇంజిన్ల అభివృద్ధిలో, ఇవి ధృవీకరణకు ముందు, విమాన పరీక్ష కోసం టెస్ట్‌బెడ్ విమానానికి అమర్చబడి ఉంటాయి. ఈ అనుసరణ కోసం, ఇతర మార్పులతో, కొత్త ఇన్స్ట్రుమెంటేషన్ వైరింగ్ మరియు పరికరాలు, ఇంధన వ్యవస్థ మరియు పైపింగ్, అలాగే రెక్క యొక్క నిర్మాణ మార్పులు అవసరం. [3] [4] ఫోలాండ్ FO.108 ("ఫోలాండ్ ఫ్రైట్ఫుల్" అనే మారుపేరు) 1940 లలో ప్రత్యేకమైన ఇంజిన్ టెస్ట్‌బెడ్ విమానం. ఈ విమానం పరీక్ష ఇన్స్ట్రుమెంటేషన్ మరియు పరిశీలకుల కోసం మిడ్ ఫ్యూజ్‌లేజ్ క్యాబిన్ కలిగి ఉంది. పన్నెండు మందిని నిర్మించి బ్రిటిష్ ఏరో-ఇంజిన్ కంపెనీలకు అందించారు. గ్రోమోవ్ ఫ్లైట్ రీసెర్చ్ ఇన్స్టిట్యూట్ 1941 నుండి రష్యా మరియు రష్యాలో 1941 నుండి పెద్ద సంఖ్యలో విమాన పరీక్షలను ఉత్పత్తి చేసింది మరియు పరీక్షించారు. [2] [5] అలైడ్సిగ్నల్, [6] హనీవెల్ ఏరోస్పేస్ [7] మరియు ప్రాట్ &amp; విట్నీ [8] మరియు ఇతర ఏరోస్పేస్ కంపెనీలు బోయింగ్ జెట్‌లైనర్‌లను ఫ్లయింగ్ టెస్ట్‌బెడ్ విమానంగా ఉపయోగించాయి. [9] ఈ విమానం సంబంధిత వ్యాసం ఒక స్టబ్. వికీపీడియా విస్తరించడం ద్వారా మీరు సహాయపడవచ్చు.</v>
      </c>
      <c r="L161" s="2"/>
    </row>
    <row r="162">
      <c r="A162" s="1" t="s">
        <v>2359</v>
      </c>
      <c r="B162" s="1" t="str">
        <f>IFERROR(__xludf.DUMMYFUNCTION("GOOGLETRANSLATE(A:A, ""en"", ""te"")"),"సోనాకా 200")</f>
        <v>సోనాకా 200</v>
      </c>
      <c r="C162" s="1" t="s">
        <v>2360</v>
      </c>
      <c r="D162" s="1" t="str">
        <f>IFERROR(__xludf.DUMMYFUNCTION("GOOGLETRANSLATE(C:C, ""en"", ""te"")"),"సోనాకా 200 అనేది బెల్జియన్ రెండు-సీట్ల శిక్షణా విమానం, ఇది సోనాకా విమానం రూపొందించి నిర్మించబడింది. సోనాకా 200 అల్యూమినియం మిశ్రమం నుండి తయారైన తక్కువ-వింగ్ కాంటిలివర్ మోనోప్లేన్, ఇది రెండు పక్కపక్కనే సీట్లతో పరివేష్టిత క్యాబిన్ కలిగి ఉంది. ఇది 115 HP రోట"&amp;"ాక్స్ 914 చేత శక్తినిస్తుంది మరియు స్థిర ట్రైసైకిల్ ల్యాండింగ్ గేర్ కలిగి ఉంది. 2015 చివరలో, సోనాకా గ్రూప్ TAF యొక్క స్లింగ్ 2 ఆధారంగా కొత్త శిక్షణా విమానాల అభివృద్ధి, ధృవీకరణ మరియు మార్కెట్ ప్రయోగానికి అంకితమైన “సోనాకా ఎయిర్క్రాఫ్ట్” ను రూపొందిస్తున్నట్ల"&amp;"ు ప్రకటించింది. తరువాత ఈ విమానం సోనాకా 200 గా పేరు మార్చబడింది. సింగిల్-ఇంజన్ రెండు-సీటర్, ప్రత్యేకంగా పైలట్ల శిక్షణ మరియు విశ్రాంతి విమానాల కోసం రూపొందించబడింది, జూన్ 2018 లో ధృవీకరించబడింది. [1] సోనాకా 200 గరిష్టంగా 750 కిలోల టేకాఫ్ బరువు మరియు 115 నాట్"&amp;"ల క్రూయిజ్ వేగం కోసం ఈసా-ధృవీకరించబడింది. టైప్ సర్టిఫికేషన్ యొక్క అప్రెషెన్‌తో పాటు, సోనాకా విమానం డిజైన్ ఆర్గనైజేషన్ ఆమోదం (DOA) మరియు ఉత్పత్తి సంస్థల ఆమోదాలు (POA) ధృవీకరణను పొందింది. [1] ప్రారంభ ప్రదర్శనకారుడిని ఏప్రిల్ 2015 లో, జోహన్నెస్‌బర్గ్‌లో విమా"&amp;"నం కర్మాగారం సమావేశమైంది. ఏప్రిల్ 2017 లో, సోనాకా విమానం సోనాకా 200 యొక్క కొత్త సంస్కరణను ఆవిష్కరించింది, దీనిలో 80% నిర్మాణం ప్రారంభ ""te త్సాహిక నిర్మాణం"" ప్రోటోటైప్ వెర్షన్‌తో పోలిస్తే పున es రూపకల్పన చేయబడింది. [సైటేషన్ అవసరం] 2018 లో, S200 యొక్క రకం"&amp;" ధృవీకరణను పొందిన తరువాత , సోనాకా విమానం S201 అని పేరు పెట్టబడిన గ్లాస్ కాక్‌పిట్ వేరియంట్ అభివృద్ధిని ప్రకటించింది. [1] TCDS నుండి డేటా [2] సాధారణ లక్షణాల పనితీరు")</f>
        <v>సోనాకా 200 అనేది బెల్జియన్ రెండు-సీట్ల శిక్షణా విమానం, ఇది సోనాకా విమానం రూపొందించి నిర్మించబడింది. సోనాకా 200 అల్యూమినియం మిశ్రమం నుండి తయారైన తక్కువ-వింగ్ కాంటిలివర్ మోనోప్లేన్, ఇది రెండు పక్కపక్కనే సీట్లతో పరివేష్టిత క్యాబిన్ కలిగి ఉంది. ఇది 115 HP రోటాక్స్ 914 చేత శక్తినిస్తుంది మరియు స్థిర ట్రైసైకిల్ ల్యాండింగ్ గేర్ కలిగి ఉంది. 2015 చివరలో, సోనాకా గ్రూప్ TAF యొక్క స్లింగ్ 2 ఆధారంగా కొత్త శిక్షణా విమానాల అభివృద్ధి, ధృవీకరణ మరియు మార్కెట్ ప్రయోగానికి అంకితమైన “సోనాకా ఎయిర్క్రాఫ్ట్” ను రూపొందిస్తున్నట్లు ప్రకటించింది. తరువాత ఈ విమానం సోనాకా 200 గా పేరు మార్చబడింది. సింగిల్-ఇంజన్ రెండు-సీటర్, ప్రత్యేకంగా పైలట్ల శిక్షణ మరియు విశ్రాంతి విమానాల కోసం రూపొందించబడింది, జూన్ 2018 లో ధృవీకరించబడింది. [1] సోనాకా 200 గరిష్టంగా 750 కిలోల టేకాఫ్ బరువు మరియు 115 నాట్ల క్రూయిజ్ వేగం కోసం ఈసా-ధృవీకరించబడింది. టైప్ సర్టిఫికేషన్ యొక్క అప్రెషెన్‌తో పాటు, సోనాకా విమానం డిజైన్ ఆర్గనైజేషన్ ఆమోదం (DOA) మరియు ఉత్పత్తి సంస్థల ఆమోదాలు (POA) ధృవీకరణను పొందింది. [1] ప్రారంభ ప్రదర్శనకారుడిని ఏప్రిల్ 2015 లో, జోహన్నెస్‌బర్గ్‌లో విమానం కర్మాగారం సమావేశమైంది. ఏప్రిల్ 2017 లో, సోనాకా విమానం సోనాకా 200 యొక్క కొత్త సంస్కరణను ఆవిష్కరించింది, దీనిలో 80% నిర్మాణం ప్రారంభ "te త్సాహిక నిర్మాణం" ప్రోటోటైప్ వెర్షన్‌తో పోలిస్తే పున es రూపకల్పన చేయబడింది. [సైటేషన్ అవసరం] 2018 లో, S200 యొక్క రకం ధృవీకరణను పొందిన తరువాత , సోనాకా విమానం S201 అని పేరు పెట్టబడిన గ్లాస్ కాక్‌పిట్ వేరియంట్ అభివృద్ధిని ప్రకటించింది. [1] TCDS నుండి డేటా [2] సాధారణ లక్షణాల పనితీరు</v>
      </c>
      <c r="E162" s="1" t="s">
        <v>2361</v>
      </c>
      <c r="F162" s="1" t="str">
        <f>IFERROR(__xludf.DUMMYFUNCTION("GOOGLETRANSLATE(E:E, ""en"", ""te"")"),"చాలా తేలికపాటి విమానం")</f>
        <v>చాలా తేలికపాటి విమానం</v>
      </c>
      <c r="G162" s="1" t="s">
        <v>2362</v>
      </c>
      <c r="K162" s="1" t="s">
        <v>2363</v>
      </c>
      <c r="L162" s="2" t="str">
        <f>IFERROR(__xludf.DUMMYFUNCTION("GOOGLETRANSLATE(K:K, ""en"", ""te"")"),"సోనాకా విమానం")</f>
        <v>సోనాకా విమానం</v>
      </c>
      <c r="M162" s="1" t="s">
        <v>2364</v>
      </c>
      <c r="Q162" s="1" t="s">
        <v>2365</v>
      </c>
      <c r="R162" s="1" t="s">
        <v>2366</v>
      </c>
      <c r="S162" s="1" t="s">
        <v>2367</v>
      </c>
      <c r="W162" s="1" t="s">
        <v>177</v>
      </c>
      <c r="Z162" s="1" t="s">
        <v>2368</v>
      </c>
      <c r="AC162" s="1">
        <v>2017.0</v>
      </c>
      <c r="AD162" s="1">
        <v>2017.0</v>
      </c>
      <c r="AE162" s="1" t="s">
        <v>2369</v>
      </c>
      <c r="AF162" s="1" t="s">
        <v>2370</v>
      </c>
      <c r="AG162" s="1" t="s">
        <v>2371</v>
      </c>
      <c r="AI162" s="1" t="s">
        <v>2372</v>
      </c>
      <c r="AJ162" s="1" t="s">
        <v>2373</v>
      </c>
      <c r="AL162" s="1" t="s">
        <v>2374</v>
      </c>
      <c r="AM162" s="1" t="s">
        <v>2375</v>
      </c>
      <c r="AQ162" s="1" t="s">
        <v>794</v>
      </c>
      <c r="AR162" s="1" t="s">
        <v>631</v>
      </c>
      <c r="AS162" s="1" t="s">
        <v>2376</v>
      </c>
      <c r="BJ162" s="1" t="s">
        <v>2377</v>
      </c>
      <c r="BO162" s="1" t="s">
        <v>2378</v>
      </c>
      <c r="BP162" s="1" t="s">
        <v>2379</v>
      </c>
      <c r="BR162" s="1" t="s">
        <v>2380</v>
      </c>
      <c r="DG162" s="1" t="s">
        <v>2381</v>
      </c>
    </row>
    <row r="163">
      <c r="A163" s="1" t="s">
        <v>2382</v>
      </c>
      <c r="B163" s="1" t="str">
        <f>IFERROR(__xludf.DUMMYFUNCTION("GOOGLETRANSLATE(A:A, ""en"", ""te"")"),"హన్రియోట్ హెచ్ .25")</f>
        <v>హన్రియోట్ హెచ్ .25</v>
      </c>
      <c r="C163" s="1" t="s">
        <v>2383</v>
      </c>
      <c r="D163" s="1" t="str">
        <f>IFERROR(__xludf.DUMMYFUNCTION("GOOGLETRANSLATE(C:C, ""en"", ""te"")"),"హన్రియోట్ హెచ్ .25 ఒక ఫ్రెంచ్, సింగిల్-ఇంజిన్, ఆరు ప్యాసింజర్ విమానం 1926 లో నిర్మించబడింది. ఒకటి మాత్రమే ఎగిరింది. హన్రియోట్ హెచ్ .25 ఒక కలుపు, హై వింగ్ మోనోప్లేన్. ఇది ఆల్-మెటల్ నిర్మాణాన్ని కలిగి ఉంది, ప్రతిచోటా ఫాబ్రిక్‌తో కప్పబడి ఉంటుంది. దీని రెక్క "&amp;"మూడు భాగాలుగా నిర్మించబడింది, ఎగువ ఫ్యూజ్‌లేజ్ లాంగన్స్‌కు ఒక కేంద్ర విభాగం మరియు ఒక జత బాహ్య ప్యానెల్స్‌ను ప్రతి వైపు రెండు సెట్ల సమాంతర జత, ఒకదానితో ఒకటి అనుసంధానించబడిన స్ట్రట్‌ల ద్వారా కలుపుతారు, ఇవి రెక్కల స్పార్‌లపై రెండు బాగా వేరు చేయబడిన స్థానాల న"&amp;"ుండి నడిచాయి అండర్ క్యారేజ్ నిర్మాణంపై కలవడానికి. రెక్క తప్పనిసరిగా కొంచెం కోణాల టాప్స్ కాకుండా ప్రణాళికలో దీర్ఘచతురస్రాకారంగా ఉంది మరియు స్థిరమైన మందాన్ని కలిగి ఉంది. ఇరుకైన తీగ ఐలెరాన్లు సగం వెనుకంజలో ఉన్న అంచున బాగా నింపాయి. [1] ఇది 370 కిలోవాట్ల (500 "&amp;"హెచ్‌పి), పద్దెనిమిది సిలిండర్ సాల్మ్సన్ 18 సెం.మీ. సాల్మ్సన్ యొక్క నీటి-చల్లబడిన రేడియల్ ఇంజిన్లలో ఇది చివరి మరియు అత్యంత శక్తివంతమైనది, తొమ్మిది సిలిండర్ల యొక్క రెండు వరుస వరుసలతో. ఇది సిలిండర్-హెడ్స్ మీద టోపీలతో గుండ్రని కౌలింగ్‌లో జతచేయబడింది. రెక్క స"&amp;"ెంటర్-సెక్షన్‌లో ఇంధనం జరిగింది మరియు రెండు లాంబ్లిన్ రేడియేటర్లను అండర్ క్యారేజ్ కాళ్ళపై అమర్చారు. ఇంజిన్ వెనుక ఫ్యూజ్‌లేజ్ విభాగంలో దీర్ఘచతురస్రాకారంగా ఉంది, దీనిని లైట్-మెటల్, యు-సెక్షన్ లాంగన్స్ మరియు క్రాస్-ఫ్రేమ్‌ల ద్వారా నిర్వచించారు. ఓపెన్ కాక్‌పి"&amp;"ట్ వింగ్ లీడింగ్ ఎడ్జ్‌లో ఉంది, చిన్న సైడ్-విండోస్ మెరుగైన వీక్షణ కోసం క్రిందికి ఉంది. కాక్‌పిట్ వెనుక క్యాబిన్ ఆరుగురు ప్రయాణికులను కూర్చుంది, ఒక్కొక్కటి వారి స్వంత కిటికీతో. ఎంట్రీ పోర్ట్-సైడ్ తలుపు ద్వారా ఉంది మరియు ప్రయాణీకులు పారాచూట్ ద్వారా తప్పించు"&amp;"కోవడానికి పునర్వినియోగపరచలేని అత్యవసర పైకప్పు హాచ్ ఉంది. [1] క్షితిజ సమాంతర తోకను ఫ్యూజ్‌లేజ్ పైన అమర్చారు, ప్రతి వైపు దిగువ ఫ్యూజ్‌లేజ్ లాంగన్స్ నుండి ఒక జత సమాంతర స్ట్రట్‌లతో కలుపుతారు. దీని ప్రణాళిక రెక్కతో సమానంగా ఉంటుంది మరియు ఎలివేటర్లు విభజించబడ్డా"&amp;"యి, లోతైన, విశాలమైన చుక్కాని కోసం కటౌట్. సంఘటనల యొక్క టెయిల్‌ప్లేన్ కోణాన్ని విమానంలో కత్తిరించవచ్చు. తక్కువ ప్రాంతం ఫిన్ విస్తృతంగా ఉంది కాని అసాధారణంగా తక్కువ; దాని సంఘటనల కోణం భూమిపై మాత్రమే సర్దుబాటు చేయబడుతుంది. H.28 లో సాంప్రదాయ, స్థిర, టెయిల్స్కిడ్"&amp;" ల్యాండింగ్ గేర్ ఉంది. వ్యక్తిగత సెమీ-సర్క్యులర్ ఫెయిరింగ్‌లచే సగం ఉన్న దాని మెయిన్‌వీల్స్, ఒకే ఇరుసు మరియు రబ్బరు త్రాడు షాక్ అబ్జార్బర్‌లపై ఉన్నాయి, దిగువ ఫ్యూజ్‌లేజ్ లాంగన్స్‌పై ఎన్-ఫార్మ్ స్ట్రట్‌ల ద్వారా అమర్చిన స్ట్రీమ్లైన్డ్ ఫెయిరింగ్ లోపల కప్పబడి "&amp;"ఉన్నాయి మరియు వింగ్ బ్రేసింగ్ స్ట్రట్‌ల ద్వారా బలోపేతం చేయబడ్డాయి. అండర్ క్యారేజ్ ట్రాక్ 3 మీ (9 అడుగులు 10 అంగుళాలు). [1] H.28 యొక్క మొదటి ఫ్లైట్ యొక్క తేదీ తెలియదు కాని మే మధ్య నాటికి 1926 నాటికి దాని అభివృద్ధి కార్యక్రమం విల్లాకౌబ్లే వద్ద జరుగుతోంది. ["&amp;"1] ఈ రకంపై స్వతంత్ర నివేదికలు ఫ్రెంచ్ పత్రికలలో కనిపించవు మరియు రెండవ ఉదాహరణకి ఆధారాలు లేవు. లెస్ ఐల్స్, మే 1926 నుండి డేటా [1] సాధారణ లక్షణాల పనితీరు")</f>
        <v>హన్రియోట్ హెచ్ .25 ఒక ఫ్రెంచ్, సింగిల్-ఇంజిన్, ఆరు ప్యాసింజర్ విమానం 1926 లో నిర్మించబడింది. ఒకటి మాత్రమే ఎగిరింది. హన్రియోట్ హెచ్ .25 ఒక కలుపు, హై వింగ్ మోనోప్లేన్. ఇది ఆల్-మెటల్ నిర్మాణాన్ని కలిగి ఉంది, ప్రతిచోటా ఫాబ్రిక్‌తో కప్పబడి ఉంటుంది. దీని రెక్క మూడు భాగాలుగా నిర్మించబడింది, ఎగువ ఫ్యూజ్‌లేజ్ లాంగన్స్‌కు ఒక కేంద్ర విభాగం మరియు ఒక జత బాహ్య ప్యానెల్స్‌ను ప్రతి వైపు రెండు సెట్ల సమాంతర జత, ఒకదానితో ఒకటి అనుసంధానించబడిన స్ట్రట్‌ల ద్వారా కలుపుతారు, ఇవి రెక్కల స్పార్‌లపై రెండు బాగా వేరు చేయబడిన స్థానాల నుండి నడిచాయి అండర్ క్యారేజ్ నిర్మాణంపై కలవడానికి. రెక్క తప్పనిసరిగా కొంచెం కోణాల టాప్స్ కాకుండా ప్రణాళికలో దీర్ఘచతురస్రాకారంగా ఉంది మరియు స్థిరమైన మందాన్ని కలిగి ఉంది. ఇరుకైన తీగ ఐలెరాన్లు సగం వెనుకంజలో ఉన్న అంచున బాగా నింపాయి. [1] ఇది 370 కిలోవాట్ల (500 హెచ్‌పి), పద్దెనిమిది సిలిండర్ సాల్మ్సన్ 18 సెం.మీ. సాల్మ్సన్ యొక్క నీటి-చల్లబడిన రేడియల్ ఇంజిన్లలో ఇది చివరి మరియు అత్యంత శక్తివంతమైనది, తొమ్మిది సిలిండర్ల యొక్క రెండు వరుస వరుసలతో. ఇది సిలిండర్-హెడ్స్ మీద టోపీలతో గుండ్రని కౌలింగ్‌లో జతచేయబడింది. రెక్క సెంటర్-సెక్షన్‌లో ఇంధనం జరిగింది మరియు రెండు లాంబ్లిన్ రేడియేటర్లను అండర్ క్యారేజ్ కాళ్ళపై అమర్చారు. ఇంజిన్ వెనుక ఫ్యూజ్‌లేజ్ విభాగంలో దీర్ఘచతురస్రాకారంగా ఉంది, దీనిని లైట్-మెటల్, యు-సెక్షన్ లాంగన్స్ మరియు క్రాస్-ఫ్రేమ్‌ల ద్వారా నిర్వచించారు. ఓపెన్ కాక్‌పిట్ వింగ్ లీడింగ్ ఎడ్జ్‌లో ఉంది, చిన్న సైడ్-విండోస్ మెరుగైన వీక్షణ కోసం క్రిందికి ఉంది. కాక్‌పిట్ వెనుక క్యాబిన్ ఆరుగురు ప్రయాణికులను కూర్చుంది, ఒక్కొక్కటి వారి స్వంత కిటికీతో. ఎంట్రీ పోర్ట్-సైడ్ తలుపు ద్వారా ఉంది మరియు ప్రయాణీకులు పారాచూట్ ద్వారా తప్పించుకోవడానికి పునర్వినియోగపరచలేని అత్యవసర పైకప్పు హాచ్ ఉంది. [1] క్షితిజ సమాంతర తోకను ఫ్యూజ్‌లేజ్ పైన అమర్చారు, ప్రతి వైపు దిగువ ఫ్యూజ్‌లేజ్ లాంగన్స్ నుండి ఒక జత సమాంతర స్ట్రట్‌లతో కలుపుతారు. దీని ప్రణాళిక రెక్కతో సమానంగా ఉంటుంది మరియు ఎలివేటర్లు విభజించబడ్డాయి, లోతైన, విశాలమైన చుక్కాని కోసం కటౌట్. సంఘటనల యొక్క టెయిల్‌ప్లేన్ కోణాన్ని విమానంలో కత్తిరించవచ్చు. తక్కువ ప్రాంతం ఫిన్ విస్తృతంగా ఉంది కాని అసాధారణంగా తక్కువ; దాని సంఘటనల కోణం భూమిపై మాత్రమే సర్దుబాటు చేయబడుతుంది. H.28 లో సాంప్రదాయ, స్థిర, టెయిల్స్కిడ్ ల్యాండింగ్ గేర్ ఉంది. వ్యక్తిగత సెమీ-సర్క్యులర్ ఫెయిరింగ్‌లచే సగం ఉన్న దాని మెయిన్‌వీల్స్, ఒకే ఇరుసు మరియు రబ్బరు త్రాడు షాక్ అబ్జార్బర్‌లపై ఉన్నాయి, దిగువ ఫ్యూజ్‌లేజ్ లాంగన్స్‌పై ఎన్-ఫార్మ్ స్ట్రట్‌ల ద్వారా అమర్చిన స్ట్రీమ్లైన్డ్ ఫెయిరింగ్ లోపల కప్పబడి ఉన్నాయి మరియు వింగ్ బ్రేసింగ్ స్ట్రట్‌ల ద్వారా బలోపేతం చేయబడ్డాయి. అండర్ క్యారేజ్ ట్రాక్ 3 మీ (9 అడుగులు 10 అంగుళాలు). [1] H.28 యొక్క మొదటి ఫ్లైట్ యొక్క తేదీ తెలియదు కాని మే మధ్య నాటికి 1926 నాటికి దాని అభివృద్ధి కార్యక్రమం విల్లాకౌబ్లే వద్ద జరుగుతోంది. [1] ఈ రకంపై స్వతంత్ర నివేదికలు ఫ్రెంచ్ పత్రికలలో కనిపించవు మరియు రెండవ ఉదాహరణకి ఆధారాలు లేవు. లెస్ ఐల్స్, మే 1926 నుండి డేటా [1] సాధారణ లక్షణాల పనితీరు</v>
      </c>
      <c r="E163" s="1" t="s">
        <v>2384</v>
      </c>
      <c r="F163" s="1" t="str">
        <f>IFERROR(__xludf.DUMMYFUNCTION("GOOGLETRANSLATE(E:E, ""en"", ""te"")"),"ఆరు ప్యాసింజర్ విమానాలు")</f>
        <v>ఆరు ప్యాసింజర్ విమానాలు</v>
      </c>
      <c r="G163" s="1" t="s">
        <v>2385</v>
      </c>
      <c r="H163" s="1" t="s">
        <v>208</v>
      </c>
      <c r="I163" s="1" t="str">
        <f>IFERROR(__xludf.DUMMYFUNCTION("GOOGLETRANSLATE(H:H, ""en"", ""te"")"),"ఫ్రాన్స్")</f>
        <v>ఫ్రాన్స్</v>
      </c>
      <c r="J163" s="3" t="s">
        <v>209</v>
      </c>
      <c r="K163" s="1" t="s">
        <v>2386</v>
      </c>
      <c r="L163" s="2" t="str">
        <f>IFERROR(__xludf.DUMMYFUNCTION("GOOGLETRANSLATE(K:K, ""en"", ""te"")"),"హన్రియోట్ ఎట్ సెర్")</f>
        <v>హన్రియోట్ ఎట్ సెర్</v>
      </c>
      <c r="M163" s="1" t="s">
        <v>2387</v>
      </c>
      <c r="Q163" s="1" t="s">
        <v>162</v>
      </c>
      <c r="R163" s="1" t="s">
        <v>2388</v>
      </c>
      <c r="S163" s="1" t="s">
        <v>2389</v>
      </c>
      <c r="U163" s="1" t="s">
        <v>2390</v>
      </c>
      <c r="X163" s="1" t="s">
        <v>2391</v>
      </c>
      <c r="Y163" s="1" t="s">
        <v>2392</v>
      </c>
      <c r="AD163" s="1" t="s">
        <v>2393</v>
      </c>
      <c r="AE163" s="1">
        <v>1.0</v>
      </c>
      <c r="AF163" s="1" t="s">
        <v>2394</v>
      </c>
      <c r="AG163" s="1" t="s">
        <v>2395</v>
      </c>
      <c r="AI163" s="1" t="s">
        <v>2396</v>
      </c>
      <c r="AJ163" s="1" t="s">
        <v>222</v>
      </c>
      <c r="AL163" s="1" t="s">
        <v>2397</v>
      </c>
      <c r="AM163" s="1" t="s">
        <v>2398</v>
      </c>
      <c r="AQ163" s="1" t="s">
        <v>794</v>
      </c>
      <c r="AS163" s="1" t="s">
        <v>2399</v>
      </c>
    </row>
    <row r="164">
      <c r="A164" s="1" t="s">
        <v>2400</v>
      </c>
      <c r="B164" s="1" t="str">
        <f>IFERROR(__xludf.DUMMYFUNCTION("GOOGLETRANSLATE(A:A, ""en"", ""te"")"),"హన్రియోట్ H.34")</f>
        <v>హన్రియోట్ H.34</v>
      </c>
      <c r="C164" s="1" t="s">
        <v>2401</v>
      </c>
      <c r="D164" s="1" t="str">
        <f>IFERROR(__xludf.DUMMYFUNCTION("GOOGLETRANSLATE(C:C, ""en"", ""te"")"),"హన్రియోట్ హెచ్ .34 1924 లో ఫ్రాన్స్‌లో రూపొందించిన ప్రాథమిక శిక్షకుడు, ఇది ఉత్పత్తికి చేరుకోలేదు. ఇది పారాసోల్ వింగ్ విమానం, రెండుగా కూర్చుంది. పారాసోల్ రెక్కల హాన్రియోట్ H.34 చాలా విజయవంతమైన బిప్‌లేన్ HD.14 ను పూర్తి చేయడానికి ఉద్దేశించబడింది. ఇది ఎగరడం "&amp;"సులభం మరియు తక్కువ రెక్క లోడింగ్‌తో, తక్కువ స్టాలింగ్ మరియు ల్యాండింగ్ వేగాన్ని కలిగి ఉండటానికి రూపొందించబడింది. రెండు రకాలు ద్వంద్వ నియంత్రణలతో బోధకుడు మరియు విద్యార్థిని సమిష్టిగా ఉంచాయి. [1] H.34 యొక్క రెక్క మూడు భాగాలుగా ఉంది. రెండు బాహ్య విభాగాలు సమా"&amp;"ంతరంగా, సూటిగా మరియు అవాంఛనీయమైన ప్రముఖ మరియు వెనుకంజలో ఉన్న అంచులు మరియు నిటారుగా, కోణ చిట్కాలను కలిగి ఉన్నాయి. వారు వారి లోపలి చివరలను కూడా కత్తిరించారు, అక్కడ వారు దీర్ఘచతురస్రాకార, తగ్గించిన తీగ కేంద్రం విభాగాన్ని కలుసుకున్నారు, వెనుక సీటుపై కటౌట్ ఉత్"&amp;"పత్తి చేశారు. ఇరుకైన తీగ ఐలెరాన్లు వెనుకంజలో ఉన్న అంచుని నింపాయి. రెక్కలు జత డ్యూరాలిమిన్ స్పార్స్ మరియు చెక్క పక్కటెముకలతో మిశ్రమ నిర్మాణంలో ఉన్నాయి, కాని ఐలెరాన్స్ ఆల్-మెటల్. సమాంతర, వెనుక వైపున ఉన్న స్ట్రట్‌ల జతలు దిగువ ఫ్యూజ్‌లేజ్‌ను అనుసంధానించాయి మర"&amp;"ియు బయటి వింగ్ స్పార్‌లు మరియు ఎగువ ఫ్యూజ్‌లేజ్ నుండి మధ్య విభాగానికి నాలుగు నిలువు స్ట్రట్‌లను అనుసంధానించాయి. [1] H.34 ప్రారంభంలో 60 kW (80 HP) లే రోన్ 9 సి రోటరీ ఇంజిన్ చేత శక్తిని పొందింది, అయితే 67 kW (90 HP) అంజాని 10C లేదా 89 kW (120 HP) సాల్మ్సన్ "&amp;"9AC రేడియల్ ఇంజన్లు కూడా శక్తిని పొందవచ్చు. దాని చక్కని కౌలింగ్ వృత్తాకార విభాగంలో విలీనం అయ్యింది, అల్యూమినియం కప్పబడిన ఫ్రంట్ ఫ్యూజ్‌లేజ్, ఇది ఫార్వర్డ్ కాక్‌పిట్‌కు తిరిగి విస్తరించింది. కాక్‌పిట్ విభాగం మరియు వెనుక ఫ్యూజ్‌లేజ్ నాలుగు స్ప్రూస్ లాంగన్స్"&amp;" చేత నిర్వచించబడిన దీర్ఘచతురస్రాకార విభాగాన్ని కలిగి ఉంది మరియు ఫాబ్రిక్ కప్పబడి ఉంది. బోధకుడు ఫార్వర్డ్ సీట్లో కూర్చున్నాడు, అవసరమైతే రెండు సిట్టింగ్ సైడ్-బై సైడ్ అంగీకరించేంత కాక్‌పిట్‌లో ఉన్న విద్యార్థి వెనుకబడి ఉన్నారు. [1] AFT, ఫ్యూజ్‌లేజ్ ఒక సాంప్రద"&amp;"ాయ సామ్రాజ్యానికి ప్రణాళికలో ఉంది. దాని టెయిల్‌ప్లేన్, రెక్కకు సమానమైన ప్రణాళికతో, విమానంలో సర్దుబాటు చేయగల సంఘటనల కోణంలో ఫ్యూజ్‌లేజ్ పైన అమర్చబడింది. ఇది దిగువ లాంగన్స్ నుండి సమాంతర జతల స్ట్రట్స్ ద్వారా కలుపుతారు మరియు కోణీయ ఎలివేటర్లను తీసుకువెళ్లారు. ఫ"&amp;"ిన్ గుండ్రంగా ఉంది, పూర్తి, వక్ర చుక్కాని కలిగి ఉంది, ఇది కీల్‌కు చేరుకుంది మరియు ఎలివేటర్ కటౌట్‌లో పనిచేసింది. [1] H.34 స్థిర, టెయిల్స్కిడ్ ల్యాండింగ్ గేర్, దాని మెయిన్ వీల్స్ 1.80 మీ (5 అడుగుల 11 అంగుళాలు) మధ్యలో ఒక ఇరుసుపై ఉన్నాయి. ఇరుసు యొక్క బయటి చివ"&amp;"రలు దిగువ లాంగన్స్ నుండి V- స్ట్రట్స్‌పై రబ్బరు పుట్టుకొచ్చాయి మరియు దాని కేంద్రం తప్పుడు ఇరుసు నుండి మద్దతు ఇస్తుంది. [1] మొదటి ఫ్లైట్ 1924 లో తయారు చేయబడింది; తేదీ తెలియదు అయినప్పటికీ, ఇది సెప్టెంబర్ మధ్య నాటికి ఎగురుతోంది, ఆవెర్గ్నే ఏరో-క్లబ్ నేషనల్ ర్"&amp;"యాలీలో పాల్గొంటుంది. [2] నవంబర్ నాటికి ఇది విల్లాకౌబ్లేలో పరీక్షలో ఉంది. [1] H.34 ను హన్రియోట్ H.35 అడ్వాన్స్‌డ్ ట్రైనర్‌గా అభివృద్ధి చేశారు, ఇది ఒకే లేఅవుట్ మరియు ప్రదర్శన మరియు అదే నిర్మాణం మరియు కొలతలు యొక్క రెక్కలను కలిగి ఉంది, కానీ చాలా శక్తివంతమైన 1"&amp;"30 kW (180 HP) హిస్పానో-సుయిజా 8AB మరియు డ్యూరల్ తో -ఫ్రేమ్ ఫ్యూజ్‌లేజ్. ఇది ఎక్కువ, భారీగా మరియు వేగంగా ఉంది. [3] లెస్ ఐల్స్ నుండి డేటా, నవంబర్ 1924 [1] సాధారణ లక్షణాల పనితీరు")</f>
        <v>హన్రియోట్ హెచ్ .34 1924 లో ఫ్రాన్స్‌లో రూపొందించిన ప్రాథమిక శిక్షకుడు, ఇది ఉత్పత్తికి చేరుకోలేదు. ఇది పారాసోల్ వింగ్ విమానం, రెండుగా కూర్చుంది. పారాసోల్ రెక్కల హాన్రియోట్ H.34 చాలా విజయవంతమైన బిప్‌లేన్ HD.14 ను పూర్తి చేయడానికి ఉద్దేశించబడింది. ఇది ఎగరడం సులభం మరియు తక్కువ రెక్క లోడింగ్‌తో, తక్కువ స్టాలింగ్ మరియు ల్యాండింగ్ వేగాన్ని కలిగి ఉండటానికి రూపొందించబడింది. రెండు రకాలు ద్వంద్వ నియంత్రణలతో బోధకుడు మరియు విద్యార్థిని సమిష్టిగా ఉంచాయి. [1] H.34 యొక్క రెక్క మూడు భాగాలుగా ఉంది. రెండు బాహ్య విభాగాలు సమాంతరంగా, సూటిగా మరియు అవాంఛనీయమైన ప్రముఖ మరియు వెనుకంజలో ఉన్న అంచులు మరియు నిటారుగా, కోణ చిట్కాలను కలిగి ఉన్నాయి. వారు వారి లోపలి చివరలను కూడా కత్తిరించారు, అక్కడ వారు దీర్ఘచతురస్రాకార, తగ్గించిన తీగ కేంద్రం విభాగాన్ని కలుసుకున్నారు, వెనుక సీటుపై కటౌట్ ఉత్పత్తి చేశారు. ఇరుకైన తీగ ఐలెరాన్లు వెనుకంజలో ఉన్న అంచుని నింపాయి. రెక్కలు జత డ్యూరాలిమిన్ స్పార్స్ మరియు చెక్క పక్కటెముకలతో మిశ్రమ నిర్మాణంలో ఉన్నాయి, కాని ఐలెరాన్స్ ఆల్-మెటల్. సమాంతర, వెనుక వైపున ఉన్న స్ట్రట్‌ల జతలు దిగువ ఫ్యూజ్‌లేజ్‌ను అనుసంధానించాయి మరియు బయటి వింగ్ స్పార్‌లు మరియు ఎగువ ఫ్యూజ్‌లేజ్ నుండి మధ్య విభాగానికి నాలుగు నిలువు స్ట్రట్‌లను అనుసంధానించాయి. [1] H.34 ప్రారంభంలో 60 kW (80 HP) లే రోన్ 9 సి రోటరీ ఇంజిన్ చేత శక్తిని పొందింది, అయితే 67 kW (90 HP) అంజాని 10C లేదా 89 kW (120 HP) సాల్మ్సన్ 9AC రేడియల్ ఇంజన్లు కూడా శక్తిని పొందవచ్చు. దాని చక్కని కౌలింగ్ వృత్తాకార విభాగంలో విలీనం అయ్యింది, అల్యూమినియం కప్పబడిన ఫ్రంట్ ఫ్యూజ్‌లేజ్, ఇది ఫార్వర్డ్ కాక్‌పిట్‌కు తిరిగి విస్తరించింది. కాక్‌పిట్ విభాగం మరియు వెనుక ఫ్యూజ్‌లేజ్ నాలుగు స్ప్రూస్ లాంగన్స్ చేత నిర్వచించబడిన దీర్ఘచతురస్రాకార విభాగాన్ని కలిగి ఉంది మరియు ఫాబ్రిక్ కప్పబడి ఉంది. బోధకుడు ఫార్వర్డ్ సీట్లో కూర్చున్నాడు, అవసరమైతే రెండు సిట్టింగ్ సైడ్-బై సైడ్ అంగీకరించేంత కాక్‌పిట్‌లో ఉన్న విద్యార్థి వెనుకబడి ఉన్నారు. [1] AFT, ఫ్యూజ్‌లేజ్ ఒక సాంప్రదాయ సామ్రాజ్యానికి ప్రణాళికలో ఉంది. దాని టెయిల్‌ప్లేన్, రెక్కకు సమానమైన ప్రణాళికతో, విమానంలో సర్దుబాటు చేయగల సంఘటనల కోణంలో ఫ్యూజ్‌లేజ్ పైన అమర్చబడింది. ఇది దిగువ లాంగన్స్ నుండి సమాంతర జతల స్ట్రట్స్ ద్వారా కలుపుతారు మరియు కోణీయ ఎలివేటర్లను తీసుకువెళ్లారు. ఫిన్ గుండ్రంగా ఉంది, పూర్తి, వక్ర చుక్కాని కలిగి ఉంది, ఇది కీల్‌కు చేరుకుంది మరియు ఎలివేటర్ కటౌట్‌లో పనిచేసింది. [1] H.34 స్థిర, టెయిల్స్కిడ్ ల్యాండింగ్ గేర్, దాని మెయిన్ వీల్స్ 1.80 మీ (5 అడుగుల 11 అంగుళాలు) మధ్యలో ఒక ఇరుసుపై ఉన్నాయి. ఇరుసు యొక్క బయటి చివరలు దిగువ లాంగన్స్ నుండి V- స్ట్రట్స్‌పై రబ్బరు పుట్టుకొచ్చాయి మరియు దాని కేంద్రం తప్పుడు ఇరుసు నుండి మద్దతు ఇస్తుంది. [1] మొదటి ఫ్లైట్ 1924 లో తయారు చేయబడింది; తేదీ తెలియదు అయినప్పటికీ, ఇది సెప్టెంబర్ మధ్య నాటికి ఎగురుతోంది, ఆవెర్గ్నే ఏరో-క్లబ్ నేషనల్ ర్యాలీలో పాల్గొంటుంది. [2] నవంబర్ నాటికి ఇది విల్లాకౌబ్లేలో పరీక్షలో ఉంది. [1] H.34 ను హన్రియోట్ H.35 అడ్వాన్స్‌డ్ ట్రైనర్‌గా అభివృద్ధి చేశారు, ఇది ఒకే లేఅవుట్ మరియు ప్రదర్శన మరియు అదే నిర్మాణం మరియు కొలతలు యొక్క రెక్కలను కలిగి ఉంది, కానీ చాలా శక్తివంతమైన 130 kW (180 HP) హిస్పానో-సుయిజా 8AB మరియు డ్యూరల్ తో -ఫ్రేమ్ ఫ్యూజ్‌లేజ్. ఇది ఎక్కువ, భారీగా మరియు వేగంగా ఉంది. [3] లెస్ ఐల్స్ నుండి డేటా, నవంబర్ 1924 [1] సాధారణ లక్షణాల పనితీరు</v>
      </c>
      <c r="E164" s="1" t="s">
        <v>2402</v>
      </c>
      <c r="F164" s="1" t="str">
        <f>IFERROR(__xludf.DUMMYFUNCTION("GOOGLETRANSLATE(E:E, ""en"", ""te"")"),"శిక్షణా విమానం")</f>
        <v>శిక్షణా విమానం</v>
      </c>
      <c r="G164" s="1" t="s">
        <v>2403</v>
      </c>
      <c r="H164" s="1" t="s">
        <v>208</v>
      </c>
      <c r="I164" s="1" t="str">
        <f>IFERROR(__xludf.DUMMYFUNCTION("GOOGLETRANSLATE(H:H, ""en"", ""te"")"),"ఫ్రాన్స్")</f>
        <v>ఫ్రాన్స్</v>
      </c>
      <c r="J164" s="3" t="s">
        <v>209</v>
      </c>
      <c r="K164" s="1" t="s">
        <v>2404</v>
      </c>
      <c r="L164" s="2" t="str">
        <f>IFERROR(__xludf.DUMMYFUNCTION("GOOGLETRANSLATE(K:K, ""en"", ""te"")"),"ఏవియన్లు హాన్రియోట్")</f>
        <v>ఏవియన్లు హాన్రియోట్</v>
      </c>
      <c r="M164" s="1" t="s">
        <v>2405</v>
      </c>
      <c r="Q164" s="1" t="s">
        <v>2406</v>
      </c>
      <c r="R164" s="1" t="s">
        <v>2407</v>
      </c>
      <c r="S164" s="1" t="s">
        <v>2408</v>
      </c>
      <c r="U164" s="1" t="s">
        <v>2409</v>
      </c>
      <c r="W164" s="1" t="s">
        <v>177</v>
      </c>
      <c r="X164" s="1" t="s">
        <v>2410</v>
      </c>
      <c r="Y164" s="1" t="s">
        <v>2411</v>
      </c>
      <c r="AA164" s="1" t="s">
        <v>441</v>
      </c>
      <c r="AD164" s="1">
        <v>1924.0</v>
      </c>
      <c r="AE164" s="1" t="s">
        <v>2412</v>
      </c>
      <c r="AF164" s="1" t="s">
        <v>1964</v>
      </c>
      <c r="AI164" s="1" t="s">
        <v>2413</v>
      </c>
      <c r="AJ164" s="1" t="s">
        <v>222</v>
      </c>
      <c r="AL164" s="1" t="s">
        <v>2414</v>
      </c>
      <c r="AQ164" s="1" t="s">
        <v>1808</v>
      </c>
      <c r="BK164" s="1" t="s">
        <v>1970</v>
      </c>
      <c r="BT164" s="1" t="s">
        <v>2415</v>
      </c>
      <c r="BU164" s="1" t="s">
        <v>2416</v>
      </c>
    </row>
    <row r="165">
      <c r="A165" s="1" t="s">
        <v>2417</v>
      </c>
      <c r="B165" s="1" t="str">
        <f>IFERROR(__xludf.DUMMYFUNCTION("GOOGLETRANSLATE(A:A, ""en"", ""te"")"),"సికోర్స్కీ ఎస్ -9")</f>
        <v>సికోర్స్కీ ఎస్ -9</v>
      </c>
      <c r="C165" s="1" t="s">
        <v>2418</v>
      </c>
      <c r="D165" s="1" t="str">
        <f>IFERROR(__xludf.DUMMYFUNCTION("GOOGLETRANSLATE(C:C, ""en"", ""te"")"),"సికోర్స్కీ ఎస్ -9 క్రుగ్లీజ్ (గుండ్రని ఒకటి) రష్యన్ బాల్టిక్ రైల్‌రోడ్ కార్ వర్క్స్ 1913 వసంతకాలంలో పూర్తి చేసిన రష్యన్ సింగిల్ ఇంజిన్ ప్రోటోటైప్ విమానం, ఇగోర్ సికోర్స్కీ విమానం తయారీ విభాగానికి చీఫ్ ఇంజనీర్. S-9 అనేది మూడు-సీట్ల మిడ్-వింగ్ మోనోప్లేన్, ఇద"&amp;"ి స్థిరమైన-తీగ వైర్-బ్రేస్డ్ రెక్కలతో మొదట 100 HP (75 kW) వద్ద రేట్ చేయబడిన గ్నోమ్ ఎయిర్-కూల్డ్ రోటరీ ఇంజిన్ ద్వారా శక్తినిస్తుంది. ఇది రష్యాలో నిర్మించిన మొట్టమొదటి మోనోకోక్ మోనోప్లేన్ మరియు ఫార్వర్డ్ విభాగంలో 5 మిమీ మందంతో ప్లైవుడ్ మరియు 3 మిమీ మందపాటి "&amp;"వెనుక భాగంలో స్థూపాకార దెబ్బతిన్న ఫ్యూజ్‌లేజ్ నిర్మించబడింది. 1913 వసంతకాలంలో నిర్మాణం పూర్తయింది. [1] [2] పూర్తయిన తర్వాత, S-9 ated హించిన దానికంటే గణనీయంగా భారీగా ఉన్నట్లు కనుగొనబడింది మరియు ఇంజిన్ దాని రేటెడ్ హార్స్‌పవర్‌లో 80% మాత్రమే పంపిణీ చేసింది. "&amp;"ప్రారంభ విమాన పరీక్షలు చాలా తక్కువ పనితీరును వెల్లడించాయి. ఇంజిన్ స్థానంలో 100 హెచ్‌పి (75 కిలోవాట్ల) గ్నోమ్ మోనోసౌప్యాప్ మరియు మరిన్ని విమానాలు నామమాత్రపు వేగంతో మాత్రమే పెరిగాయి. యంత్రం చివరికి రద్దు చేయబడింది. [1] [3] రష్యన్ ఏవియేషన్ మ్యూజియం నుండి డేట"&amp;"ా [2] సాధారణ లక్షణాల పనితీరు")</f>
        <v>సికోర్స్కీ ఎస్ -9 క్రుగ్లీజ్ (గుండ్రని ఒకటి) రష్యన్ బాల్టిక్ రైల్‌రోడ్ కార్ వర్క్స్ 1913 వసంతకాలంలో పూర్తి చేసిన రష్యన్ సింగిల్ ఇంజిన్ ప్రోటోటైప్ విమానం, ఇగోర్ సికోర్స్కీ విమానం తయారీ విభాగానికి చీఫ్ ఇంజనీర్. S-9 అనేది మూడు-సీట్ల మిడ్-వింగ్ మోనోప్లేన్, ఇది స్థిరమైన-తీగ వైర్-బ్రేస్డ్ రెక్కలతో మొదట 100 HP (75 kW) వద్ద రేట్ చేయబడిన గ్నోమ్ ఎయిర్-కూల్డ్ రోటరీ ఇంజిన్ ద్వారా శక్తినిస్తుంది. ఇది రష్యాలో నిర్మించిన మొట్టమొదటి మోనోకోక్ మోనోప్లేన్ మరియు ఫార్వర్డ్ విభాగంలో 5 మిమీ మందంతో ప్లైవుడ్ మరియు 3 మిమీ మందపాటి వెనుక భాగంలో స్థూపాకార దెబ్బతిన్న ఫ్యూజ్‌లేజ్ నిర్మించబడింది. 1913 వసంతకాలంలో నిర్మాణం పూర్తయింది. [1] [2] పూర్తయిన తర్వాత, S-9 ated హించిన దానికంటే గణనీయంగా భారీగా ఉన్నట్లు కనుగొనబడింది మరియు ఇంజిన్ దాని రేటెడ్ హార్స్‌పవర్‌లో 80% మాత్రమే పంపిణీ చేసింది. ప్రారంభ విమాన పరీక్షలు చాలా తక్కువ పనితీరును వెల్లడించాయి. ఇంజిన్ స్థానంలో 100 హెచ్‌పి (75 కిలోవాట్ల) గ్నోమ్ మోనోసౌప్యాప్ మరియు మరిన్ని విమానాలు నామమాత్రపు వేగంతో మాత్రమే పెరిగాయి. యంత్రం చివరికి రద్దు చేయబడింది. [1] [3] రష్యన్ ఏవియేషన్ మ్యూజియం నుండి డేటా [2] సాధారణ లక్షణాల పనితీరు</v>
      </c>
      <c r="E165" s="1" t="s">
        <v>2419</v>
      </c>
      <c r="F165" s="1" t="str">
        <f>IFERROR(__xludf.DUMMYFUNCTION("GOOGLETRANSLATE(E:E, ""en"", ""te"")"),"ప్రయోగాత్మక మోనోప్లేన్")</f>
        <v>ప్రయోగాత్మక మోనోప్లేన్</v>
      </c>
      <c r="H165" s="1" t="s">
        <v>376</v>
      </c>
      <c r="I165" s="1" t="str">
        <f>IFERROR(__xludf.DUMMYFUNCTION("GOOGLETRANSLATE(H:H, ""en"", ""te"")"),"రష్యన్ సామ్రాజ్యం")</f>
        <v>రష్యన్ సామ్రాజ్యం</v>
      </c>
      <c r="J165" s="1" t="s">
        <v>377</v>
      </c>
      <c r="K165" s="1" t="s">
        <v>378</v>
      </c>
      <c r="L165" s="2" t="str">
        <f>IFERROR(__xludf.DUMMYFUNCTION("GOOGLETRANSLATE(K:K, ""en"", ""te"")"),"రష్యన్ బాల్టిక్ రైల్‌రోడ్ కార్ వర్క్స్")</f>
        <v>రష్యన్ బాల్టిక్ రైల్‌రోడ్ కార్ వర్క్స్</v>
      </c>
      <c r="M165" s="1" t="s">
        <v>379</v>
      </c>
      <c r="Q165" s="1" t="s">
        <v>212</v>
      </c>
      <c r="S165" s="1" t="s">
        <v>2420</v>
      </c>
      <c r="U165" s="1" t="s">
        <v>2421</v>
      </c>
      <c r="X165" s="1" t="s">
        <v>2422</v>
      </c>
      <c r="Y165" s="1" t="s">
        <v>2423</v>
      </c>
      <c r="AB165" s="1" t="s">
        <v>382</v>
      </c>
      <c r="AD165" s="1">
        <v>1913.0</v>
      </c>
      <c r="AE165" s="1">
        <v>1.0</v>
      </c>
      <c r="AI165" s="1" t="s">
        <v>2424</v>
      </c>
      <c r="AJ165" s="1" t="s">
        <v>222</v>
      </c>
      <c r="AL165" s="1" t="s">
        <v>2425</v>
      </c>
      <c r="AM165" s="1" t="s">
        <v>2426</v>
      </c>
      <c r="AN165" s="1" t="s">
        <v>386</v>
      </c>
      <c r="AU165" s="1" t="s">
        <v>2427</v>
      </c>
    </row>
    <row r="166">
      <c r="A166" s="1" t="s">
        <v>2428</v>
      </c>
      <c r="B166" s="1" t="str">
        <f>IFERROR(__xludf.DUMMYFUNCTION("GOOGLETRANSLATE(A:A, ""en"", ""te"")"),"పెరెట్-నెస్లర్ లిబెల్యూల్")</f>
        <v>పెరెట్-నెస్లర్ లిబెల్యూల్</v>
      </c>
      <c r="C166" s="1" t="s">
        <v>2429</v>
      </c>
      <c r="D166" s="1" t="str">
        <f>IFERROR(__xludf.DUMMYFUNCTION("GOOGLETRANSLATE(C:C, ""en"", ""te"")"),"పెరెట్-నెస్లర్ లిబెల్యూల్ (డ్రాగన్‌ఫ్లై) ఒక ఫ్రెంచ్ రెండు-సీట్ల, తక్కువ శక్తితో కూడిన (9 కిలోవాట్ల (12 హెచ్‌పి)) పారాసోల్ వింగ్ లైట్ విమానం 1927 లో నిర్మించబడింది, ఆచరణాత్మక కానీ ఆర్థిక ఎగిరేది. ఈ ఫ్రెంచ్ ఏవియోనెట్లలో ఇది మొదటిది. ఎరిక్ నెస్లర్ ఇంటర్-వార్"&amp;" పీరియడ్ [1] [2] లో ఫ్రెంచ్ గ్లైడర్ పైలట్ మరియు బిల్డర్‌గా ప్రసిద్ది చెందారు మరియు లూయిస్ పెరెట్ అనుభవజ్ఞుడైన విమాన డిజైనర్ మరియు కన్స్ట్రక్టర్. పెరెట్ 1922 లో మొట్టమొదటి బ్రిటిష్ గ్లైడింగ్ పోటీని గెలుచుకున్న టెన్డం వింగ్ పెరెట్ అలెరియన్ గ్లైడర్‌ను రూపొంద"&amp;"ించింది మరియు నిర్మించింది మరియు ఇతరులతో తరచూ సహకరించింది, పెరెట్-లే ప్రియూర్ సీప్లేన్ ఒక ఉదాహరణ. చాలా తక్కువ శక్తితో కూడిన రెండు-సీట్ల లైట్ ప్లేన్ రూపకల్పనను నెస్లర్ పరిగణనలోకి తీసుకోవడం ప్రారంభించినప్పుడు, పెరెట్ భాగస్వామి యొక్క సహజ ఎంపిక. కారు కంటే ఎక్"&amp;"కువ ఖర్చులు లేని ఆచరణాత్మక విమానాన్ని ఉత్పత్తి చేయడమే దీని ఉద్దేశ్యం. [3] లిబెల్యూల్ యొక్క మూడు భాగాల పారాసోల్ వింగ్ ప్రణాళికలో మరియు డైహెడ్రల్ లేకుండా దీర్ఘచతురస్రాకారంగా ఉంది. రెండు బాక్స్ స్పార్‌ల చుట్టూ నిర్మించిన, దాని మధ్య విభాగం ఫ్యూజ్‌లేజ్ పైన ఉన్"&amp;"న సమాంతర, బాహ్య-వాలుగా ఉన్న స్పార్‌ల నుండి దాని అంత్య భాగాల నుండి ఎగువ ఫ్యూజ్‌లేజ్ కోసం ఎగువ ఫ్యూజ్‌లేజ్ వరకు మరియు బయటి ప్యానెల్స్‌ను దిగువ లాంగన్స్ నుండి డ్యూరాలిమినియం వి-స్ట్రట్‌లతో కలుపుతారు. సుమారు 60% వ్యవధిలో స్పార్‌లకు. రెక్కల స్థానం ప్రాప్ వాష్ "&amp;"గురించి ఎక్కువగా స్పష్టంగా ఉంచడం మరియు గురుత్వాకర్షణ కేంద్రాన్ని తగ్గించడం ద్వారా, పార్శ్వ స్థిరత్వాన్ని పెంచుతుంది. సెంటర్ విభాగం పూర్తిగా రోడోడ్ తో కప్పబడి ఉంది, ఇది కాక్‌పిట్‌ల నుండి నిరంతరాయంగా పైకి వీక్షణను అందించడానికి ఉపయోగించే పారదర్శక పదార్థం మరి"&amp;"యు బట్టతో కప్పబడిన బయటి ప్యానెల్లు. [4] పెయిరెట్ రూపొందించిన లిబెల్యూల్ యొక్క అసాధారణ ఐలెరాన్స్, [5] చిట్కాల నుండి మిడ్-స్పాన్ వరకు నడిచింది; వెనుక స్పార్ మీద అమర్చబడి, అవి స్పానల్ వారీగా రెండు సమాన తీగ భాగాలుగా విభజించబడ్డాయి, కలిసి అతుక్కొని, ఒకదానితో ఒ"&amp;"కటి అనుసంధానించబడ్డాయి, తద్వారా వెనుక ఉపరితలం ఫార్వర్డ్ కంటే ఎక్కువ విక్షేపం కలిగి ఉంటుంది, ముఖ్యంగా పైకి విక్షేపం విషయంలో. పార్శ్వ నియంత్రణను అతి తక్కువ వేగంతో నిలుపుకోవడమే ఉద్దేశ్యం. [4] లిబెల్యూల్ 8.9 కిలోవాట్ల (12 హెచ్‌పి) సాల్మ్సన్ AD.3 అల్యూమినియం క"&amp;"ౌలింగ్‌లోని మూడు సిలిండర్ రేడియల్ ఇంజిన్‌తో శక్తినిచ్చింది, దీని ద్వారా సిలిండర్ హెడ్లు శీతలీకరణ కోసం అంచనా వేశాయి. ఇంజిన్ వెనుక చెక్క ఫ్యూజ్‌లేజ్ దీర్ఘచతురస్రాకార విభాగాన్ని కలిగి ఉంది, దీనిని నలుగురు లాంగన్లు వరుస ఫ్రేమ్‌లతో ఏర్పరుస్తారు. ఇది రెక్క కింద"&amp;" కాక్‌పిట్ ప్రాంతంలో 6 మిమీ (0.24 అంగుళాలు) మందపాటి ప్లైవుడ్‌తో కప్పబడి ఉంది, అయితే 1 మిమీ (0.04 అంగుళాలు) మందపాటి మరింత వెనుకకు మాత్రమే ఉంది. రెక్క క్రింద ఒకే కాక్‌పిట్, 800 మిమీ (31.5 అంగుళాలు) పొడవు ఉంది, పైలట్ మరియు అతని ప్రయాణీకుడికి టెన్డం సీట్లు ఉన"&amp;"్నాయి. ప్రయాణీకుడికి హెడ్‌రెస్ట్ ఉంది, ఇది ఎగువ ఫ్యూజ్‌లేజ్ ఫెయిరింగ్ యొక్క ప్రారంభాన్ని ఏర్పరుస్తుంది, ఫాబ్రిక్-కప్పబడి మరియు తోకకు తిరిగి పరిగెత్తింది. నిలువు తోక ప్రొఫైల్‌లో రోంబాయిడల్, అసమతుల్య చుక్కానితో. క్షితిజ సమాంతర తోక ప్రణాళికలో దీర్ఘచతురస్రాకా"&amp;"రంగా ఉంది మరియు ఐలెరాన్ల మాదిరిగా, వెనుక భాగంలో ఎక్కువ విక్షేపణలతో స్పాన్వైజ్‌ను రెండు కదిలే విభాగాలుగా విభజించింది. [4] [6] లిబెల్యూల్ యొక్క ల్యాండింగ్ గేర్ 1.20 మీ (47.2 అంగుళాలు) ట్రాక్‌తో పరిష్కరించబడింది మరియు సాంప్రదాయంగా ఉంది. దీని మెయిన్‌వీల్స్ ఒక"&amp;"ే ఇరుసుపై ఉన్నాయి, ఇవి సెంట్రల్ మరియు దిగువ ఫ్యూజ్‌లేజ్‌తో పార్శ్వ, విలోమ, ప్రొఫైల్డ్ స్టీల్ గొట్టాల యొక్క W- స్ట్రట్‌తో, రబ్బరు త్రాడు షాక్ అబ్జార్బర్‌లతో అనుసంధానించబడి ఉన్నాయి. డ్రాగ్ లోడ్లు ఫోర్-అండ్-ఫాక్ట్ వైర్ బ్రేసింగ్‌తో ఎదుర్కోబడ్డాయి. [4] [6] ఏక"&amp;"ైక లిబెల్యూల్ మొదట డిసెంబర్ 1927 మధ్యలో ఎగురవేయబడింది [7] మరియు జూన్ 1928 లో దాని వాయువ్య ధృవీకరణ పత్రం వచ్చింది. [8] జూన్ చివరలో ఇది ఓర్లీలో నెస్లర్ చేత ప్రదర్శించబడింది [9] మరియు ఇది లైట్ ప్లేన్ సమావేశం కోసం సెప్టెంబరులో మళ్ళీ అక్కడకు తిరిగి వచ్చింది. ["&amp;"10] తక్కువ-శక్తి విమానం (ఫ్రెంచ్‌లో ఏవియోనెట్‌లు) యొక్క యోగ్యత గురించి ఫ్రాన్స్‌లో తరచుగా చర్చలు జరిగాయి, ఇది లిబెల్ను ఈ రకానికి ఉదాహరణగా పేర్కొంది. [3] [6] [11] 1930 లో ఇది 35,000 ఫ్రాంక్‌ల ధర వద్ద అమ్మకానికి ఇవ్వబడింది [12] మరియు ఇది కనీసం 1934 చివరి వర"&amp;"కు చురుకుగా ఉంది. [6] లెస్ ఐల్స్ నుండి డేటా, మే 1928 [4] సాధారణ లక్షణాల పనితీరు")</f>
        <v>పెరెట్-నెస్లర్ లిబెల్యూల్ (డ్రాగన్‌ఫ్లై) ఒక ఫ్రెంచ్ రెండు-సీట్ల, తక్కువ శక్తితో కూడిన (9 కిలోవాట్ల (12 హెచ్‌పి)) పారాసోల్ వింగ్ లైట్ విమానం 1927 లో నిర్మించబడింది, ఆచరణాత్మక కానీ ఆర్థిక ఎగిరేది. ఈ ఫ్రెంచ్ ఏవియోనెట్లలో ఇది మొదటిది. ఎరిక్ నెస్లర్ ఇంటర్-వార్ పీరియడ్ [1] [2] లో ఫ్రెంచ్ గ్లైడర్ పైలట్ మరియు బిల్డర్‌గా ప్రసిద్ది చెందారు మరియు లూయిస్ పెరెట్ అనుభవజ్ఞుడైన విమాన డిజైనర్ మరియు కన్స్ట్రక్టర్. పెరెట్ 1922 లో మొట్టమొదటి బ్రిటిష్ గ్లైడింగ్ పోటీని గెలుచుకున్న టెన్డం వింగ్ పెరెట్ అలెరియన్ గ్లైడర్‌ను రూపొందించింది మరియు నిర్మించింది మరియు ఇతరులతో తరచూ సహకరించింది, పెరెట్-లే ప్రియూర్ సీప్లేన్ ఒక ఉదాహరణ. చాలా తక్కువ శక్తితో కూడిన రెండు-సీట్ల లైట్ ప్లేన్ రూపకల్పనను నెస్లర్ పరిగణనలోకి తీసుకోవడం ప్రారంభించినప్పుడు, పెరెట్ భాగస్వామి యొక్క సహజ ఎంపిక. కారు కంటే ఎక్కువ ఖర్చులు లేని ఆచరణాత్మక విమానాన్ని ఉత్పత్తి చేయడమే దీని ఉద్దేశ్యం. [3] లిబెల్యూల్ యొక్క మూడు భాగాల పారాసోల్ వింగ్ ప్రణాళికలో మరియు డైహెడ్రల్ లేకుండా దీర్ఘచతురస్రాకారంగా ఉంది. రెండు బాక్స్ స్పార్‌ల చుట్టూ నిర్మించిన, దాని మధ్య విభాగం ఫ్యూజ్‌లేజ్ పైన ఉన్న సమాంతర, బాహ్య-వాలుగా ఉన్న స్పార్‌ల నుండి దాని అంత్య భాగాల నుండి ఎగువ ఫ్యూజ్‌లేజ్ కోసం ఎగువ ఫ్యూజ్‌లేజ్ వరకు మరియు బయటి ప్యానెల్స్‌ను దిగువ లాంగన్స్ నుండి డ్యూరాలిమినియం వి-స్ట్రట్‌లతో కలుపుతారు. సుమారు 60% వ్యవధిలో స్పార్‌లకు. రెక్కల స్థానం ప్రాప్ వాష్ గురించి ఎక్కువగా స్పష్టంగా ఉంచడం మరియు గురుత్వాకర్షణ కేంద్రాన్ని తగ్గించడం ద్వారా, పార్శ్వ స్థిరత్వాన్ని పెంచుతుంది. సెంటర్ విభాగం పూర్తిగా రోడోడ్ తో కప్పబడి ఉంది, ఇది కాక్‌పిట్‌ల నుండి నిరంతరాయంగా పైకి వీక్షణను అందించడానికి ఉపయోగించే పారదర్శక పదార్థం మరియు బట్టతో కప్పబడిన బయటి ప్యానెల్లు. [4] పెయిరెట్ రూపొందించిన లిబెల్యూల్ యొక్క అసాధారణ ఐలెరాన్స్, [5] చిట్కాల నుండి మిడ్-స్పాన్ వరకు నడిచింది; వెనుక స్పార్ మీద అమర్చబడి, అవి స్పానల్ వారీగా రెండు సమాన తీగ భాగాలుగా విభజించబడ్డాయి, కలిసి అతుక్కొని, ఒకదానితో ఒకటి అనుసంధానించబడ్డాయి, తద్వారా వెనుక ఉపరితలం ఫార్వర్డ్ కంటే ఎక్కువ విక్షేపం కలిగి ఉంటుంది, ముఖ్యంగా పైకి విక్షేపం విషయంలో. పార్శ్వ నియంత్రణను అతి తక్కువ వేగంతో నిలుపుకోవడమే ఉద్దేశ్యం. [4] లిబెల్యూల్ 8.9 కిలోవాట్ల (12 హెచ్‌పి) సాల్మ్సన్ AD.3 అల్యూమినియం కౌలింగ్‌లోని మూడు సిలిండర్ రేడియల్ ఇంజిన్‌తో శక్తినిచ్చింది, దీని ద్వారా సిలిండర్ హెడ్లు శీతలీకరణ కోసం అంచనా వేశాయి. ఇంజిన్ వెనుక చెక్క ఫ్యూజ్‌లేజ్ దీర్ఘచతురస్రాకార విభాగాన్ని కలిగి ఉంది, దీనిని నలుగురు లాంగన్లు వరుస ఫ్రేమ్‌లతో ఏర్పరుస్తారు. ఇది రెక్క కింద కాక్‌పిట్ ప్రాంతంలో 6 మిమీ (0.24 అంగుళాలు) మందపాటి ప్లైవుడ్‌తో కప్పబడి ఉంది, అయితే 1 మిమీ (0.04 అంగుళాలు) మందపాటి మరింత వెనుకకు మాత్రమే ఉంది. రెక్క క్రింద ఒకే కాక్‌పిట్, 800 మిమీ (31.5 అంగుళాలు) పొడవు ఉంది, పైలట్ మరియు అతని ప్రయాణీకుడికి టెన్డం సీట్లు ఉన్నాయి. ప్రయాణీకుడికి హెడ్‌రెస్ట్ ఉంది, ఇది ఎగువ ఫ్యూజ్‌లేజ్ ఫెయిరింగ్ యొక్క ప్రారంభాన్ని ఏర్పరుస్తుంది, ఫాబ్రిక్-కప్పబడి మరియు తోకకు తిరిగి పరిగెత్తింది. నిలువు తోక ప్రొఫైల్‌లో రోంబాయిడల్, అసమతుల్య చుక్కానితో. క్షితిజ సమాంతర తోక ప్రణాళికలో దీర్ఘచతురస్రాకారంగా ఉంది మరియు ఐలెరాన్ల మాదిరిగా, వెనుక భాగంలో ఎక్కువ విక్షేపణలతో స్పాన్వైజ్‌ను రెండు కదిలే విభాగాలుగా విభజించింది. [4] [6] లిబెల్యూల్ యొక్క ల్యాండింగ్ గేర్ 1.20 మీ (47.2 అంగుళాలు) ట్రాక్‌తో పరిష్కరించబడింది మరియు సాంప్రదాయంగా ఉంది. దీని మెయిన్‌వీల్స్ ఒకే ఇరుసుపై ఉన్నాయి, ఇవి సెంట్రల్ మరియు దిగువ ఫ్యూజ్‌లేజ్‌తో పార్శ్వ, విలోమ, ప్రొఫైల్డ్ స్టీల్ గొట్టాల యొక్క W- స్ట్రట్‌తో, రబ్బరు త్రాడు షాక్ అబ్జార్బర్‌లతో అనుసంధానించబడి ఉన్నాయి. డ్రాగ్ లోడ్లు ఫోర్-అండ్-ఫాక్ట్ వైర్ బ్రేసింగ్‌తో ఎదుర్కోబడ్డాయి. [4] [6] ఏకైక లిబెల్యూల్ మొదట డిసెంబర్ 1927 మధ్యలో ఎగురవేయబడింది [7] మరియు జూన్ 1928 లో దాని వాయువ్య ధృవీకరణ పత్రం వచ్చింది. [8] జూన్ చివరలో ఇది ఓర్లీలో నెస్లర్ చేత ప్రదర్శించబడింది [9] మరియు ఇది లైట్ ప్లేన్ సమావేశం కోసం సెప్టెంబరులో మళ్ళీ అక్కడకు తిరిగి వచ్చింది. [10] తక్కువ-శక్తి విమానం (ఫ్రెంచ్‌లో ఏవియోనెట్‌లు) యొక్క యోగ్యత గురించి ఫ్రాన్స్‌లో తరచుగా చర్చలు జరిగాయి, ఇది లిబెల్ను ఈ రకానికి ఉదాహరణగా పేర్కొంది. [3] [6] [11] 1930 లో ఇది 35,000 ఫ్రాంక్‌ల ధర వద్ద అమ్మకానికి ఇవ్వబడింది [12] మరియు ఇది కనీసం 1934 చివరి వరకు చురుకుగా ఉంది. [6] లెస్ ఐల్స్ నుండి డేటా, మే 1928 [4] సాధారణ లక్షణాల పనితీరు</v>
      </c>
      <c r="E166" s="1" t="s">
        <v>2430</v>
      </c>
      <c r="F166" s="1" t="str">
        <f>IFERROR(__xludf.DUMMYFUNCTION("GOOGLETRANSLATE(E:E, ""en"", ""te"")"),"క్రీడా విమానం")</f>
        <v>క్రీడా విమానం</v>
      </c>
      <c r="G166" s="1" t="s">
        <v>2431</v>
      </c>
      <c r="H166" s="1" t="s">
        <v>208</v>
      </c>
      <c r="I166" s="1" t="str">
        <f>IFERROR(__xludf.DUMMYFUNCTION("GOOGLETRANSLATE(H:H, ""en"", ""te"")"),"ఫ్రాన్స్")</f>
        <v>ఫ్రాన్స్</v>
      </c>
      <c r="J166" s="3" t="s">
        <v>209</v>
      </c>
      <c r="K166" s="1" t="s">
        <v>1956</v>
      </c>
      <c r="L166" s="2" t="str">
        <f>IFERROR(__xludf.DUMMYFUNCTION("GOOGLETRANSLATE(K:K, ""en"", ""te"")"),"లూయిస్ పెరెట్")</f>
        <v>లూయిస్ పెరెట్</v>
      </c>
      <c r="M166" s="1" t="s">
        <v>1957</v>
      </c>
      <c r="Q166" s="1" t="s">
        <v>2432</v>
      </c>
      <c r="R166" s="1" t="s">
        <v>1959</v>
      </c>
      <c r="S166" s="1" t="s">
        <v>2433</v>
      </c>
      <c r="U166" s="1" t="s">
        <v>2434</v>
      </c>
      <c r="X166" s="1" t="s">
        <v>2435</v>
      </c>
      <c r="Y166" s="1" t="s">
        <v>2436</v>
      </c>
      <c r="AA166" s="1" t="s">
        <v>2437</v>
      </c>
      <c r="AB166" s="1" t="s">
        <v>2438</v>
      </c>
      <c r="AD166" s="1" t="s">
        <v>2439</v>
      </c>
      <c r="AE166" s="1">
        <v>1.0</v>
      </c>
      <c r="AF166" s="1" t="s">
        <v>1677</v>
      </c>
      <c r="AG166" s="1" t="s">
        <v>2440</v>
      </c>
      <c r="AI166" s="1" t="s">
        <v>2441</v>
      </c>
      <c r="AJ166" s="1" t="s">
        <v>2442</v>
      </c>
      <c r="AK166" s="1" t="s">
        <v>2443</v>
      </c>
      <c r="AL166" s="1" t="s">
        <v>2444</v>
      </c>
      <c r="AM166" s="1" t="s">
        <v>524</v>
      </c>
      <c r="AP166" s="1" t="s">
        <v>885</v>
      </c>
      <c r="AQ166" s="1" t="s">
        <v>2445</v>
      </c>
      <c r="AS166" s="1" t="s">
        <v>2446</v>
      </c>
      <c r="BQ166" s="1" t="s">
        <v>2447</v>
      </c>
      <c r="EU166" s="1" t="s">
        <v>2448</v>
      </c>
    </row>
    <row r="167">
      <c r="A167" s="1" t="s">
        <v>2449</v>
      </c>
      <c r="B167" s="1" t="str">
        <f>IFERROR(__xludf.DUMMYFUNCTION("GOOGLETRANSLATE(A:A, ""en"", ""te"")"),"అజలేయా సాబెర్వింగ్")</f>
        <v>అజలేయా సాబెర్వింగ్</v>
      </c>
      <c r="C167" s="1" t="s">
        <v>2450</v>
      </c>
      <c r="D167" s="1" t="str">
        <f>IFERROR(__xludf.DUMMYFUNCTION("GOOGLETRANSLATE(C:C, ""en"", ""te"")"),"అజలేయా సాబెర్వింగ్, హమ్మింగ్‌బర్డ్ జాతులకు పేరు పెట్టబడింది, ఇది ఒక అమెరికన్ te త్సాహిక-నిర్మిత విమానం, ఇది జార్జియాలోని అడెల్ యొక్క అజలేయా ఏవియేషన్ చేత రూపొందించబడింది మరియు ఉత్పత్తి చేయబడింది, ఇది 2015 లో సన్ ఎన్ ఫన్ వద్ద ప్రవేశపెట్టబడింది. ఈ విమానం అమె"&amp;"చ్యూర్ నిర్మాణానికి ఒక కిట్‌గా సరఫరా చేయబడుతుంది. [[పట్టు కుములి సాబెర్వింగ్ ఒక కాంటిలివర్ లో-వింగ్, బబుల్ పందిరి కింద రెండు-సైడ్-ఇన్-సైడ్ కాన్ఫిగరేషన్ పరివేష్టిత కాక్‌పిట్, స్థిర సాంప్రదాయ ల్యాండింగ్ గేర్ లేదా ఐచ్ఛికంగా ట్రైసైకిల్ ల్యాండింగ్ గేర్, వీల్ ప"&amp;"్యాంటు మరియు ట్రాక్టర్ కాన్ఫిగరేషన్‌లో ఒకే ఇంజిన్‌తో ఉన్నాయి. [[పట్టు కుములి ఈ విమానం మిశ్రమ-ఫోమ్ శాండ్‌విచ్ నుండి వింగ్ స్పార్స్ మరియు కలప-సమ్మేళనం శాండ్‌విచ్ నుండి తయారైన వింగ్ పక్కటెముకలతో తయారు చేయబడింది. నిర్మాణాన్ని సరళీకృతం చేయడానికి తక్కువ భాగాల-క"&amp;"ౌంట్ కోసం డిజైన్ ఆప్టిమైజ్ చేయబడింది. దాని 26 అడుగుల (7.9 మీ) స్పాన్ వింగ్, 92 చదరపు అడుగుల (8.5 మీ 2) విస్తీర్ణంలో ఉంది మరియు ఫ్లాప్‌లను మౌంట్ చేస్తుంది. క్యాబిన్ వెడల్పులో 43 (109 సెం.మీ). ఉపయోగించిన ప్రామాణిక ఇంజిన్ ఇంటిలో అభివృద్ధి చెందిన 100 హెచ్‌పి "&amp;"(75 కిలోవాట్) స్పైడర్ కొర్వైర్ ఆటోమోటివ్ మార్పిడి ఫోర్-స్ట్రోక్ పవర్‌ప్లాంట్. [1] [2] సరఫరా చేసిన కిట్ నుండి విమానాన్ని నిర్మించడానికి 500-1,000 గంటల శ్రమ మొత్తం US $ 40,000-50,000 ఖర్చుతో 500-1,000 గంటల శ్రమ అవసరమని తయారీదారు అంచనా వేశారు. [1] [3] [4] సమ"&amp;"ీక్షకులు రాయ్ బీస్వెంజర్ మరియు మారినో బోరిక్ ఈ డిజైన్‌ను 2015 సమీక్షలో ""సొగసైన"" మరియు ""సొగసైన"" గా అభివర్ణించారు. [1] సెప్టెంబర్ 2020 నాటికి, ఫెడరల్ ఏవియేషన్ అడ్మినిస్ట్రేషన్తో అమెరికాలో నాలుగు ఉదాహరణలు నమోదు చేయబడ్డాయి. [5] టాక్ మరియు తయారీదారు నుండి "&amp;"డేటా [1] [2] సాధారణ లక్షణాల పనితీరు")</f>
        <v>అజలేయా సాబెర్వింగ్, హమ్మింగ్‌బర్డ్ జాతులకు పేరు పెట్టబడింది, ఇది ఒక అమెరికన్ te త్సాహిక-నిర్మిత విమానం, ఇది జార్జియాలోని అడెల్ యొక్క అజలేయా ఏవియేషన్ చేత రూపొందించబడింది మరియు ఉత్పత్తి చేయబడింది, ఇది 2015 లో సన్ ఎన్ ఫన్ వద్ద ప్రవేశపెట్టబడింది. ఈ విమానం అమెచ్యూర్ నిర్మాణానికి ఒక కిట్‌గా సరఫరా చేయబడుతుంది. [[పట్టు కుములి సాబెర్వింగ్ ఒక కాంటిలివర్ లో-వింగ్, బబుల్ పందిరి కింద రెండు-సైడ్-ఇన్-సైడ్ కాన్ఫిగరేషన్ పరివేష్టిత కాక్‌పిట్, స్థిర సాంప్రదాయ ల్యాండింగ్ గేర్ లేదా ఐచ్ఛికంగా ట్రైసైకిల్ ల్యాండింగ్ గేర్, వీల్ ప్యాంటు మరియు ట్రాక్టర్ కాన్ఫిగరేషన్‌లో ఒకే ఇంజిన్‌తో ఉన్నాయి. [[పట్టు కుములి ఈ విమానం మిశ్రమ-ఫోమ్ శాండ్‌విచ్ నుండి వింగ్ స్పార్స్ మరియు కలప-సమ్మేళనం శాండ్‌విచ్ నుండి తయారైన వింగ్ పక్కటెముకలతో తయారు చేయబడింది. నిర్మాణాన్ని సరళీకృతం చేయడానికి తక్కువ భాగాల-కౌంట్ కోసం డిజైన్ ఆప్టిమైజ్ చేయబడింది. దాని 26 అడుగుల (7.9 మీ) స్పాన్ వింగ్, 92 చదరపు అడుగుల (8.5 మీ 2) విస్తీర్ణంలో ఉంది మరియు ఫ్లాప్‌లను మౌంట్ చేస్తుంది. క్యాబిన్ వెడల్పులో 43 (109 సెం.మీ). ఉపయోగించిన ప్రామాణిక ఇంజిన్ ఇంటిలో అభివృద్ధి చెందిన 100 హెచ్‌పి (75 కిలోవాట్) స్పైడర్ కొర్వైర్ ఆటోమోటివ్ మార్పిడి ఫోర్-స్ట్రోక్ పవర్‌ప్లాంట్. [1] [2] సరఫరా చేసిన కిట్ నుండి విమానాన్ని నిర్మించడానికి 500-1,000 గంటల శ్రమ మొత్తం US $ 40,000-50,000 ఖర్చుతో 500-1,000 గంటల శ్రమ అవసరమని తయారీదారు అంచనా వేశారు. [1] [3] [4] సమీక్షకులు రాయ్ బీస్వెంజర్ మరియు మారినో బోరిక్ ఈ డిజైన్‌ను 2015 సమీక్షలో "సొగసైన" మరియు "సొగసైన" గా అభివర్ణించారు. [1] సెప్టెంబర్ 2020 నాటికి, ఫెడరల్ ఏవియేషన్ అడ్మినిస్ట్రేషన్తో అమెరికాలో నాలుగు ఉదాహరణలు నమోదు చేయబడ్డాయి. [5] టాక్ మరియు తయారీదారు నుండి డేటా [1] [2] సాధారణ లక్షణాల పనితీరు</v>
      </c>
      <c r="E167" s="1" t="s">
        <v>1071</v>
      </c>
      <c r="F167" s="1" t="str">
        <f>IFERROR(__xludf.DUMMYFUNCTION("GOOGLETRANSLATE(E:E, ""en"", ""te"")"),"Te త్సాహిక నిర్మించిన విమానం")</f>
        <v>Te త్సాహిక నిర్మించిన విమానం</v>
      </c>
      <c r="G167" s="1" t="s">
        <v>1072</v>
      </c>
      <c r="H167" s="1" t="s">
        <v>227</v>
      </c>
      <c r="I167" s="1" t="str">
        <f>IFERROR(__xludf.DUMMYFUNCTION("GOOGLETRANSLATE(H:H, ""en"", ""te"")"),"అమెరికా")</f>
        <v>అమెరికా</v>
      </c>
      <c r="J167" s="3" t="s">
        <v>228</v>
      </c>
      <c r="K167" s="1" t="s">
        <v>2451</v>
      </c>
      <c r="L167" s="2" t="str">
        <f>IFERROR(__xludf.DUMMYFUNCTION("GOOGLETRANSLATE(K:K, ""en"", ""te"")"),"అజలేయా ఏవియేషన్")</f>
        <v>అజలేయా ఏవియేషన్</v>
      </c>
      <c r="M167" s="1" t="s">
        <v>2452</v>
      </c>
      <c r="N167" s="1" t="s">
        <v>2453</v>
      </c>
      <c r="O167" s="1" t="str">
        <f>IFERROR(__xludf.DUMMYFUNCTION("GOOGLETRANSLATE(N:N, ""en"", ""te"")"),"ఉత్పత్తిలో (2020)")</f>
        <v>ఉత్పత్తిలో (2020)</v>
      </c>
      <c r="Q167" s="1" t="s">
        <v>162</v>
      </c>
      <c r="R167" s="1" t="s">
        <v>2454</v>
      </c>
      <c r="S167" s="1" t="s">
        <v>2455</v>
      </c>
      <c r="X167" s="1" t="s">
        <v>2456</v>
      </c>
      <c r="Y167" s="1" t="s">
        <v>2457</v>
      </c>
      <c r="Z167" s="1" t="s">
        <v>423</v>
      </c>
      <c r="AA167" s="1" t="s">
        <v>2458</v>
      </c>
      <c r="AC167" s="1">
        <v>2015.0</v>
      </c>
      <c r="AE167" s="1" t="s">
        <v>2459</v>
      </c>
      <c r="AF167" s="1" t="s">
        <v>2460</v>
      </c>
      <c r="AI167" s="1" t="s">
        <v>2461</v>
      </c>
      <c r="AJ167" s="1" t="s">
        <v>2462</v>
      </c>
      <c r="AL167" s="1" t="s">
        <v>2463</v>
      </c>
      <c r="AM167" s="1" t="s">
        <v>330</v>
      </c>
      <c r="AS167" s="1" t="s">
        <v>2464</v>
      </c>
      <c r="AU167" s="1" t="s">
        <v>2465</v>
      </c>
      <c r="BJ167" s="1" t="s">
        <v>2466</v>
      </c>
    </row>
    <row r="168">
      <c r="A168" s="1" t="s">
        <v>2467</v>
      </c>
      <c r="B168" s="1" t="str">
        <f>IFERROR(__xludf.DUMMYFUNCTION("GOOGLETRANSLATE(A:A, ""en"", ""te"")"),"సికోర్స్కీ ఎస్ -30")</f>
        <v>సికోర్స్కీ ఎస్ -30</v>
      </c>
      <c r="C168" s="1" t="s">
        <v>2468</v>
      </c>
      <c r="D168" s="1" t="str">
        <f>IFERROR(__xludf.DUMMYFUNCTION("GOOGLETRANSLATE(C:C, ""en"", ""te"")"),"సికోర్స్కీ ఎస్ -30 అనేది 1925 లో న్యూయార్క్‌లోని రూజ్‌వెల్ట్‌లోని సికోర్స్కీ మాన్యుఫ్యాక్చరింగ్ కార్పొరేషన్ చేత నిర్మించబడే ఇగోర్ సికోర్స్కీ చేత ప్రతిపాదిత విమాన రూపకల్పన. ట్విన్ ఇంజిన్ బిప్‌లేన్ మెయిల్ మార్గాల్లో ఉపయోగించబడింది లేదా వాణిజ్య ప్రయాణీకుల పర"&amp;"ివర్తనగా కాన్ఫిగర్ చేయబడింది. S-30 యొక్క ఉదాహరణలు ఎప్పుడూ తయారు చేయబడలేదు. [1] [2] ఏరోఫైల్స్ నుండి డేటా [3] సాధారణ లక్షణాల పనితీరు")</f>
        <v>సికోర్స్కీ ఎస్ -30 అనేది 1925 లో న్యూయార్క్‌లోని రూజ్‌వెల్ట్‌లోని సికోర్స్కీ మాన్యుఫ్యాక్చరింగ్ కార్పొరేషన్ చేత నిర్మించబడే ఇగోర్ సికోర్స్కీ చేత ప్రతిపాదిత విమాన రూపకల్పన. ట్విన్ ఇంజిన్ బిప్‌లేన్ మెయిల్ మార్గాల్లో ఉపయోగించబడింది లేదా వాణిజ్య ప్రయాణీకుల పరివర్తనగా కాన్ఫిగర్ చేయబడింది. S-30 యొక్క ఉదాహరణలు ఎప్పుడూ తయారు చేయబడలేదు. [1] [2] ఏరోఫైల్స్ నుండి డేటా [3] సాధారణ లక్షణాల పనితీరు</v>
      </c>
      <c r="E168" s="1" t="s">
        <v>2469</v>
      </c>
      <c r="F168" s="1" t="str">
        <f>IFERROR(__xludf.DUMMYFUNCTION("GOOGLETRANSLATE(E:E, ""en"", ""te"")"),"కాంతి రవాణా")</f>
        <v>కాంతి రవాణా</v>
      </c>
      <c r="H168" s="1" t="s">
        <v>227</v>
      </c>
      <c r="I168" s="1" t="str">
        <f>IFERROR(__xludf.DUMMYFUNCTION("GOOGLETRANSLATE(H:H, ""en"", ""te"")"),"అమెరికా")</f>
        <v>అమెరికా</v>
      </c>
      <c r="K168" s="1" t="s">
        <v>2470</v>
      </c>
      <c r="L168" s="2" t="str">
        <f>IFERROR(__xludf.DUMMYFUNCTION("GOOGLETRANSLATE(K:K, ""en"", ""te"")"),"సికోర్స్కీ మాన్యుఫ్యాక్చరింగ్ కార్పొరేషన్")</f>
        <v>సికోర్స్కీ మాన్యుఫ్యాక్చరింగ్ కార్పొరేషన్</v>
      </c>
      <c r="M168" s="1" t="s">
        <v>2471</v>
      </c>
      <c r="Q168" s="1" t="s">
        <v>230</v>
      </c>
      <c r="Z168" s="1" t="s">
        <v>2472</v>
      </c>
      <c r="AB168" s="1" t="s">
        <v>382</v>
      </c>
      <c r="AI168" s="1" t="s">
        <v>2473</v>
      </c>
      <c r="AM168" s="1" t="s">
        <v>2474</v>
      </c>
      <c r="AP168" s="1" t="s">
        <v>2475</v>
      </c>
      <c r="BS168" s="1" t="s">
        <v>511</v>
      </c>
    </row>
    <row r="169">
      <c r="A169" s="1" t="s">
        <v>2476</v>
      </c>
      <c r="B169" s="1" t="str">
        <f>IFERROR(__xludf.DUMMYFUNCTION("GOOGLETRANSLATE(A:A, ""en"", ""te"")"),"సికోర్స్కీ ఎస్ -45")</f>
        <v>సికోర్స్కీ ఎస్ -45</v>
      </c>
      <c r="C169" s="1" t="s">
        <v>2477</v>
      </c>
      <c r="D169" s="1" t="str">
        <f>IFERROR(__xludf.DUMMYFUNCTION("GOOGLETRANSLATE(C:C, ""en"", ""te"")"),"సికోర్స్కీ ఎస్ -45 అనేది ప్రతిపాదిత డబుల్-డెక్ ట్రాన్సోసినిక్ ఫ్లయింగ్ బోట్, మొదట 1938 లో పాన్ యామ్ కోసం సికోర్స్కీ విమానం రూపొందించింది. హై వింగ్ మోనోప్లేన్‌లో ట్రిపుల్-టెయిల్‌తో సింగిల్-స్టెప్ హల్‌ను కలిగి ఉంది మరియు ఆ సమయంలో అభివృద్ధి చేయబడుతున్న ఆరు ర"&amp;"ైట్ R-3350 డ్యూప్లెక్స్-సైక్లోన్ ఇంజన్లు పనిచేస్తాయి. ఈ విమానం బోయింగ్ 314 తో పోటీ పడేది కాని ఎస్ -45 యొక్క ఉదాహరణలు ఎప్పుడూ తయారు చేయబడలేదు. [1] [2] [3] గ్లోబల్ సెక్యూరిటీ నుండి డేటా [1] సాధారణ లక్షణాల పనితీరు")</f>
        <v>సికోర్స్కీ ఎస్ -45 అనేది ప్రతిపాదిత డబుల్-డెక్ ట్రాన్సోసినిక్ ఫ్లయింగ్ బోట్, మొదట 1938 లో పాన్ యామ్ కోసం సికోర్స్కీ విమానం రూపొందించింది. హై వింగ్ మోనోప్లేన్‌లో ట్రిపుల్-టెయిల్‌తో సింగిల్-స్టెప్ హల్‌ను కలిగి ఉంది మరియు ఆ సమయంలో అభివృద్ధి చేయబడుతున్న ఆరు రైట్ R-3350 డ్యూప్లెక్స్-సైక్లోన్ ఇంజన్లు పనిచేస్తాయి. ఈ విమానం బోయింగ్ 314 తో పోటీ పడేది కాని ఎస్ -45 యొక్క ఉదాహరణలు ఎప్పుడూ తయారు చేయబడలేదు. [1] [2] [3] గ్లోబల్ సెక్యూరిటీ నుండి డేటా [1] సాధారణ లక్షణాల పనితీరు</v>
      </c>
      <c r="E169" s="1" t="s">
        <v>2478</v>
      </c>
      <c r="F169" s="1" t="str">
        <f>IFERROR(__xludf.DUMMYFUNCTION("GOOGLETRANSLATE(E:E, ""en"", ""te"")"),"ప్రతిపాదిత ఫ్లయింగ్ బోట్ ఎయిర్‌లైనర్")</f>
        <v>ప్రతిపాదిత ఫ్లయింగ్ బోట్ ఎయిర్‌లైనర్</v>
      </c>
      <c r="G169" s="1" t="s">
        <v>2479</v>
      </c>
      <c r="H169" s="1" t="s">
        <v>227</v>
      </c>
      <c r="I169" s="1" t="str">
        <f>IFERROR(__xludf.DUMMYFUNCTION("GOOGLETRANSLATE(H:H, ""en"", ""te"")"),"అమెరికా")</f>
        <v>అమెరికా</v>
      </c>
      <c r="K169" s="1" t="s">
        <v>2302</v>
      </c>
      <c r="L169" s="2" t="str">
        <f>IFERROR(__xludf.DUMMYFUNCTION("GOOGLETRANSLATE(K:K, ""en"", ""te"")"),"సికోర్స్కీ విమానం")</f>
        <v>సికోర్స్కీ విమానం</v>
      </c>
      <c r="M169" s="1" t="s">
        <v>2303</v>
      </c>
      <c r="R169" s="1" t="s">
        <v>2480</v>
      </c>
      <c r="S169" s="1" t="s">
        <v>2481</v>
      </c>
      <c r="X169" s="1" t="s">
        <v>2482</v>
      </c>
      <c r="Y169" s="1" t="s">
        <v>2483</v>
      </c>
      <c r="Z169" s="1" t="s">
        <v>2466</v>
      </c>
      <c r="AE169" s="1">
        <v>0.0</v>
      </c>
      <c r="AF169" s="1" t="s">
        <v>2484</v>
      </c>
      <c r="AG169" s="1" t="s">
        <v>2485</v>
      </c>
      <c r="AI169" s="1" t="s">
        <v>2486</v>
      </c>
      <c r="AM169" s="1" t="s">
        <v>2487</v>
      </c>
      <c r="AP169" s="1" t="s">
        <v>2488</v>
      </c>
    </row>
    <row r="170">
      <c r="A170" s="1" t="s">
        <v>2489</v>
      </c>
      <c r="B170" s="1" t="str">
        <f>IFERROR(__xludf.DUMMYFUNCTION("GOOGLETRANSLATE(A:A, ""en"", ""te"")"),"యంగ్‌కాప్టర్ నియో")</f>
        <v>యంగ్‌కాప్టర్ నియో</v>
      </c>
      <c r="C170" s="1" t="s">
        <v>2490</v>
      </c>
      <c r="D170" s="1" t="str">
        <f>IFERROR(__xludf.DUMMYFUNCTION("GOOGLETRANSLATE(C:C, ""en"", ""te"")"),"యంగ్‌కాప్టర్ నియో (ట్రాన్స్. న్యూ) అనేది జర్మన్ నోటార్ హెలికాప్టర్, దీనిని జార్న్ జంగ్ రూపొందించారు మరియు అతని సంస్థ, యంగ్‌కాప్టర్ ఆఫ్ మెయిన్జ్ చేత అభివృద్ధి చెందుతోంది. ఇది మొట్టమొదట 2008 లో ILA బెర్లిన్ ఎయిర్ షోలో బహిరంగంగా ప్రవేశపెట్టబడింది. ఈ విమానం t"&amp;"e త్సాహిక నిర్మాణానికి కిట్‌గా సరఫరా చేయడానికి ఉద్దేశించబడింది. [1] [2] [3] కిట్ డెలివరీల కోసం అంచనా వేయబడిన తేదీని ప్రకటించలేదు మరియు జనవరి 2018 నాటికి ధర నిర్ణయించబడలేదు. [4] NEO te త్సాహిక-నిర్మిత విమాన నిర్మాణ నిబంధనలకు అనుగుణంగా రూపొందించబడింది. మొదట"&amp;"ి నమూనా 2008 లో పూర్తయింది మరియు గ్రౌండ్ రన్. 2010 నాటికి రోటర్ సిస్టమ్ ట్రాకింగ్ మరియు బ్యాలెన్సింగ్‌తో సహా గ్రౌండ్ టెస్టింగ్ పూర్తయింది. ప్రోటోటైప్ మొదట 31 అక్టోబర్ 2011 న విమానంలో ప్రయాణించారు మరియు అభివృద్ధి హోవర్ ఫ్లైట్ టెస్టింగ్ 2015 వరకు కొనసాగింది"&amp;". [1] [5] NEO డిజైన్‌లో ఒకే ప్రధాన రోటర్ ఉంది, తోక రోటర్, రెండు-సీట్ల సైడ్-బై-సైడ్ కాన్ఫిగరేషన్ పరివేష్టిత కాక్‌పిట్ విండ్‌షీల్డ్, స్కిడ్ ల్యాండింగ్ గేర్ మరియు ట్విన్-రోటర్ 180 హెచ్‌పి (134 కిలోవాట్) నియోసిస్ వాంకెల్ ఇంజిన్ ఉన్నాయి. [[పట్టు కుములి విమానం "&amp;"ఫ్యూజ్‌లేజ్ మిశ్రమ పదార్థ మోనోకోక్ డిజైన్. దీని మూడు-బ్లేడెడ్ రోటర్ 7.7 మీ (25.3 అడుగులు) వ్యాసం కలిగి ఉంది మరియు హ్యాంగర్ నిల్వ కోసం ముడుచుకోవచ్చు. ఈ విమానం ఒక సాధారణ ఖాళీ బరువు 385 కిలోల (849 పౌండ్లు) మరియు స్థూల బరువు 640 కిలోలు (1,411 పౌండ్లు), ఇది 25"&amp;"5 కిలోల (562 పౌండ్లు) ఉపయోగకరమైన లోడ్‌ను ఇస్తుంది. 120 లీటర్ల పూర్తి ఇంధనంతో (26 ఇంప్ గల్; 32 యుఎస్ గాల్) పైలట్, ప్రయాణీకుడు మరియు సామాను 168 కిలోలు (370 ఎల్బి). [1] అభివృద్ధికి గురైన నియో కిట్ సగటు యాంత్రిక నైపుణ్యాలు కలిగిన వ్యక్తి నిర్మించటానికి ఉద్దేశ"&amp;"ించబడింది. దీనికి వెల్డింగ్ లేదా మిశ్రమ పదార్థాలు లామినేషన్ పని అవసరం లేదు. ప్రతిపాదిత కిట్‌లో అన్ని ఉప-సమావేశాలు, ఇంజిన్ మరియు పరికరాలు ఉంటాయి. [4] టాక్ మరియు తయారీదారుల నుండి డేటా [1] [6] సాధారణ లక్షణాల పనితీరు")</f>
        <v>యంగ్‌కాప్టర్ నియో (ట్రాన్స్. న్యూ) అనేది జర్మన్ నోటార్ హెలికాప్టర్, దీనిని జార్న్ జంగ్ రూపొందించారు మరియు అతని సంస్థ, యంగ్‌కాప్టర్ ఆఫ్ మెయిన్జ్ చేత అభివృద్ధి చెందుతోంది. ఇది మొట్టమొదట 2008 లో ILA బెర్లిన్ ఎయిర్ షోలో బహిరంగంగా ప్రవేశపెట్టబడింది. ఈ విమానం te త్సాహిక నిర్మాణానికి కిట్‌గా సరఫరా చేయడానికి ఉద్దేశించబడింది. [1] [2] [3] కిట్ డెలివరీల కోసం అంచనా వేయబడిన తేదీని ప్రకటించలేదు మరియు జనవరి 2018 నాటికి ధర నిర్ణయించబడలేదు. [4] NEO te త్సాహిక-నిర్మిత విమాన నిర్మాణ నిబంధనలకు అనుగుణంగా రూపొందించబడింది. మొదటి నమూనా 2008 లో పూర్తయింది మరియు గ్రౌండ్ రన్. 2010 నాటికి రోటర్ సిస్టమ్ ట్రాకింగ్ మరియు బ్యాలెన్సింగ్‌తో సహా గ్రౌండ్ టెస్టింగ్ పూర్తయింది. ప్రోటోటైప్ మొదట 31 అక్టోబర్ 2011 న విమానంలో ప్రయాణించారు మరియు అభివృద్ధి హోవర్ ఫ్లైట్ టెస్టింగ్ 2015 వరకు కొనసాగింది. [1] [5] NEO డిజైన్‌లో ఒకే ప్రధాన రోటర్ ఉంది, తోక రోటర్, రెండు-సీట్ల సైడ్-బై-సైడ్ కాన్ఫిగరేషన్ పరివేష్టిత కాక్‌పిట్ విండ్‌షీల్డ్, స్కిడ్ ల్యాండింగ్ గేర్ మరియు ట్విన్-రోటర్ 180 హెచ్‌పి (134 కిలోవాట్) నియోసిస్ వాంకెల్ ఇంజిన్ ఉన్నాయి. [[పట్టు కుములి విమానం ఫ్యూజ్‌లేజ్ మిశ్రమ పదార్థ మోనోకోక్ డిజైన్. దీని మూడు-బ్లేడెడ్ రోటర్ 7.7 మీ (25.3 అడుగులు) వ్యాసం కలిగి ఉంది మరియు హ్యాంగర్ నిల్వ కోసం ముడుచుకోవచ్చు. ఈ విమానం ఒక సాధారణ ఖాళీ బరువు 385 కిలోల (849 పౌండ్లు) మరియు స్థూల బరువు 640 కిలోలు (1,411 పౌండ్లు), ఇది 255 కిలోల (562 పౌండ్లు) ఉపయోగకరమైన లోడ్‌ను ఇస్తుంది. 120 లీటర్ల పూర్తి ఇంధనంతో (26 ఇంప్ గల్; 32 యుఎస్ గాల్) పైలట్, ప్రయాణీకుడు మరియు సామాను 168 కిలోలు (370 ఎల్బి). [1] అభివృద్ధికి గురైన నియో కిట్ సగటు యాంత్రిక నైపుణ్యాలు కలిగిన వ్యక్తి నిర్మించటానికి ఉద్దేశించబడింది. దీనికి వెల్డింగ్ లేదా మిశ్రమ పదార్థాలు లామినేషన్ పని అవసరం లేదు. ప్రతిపాదిత కిట్‌లో అన్ని ఉప-సమావేశాలు, ఇంజిన్ మరియు పరికరాలు ఉంటాయి. [4] టాక్ మరియు తయారీదారుల నుండి డేటా [1] [6] సాధారణ లక్షణాల పనితీరు</v>
      </c>
      <c r="E170" s="1" t="s">
        <v>2491</v>
      </c>
      <c r="F170" s="1" t="str">
        <f>IFERROR(__xludf.DUMMYFUNCTION("GOOGLETRANSLATE(E:E, ""en"", ""te"")"),"హెలికాప్టర్")</f>
        <v>హెలికాప్టర్</v>
      </c>
      <c r="G170" s="3" t="s">
        <v>2492</v>
      </c>
      <c r="H170" s="1" t="s">
        <v>1484</v>
      </c>
      <c r="I170" s="1" t="str">
        <f>IFERROR(__xludf.DUMMYFUNCTION("GOOGLETRANSLATE(H:H, ""en"", ""te"")"),"జర్మనీ")</f>
        <v>జర్మనీ</v>
      </c>
      <c r="J170" s="3" t="s">
        <v>1485</v>
      </c>
      <c r="K170" s="1" t="s">
        <v>2493</v>
      </c>
      <c r="L170" s="2" t="str">
        <f>IFERROR(__xludf.DUMMYFUNCTION("GOOGLETRANSLATE(K:K, ""en"", ""te"")"),"యంగ్‌కాప్టర్")</f>
        <v>యంగ్‌కాప్టర్</v>
      </c>
      <c r="M170" s="3" t="s">
        <v>2494</v>
      </c>
      <c r="N170" s="1" t="s">
        <v>2495</v>
      </c>
      <c r="O170" s="1" t="str">
        <f>IFERROR(__xludf.DUMMYFUNCTION("GOOGLETRANSLATE(N:N, ""en"", ""te"")"),"అండర్ డెవలప్‌మెంట్ (2018)")</f>
        <v>అండర్ డెవలప్‌మెంట్ (2018)</v>
      </c>
      <c r="Q170" s="1" t="s">
        <v>162</v>
      </c>
      <c r="U170" s="1" t="s">
        <v>1358</v>
      </c>
      <c r="X170" s="1" t="s">
        <v>2496</v>
      </c>
      <c r="Y170" s="1" t="s">
        <v>1239</v>
      </c>
      <c r="Z170" s="1" t="s">
        <v>1942</v>
      </c>
      <c r="AB170" s="1" t="s">
        <v>2497</v>
      </c>
      <c r="AC170" s="1">
        <v>2008.0</v>
      </c>
      <c r="AD170" s="4">
        <v>40847.0</v>
      </c>
      <c r="AE170" s="1" t="s">
        <v>2498</v>
      </c>
      <c r="AF170" s="1" t="s">
        <v>2499</v>
      </c>
      <c r="AG170" s="1" t="s">
        <v>2500</v>
      </c>
      <c r="AI170" s="1" t="s">
        <v>2501</v>
      </c>
      <c r="AL170" s="1" t="s">
        <v>2502</v>
      </c>
      <c r="AM170" s="1" t="s">
        <v>330</v>
      </c>
      <c r="AP170" s="1" t="s">
        <v>998</v>
      </c>
      <c r="AS170" s="1" t="s">
        <v>1362</v>
      </c>
      <c r="BW170" s="1" t="s">
        <v>2503</v>
      </c>
      <c r="BX170" s="1" t="s">
        <v>2504</v>
      </c>
      <c r="EF170" s="1" t="s">
        <v>2505</v>
      </c>
      <c r="EL170" s="1" t="s">
        <v>2506</v>
      </c>
    </row>
    <row r="171">
      <c r="A171" s="1" t="s">
        <v>2507</v>
      </c>
      <c r="B171" s="1" t="str">
        <f>IFERROR(__xludf.DUMMYFUNCTION("GOOGLETRANSLATE(A:A, ""en"", ""te"")"),"నావల్ ఎయిర్క్రాఫ్ట్ మోడిఫికేషన్ యూనిట్ కెడిఎన్ గోర్గాన్")</f>
        <v>నావల్ ఎయిర్క్రాఫ్ట్ మోడిఫికేషన్ యూనిట్ కెడిఎన్ గోర్గాన్</v>
      </c>
      <c r="C171" s="1" t="s">
        <v>2508</v>
      </c>
      <c r="D171" s="1" t="str">
        <f>IFERROR(__xludf.DUMMYFUNCTION("GOOGLETRANSLATE(C:C, ""en"", ""te"")"),"నావల్ ఎయిర్క్రాఫ్ట్ మోడిఫికేషన్ యూనిట్ KDN గోర్గాన్, మొదట TD2N ను నియమించారు, ఇది బ్యూరో ఆఫ్ ఏరోనాటిక్స్ అభివృద్ధి చేసిన ప్రారంభ జెట్-శక్తితో కూడిన టార్గెట్ డ్రోన్ మరియు అమెరికా నేవీ ఉపయోగం కోసం నావల్ ఎయిర్క్రాఫ్ట్ మోడిఫికేషన్ యూనిట్ నిర్మించింది. రెండవ ప"&amp;"్రపంచ యుద్ధం ముగిసే సమయానికి మొట్టమొదటిసారిగా, ఇది 1946 లో దాని ఇంజిన్‌తో సమస్యల కారణంగా రద్దు చేయబడింది. TD2N-1 గోర్గాన్ IIIB క్షిపణి యొక్క అభివృద్ధి, దీనిని 1943 లో యు.ఎస్. నేవీ బ్యూరో ఆఫ్ ఏరోనాటిక్స్ హెవీ బాంబర్‌కు వ్యతిరేకంగా రూపొందించారు ఆప్టికల్ మార"&amp;"్గదర్శకత్వాన్ని ఉపయోగించి విమానం మరియు గ్రౌండ్ లక్ష్యాలు. [2] గోర్గాన్ IIIB దాని ఇంజిన్ సంతృప్తికరంగా నిరూపించబడటం వలన రద్దు చేయబడింది; [3] అయినప్పటికీ, లక్ష్య డ్రోన్‌గా ఉపయోగం కోసం సరళీకృతం చేయబడిన ఒక సంస్కరణ నవంబర్ 1944 నుండి ప్రారంభమైంది. [4] పెన్సిల్వ"&amp;"ేనియాలోని జాన్స్విల్లేలోని మాజీ బ్రూస్టర్ ఏరోనాటికల్ కార్పొరేషన్ ఫ్యాక్టరీలో ఉన్న నేవీ యొక్క నావికాదళ విమాన సవరణ యూనిట్ నిర్మించిన [5] TD2N-1 సాంప్రదాయిక రూపకల్పన, మోనోప్లేన్ వింగ్ మరియు ట్విన్-టెయిల్ కాన్ఫిగరేషన్‌తో; వ్యూహాత్మక పదార్థాలపై ఖర్చు మరియు ఒత్"&amp;"తిడిని తగ్గించడానికి, ఇది ప్రధానంగా కలపతో నిర్మించబడింది, ఫ్యూజ్‌లేజ్ యొక్క కొన్ని భాగాలు ఫాబ్రిక్ కప్పబడి ఉన్నాయి. [6] ఈ విమానం వెస్టింగ్‌హౌస్ 9.5 - తరువాత పున es రూపకల్పన చేయబడిన J32 - ఎయిర్‌ఫ్రేమ్ క్రింద అమర్చిన టర్బోజెట్ ఇంజిన్. [2] డ్రోన్ ప్రీసెట్ నా"&amp;"విగేషన్ మరియు రేడియో కమాండ్ గైడెన్స్ కలయిక ద్వారా నియంత్రించబడింది మరియు పారాచూట్ రికవరీ వ్యవస్థను కలిగి ఉంది, విమానం కాల్చివేయబడకపోతే తిరిగి ఉపయోగించటానికి వీలు కల్పిస్తుంది. [6] TD2N-1 యొక్క మొట్టమొదటి డ్రాప్ పరీక్షలు జూన్ 1945 లో జరిగాయి; [2] జూన్ 27 న"&amp;", మొదటి శక్తితో కూడిన ఫ్లైట్ ప్రయత్నించబడింది, కాని రేడియో కమాండ్ సిస్టమ్ విఫలమైన తరువాత విమానం క్రాష్ అయ్యింది. [3] ఆగస్టు 17 న, TD2N-1 తన మొదటి విజయవంతమైన శక్తితో కూడిన విమానాన్ని పూర్తి చేసింది. [3] రెండవ ప్రపంచ యుద్ధం ముగిసిన తరువాత నావికాదళ ఎయిర్ ఇంజ"&amp;"నీరింగ్ స్టేషన్‌లో పరీక్ష కొనసాగింది; [6] 1946 ప్రారంభంలో, ఈ విమానం KDN-1 ను పున es రూపకల్పన చేసింది, ఎందుకంటే నేవీ దాని హోదా వ్యవస్థను హేతుబద్ధం చేసింది, [2] అయితే ఆ సంవత్సరం మార్చిలో ఈ కార్యక్రమం జరిగింది వెస్టింగ్‌హౌస్ ఇంజిన్‌తో అభివృద్ధి సమస్యల కారణంగ"&amp;"ా రద్దు చేయబడింది. [3] ఒక KDN-1 1965 లో నేషనల్ ఎయిర్ అండ్ స్పేస్ మ్యూజియంకు అమెరికా నేవీ విరాళంగా ఇచ్చింది; ఇది పునరుద్ధరణ కోసం వేచి ఉన్న నిల్వలో ఉంది. [6] NASM నుండి డేటా [6] సాధారణ లక్షణాలు పనితీరు సంబంధిత అభివృద్ధి అభివృద్ధి విమానం పోల్చదగిన పాత్ర, కాన"&amp;"్ఫిగరేషన్ మరియు ERA సంబంధిత జాబితాలు")</f>
        <v>నావల్ ఎయిర్క్రాఫ్ట్ మోడిఫికేషన్ యూనిట్ KDN గోర్గాన్, మొదట TD2N ను నియమించారు, ఇది బ్యూరో ఆఫ్ ఏరోనాటిక్స్ అభివృద్ధి చేసిన ప్రారంభ జెట్-శక్తితో కూడిన టార్గెట్ డ్రోన్ మరియు అమెరికా నేవీ ఉపయోగం కోసం నావల్ ఎయిర్క్రాఫ్ట్ మోడిఫికేషన్ యూనిట్ నిర్మించింది. రెండవ ప్రపంచ యుద్ధం ముగిసే సమయానికి మొట్టమొదటిసారిగా, ఇది 1946 లో దాని ఇంజిన్‌తో సమస్యల కారణంగా రద్దు చేయబడింది. TD2N-1 గోర్గాన్ IIIB క్షిపణి యొక్క అభివృద్ధి, దీనిని 1943 లో యు.ఎస్. నేవీ బ్యూరో ఆఫ్ ఏరోనాటిక్స్ హెవీ బాంబర్‌కు వ్యతిరేకంగా రూపొందించారు ఆప్టికల్ మార్గదర్శకత్వాన్ని ఉపయోగించి విమానం మరియు గ్రౌండ్ లక్ష్యాలు. [2] గోర్గాన్ IIIB దాని ఇంజిన్ సంతృప్తికరంగా నిరూపించబడటం వలన రద్దు చేయబడింది; [3] అయినప్పటికీ, లక్ష్య డ్రోన్‌గా ఉపయోగం కోసం సరళీకృతం చేయబడిన ఒక సంస్కరణ నవంబర్ 1944 నుండి ప్రారంభమైంది. [4] పెన్సిల్వేనియాలోని జాన్స్విల్లేలోని మాజీ బ్రూస్టర్ ఏరోనాటికల్ కార్పొరేషన్ ఫ్యాక్టరీలో ఉన్న నేవీ యొక్క నావికాదళ విమాన సవరణ యూనిట్ నిర్మించిన [5] TD2N-1 సాంప్రదాయిక రూపకల్పన, మోనోప్లేన్ వింగ్ మరియు ట్విన్-టెయిల్ కాన్ఫిగరేషన్‌తో; వ్యూహాత్మక పదార్థాలపై ఖర్చు మరియు ఒత్తిడిని తగ్గించడానికి, ఇది ప్రధానంగా కలపతో నిర్మించబడింది, ఫ్యూజ్‌లేజ్ యొక్క కొన్ని భాగాలు ఫాబ్రిక్ కప్పబడి ఉన్నాయి. [6] ఈ విమానం వెస్టింగ్‌హౌస్ 9.5 - తరువాత పున es రూపకల్పన చేయబడిన J32 - ఎయిర్‌ఫ్రేమ్ క్రింద అమర్చిన టర్బోజెట్ ఇంజిన్. [2] డ్రోన్ ప్రీసెట్ నావిగేషన్ మరియు రేడియో కమాండ్ గైడెన్స్ కలయిక ద్వారా నియంత్రించబడింది మరియు పారాచూట్ రికవరీ వ్యవస్థను కలిగి ఉంది, విమానం కాల్చివేయబడకపోతే తిరిగి ఉపయోగించటానికి వీలు కల్పిస్తుంది. [6] TD2N-1 యొక్క మొట్టమొదటి డ్రాప్ పరీక్షలు జూన్ 1945 లో జరిగాయి; [2] జూన్ 27 న, మొదటి శక్తితో కూడిన ఫ్లైట్ ప్రయత్నించబడింది, కాని రేడియో కమాండ్ సిస్టమ్ విఫలమైన తరువాత విమానం క్రాష్ అయ్యింది. [3] ఆగస్టు 17 న, TD2N-1 తన మొదటి విజయవంతమైన శక్తితో కూడిన విమానాన్ని పూర్తి చేసింది. [3] రెండవ ప్రపంచ యుద్ధం ముగిసిన తరువాత నావికాదళ ఎయిర్ ఇంజనీరింగ్ స్టేషన్‌లో పరీక్ష కొనసాగింది; [6] 1946 ప్రారంభంలో, ఈ విమానం KDN-1 ను పున es రూపకల్పన చేసింది, ఎందుకంటే నేవీ దాని హోదా వ్యవస్థను హేతుబద్ధం చేసింది, [2] అయితే ఆ సంవత్సరం మార్చిలో ఈ కార్యక్రమం జరిగింది వెస్టింగ్‌హౌస్ ఇంజిన్‌తో అభివృద్ధి సమస్యల కారణంగా రద్దు చేయబడింది. [3] ఒక KDN-1 1965 లో నేషనల్ ఎయిర్ అండ్ స్పేస్ మ్యూజియంకు అమెరికా నేవీ విరాళంగా ఇచ్చింది; ఇది పునరుద్ధరణ కోసం వేచి ఉన్న నిల్వలో ఉంది. [6] NASM నుండి డేటా [6] సాధారణ లక్షణాలు పనితీరు సంబంధిత అభివృద్ధి అభివృద్ధి విమానం పోల్చదగిన పాత్ర, కాన్ఫిగరేషన్ మరియు ERA సంబంధిత జాబితాలు</v>
      </c>
      <c r="E171" s="1" t="s">
        <v>2092</v>
      </c>
      <c r="F171" s="1" t="str">
        <f>IFERROR(__xludf.DUMMYFUNCTION("GOOGLETRANSLATE(E:E, ""en"", ""te"")"),"టార్గెట్ డ్రోన్")</f>
        <v>టార్గెట్ డ్రోన్</v>
      </c>
      <c r="H171" s="1" t="s">
        <v>227</v>
      </c>
      <c r="I171" s="1" t="str">
        <f>IFERROR(__xludf.DUMMYFUNCTION("GOOGLETRANSLATE(H:H, ""en"", ""te"")"),"అమెరికా")</f>
        <v>అమెరికా</v>
      </c>
      <c r="K171" s="1" t="s">
        <v>2509</v>
      </c>
      <c r="L171" s="2" t="str">
        <f>IFERROR(__xludf.DUMMYFUNCTION("GOOGLETRANSLATE(K:K, ""en"", ""te"")"),"నావికాదళ విమాన సవరణ సవరణ యూనిట్")</f>
        <v>నావికాదళ విమాన సవరణ సవరణ యూనిట్</v>
      </c>
      <c r="M171" s="1" t="s">
        <v>2510</v>
      </c>
      <c r="Q171" s="1" t="s">
        <v>566</v>
      </c>
      <c r="R171" s="1" t="s">
        <v>2511</v>
      </c>
      <c r="S171" s="1" t="s">
        <v>2512</v>
      </c>
      <c r="U171" s="1" t="s">
        <v>2513</v>
      </c>
      <c r="AD171" s="4">
        <v>16615.0</v>
      </c>
      <c r="AE171" s="1" t="s">
        <v>2514</v>
      </c>
      <c r="AF171" s="1" t="s">
        <v>2515</v>
      </c>
      <c r="AG171" s="1" t="s">
        <v>2516</v>
      </c>
      <c r="AI171" s="1" t="s">
        <v>2517</v>
      </c>
      <c r="AL171" s="1" t="s">
        <v>2518</v>
      </c>
      <c r="BO171" s="1" t="s">
        <v>2519</v>
      </c>
      <c r="BR171" s="1" t="s">
        <v>2520</v>
      </c>
      <c r="CZ171" s="1" t="s">
        <v>2521</v>
      </c>
      <c r="DF171" s="1" t="s">
        <v>2522</v>
      </c>
    </row>
    <row r="172">
      <c r="A172" s="1" t="s">
        <v>2523</v>
      </c>
      <c r="B172" s="1" t="str">
        <f>IFERROR(__xludf.DUMMYFUNCTION("GOOGLETRANSLATE(A:A, ""en"", ""te"")"),"పోటెజ్ 24")</f>
        <v>పోటెజ్ 24</v>
      </c>
      <c r="C172" s="1" t="s">
        <v>2524</v>
      </c>
      <c r="D172" s="1" t="str">
        <f>IFERROR(__xludf.DUMMYFUNCTION("GOOGLETRANSLATE(C:C, ""en"", ""te"")"),"పోటెజ్ 24 A.2 1920 ల మధ్యలో పోటెజ్ 15 ను ఆర్మీ పరిశీలన విమానంగా మార్చడానికి ఉద్దేశించిన ఫ్రెంచ్ బిప్‌లేన్. మరింత మెరుగుపరచబడిన మరియు పెద్ద పోటెజ్ 25 ఉత్పత్తికి ప్రాధాన్యత ఇవ్వబడింది. పోటెజ్ 24 అదే రెండు సీట్ ఆర్మీ కో-ఆపరేషన్ పాత్రను (ఫ్రెంచ్ మిలిటరీ కేటగి"&amp;"రీ A.2) ను పోటెజ్ 15 గా నింపడానికి రూపొందించబడింది, అయితే పనితీరు అదనపు శక్తి మరియు కొత్త, వింగ్ డిజైన్ ద్వారా మెరుగుపడింది. [1] ఎగువ మరియు దిగువ రెక్కలు రెండూ ప్రణాళికలో దీర్ఘచతురస్రాకారంగా ఉన్నాయి, దిగువ ఒకటి వ్యవధిలో తక్కువ మరియు తీగలో చిన్నది. ప్రతి ఒ"&amp;"క్కటి ఒక జత స్పార్‌ల చుట్టూ నిర్మించబడింది మరియు కలప-ఫ్రేమ్డ్ మరియు ఫాబ్రిక్ కప్పబడి ఉంది. ఎగువ వింగ్ మూడు భాగాలుగా ఉంది; నాలుగు నిలువు కాబేన్ స్ట్రట్‌లతో ఫ్యూజ్‌లేజ్‌పై ఉంచిన సెంటర్ విభాగం, సిబ్బంది యొక్క వీక్షణ క్షేత్రాన్ని మెరుగుపరచడానికి వెనుకంజలో ఉన్"&amp;"న అంచు కటౌట్ కలిగి ఉంది. దిగువ వింగ్ రెండు భాగాలుగా ఉంది, దిగువ ఫ్యూజ్‌లేజ్ లాంగన్స్‌తో చేరారు. పోటెజ్ 24 అనేది ఒకే బే బిప్‌లేన్, ఇది జతల సమాంతర, బాహ్య-వాలుగా ఉన్న డ్యూరల్ ఇంటర్‌ప్లేన్ స్ట్రట్‌లతో, వైర్ బ్రేసింగ్ సహాయంతో. ఇది 100 మిమీ (3.94 అంగుళాలు) మాత్"&amp;"రమే అస్థిరంగా ఉంది మరియు పోటెజ్ 15 తో పోలిస్తే, 1.80 మీ (5 అడుగుల 11 అంగుళాలు) ఇంటర్‌ప్లేన్ గ్యాప్ పెద్దది. ఎగువ వింగ్లో మాత్రమే పొడవైన, విస్తృత ఐలెరన్లు ఉన్నాయి. [1] పోటెజ్ 24 యొక్క ఇంజిన్ మౌంటు సమకాలీన ఆసక్తిని ఆకర్షించింది, ఎందుకంటే ఇది అనేక విభిన్న మో"&amp;"టార్లు వ్యవస్థాపించడానికి అనుమతించింది, ఉదాహరణకు W12, వాటర్-కూల్డ్ 340 kW (450 HP) లోరైన్ 12E కోర్లిస్ మరియు ఇలాంటి హిస్పానో-సుయిజా 12GA. ఇంజిన్ మరియు ఫ్రేమ్ మార్పిడులు సరఫరా మరియు నియంత్రణ రేఖల డిస్కనెక్ట్ మరియు నాలుగు బోల్ట్‌లను తొలగించడం మాత్రమే. రేడియ"&amp;"ేటర్ ఇంజిన్ ముందు ముక్కులో ఉంది, దాని సెగ్మెంటల్ ఆకారం చక్కగా, గుండ్రని ఎగువ కౌలింగ్‌ను అనుమతిస్తుంది. [2] వెనుక, ఫ్యూజ్‌లేజ్ గుండ్రని డెక్కింగ్ కాకుండా ఫ్లాట్-సైడెడ్. పైలట్ యొక్క కాక్‌పిట్ అప్పర్ వింగ్ కటౌట్ క్రింద ఉంది, పరిశీలకుడు/మెషిన్ గన్నర్ వెనుక ఉం"&amp;"ది. పోటెజ్ 24 యొక్క సామ్రాజ్యం సాంప్రదాయికమైనది, ఫ్యూజ్‌లేజ్ పైన దీర్ఘచతురస్రాకార ప్రణాళిక టెయిల్‌ప్లేన్ విస్తృత, సమతుల్య ఎలివేటర్లను మోస్తుంది. ఒక విస్తృత ఫిన్ ఉదార ​​చుక్కను తీసుకువెళ్ళింది. [1] పోటెజ్ 24 లో 2.0 మీ (6 అడుగుల 7 అంగుళాలు) ట్రాక్‌తో స్థిరమ"&amp;"ైన, టెయిల్‌స్కిడ్ అండర్ క్యారేజీ ఉంది. దాని సింగిల్ ఇరుసు, ఫెయిరింగ్‌లో జతచేయబడి, దిగువ ఫ్యూజ్‌లేజ్ లాంగన్స్‌తో సమీప-నిలువు, టెలిస్కోపిక్ షాక్ శోషక కాళ్ళు మరియు ఫెయిర్‌డ్, రియర్‌వార్డ్ డ్రాగ్ స్ట్రట్‌ల ద్వారా చేరింది. సాధారణ క్రాస్-వైర్లకు బదులుగా నిర్మాణ"&amp;"ం ఒకే వికర్ణ క్రాస్-బ్రేసింగ్ ట్యూబ్ కలిగి ఉంది. [2] టెయిల్స్కిడ్ రబ్బరు-నింపేది. [1] పోటెజ్ 24 యొక్క మొదటి ఫ్లైట్ యొక్క తేదీ తెలియదు కాని సెప్టెంబర్ 1924 ప్రారంభానికి కొద్దిసేపటి ముందు జరిగింది. [1] 1924 చివరలో పోటెజ్ సారూప్య కానీ పెద్ద టైప్ 25 ను ఎగరవేస"&amp;"ాడు, ఇది ఇతర విషయాలతోపాటు బిప్‌లేన్ లేఅవుట్ మరియు శీఘ్ర-మార్పు ఇంజిన్ మౌంటులను పంచుకుంది. 1925 వసంతకాలంలో విల్లాకౌబ్లే టెస్ట్ సెంటర్‌లో రెండు రకాల తులనాత్మక పరీక్షల తరువాత, సైన్యం తరువాతి మోడల్‌కు ప్రాధాన్యత ఇచ్చింది, దీనికి ఒక ఒప్పందాన్ని ప్రదానం చేసింది"&amp;" మరియు పోటెజ్ 24 యొక్క అభివృద్ధి ఆగిపోయింది. [3] ఎల్'అరోనటిక్ నుండి డేటా, అక్టోబర్ 1924 [2] సాధారణ లక్షణాల పనితీరు")</f>
        <v>పోటెజ్ 24 A.2 1920 ల మధ్యలో పోటెజ్ 15 ను ఆర్మీ పరిశీలన విమానంగా మార్చడానికి ఉద్దేశించిన ఫ్రెంచ్ బిప్‌లేన్. మరింత మెరుగుపరచబడిన మరియు పెద్ద పోటెజ్ 25 ఉత్పత్తికి ప్రాధాన్యత ఇవ్వబడింది. పోటెజ్ 24 అదే రెండు సీట్ ఆర్మీ కో-ఆపరేషన్ పాత్రను (ఫ్రెంచ్ మిలిటరీ కేటగిరీ A.2) ను పోటెజ్ 15 గా నింపడానికి రూపొందించబడింది, అయితే పనితీరు అదనపు శక్తి మరియు కొత్త, వింగ్ డిజైన్ ద్వారా మెరుగుపడింది. [1] ఎగువ మరియు దిగువ రెక్కలు రెండూ ప్రణాళికలో దీర్ఘచతురస్రాకారంగా ఉన్నాయి, దిగువ ఒకటి వ్యవధిలో తక్కువ మరియు తీగలో చిన్నది. ప్రతి ఒక్కటి ఒక జత స్పార్‌ల చుట్టూ నిర్మించబడింది మరియు కలప-ఫ్రేమ్డ్ మరియు ఫాబ్రిక్ కప్పబడి ఉంది. ఎగువ వింగ్ మూడు భాగాలుగా ఉంది; నాలుగు నిలువు కాబేన్ స్ట్రట్‌లతో ఫ్యూజ్‌లేజ్‌పై ఉంచిన సెంటర్ విభాగం, సిబ్బంది యొక్క వీక్షణ క్షేత్రాన్ని మెరుగుపరచడానికి వెనుకంజలో ఉన్న అంచు కటౌట్ కలిగి ఉంది. దిగువ వింగ్ రెండు భాగాలుగా ఉంది, దిగువ ఫ్యూజ్‌లేజ్ లాంగన్స్‌తో చేరారు. పోటెజ్ 24 అనేది ఒకే బే బిప్‌లేన్, ఇది జతల సమాంతర, బాహ్య-వాలుగా ఉన్న డ్యూరల్ ఇంటర్‌ప్లేన్ స్ట్రట్‌లతో, వైర్ బ్రేసింగ్ సహాయంతో. ఇది 100 మిమీ (3.94 అంగుళాలు) మాత్రమే అస్థిరంగా ఉంది మరియు పోటెజ్ 15 తో పోలిస్తే, 1.80 మీ (5 అడుగుల 11 అంగుళాలు) ఇంటర్‌ప్లేన్ గ్యాప్ పెద్దది. ఎగువ వింగ్లో మాత్రమే పొడవైన, విస్తృత ఐలెరన్లు ఉన్నాయి. [1] పోటెజ్ 24 యొక్క ఇంజిన్ మౌంటు సమకాలీన ఆసక్తిని ఆకర్షించింది, ఎందుకంటే ఇది అనేక విభిన్న మోటార్లు వ్యవస్థాపించడానికి అనుమతించింది, ఉదాహరణకు W12, వాటర్-కూల్డ్ 340 kW (450 HP) లోరైన్ 12E కోర్లిస్ మరియు ఇలాంటి హిస్పానో-సుయిజా 12GA. ఇంజిన్ మరియు ఫ్రేమ్ మార్పిడులు సరఫరా మరియు నియంత్రణ రేఖల డిస్కనెక్ట్ మరియు నాలుగు బోల్ట్‌లను తొలగించడం మాత్రమే. రేడియేటర్ ఇంజిన్ ముందు ముక్కులో ఉంది, దాని సెగ్మెంటల్ ఆకారం చక్కగా, గుండ్రని ఎగువ కౌలింగ్‌ను అనుమతిస్తుంది. [2] వెనుక, ఫ్యూజ్‌లేజ్ గుండ్రని డెక్కింగ్ కాకుండా ఫ్లాట్-సైడెడ్. పైలట్ యొక్క కాక్‌పిట్ అప్పర్ వింగ్ కటౌట్ క్రింద ఉంది, పరిశీలకుడు/మెషిన్ గన్నర్ వెనుక ఉంది. పోటెజ్ 24 యొక్క సామ్రాజ్యం సాంప్రదాయికమైనది, ఫ్యూజ్‌లేజ్ పైన దీర్ఘచతురస్రాకార ప్రణాళిక టెయిల్‌ప్లేన్ విస్తృత, సమతుల్య ఎలివేటర్లను మోస్తుంది. ఒక విస్తృత ఫిన్ ఉదార ​​చుక్కను తీసుకువెళ్ళింది. [1] పోటెజ్ 24 లో 2.0 మీ (6 అడుగుల 7 అంగుళాలు) ట్రాక్‌తో స్థిరమైన, టెయిల్‌స్కిడ్ అండర్ క్యారేజీ ఉంది. దాని సింగిల్ ఇరుసు, ఫెయిరింగ్‌లో జతచేయబడి, దిగువ ఫ్యూజ్‌లేజ్ లాంగన్స్‌తో సమీప-నిలువు, టెలిస్కోపిక్ షాక్ శోషక కాళ్ళు మరియు ఫెయిర్‌డ్, రియర్‌వార్డ్ డ్రాగ్ స్ట్రట్‌ల ద్వారా చేరింది. సాధారణ క్రాస్-వైర్లకు బదులుగా నిర్మాణం ఒకే వికర్ణ క్రాస్-బ్రేసింగ్ ట్యూబ్ కలిగి ఉంది. [2] టెయిల్స్కిడ్ రబ్బరు-నింపేది. [1] పోటెజ్ 24 యొక్క మొదటి ఫ్లైట్ యొక్క తేదీ తెలియదు కాని సెప్టెంబర్ 1924 ప్రారంభానికి కొద్దిసేపటి ముందు జరిగింది. [1] 1924 చివరలో పోటెజ్ సారూప్య కానీ పెద్ద టైప్ 25 ను ఎగరవేసాడు, ఇది ఇతర విషయాలతోపాటు బిప్‌లేన్ లేఅవుట్ మరియు శీఘ్ర-మార్పు ఇంజిన్ మౌంటులను పంచుకుంది. 1925 వసంతకాలంలో విల్లాకౌబ్లే టెస్ట్ సెంటర్‌లో రెండు రకాల తులనాత్మక పరీక్షల తరువాత, సైన్యం తరువాతి మోడల్‌కు ప్రాధాన్యత ఇచ్చింది, దీనికి ఒక ఒప్పందాన్ని ప్రదానం చేసింది మరియు పోటెజ్ 24 యొక్క అభివృద్ధి ఆగిపోయింది. [3] ఎల్'అరోనటిక్ నుండి డేటా, అక్టోబర్ 1924 [2] సాధారణ లక్షణాల పనితీరు</v>
      </c>
      <c r="E172" s="1" t="s">
        <v>2525</v>
      </c>
      <c r="F172" s="1" t="str">
        <f>IFERROR(__xludf.DUMMYFUNCTION("GOOGLETRANSLATE(E:E, ""en"", ""te"")"),"పరిశీలన విమానం")</f>
        <v>పరిశీలన విమానం</v>
      </c>
      <c r="G172" s="1" t="s">
        <v>2526</v>
      </c>
      <c r="H172" s="1" t="s">
        <v>208</v>
      </c>
      <c r="I172" s="1" t="str">
        <f>IFERROR(__xludf.DUMMYFUNCTION("GOOGLETRANSLATE(H:H, ""en"", ""te"")"),"ఫ్రాన్స్")</f>
        <v>ఫ్రాన్స్</v>
      </c>
      <c r="J172" s="3" t="s">
        <v>209</v>
      </c>
      <c r="K172" s="1" t="s">
        <v>2527</v>
      </c>
      <c r="L172" s="2" t="str">
        <f>IFERROR(__xludf.DUMMYFUNCTION("GOOGLETRANSLATE(K:K, ""en"", ""te"")"),"Aéroplanes హెన్రీ పోటెజ్")</f>
        <v>Aéroplanes హెన్రీ పోటెజ్</v>
      </c>
      <c r="M172" s="1" t="s">
        <v>2528</v>
      </c>
      <c r="Q172" s="1" t="s">
        <v>230</v>
      </c>
      <c r="S172" s="1" t="s">
        <v>2529</v>
      </c>
      <c r="U172" s="1" t="s">
        <v>2530</v>
      </c>
      <c r="X172" s="1" t="s">
        <v>2531</v>
      </c>
      <c r="Y172" s="1" t="s">
        <v>2532</v>
      </c>
      <c r="AD172" s="1" t="s">
        <v>2533</v>
      </c>
      <c r="AE172" s="1">
        <v>1.0</v>
      </c>
      <c r="AF172" s="1" t="s">
        <v>1991</v>
      </c>
      <c r="AG172" s="1" t="s">
        <v>2534</v>
      </c>
      <c r="AI172" s="1" t="s">
        <v>2535</v>
      </c>
      <c r="AJ172" s="1" t="s">
        <v>222</v>
      </c>
      <c r="AN172" s="1" t="s">
        <v>2536</v>
      </c>
      <c r="AO172" s="1" t="s">
        <v>2537</v>
      </c>
      <c r="AQ172" s="1" t="s">
        <v>2538</v>
      </c>
      <c r="AS172" s="1" t="s">
        <v>2539</v>
      </c>
    </row>
    <row r="173">
      <c r="A173" s="1" t="s">
        <v>2540</v>
      </c>
      <c r="B173" s="1" t="str">
        <f>IFERROR(__xludf.DUMMYFUNCTION("GOOGLETRANSLATE(A:A, ""en"", ""te"")"),"బ్లోమ్ &amp; వోస్ పి 215")</f>
        <v>బ్లోమ్ &amp; వోస్ పి 215</v>
      </c>
      <c r="C173" s="1" t="s">
        <v>2541</v>
      </c>
      <c r="D173" s="1" t="str">
        <f>IFERROR(__xludf.DUMMYFUNCTION("GOOGLETRANSLATE(C:C, ""en"", ""te"")"),"రెండవ ప్రపంచ యుద్ధంలో బ్లోమ్ &amp; వోస్ పి 215 బ్లోమ్ &amp; వోస్ చేత అధునాతన జెట్ నైట్ ఫైటర్ ప్రాజెక్ట్. మూడు మరియు ట్విన్ జెట్ ఇంజిన్ల సిబ్బందితో, ఇందులో టైలెస్ స్వీప్-వింగ్ లేఅవుట్ మరియు భారీ ఆయుధాలు ఉన్నాయి. యుద్ధం ముగియడానికి కొన్ని వారాల ముందు మూడు ప్రోటోటైప"&amp;"్‌ల కోసం ఆర్డర్ వచ్చింది. 1944-45 సమయంలో, దాని చీఫ్ డిజైనర్ రిచర్డ్ వోగ్ట్ కింద, బ్లోమ్ &amp; వోస్ వరుస అధ్యయనాల ద్వారా టైలెస్ వింగ్ లేఅవుట్ను అభివృద్ధి చేశారు. Škoda-kauba Sk Sl6 అనేది రెక్క చిట్కాలపై జంట టెయిల్‌బూమ్‌లతో సవరించిన స్ట్రెయిట్-రెక్కల SK V6, ప్ర"&amp;"తి ఒక్కటి ప్రత్యేక ఫిన్ మరియు అవుట్‌బోర్డ్ క్షితిజ సమాంతర స్టెబిలైజర్‌తో ఉంటుంది. కాన్ఫిగరేషన్ యొక్క నియంత్రణ లక్షణాలను ధృవీకరించడానికి ఇది నిర్మించబడింది. [1] అవుట్‌బోర్డ్ తోకను కలిగి ఉన్న మొట్టమొదటి B&amp;V ప్రాజెక్ట్ P 208, పషర్ ప్రొపెల్లర్‌తో సింగిల్-ఇంజి"&amp;"న్ ఫైటర్, చాలా సంక్షిప్త తోక విజృంభణలను మరియు తోక రెక్కల స్థానంలో తిరోగమన బయటి స్టెబిలైజర్‌లతో రెక్కలను తుడిచిపెట్టింది. తదుపరి అధ్యయనం, పి 209.01, అదే రెక్కలను ఉపయోగించింది మరియు జెట్ శక్తితో ఉంది. పి 212 మూడు పునరావృతాల ద్వారా డిజైన్ యొక్క మరింత పరిణామా"&amp;"న్ని చూసింది, రెక్క మరింత బాగా కొట్టుకుపోవడంతో, టైల్బూమ్‌లు చివరికి పూర్తిగా తొలగించబడ్డాయి మరియు చిన్న రెక్కలను వింగ్ మరియు స్టెబిలైజర్ జంక్షన్ వద్ద ఉంచిన రడ్డర్‌లతో. జనవరి 1945 లో ముగ్గురు సిబ్బందితో నైట్ ఫైటర్ అవసరం జారీ చేయబడింది. B &amp; V ఈ రోజు నుండి స"&amp;"ింగిల్-ఇంజిన్ సింగిల్-సీటర్ యొక్క ట్విన్జెట్ వేరియంట్‌ను అభివృద్ధి చేసింది. ఫలితంగా పి 215 డిజైన్ భారీగా ఆయుధాలు కలిగి ఉంది మరియు బలీయమైన ప్రత్యర్థిగా ఉండేది. [2] మూడు ప్రోటోటైప్‌ల కోసం ఒక ఉత్తర్వు 17 మార్చి 1945 న ఇవ్వబడింది, కాని కొన్ని వారాల తరువాత యుద"&amp;"్ధం ముగిసింది, ఏదైనా ముఖ్యమైన వివరాల రూపకల్పన పనులు ప్రారంభించడానికి ముందు. [3] పి 215 లో స్థిరమైన తీగ మరియు మితమైన స్వీప్ యొక్క ప్రధాన విభాగం ఉంది, చిన్న ల్యాండింగ్ ఫ్లాప్‌లు వెనుక రూట్ ఫిల్లెట్లను ఏర్పరుస్తాయి. రెక్క చిట్కాల వద్ద స్టబ్ టెయిల్‌బూమ్‌లు దె"&amp;"బ్బతిన్న అవుట్‌బోర్డ్ తోక ఉపరితలాలకు మద్దతు ఇచ్చాయి. క్షితిజ సమాంతర స్టెబిలైజర్లు మరియు అటాచ్డ్ ఎలివేటర్లు సంభవం లో మరియు మరింత తీవ్రంగా, అన్హెడ్రల్ లో క్రిందికి కోణం చేయబడ్డాయి. సంభవం యొక్క తటస్థ లేదా ప్రతికూల కోణం రేఖాంశ స్థిరత్వాన్ని అందించింది మరియు అ"&amp;"న్హెడ్రల్‌తో కలిపి, దిశాత్మక స్థిరత్వానికి దోహదపడింది. చిన్న నిలువు రెక్కలు డైరెక్షనల్ స్టెబిలిటీకి జోడించబడ్డాయి మరియు రడ్డర్లకు మద్దతు ఇస్తాయి. సన్నని, హై-స్పీడ్ వింగ్ వోగ్ట్ యొక్క ట్రేడ్మార్క్ సింగిల్ గొట్టపు ప్రధాన స్పార్ కు సరిహద్దులో లేదు, ఈ డిజైన్ల"&amp;"లో ఒక బ్రాడ్ వింగ్ బాక్స్ ద్వారా భర్తీ చేయబడింది, ఇది గొట్టపు నిర్మాణం యొక్క ఉక్కు వాడకాన్ని మరియు ఇంధన ట్యాంకేజీగా రెట్టింపు చేయడాన్ని పంచుకుంది. చిన్న ఫ్యూజ్‌లేజ్ ట్విన్ హీంకెల్ హెస్ 011 జెట్ ఇంజన్లు వెనుక వైపుకు తక్కువగా ఉంది, పెద్ద కాక్‌పిట్ ప్రధాన వి"&amp;"ంగ్ జంక్షన్ ముందు భాగంలో ఉంది. పైలట్ మరియు నావిగేటర్ పక్కపక్కనే కూర్చున్నారు, రేడియో/రాడార్ ఆపరేటర్ వెంటనే వాటి వెనుక మరియు వెనుక వైపుకు ఎదురుగా ఉన్నారు. ముక్కు వద్ద ఒకే ఇంజిన్ గాలి తీసుకోవడం ఉక్కు వాహికను తినిపించింది, ఇది క్రాఫ్ట్ యొక్క నిర్మాణ వెన్నెము"&amp;"కను ఏర్పరుస్తుంది. ఇది కాక్‌పిట్ క్రింద మరియు ప్రధాన అండర్ క్యారేజ్ బావుల మధ్య, ప్రధాన వింగ్ బాక్స్ కింద పరుగెత్తే ముందు మరియు రెండు ఇంజిన్లకు ఆహారం ఇవ్వడానికి విభజించడానికి ముందు. ఈ నిర్మాణ వ్యవస్థ పెద్ద తొలగించగల ప్యానెల్లను డ్యూరాలిమిన్ స్కిన్నింగ్‌లో "&amp;"కత్తిరించడానికి అనుమతించింది, ఇది సులభంగా నిర్వహణను అనుమతిస్తుంది. ఒకే ముక్కు వీల్ వాహిక ముందు భాగంలో ఉపసంహరించబడింది. [3] అనేక ఆయుధ ఎంపికలు ప్రతిపాదించబడ్డాయి, ప్రధాన ఆయుధాలు ముక్కు తీసుకోవడం చుట్టూ సమూహంగా మరియు భారీ 30 మిమీ లేదా ఫిరంగిని రాకెట్లతో లేదా"&amp;" లేకుండా కలిగి ఉంటాయి. అసాధారణ లక్షణం వెనుక ఫ్యూజ్‌లేజ్‌కు ఇరువైపులా 30 మిమీ ఫిరంగి సెట్ మరియు 90 oper కంటే ఎక్కువ ఇరువైపులా ఉంది. 50 ° ఎత్తులో ఉన్న ఒకే వెనుక వైపున ఉన్న 20 మిమీ తుపాకీకి, మరియు ఫ్యూజ్‌లేజ్ క్రింద రెండు 500 కిలోల బాంబుల కోసం కాక్‌పిట్ వెను"&amp;"క కూడా ఈ నిబంధన తయారు చేయబడింది. [4] [2] ఏవియానిక్స్ సమగ్ర ఆల్-వెదర్ రేడియో నావిగేషన్ సూట్ మరియు అడ్వాన్స్‌డ్ ఫగ్ 244 టార్గెట్ సముపార్జన మరియు తుపాకీ-లేయింగ్ రాడార్ ఉన్నాయి. [4] డిజైన్ యొక్క మొదటి పునరావృతం, పి 215.01, ఈ ప్రతిపాదనతో పాటు బ్రోచర్ యొక్క ఆధా"&amp;"రాన్ని ఏర్పాటు చేసింది. పోటీ డిజైన్ల యొక్క ప్రాధమిక అంచనా తరువాత, ముగ్గురు వ్యక్తుల సిబ్బంది, మంచి ఆయుధాలు మరియు ఎక్కువ ఓర్పుపై ఎక్కువ దృష్టి సారించిన సవరించిన స్పెసిఫికేషన్ జారీ చేయబడింది. అందువల్ల సవరించిన P215.02 చాలా పెద్దది మరియు అధిక కారక నిష్పత్తి "&amp;"మరియు సవరించిన కాక్‌పిట్ పందిరితో సహా అనేక మెరుగుదలలను కలిగి ఉంది. [2] [5] క్రోనిక్ ఐన్స్ ఫ్లగ్జీగ్వెర్కెస్ నుండి డేటా 1932-1945 [3] సాధారణ లక్షణాలు పనితీరు ఆయుధాల ఏవియానిక్స్ ఆల్-వెదర్ రేడియో నావిగేషన్ ఎయిడ్స్, ఫగ్ 244 రాడార్. [4] పోల్చదగిన పాత్ర, కాన్ఫి"&amp;"గరేషన్ మరియు ERA సంబంధిత జాబితాల విమానం")</f>
        <v>రెండవ ప్రపంచ యుద్ధంలో బ్లోమ్ &amp; వోస్ పి 215 బ్లోమ్ &amp; వోస్ చేత అధునాతన జెట్ నైట్ ఫైటర్ ప్రాజెక్ట్. మూడు మరియు ట్విన్ జెట్ ఇంజిన్ల సిబ్బందితో, ఇందులో టైలెస్ స్వీప్-వింగ్ లేఅవుట్ మరియు భారీ ఆయుధాలు ఉన్నాయి. యుద్ధం ముగియడానికి కొన్ని వారాల ముందు మూడు ప్రోటోటైప్‌ల కోసం ఆర్డర్ వచ్చింది. 1944-45 సమయంలో, దాని చీఫ్ డిజైనర్ రిచర్డ్ వోగ్ట్ కింద, బ్లోమ్ &amp; వోస్ వరుస అధ్యయనాల ద్వారా టైలెస్ వింగ్ లేఅవుట్ను అభివృద్ధి చేశారు. Škoda-kauba Sk Sl6 అనేది రెక్క చిట్కాలపై జంట టెయిల్‌బూమ్‌లతో సవరించిన స్ట్రెయిట్-రెక్కల SK V6, ప్రతి ఒక్కటి ప్రత్యేక ఫిన్ మరియు అవుట్‌బోర్డ్ క్షితిజ సమాంతర స్టెబిలైజర్‌తో ఉంటుంది. కాన్ఫిగరేషన్ యొక్క నియంత్రణ లక్షణాలను ధృవీకరించడానికి ఇది నిర్మించబడింది. [1] అవుట్‌బోర్డ్ తోకను కలిగి ఉన్న మొట్టమొదటి B&amp;V ప్రాజెక్ట్ P 208, పషర్ ప్రొపెల్లర్‌తో సింగిల్-ఇంజిన్ ఫైటర్, చాలా సంక్షిప్త తోక విజృంభణలను మరియు తోక రెక్కల స్థానంలో తిరోగమన బయటి స్టెబిలైజర్‌లతో రెక్కలను తుడిచిపెట్టింది. తదుపరి అధ్యయనం, పి 209.01, అదే రెక్కలను ఉపయోగించింది మరియు జెట్ శక్తితో ఉంది. పి 212 మూడు పునరావృతాల ద్వారా డిజైన్ యొక్క మరింత పరిణామాన్ని చూసింది, రెక్క మరింత బాగా కొట్టుకుపోవడంతో, టైల్బూమ్‌లు చివరికి పూర్తిగా తొలగించబడ్డాయి మరియు చిన్న రెక్కలను వింగ్ మరియు స్టెబిలైజర్ జంక్షన్ వద్ద ఉంచిన రడ్డర్‌లతో. జనవరి 1945 లో ముగ్గురు సిబ్బందితో నైట్ ఫైటర్ అవసరం జారీ చేయబడింది. B &amp; V ఈ రోజు నుండి సింగిల్-ఇంజిన్ సింగిల్-సీటర్ యొక్క ట్విన్జెట్ వేరియంట్‌ను అభివృద్ధి చేసింది. ఫలితంగా పి 215 డిజైన్ భారీగా ఆయుధాలు కలిగి ఉంది మరియు బలీయమైన ప్రత్యర్థిగా ఉండేది. [2] మూడు ప్రోటోటైప్‌ల కోసం ఒక ఉత్తర్వు 17 మార్చి 1945 న ఇవ్వబడింది, కాని కొన్ని వారాల తరువాత యుద్ధం ముగిసింది, ఏదైనా ముఖ్యమైన వివరాల రూపకల్పన పనులు ప్రారంభించడానికి ముందు. [3] పి 215 లో స్థిరమైన తీగ మరియు మితమైన స్వీప్ యొక్క ప్రధాన విభాగం ఉంది, చిన్న ల్యాండింగ్ ఫ్లాప్‌లు వెనుక రూట్ ఫిల్లెట్లను ఏర్పరుస్తాయి. రెక్క చిట్కాల వద్ద స్టబ్ టెయిల్‌బూమ్‌లు దెబ్బతిన్న అవుట్‌బోర్డ్ తోక ఉపరితలాలకు మద్దతు ఇచ్చాయి. క్షితిజ సమాంతర స్టెబిలైజర్లు మరియు అటాచ్డ్ ఎలివేటర్లు సంభవం లో మరియు మరింత తీవ్రంగా, అన్హెడ్రల్ లో క్రిందికి కోణం చేయబడ్డాయి. సంభవం యొక్క తటస్థ లేదా ప్రతికూల కోణం రేఖాంశ స్థిరత్వాన్ని అందించింది మరియు అన్హెడ్రల్‌తో కలిపి, దిశాత్మక స్థిరత్వానికి దోహదపడింది. చిన్న నిలువు రెక్కలు డైరెక్షనల్ స్టెబిలిటీకి జోడించబడ్డాయి మరియు రడ్డర్లకు మద్దతు ఇస్తాయి. సన్నని, హై-స్పీడ్ వింగ్ వోగ్ట్ యొక్క ట్రేడ్మార్క్ సింగిల్ గొట్టపు ప్రధాన స్పార్ కు సరిహద్దులో లేదు, ఈ డిజైన్లలో ఒక బ్రాడ్ వింగ్ బాక్స్ ద్వారా భర్తీ చేయబడింది, ఇది గొట్టపు నిర్మాణం యొక్క ఉక్కు వాడకాన్ని మరియు ఇంధన ట్యాంకేజీగా రెట్టింపు చేయడాన్ని పంచుకుంది. చిన్న ఫ్యూజ్‌లేజ్ ట్విన్ హీంకెల్ హెస్ 011 జెట్ ఇంజన్లు వెనుక వైపుకు తక్కువగా ఉంది, పెద్ద కాక్‌పిట్ ప్రధాన వింగ్ జంక్షన్ ముందు భాగంలో ఉంది. పైలట్ మరియు నావిగేటర్ పక్కపక్కనే కూర్చున్నారు, రేడియో/రాడార్ ఆపరేటర్ వెంటనే వాటి వెనుక మరియు వెనుక వైపుకు ఎదురుగా ఉన్నారు. ముక్కు వద్ద ఒకే ఇంజిన్ గాలి తీసుకోవడం ఉక్కు వాహికను తినిపించింది, ఇది క్రాఫ్ట్ యొక్క నిర్మాణ వెన్నెముకను ఏర్పరుస్తుంది. ఇది కాక్‌పిట్ క్రింద మరియు ప్రధాన అండర్ క్యారేజ్ బావుల మధ్య, ప్రధాన వింగ్ బాక్స్ కింద పరుగెత్తే ముందు మరియు రెండు ఇంజిన్లకు ఆహారం ఇవ్వడానికి విభజించడానికి ముందు. ఈ నిర్మాణ వ్యవస్థ పెద్ద తొలగించగల ప్యానెల్లను డ్యూరాలిమిన్ స్కిన్నింగ్‌లో కత్తిరించడానికి అనుమతించింది, ఇది సులభంగా నిర్వహణను అనుమతిస్తుంది. ఒకే ముక్కు వీల్ వాహిక ముందు భాగంలో ఉపసంహరించబడింది. [3] అనేక ఆయుధ ఎంపికలు ప్రతిపాదించబడ్డాయి, ప్రధాన ఆయుధాలు ముక్కు తీసుకోవడం చుట్టూ సమూహంగా మరియు భారీ 30 మిమీ లేదా ఫిరంగిని రాకెట్లతో లేదా లేకుండా కలిగి ఉంటాయి. అసాధారణ లక్షణం వెనుక ఫ్యూజ్‌లేజ్‌కు ఇరువైపులా 30 మిమీ ఫిరంగి సెట్ మరియు 90 oper కంటే ఎక్కువ ఇరువైపులా ఉంది. 50 ° ఎత్తులో ఉన్న ఒకే వెనుక వైపున ఉన్న 20 మిమీ తుపాకీకి, మరియు ఫ్యూజ్‌లేజ్ క్రింద రెండు 500 కిలోల బాంబుల కోసం కాక్‌పిట్ వెనుక కూడా ఈ నిబంధన తయారు చేయబడింది. [4] [2] ఏవియానిక్స్ సమగ్ర ఆల్-వెదర్ రేడియో నావిగేషన్ సూట్ మరియు అడ్వాన్స్‌డ్ ఫగ్ 244 టార్గెట్ సముపార్జన మరియు తుపాకీ-లేయింగ్ రాడార్ ఉన్నాయి. [4] డిజైన్ యొక్క మొదటి పునరావృతం, పి 215.01, ఈ ప్రతిపాదనతో పాటు బ్రోచర్ యొక్క ఆధారాన్ని ఏర్పాటు చేసింది. పోటీ డిజైన్ల యొక్క ప్రాధమిక అంచనా తరువాత, ముగ్గురు వ్యక్తుల సిబ్బంది, మంచి ఆయుధాలు మరియు ఎక్కువ ఓర్పుపై ఎక్కువ దృష్టి సారించిన సవరించిన స్పెసిఫికేషన్ జారీ చేయబడింది. అందువల్ల సవరించిన P215.02 చాలా పెద్దది మరియు అధిక కారక నిష్పత్తి మరియు సవరించిన కాక్‌పిట్ పందిరితో సహా అనేక మెరుగుదలలను కలిగి ఉంది. [2] [5] క్రోనిక్ ఐన్స్ ఫ్లగ్జీగ్వెర్కెస్ నుండి డేటా 1932-1945 [3] సాధారణ లక్షణాలు పనితీరు ఆయుధాల ఏవియానిక్స్ ఆల్-వెదర్ రేడియో నావిగేషన్ ఎయిడ్స్, ఫగ్ 244 రాడార్. [4] పోల్చదగిన పాత్ర, కాన్ఫిగరేషన్ మరియు ERA సంబంధిత జాబితాల విమానం</v>
      </c>
      <c r="E173" s="1" t="s">
        <v>2542</v>
      </c>
      <c r="F173" s="1" t="str">
        <f>IFERROR(__xludf.DUMMYFUNCTION("GOOGLETRANSLATE(E:E, ""en"", ""te"")"),"నైట్ ఫైటర్")</f>
        <v>నైట్ ఫైటర్</v>
      </c>
      <c r="G173" s="1" t="s">
        <v>2543</v>
      </c>
      <c r="K173" s="1" t="s">
        <v>2544</v>
      </c>
      <c r="L173" s="2" t="str">
        <f>IFERROR(__xludf.DUMMYFUNCTION("GOOGLETRANSLATE(K:K, ""en"", ""te"")"),"బ్లోమ్ &amp; వోస్")</f>
        <v>బ్లోమ్ &amp; వోస్</v>
      </c>
      <c r="M173" s="1" t="s">
        <v>2545</v>
      </c>
      <c r="N173" s="1" t="s">
        <v>2546</v>
      </c>
      <c r="O173" s="1" t="str">
        <f>IFERROR(__xludf.DUMMYFUNCTION("GOOGLETRANSLATE(N:N, ""en"", ""te"")"),"యుద్ధం ముగిసే సమయానికి ముగిసింది")</f>
        <v>యుద్ధం ముగిసే సమయానికి ముగిసింది</v>
      </c>
      <c r="Q173" s="1" t="s">
        <v>2547</v>
      </c>
      <c r="R173" s="1" t="s">
        <v>2548</v>
      </c>
      <c r="S173" s="1" t="s">
        <v>2549</v>
      </c>
      <c r="U173" s="1" t="s">
        <v>2550</v>
      </c>
      <c r="X173" s="1" t="s">
        <v>2551</v>
      </c>
      <c r="Y173" s="1" t="s">
        <v>2552</v>
      </c>
      <c r="AB173" s="1" t="s">
        <v>857</v>
      </c>
      <c r="AE173" s="1" t="s">
        <v>2553</v>
      </c>
      <c r="AF173" s="1" t="s">
        <v>2554</v>
      </c>
      <c r="AI173" s="1" t="s">
        <v>2555</v>
      </c>
      <c r="AP173" s="1" t="s">
        <v>2556</v>
      </c>
      <c r="AQ173" s="1" t="s">
        <v>2557</v>
      </c>
      <c r="AU173" s="1" t="s">
        <v>2558</v>
      </c>
      <c r="AW173" s="1">
        <v>0.175</v>
      </c>
      <c r="BO173" s="1" t="s">
        <v>2559</v>
      </c>
      <c r="BR173" s="1" t="s">
        <v>2560</v>
      </c>
      <c r="BS173" s="1" t="s">
        <v>865</v>
      </c>
      <c r="CZ173" s="1" t="s">
        <v>2561</v>
      </c>
      <c r="DF173" s="3" t="s">
        <v>2562</v>
      </c>
      <c r="EV173" s="1" t="s">
        <v>2563</v>
      </c>
      <c r="EW173" s="1" t="s">
        <v>2564</v>
      </c>
      <c r="EX173" s="1" t="s">
        <v>2565</v>
      </c>
    </row>
    <row r="174">
      <c r="A174" s="1" t="s">
        <v>2566</v>
      </c>
      <c r="B174" s="1" t="str">
        <f>IFERROR(__xludf.DUMMYFUNCTION("GOOGLETRANSLATE(A:A, ""en"", ""te"")"),"హన్రియోట్ హెచ్ .38")</f>
        <v>హన్రియోట్ హెచ్ .38</v>
      </c>
      <c r="C174" s="1" t="s">
        <v>2567</v>
      </c>
      <c r="D174" s="1" t="str">
        <f>IFERROR(__xludf.DUMMYFUNCTION("GOOGLETRANSLATE(C:C, ""en"", ""te"")"),"హన్రియోట్ H.38 అనేది ఫ్రెంచ్ ట్విన్-ఇంజిన్ సెస్క్విప్లేన్ ఫ్లయింగ్ బోట్, ఇది 1920 ల మధ్యలో నిర్మించబడింది. [1] ఏకైక ప్రోటోటైప్‌కు రెండు డిఫెన్సివ్ మెషిన్ గన్ పోస్టులు అమర్చబడి ఉన్నాయి. H.38 ఆ సమయంలో యుటిలిటీ విమానం అని వర్ణించబడింది. [2] H.38 యొక్క ఎగువ వ"&amp;"ింగ్ నీటి పైన ఎత్తులో అమర్చబడి ఉంది, చిన్న దిగువ వింగ్ ఎగువ పొట్టుకు జతచేయబడింది. రెండు రెక్కలు తక్కువ కారక నిష్పత్తిని కలిగి ఉన్నాయి మరియు స్థిరమైన మందంతో ప్రణాళికలో దీర్ఘచతురస్రాకారంగా ఉన్నాయి. ప్రతి ఒక్కటి రెండు స్టీల్ స్పార్స్ చుట్టూ నిర్మించబడింది మర"&amp;"ియు అవి సమాంతర ఉక్కు ఇంటర్‌ప్లేన్ స్ట్రట్‌ల జతలతో కలిసి ఉన్నాయి. ప్రతి వైపు వీటిలో మూడు సెట్లు ఉన్నాయి, ఒక జత దిగువ వింగ్ నుండి బయటికి, మరొకటి అదే పాయింట్ల నుండి లోపలికి ఎగువ రెక్కపై ఇంజిన్ మౌంటు వరకు మరియు మరొకటి ఇంజన్లు మరియు దిగువ వింగ్ రూట్ మధ్య. [1] "&amp;"H.38 ను రెండు 130 kW (180 HP) హిస్పానో-సుజా 8AB వాటర్-కూల్డ్ V8 ఇంజన్లు ఫ్రంట్-మౌంటెడ్ రేడియేటర్లతో నడిపించాయి, ఇంజిన్ సంభవించినప్పుడు అసమాన థ్రస్ట్‌ను తగ్గించడానికి వారి ప్రొపెల్లర్స్ వ్యాసాలు అనుమతించినంత దగ్గరగా ఉంచబడ్డాయి వైఫల్యం. [1] [2] దాని పొట్టు "&amp;"చెక్క, పుటాకార విభాగం, సింగిల్ స్టెప్ బాటమ్, శాంతముగా వంగిన వైపులా మరియు ఫ్లాట్ టాప్. అండర్ సైడ్ ట్రిపుల్ వెలిగింది మరియు వైపులా రెట్టింపు. నీటిపై స్థిరత్వం ఇంటర్‌ప్లేన్ స్ట్రట్ మౌంటుల క్రింద దిగువ రెక్కల క్రింద ఒక జత ఫ్లోట్ల ద్వారా అందించబడింది, వీటిని స"&amp;"ుమారు 4.7 మీ (15 అడుగుల 5 అంగుళాలు) వేరు చేస్తారు. పొట్టులో మూడు ఓపెన్ సిబ్బంది స్థానాలు ఉన్నాయి. వాటిలో రెండు, ఒకటి విపరీతమైన ముక్కులో మరియు మరొకటి వెనుకంజలో ఉన్న అంచు మరియు తోక మధ్య మిడ్ వే, మెషిన్ గన్నర్లను కలిగి ఉంది. ఎగువ వింగ్ యొక్క ప్రముఖ అంచున ఉన్"&amp;"న కాక్‌పిట్, రెండు పక్కపక్కనే సీట్లను కలిగి ఉంది, వీటిలో ద్వంద్వ నియంత్రణలు ఉన్నాయి. [1] హల్ అండర్ సైడ్ తోకకు పైకి వెనుకకు వాలుగా ఉంది, ఇక్కడ ఒక తక్కువ ఫిన్ ఒక దశగా కూడా పనిచేసింది, దీనిపై ప్రతి వైపు ఒక దీర్ఘచతురస్రాకార టెయిల్‌ప్లేన్‌ను మౌంట్ చేయడానికి పొ"&amp;"ట్టు యొక్క దిగువ భాగంలో స్ట్రట్‌లతో కలుపుతుంది. ఇది కోణ-చిట్కా, సమతుల్య ఎలివేటర్లను కలిగి ఉంది. సుమారుగా రోంబాయిడల్, ఉదారమైన చుక్కాని కూడా సమతుల్యతను కలిగి ఉంది. [1] [2] హన్రియోట్ H.38 యొక్క మొదటి ఫ్లైట్ యొక్క ఖచ్చితమైన తేదీ తెలియదు కాని ఇది మార్చి 1926 మ"&amp;"ధ్య ముందు చాలాసార్లు ఎగిరింది. [1] ఇది మరో పది నెలలు ఎగురుతూనే ఉంది, బెజోన్స్ వద్ద మార్నే మీద దిగిన తరువాత, ఇది ఒక వంతెన యొక్క పైర్ను కొట్టిన తరువాత ప్రస్తుత, క్యాప్సైజ్ మరియు కోల్పోయినది. హన్రియోట్ యొక్క చీఫ్ టెస్ట్ పైలట్ మార్సెల్ హేగెలెన్ లేదా ఫ్లైట్ ఇం"&amp;"జనీర్ క్యూరో తీవ్రంగా గాయపడలేదు. [3] లెస్ ఐల్స్, మార్చి 1926 నుండి డేటా [1] సాధారణ లక్షణాల పనితీరు")</f>
        <v>హన్రియోట్ H.38 అనేది ఫ్రెంచ్ ట్విన్-ఇంజిన్ సెస్క్విప్లేన్ ఫ్లయింగ్ బోట్, ఇది 1920 ల మధ్యలో నిర్మించబడింది. [1] ఏకైక ప్రోటోటైప్‌కు రెండు డిఫెన్సివ్ మెషిన్ గన్ పోస్టులు అమర్చబడి ఉన్నాయి. H.38 ఆ సమయంలో యుటిలిటీ విమానం అని వర్ణించబడింది. [2] H.38 యొక్క ఎగువ వింగ్ నీటి పైన ఎత్తులో అమర్చబడి ఉంది, చిన్న దిగువ వింగ్ ఎగువ పొట్టుకు జతచేయబడింది. రెండు రెక్కలు తక్కువ కారక నిష్పత్తిని కలిగి ఉన్నాయి మరియు స్థిరమైన మందంతో ప్రణాళికలో దీర్ఘచతురస్రాకారంగా ఉన్నాయి. ప్రతి ఒక్కటి రెండు స్టీల్ స్పార్స్ చుట్టూ నిర్మించబడింది మరియు అవి సమాంతర ఉక్కు ఇంటర్‌ప్లేన్ స్ట్రట్‌ల జతలతో కలిసి ఉన్నాయి. ప్రతి వైపు వీటిలో మూడు సెట్లు ఉన్నాయి, ఒక జత దిగువ వింగ్ నుండి బయటికి, మరొకటి అదే పాయింట్ల నుండి లోపలికి ఎగువ రెక్కపై ఇంజిన్ మౌంటు వరకు మరియు మరొకటి ఇంజన్లు మరియు దిగువ వింగ్ రూట్ మధ్య. [1] H.38 ను రెండు 130 kW (180 HP) హిస్పానో-సుజా 8AB వాటర్-కూల్డ్ V8 ఇంజన్లు ఫ్రంట్-మౌంటెడ్ రేడియేటర్లతో నడిపించాయి, ఇంజిన్ సంభవించినప్పుడు అసమాన థ్రస్ట్‌ను తగ్గించడానికి వారి ప్రొపెల్లర్స్ వ్యాసాలు అనుమతించినంత దగ్గరగా ఉంచబడ్డాయి వైఫల్యం. [1] [2] దాని పొట్టు చెక్క, పుటాకార విభాగం, సింగిల్ స్టెప్ బాటమ్, శాంతముగా వంగిన వైపులా మరియు ఫ్లాట్ టాప్. అండర్ సైడ్ ట్రిపుల్ వెలిగింది మరియు వైపులా రెట్టింపు. నీటిపై స్థిరత్వం ఇంటర్‌ప్లేన్ స్ట్రట్ మౌంటుల క్రింద దిగువ రెక్కల క్రింద ఒక జత ఫ్లోట్ల ద్వారా అందించబడింది, వీటిని సుమారు 4.7 మీ (15 అడుగుల 5 అంగుళాలు) వేరు చేస్తారు. పొట్టులో మూడు ఓపెన్ సిబ్బంది స్థానాలు ఉన్నాయి. వాటిలో రెండు, ఒకటి విపరీతమైన ముక్కులో మరియు మరొకటి వెనుకంజలో ఉన్న అంచు మరియు తోక మధ్య మిడ్ వే, మెషిన్ గన్నర్లను కలిగి ఉంది. ఎగువ వింగ్ యొక్క ప్రముఖ అంచున ఉన్న కాక్‌పిట్, రెండు పక్కపక్కనే సీట్లను కలిగి ఉంది, వీటిలో ద్వంద్వ నియంత్రణలు ఉన్నాయి. [1] హల్ అండర్ సైడ్ తోకకు పైకి వెనుకకు వాలుగా ఉంది, ఇక్కడ ఒక తక్కువ ఫిన్ ఒక దశగా కూడా పనిచేసింది, దీనిపై ప్రతి వైపు ఒక దీర్ఘచతురస్రాకార టెయిల్‌ప్లేన్‌ను మౌంట్ చేయడానికి పొట్టు యొక్క దిగువ భాగంలో స్ట్రట్‌లతో కలుపుతుంది. ఇది కోణ-చిట్కా, సమతుల్య ఎలివేటర్లను కలిగి ఉంది. సుమారుగా రోంబాయిడల్, ఉదారమైన చుక్కాని కూడా సమతుల్యతను కలిగి ఉంది. [1] [2] హన్రియోట్ H.38 యొక్క మొదటి ఫ్లైట్ యొక్క ఖచ్చితమైన తేదీ తెలియదు కాని ఇది మార్చి 1926 మధ్య ముందు చాలాసార్లు ఎగిరింది. [1] ఇది మరో పది నెలలు ఎగురుతూనే ఉంది, బెజోన్స్ వద్ద మార్నే మీద దిగిన తరువాత, ఇది ఒక వంతెన యొక్క పైర్ను కొట్టిన తరువాత ప్రస్తుత, క్యాప్సైజ్ మరియు కోల్పోయినది. హన్రియోట్ యొక్క చీఫ్ టెస్ట్ పైలట్ మార్సెల్ హేగెలెన్ లేదా ఫ్లైట్ ఇంజనీర్ క్యూరో తీవ్రంగా గాయపడలేదు. [3] లెస్ ఐల్స్, మార్చి 1926 నుండి డేటా [1] సాధారణ లక్షణాల పనితీరు</v>
      </c>
      <c r="E174" s="1" t="s">
        <v>2568</v>
      </c>
      <c r="F174" s="1" t="str">
        <f>IFERROR(__xludf.DUMMYFUNCTION("GOOGLETRANSLATE(E:E, ""en"", ""te"")"),"మిలిటరీ యుటిలిటీ ఫ్లయింగ్ బోట్")</f>
        <v>మిలిటరీ యుటిలిటీ ఫ్లయింగ్ బోట్</v>
      </c>
      <c r="G174" s="1" t="s">
        <v>2569</v>
      </c>
      <c r="H174" s="1" t="s">
        <v>208</v>
      </c>
      <c r="I174" s="1" t="str">
        <f>IFERROR(__xludf.DUMMYFUNCTION("GOOGLETRANSLATE(H:H, ""en"", ""te"")"),"ఫ్రాన్స్")</f>
        <v>ఫ్రాన్స్</v>
      </c>
      <c r="J174" s="3" t="s">
        <v>209</v>
      </c>
      <c r="K174" s="1" t="s">
        <v>2404</v>
      </c>
      <c r="L174" s="2" t="str">
        <f>IFERROR(__xludf.DUMMYFUNCTION("GOOGLETRANSLATE(K:K, ""en"", ""te"")"),"ఏవియన్లు హాన్రియోట్")</f>
        <v>ఏవియన్లు హాన్రియోట్</v>
      </c>
      <c r="M174" s="1" t="s">
        <v>2405</v>
      </c>
      <c r="Q174" s="1" t="s">
        <v>2570</v>
      </c>
      <c r="S174" s="1" t="s">
        <v>214</v>
      </c>
      <c r="U174" s="1" t="s">
        <v>2571</v>
      </c>
      <c r="X174" s="1" t="s">
        <v>2572</v>
      </c>
      <c r="Y174" s="1" t="s">
        <v>2573</v>
      </c>
      <c r="AD174" s="1" t="s">
        <v>2574</v>
      </c>
      <c r="AE174" s="1">
        <v>1.0</v>
      </c>
      <c r="AF174" s="1" t="s">
        <v>2575</v>
      </c>
      <c r="AG174" s="1" t="s">
        <v>2576</v>
      </c>
      <c r="AI174" s="1" t="s">
        <v>2577</v>
      </c>
      <c r="AJ174" s="1" t="s">
        <v>222</v>
      </c>
      <c r="AL174" s="1" t="s">
        <v>2578</v>
      </c>
      <c r="AN174" s="1" t="s">
        <v>2579</v>
      </c>
      <c r="AO174" s="1" t="s">
        <v>2044</v>
      </c>
      <c r="AQ174" s="1" t="s">
        <v>2580</v>
      </c>
      <c r="AS174" s="1" t="s">
        <v>2581</v>
      </c>
    </row>
    <row r="175">
      <c r="A175" s="1" t="s">
        <v>2582</v>
      </c>
      <c r="B175" s="1" t="str">
        <f>IFERROR(__xludf.DUMMYFUNCTION("GOOGLETRANSLATE(A:A, ""en"", ""te"")"),"లియోర్ ఎట్ ఆలివర్ లియో హెచ్ -15")</f>
        <v>లియోర్ ఎట్ ఆలివర్ లియో హెచ్ -15</v>
      </c>
      <c r="C175" s="1" t="s">
        <v>2583</v>
      </c>
      <c r="D175" s="1" t="str">
        <f>IFERROR(__xludf.DUMMYFUNCTION("GOOGLETRANSLATE(C:C, ""en"", ""te"")"),"లియోర్ ఎట్ ఆలివర్ లియో హెచ్ -15 ఒక ఫ్రెంచ్ పన్నెండు సీట్ల సివిల్ ఫ్లయింగ్ బోట్, ఇది 1926 లో జాతీయ పోటీలో ఎగిరింది. ఇది గెలవలేదు కాని రెండు లోడ్ మోసే రికార్డులను నెలకొల్పింది, ఒకటి ప్రపంచ రికార్డు. 1926 లో, ఫ్రెంచ్ ప్రభుత్వం కొత్త, బహుళ ఇంజిన్ వాణిజ్య సీప్"&amp;"లేన్లను ఉత్పత్తి చేయడానికి ఒక పోటీలో పెద్ద బహుమతులు ఇచ్చింది. ఇలాంటి ల్యాండ్‌ప్లేన్ పోటీలతో పోలిస్తే, కొద్దిమంది తయారీదారులు అభ్యర్థిని అందించారు; ట్రయల్స్ వద్ద, జూలై మరియు ఆగస్టులో లియో హెచ్ -15 అధిక కారక నిష్పత్తి, అసమాన వ్యవధి యొక్క సన్నని విభాగం రెక్క"&amp;"లతో మూడు ఇంజిన్ బిప్‌లేన్. చిన్న స్పాన్ దిగువ వింగ్, కొంచెం డైహెడ్రాల్‌తో, పొట్టులో నిర్మించబడింది మరియు పై రెక్కను దానిపై అస్థిరంగా లేదా డైహెడ్రల్ లేకుండా అమర్చారు. ఇంటర్‌ప్లేన్ స్ట్రట్‌లు సమాంతర జతలలో, రెండు బాహ్య వాలు మరియు రెండు నిలువు అవుట్‌బోర్డ్, మ"&amp;"రియు ఒక ఇంటర్‌కనెక్టడ్ సెంట్రల్ కాంప్లెక్స్ రెండూ రెక్కలు మరియు దాని మూడు 310 కిలోవాట్ల (420 హెచ్‌పి) గ్నోమ్ &amp; రోన్ 9ab తొమ్మిది సిలిండర్ రేడియల్ ఇంజన్లలో రెండింటినీ అమర్చాయి. రెక్కలు. మరొకటి పొట్టుపై ఎగువ రెక్కపై అమర్చబడింది. [2] దాని పొట్టులో రెండు దశలు"&amp;" ఉన్నాయి, ఒకటి రెక్కల వెనుకంజలో మరియు రెండవది. దిగువ భాగంలో V, విభాగం కాకుండా గుండ్రంగా ఉండేది మరియు దాని ఎగువ భాగం కంటే వెడల్పుగా ఉంది. పైలట్ వింగ్ యొక్క ప్రముఖ అంచుకి ముందు ఓపెన్ కాక్‌పిట్‌లో ఉంచబడింది మరియు ""విలాసవంతమైన"" ప్యాసింజర్ క్యాబిన్, పన్నెండు"&amp;"కు అనుగుణంగా, ముక్కులో ఒక హాచ్ ద్వారా యాక్సెస్ చేయబడింది. ప్రతి వైపు స్థిరీకరణ ఫ్లోట్ బాహ్య ఇంటర్‌ప్లేన్ స్ట్రట్‌ల పొడిగింపులపై దిగువ రెక్క క్రింద అమర్చబడి, మరొక, లోపలి జతతో బలోపేతం చేయబడింది. [2] లియో హెచ్ -15 యొక్క ఫిన్ పొట్టులో భాగం మరియు ప్రొఫైల్‌లో స"&amp;"ుమారు త్రిభుజాకారంగా ఉంది. ఇది నిలువు అంచుగల, సమతుల్య చుక్కానిని తీసుకువెళ్ళింది, ఇది దిగువ ఫ్యూజ్‌లేజ్‌కు విస్తరించింది. ఒక దీర్ఘచతురస్రాకార ప్రణాళిక టెయిల్‌ప్లేన్ ఫిన్‌పై ఫ్యూజ్‌లేజ్ పైన కొంచెం మార్గంలో అమర్చబడింది, ప్రతి వైపు ఒక సమాంతర జత స్ట్రట్‌లతో ద"&amp;"ిగువ ఫ్యూజ్‌లేజ్ మరియు ఎగువ ఫిన్ నుండి వైర్లతో కలుపుతారు; చుక్కాని వలె, ఎలివేటర్లు సమతుల్యతను కలిగి ఉన్నాయి. లియో హెచ్ -15 మొదటిసారి 10 జూన్ 1926 న ప్రయాణించింది, [3] జూలై 19 న సెయింట్-రాఫాల్ వద్ద ట్రయల్స్ ప్రారంభానికి ఆరు వారాల లోపు. ట్రయల్స్ పాల్గొనడాని"&amp;"కి రెండు రోజుల ముందు రెండు రోజుల ముందు దాని వైమానిక ధృవీకరణ పత్రాన్ని సాధించాల్సిన అవసరం ఉంది. దాని ట్రయల్స్ పైలట్ లెఫ్టినెంట్ డి వైస్సో బెనాయిట్. వాణిజ్య విమాన పరీక్షలలో మెటియోర్ లియోను అధిగమించింది మరియు ప్రయాణీకులకు సురక్షితంగా మరియు మరింత సౌకర్యవంతంగా"&amp;" నిర్ణయించబడింది, దాని టేకాఫ్లు ఎక్కువ సమయం తీసుకున్నప్పటికీ, ఇది మరింత నెమ్మదిగా ఎక్కి తక్కువ సముద్రతీరం. తత్ఫలితంగా, మాటియోర్ మొదటి బహుమతిని 100,000 ఫ్రాంక్‌లు మరియు లియో 20,000 ఫ్రాంక్స్ రెండవ బహుమతిని అందుకుంది. [1] ట్రయల్స్ సమయంలో లియో హెచ్ -15 రెండు"&amp;" రికార్డులను నెలకొల్పింది, రెండూ 500 కిలోల (1,100 ఎల్బి) లోడ్ మోసే విమానాల కోసం. మొదటిది 4 h 32 min 11 s యొక్క ప్రపంచ వ్యవధి రికార్డు మరియు రెండవది 130.86 km/h (81.31 mph; 70.66 kN) వద్ద 500 కిమీ (310 మైళ్ళు) కంటే ఎక్కువ ఫ్రెంచ్ స్పీడ్ రికార్డ్. [1] లెస్ "&amp;"ఐల్స్, జూలై 1926 నుండి డేటా [2] సాధారణ లక్షణాల పనితీరు")</f>
        <v>లియోర్ ఎట్ ఆలివర్ లియో హెచ్ -15 ఒక ఫ్రెంచ్ పన్నెండు సీట్ల సివిల్ ఫ్లయింగ్ బోట్, ఇది 1926 లో జాతీయ పోటీలో ఎగిరింది. ఇది గెలవలేదు కాని రెండు లోడ్ మోసే రికార్డులను నెలకొల్పింది, ఒకటి ప్రపంచ రికార్డు. 1926 లో, ఫ్రెంచ్ ప్రభుత్వం కొత్త, బహుళ ఇంజిన్ వాణిజ్య సీప్లేన్లను ఉత్పత్తి చేయడానికి ఒక పోటీలో పెద్ద బహుమతులు ఇచ్చింది. ఇలాంటి ల్యాండ్‌ప్లేన్ పోటీలతో పోలిస్తే, కొద్దిమంది తయారీదారులు అభ్యర్థిని అందించారు; ట్రయల్స్ వద్ద, జూలై మరియు ఆగస్టులో లియో హెచ్ -15 అధిక కారక నిష్పత్తి, అసమాన వ్యవధి యొక్క సన్నని విభాగం రెక్కలతో మూడు ఇంజిన్ బిప్‌లేన్. చిన్న స్పాన్ దిగువ వింగ్, కొంచెం డైహెడ్రాల్‌తో, పొట్టులో నిర్మించబడింది మరియు పై రెక్కను దానిపై అస్థిరంగా లేదా డైహెడ్రల్ లేకుండా అమర్చారు. ఇంటర్‌ప్లేన్ స్ట్రట్‌లు సమాంతర జతలలో, రెండు బాహ్య వాలు మరియు రెండు నిలువు అవుట్‌బోర్డ్, మరియు ఒక ఇంటర్‌కనెక్టడ్ సెంట్రల్ కాంప్లెక్స్ రెండూ రెక్కలు మరియు దాని మూడు 310 కిలోవాట్ల (420 హెచ్‌పి) గ్నోమ్ &amp; రోన్ 9ab తొమ్మిది సిలిండర్ రేడియల్ ఇంజన్లలో రెండింటినీ అమర్చాయి. రెక్కలు. మరొకటి పొట్టుపై ఎగువ రెక్కపై అమర్చబడింది. [2] దాని పొట్టులో రెండు దశలు ఉన్నాయి, ఒకటి రెక్కల వెనుకంజలో మరియు రెండవది. దిగువ భాగంలో V, విభాగం కాకుండా గుండ్రంగా ఉండేది మరియు దాని ఎగువ భాగం కంటే వెడల్పుగా ఉంది. పైలట్ వింగ్ యొక్క ప్రముఖ అంచుకి ముందు ఓపెన్ కాక్‌పిట్‌లో ఉంచబడింది మరియు "విలాసవంతమైన" ప్యాసింజర్ క్యాబిన్, పన్నెండుకు అనుగుణంగా, ముక్కులో ఒక హాచ్ ద్వారా యాక్సెస్ చేయబడింది. ప్రతి వైపు స్థిరీకరణ ఫ్లోట్ బాహ్య ఇంటర్‌ప్లేన్ స్ట్రట్‌ల పొడిగింపులపై దిగువ రెక్క క్రింద అమర్చబడి, మరొక, లోపలి జతతో బలోపేతం చేయబడింది. [2] లియో హెచ్ -15 యొక్క ఫిన్ పొట్టులో భాగం మరియు ప్రొఫైల్‌లో సుమారు త్రిభుజాకారంగా ఉంది. ఇది నిలువు అంచుగల, సమతుల్య చుక్కానిని తీసుకువెళ్ళింది, ఇది దిగువ ఫ్యూజ్‌లేజ్‌కు విస్తరించింది. ఒక దీర్ఘచతురస్రాకార ప్రణాళిక టెయిల్‌ప్లేన్ ఫిన్‌పై ఫ్యూజ్‌లేజ్ పైన కొంచెం మార్గంలో అమర్చబడింది, ప్రతి వైపు ఒక సమాంతర జత స్ట్రట్‌లతో దిగువ ఫ్యూజ్‌లేజ్ మరియు ఎగువ ఫిన్ నుండి వైర్లతో కలుపుతారు; చుక్కాని వలె, ఎలివేటర్లు సమతుల్యతను కలిగి ఉన్నాయి. లియో హెచ్ -15 మొదటిసారి 10 జూన్ 1926 న ప్రయాణించింది, [3] జూలై 19 న సెయింట్-రాఫాల్ వద్ద ట్రయల్స్ ప్రారంభానికి ఆరు వారాల లోపు. ట్రయల్స్ పాల్గొనడానికి రెండు రోజుల ముందు రెండు రోజుల ముందు దాని వైమానిక ధృవీకరణ పత్రాన్ని సాధించాల్సిన అవసరం ఉంది. దాని ట్రయల్స్ పైలట్ లెఫ్టినెంట్ డి వైస్సో బెనాయిట్. వాణిజ్య విమాన పరీక్షలలో మెటియోర్ లియోను అధిగమించింది మరియు ప్రయాణీకులకు సురక్షితంగా మరియు మరింత సౌకర్యవంతంగా నిర్ణయించబడింది, దాని టేకాఫ్లు ఎక్కువ సమయం తీసుకున్నప్పటికీ, ఇది మరింత నెమ్మదిగా ఎక్కి తక్కువ సముద్రతీరం. తత్ఫలితంగా, మాటియోర్ మొదటి బహుమతిని 100,000 ఫ్రాంక్‌లు మరియు లియో 20,000 ఫ్రాంక్స్ రెండవ బహుమతిని అందుకుంది. [1] ట్రయల్స్ సమయంలో లియో హెచ్ -15 రెండు రికార్డులను నెలకొల్పింది, రెండూ 500 కిలోల (1,100 ఎల్బి) లోడ్ మోసే విమానాల కోసం. మొదటిది 4 h 32 min 11 s యొక్క ప్రపంచ వ్యవధి రికార్డు మరియు రెండవది 130.86 km/h (81.31 mph; 70.66 kN) వద్ద 500 కిమీ (310 మైళ్ళు) కంటే ఎక్కువ ఫ్రెంచ్ స్పీడ్ రికార్డ్. [1] లెస్ ఐల్స్, జూలై 1926 నుండి డేటా [2] సాధారణ లక్షణాల పనితీరు</v>
      </c>
      <c r="E175" s="1" t="s">
        <v>2584</v>
      </c>
      <c r="F175" s="1" t="str">
        <f>IFERROR(__xludf.DUMMYFUNCTION("GOOGLETRANSLATE(E:E, ""en"", ""te"")"),"రవాణా విమానం")</f>
        <v>రవాణా విమానం</v>
      </c>
      <c r="G175" s="1" t="s">
        <v>2585</v>
      </c>
      <c r="H175" s="1" t="s">
        <v>208</v>
      </c>
      <c r="I175" s="1" t="str">
        <f>IFERROR(__xludf.DUMMYFUNCTION("GOOGLETRANSLATE(H:H, ""en"", ""te"")"),"ఫ్రాన్స్")</f>
        <v>ఫ్రాన్స్</v>
      </c>
      <c r="J175" s="3" t="s">
        <v>209</v>
      </c>
      <c r="K175" s="1" t="s">
        <v>2586</v>
      </c>
      <c r="L175" s="2" t="str">
        <f>IFERROR(__xludf.DUMMYFUNCTION("GOOGLETRANSLATE(K:K, ""en"", ""te"")"),"లియోర్ ఎట్ ఆలివర్")</f>
        <v>లియోర్ ఎట్ ఆలివర్</v>
      </c>
      <c r="M175" s="1" t="s">
        <v>2587</v>
      </c>
      <c r="S175" s="1" t="s">
        <v>2588</v>
      </c>
      <c r="X175" s="1" t="s">
        <v>2589</v>
      </c>
      <c r="Y175" s="1" t="s">
        <v>2590</v>
      </c>
      <c r="Z175" s="1" t="s">
        <v>1460</v>
      </c>
      <c r="AD175" s="4">
        <v>9658.0</v>
      </c>
      <c r="AE175" s="1">
        <v>1.0</v>
      </c>
      <c r="AF175" s="1" t="s">
        <v>2591</v>
      </c>
      <c r="AG175" s="1" t="s">
        <v>2592</v>
      </c>
      <c r="AI175" s="1" t="s">
        <v>2593</v>
      </c>
      <c r="AJ175" s="1" t="s">
        <v>222</v>
      </c>
      <c r="AL175" s="1" t="s">
        <v>2594</v>
      </c>
      <c r="AM175" s="1" t="s">
        <v>2595</v>
      </c>
      <c r="AN175" s="1" t="s">
        <v>2596</v>
      </c>
      <c r="AO175" s="1" t="s">
        <v>2597</v>
      </c>
    </row>
    <row r="176">
      <c r="A176" s="1" t="s">
        <v>2598</v>
      </c>
      <c r="B176" s="1" t="str">
        <f>IFERROR(__xludf.DUMMYFUNCTION("GOOGLETRANSLATE(A:A, ""en"", ""te"")"),"సికోర్స్కీ ఎస్ -68")</f>
        <v>సికోర్స్కీ ఎస్ -68</v>
      </c>
      <c r="C176" s="1" t="s">
        <v>2599</v>
      </c>
      <c r="D176" s="1" t="str">
        <f>IFERROR(__xludf.DUMMYFUNCTION("GOOGLETRANSLATE(C:C, ""en"", ""te"")"),"సికోర్స్కీ ఎస్ -68 అనేది S-58T టర్బోషాఫ్ట్ శక్తితో కూడిన హెలికాప్టర్ యొక్క ప్రతిపాదిత మార్పు, దాని ఇంజిన్లను ముక్కు నుండి S-61 మాదిరిగానే క్యాబిన్ పైకి తరలించడం ద్వారా. డిజైన్ యొక్క మార్కెట్ సంభావ్యత గురించి సందేహం ఏదైనా ఉదాహరణలు ఉత్పత్తి చేయడానికి ముందే "&amp;"ప్రాజెక్ట్ ముగియడానికి దారితీసింది. [1]")</f>
        <v>సికోర్స్కీ ఎస్ -68 అనేది S-58T టర్బోషాఫ్ట్ శక్తితో కూడిన హెలికాప్టర్ యొక్క ప్రతిపాదిత మార్పు, దాని ఇంజిన్లను ముక్కు నుండి S-61 మాదిరిగానే క్యాబిన్ పైకి తరలించడం ద్వారా. డిజైన్ యొక్క మార్కెట్ సంభావ్యత గురించి సందేహం ఏదైనా ఉదాహరణలు ఉత్పత్తి చేయడానికి ముందే ప్రాజెక్ట్ ముగియడానికి దారితీసింది. [1]</v>
      </c>
      <c r="E176" s="1" t="s">
        <v>2600</v>
      </c>
      <c r="F176" s="1" t="str">
        <f>IFERROR(__xludf.DUMMYFUNCTION("GOOGLETRANSLATE(E:E, ""en"", ""te"")"),"వాణిజ్య రవాణా")</f>
        <v>వాణిజ్య రవాణా</v>
      </c>
      <c r="H176" s="1" t="s">
        <v>227</v>
      </c>
      <c r="I176" s="1" t="str">
        <f>IFERROR(__xludf.DUMMYFUNCTION("GOOGLETRANSLATE(H:H, ""en"", ""te"")"),"అమెరికా")</f>
        <v>అమెరికా</v>
      </c>
      <c r="K176" s="1" t="s">
        <v>2302</v>
      </c>
      <c r="L176" s="2" t="str">
        <f>IFERROR(__xludf.DUMMYFUNCTION("GOOGLETRANSLATE(K:K, ""en"", ""te"")"),"సికోర్స్కీ విమానం")</f>
        <v>సికోర్స్కీ విమానం</v>
      </c>
      <c r="M176" s="1" t="s">
        <v>2303</v>
      </c>
    </row>
    <row r="177">
      <c r="A177" s="1" t="s">
        <v>2601</v>
      </c>
      <c r="B177" s="1" t="str">
        <f>IFERROR(__xludf.DUMMYFUNCTION("GOOGLETRANSLATE(A:A, ""en"", ""te"")"),"CPA 1")</f>
        <v>CPA 1</v>
      </c>
      <c r="C177" s="1" t="s">
        <v>2602</v>
      </c>
      <c r="D177" s="1" t="str">
        <f>IFERROR(__xludf.DUMMYFUNCTION("GOOGLETRANSLATE(C:C, ""en"", ""te"")"),"CPA 1 అనేది ఫ్రెంచ్ జంట-ఇంజిన్, పారాసోల్-రెక్కల బాంబర్, ఇది 1920 ల మధ్యలో రూపొందించబడింది మరియు నిర్మించబడింది. CPA 1 లో రెండు భాగాలు ఉన్నాయి, స్థిరమైన మందం మరియు తీగ యొక్క కలుపు వింగ్, ఇది నిటారుగా అంచున మరియు 7 at వద్ద తుడిచిపెట్టుకుపోయింది, రెండు చెక్క"&amp;" స్పార్లు మరియు ఫాబ్రిక్ చుట్టూ నిర్మించబడింది. డైహెడ్రల్ లేదు. వెనుకంజలో ఉన్న అంచులు ఐలెరన్లు మరియు ఇన్బోర్డ్, కాంబర్ మారుతున్న ఫ్లాప్‌లతో నిండి ఉన్నాయి. [1] దీని ఫ్యూజ్‌లేజ్ విభాగంలో దీర్ఘచతురస్రాకారంగా ఉంది, చెక్క చట్రంతో వైర్ క్రాస్-బ్రేస్డ్ అంతర్గతంగ"&amp;"ా మరియు ప్లై కప్పబడినది, ఫాబ్రిక్ కవరింగ్ వెనుక ఉంది. రెక్కలు నాలుగు నిలువు కాబేన్ స్ట్రట్‌లపై ఫ్యూజ్‌లేజ్‌పై అమర్చబడ్డాయి మరియు వింగ్ స్పార్స్ మరియు ఇంజిన్-బేరింగ్ ఫ్రేమ్‌ల మధ్య ప్రతి వైపు ఒక జత వాలుగా ఉండే సమాంతర స్ట్రట్‌లతో కలుపుతారు. తరువాతి ప్రతి ఒక్"&amp;"కటి ఫ్యూజ్‌లేజ్‌తో మరో మూడు సెట్ల స్ట్రట్‌లతో జతచేయబడింది, రెండు దిగువ ఫ్యూజ్‌లేజ్‌కు మరియు దాని ఎగువ లాంగన్‌కు ఒకటి, అలాగే రెక్క అండర్సైడ్‌లకు నిలువు స్ట్రట్‌ల జత. క్యాప్ 1 లో రెండు 340 కిలోవాట్ల (450 హెచ్‌పి) వాటర్-కూల్డ్ హిస్పానో-సుజా 12 జెబి [2] వి 12"&amp;" ఇంజన్లు ఫ్రంట్-మౌంటెడ్ రేడియేటర్లతో పొడవైన కౌలింగ్స్‌లో ఉన్నాయి; ఇంధన ట్యాంకులు రెక్కలలో ఉన్నాయి కాని చమురు జలాశయాలు ఇంజిన్ హౌసింగ్స్‌లో ఉంచబడ్డాయి. [1] CPA 1 యొక్క సెమీ-సిలిండ్రికల్ ముక్కు యొక్క వెనుక భాగంలో పరిశీలకునికి 5 మీ (16 అడుగులు) పొడవు క్యాబిన్"&amp;" ఉంది. ఇది ఫార్వర్డ్ ఫేసింగ్ విండో మరియు నలభై 10 కిలోల (22 ఎల్బి) లేదా పది 50 కిలోల (110 ఎల్బి) బాంబులను కలిగి ఉండే ఫ్రేమ్‌ను కలిగి ఉంది, వీటిని వెంట్రల్ ఓపెనింగ్స్ ద్వారా మోహరించారు. ఇది ముక్కులో ఓపెన్ గన్ పొజిషన్‌ను కలిగి ఉంది మరియు నిలువు మరియు వాలుగా "&amp;"ఉన్న ఫోటోగ్రఫీకి అమర్చబడింది. పైలట్ యొక్క కాక్‌పిట్ వింగ్ వెనుకంజలో ఉంది, వెనుక-గన్నర్ యొక్క స్థానంతో వెనుకబడి ఉంది, డెమౌంటబుల్ డ్యూయల్ కంట్రోల్స్, సౌకర్యవంతమైన మౌంట్‌పై పైకి కాల్చే మెషిన్ గన్‌లు మరియు మరొక తుపాకీ-మౌంటు కోసం వెంట్రల్ హాచ్ దిగువ వెనుక ఫీల్"&amp;"డ్‌ను కప్పి ఉంచారు. [[పట్టు కుములి దాని టెయిల్‌ప్లేన్ స్థిరమైన తీగ మరియు కోణ చిట్కాలతో, మరియు ఫ్యూజ్‌లేజ్ పైన అమర్చబడింది, క్రింద నుండి జత చేసిన స్ట్రట్‌లతో. ఇది ఇరుకైన తీగ ఎలివేటర్లను కలిగి ఉంది. ఫిన్ విశాలమైనది మరియు దాదాపు త్రిభుజాకారంగా ఉంది మరియు నిల"&amp;"ువుగా అంచున ఉన్న, అసమతుల్య చుక్కానిని అమర్చారు, ఇది కీల్ వరకు చేరుకుంది. గురుత్వాకర్షణ లేదా థొరెటల్ సెట్టింగ్ మధ్యలో మార్పులను భర్తీ చేయడానికి ఫిన్ మరియు టెయిల్ ప్లేన్ రెండింటి సంఘటనలను విమానంలో సర్దుబాటు చేయవచ్చు. [1] CAP 1 లో సాంప్రదాయిక, స్థిర టెయిల్‌స"&amp;"్కిడ్ అండర్ క్యారేజ్ ఉంది, ఇంజిన్ల క్రింద మెయిన్‌వీల్స్‌ స్వతంత్ర జతలతో; ప్రతి జత రెండు సెట్ల V- స్ట్రట్‌లపై అమర్చబడింది, ఒకటి ఇంజిన్-బేరింగ్ ఫ్రేమ్‌కు నిలువుగా మరియు మరొకటి దిగువ ఫ్యూజ్‌లేజ్ లాంగన్‌కు. [1] CPA 1 మొట్టమొదట 8 జనవరి 1926 న ఎగురవేయబడింది, [3"&amp;"] దాని అభివృద్ధిని వెంటనే ఓర్లీ వద్ద ప్రారంభించింది. [4] మార్చి 8 న ఈ విమానం పైలట్ టాచే చేత విల్లాకౌబ్లేకు ఎగిరింది. నవంబర్‌లో ఇది CPA 1 యొక్క రెండవ ఉదాహరణతో చేరారు. [6] [7] వారి తరువాతి చరిత్ర తెలియదు. లెస్ ఐల్స్, డిసెంబర్ 1925 నుండి వచ్చిన డేటా [1] పనిత"&amp;"ీరు గణాంకాలు 4,200 కిలోల (9,300 ఎల్బి) బరువుతో లెక్కించబడతాయి .నెరల్ క్యారెక్టరిస్టిక్స్ పెర్ఫార్మెన్స్ ఆర్మేమెంట్")</f>
        <v>CPA 1 అనేది ఫ్రెంచ్ జంట-ఇంజిన్, పారాసోల్-రెక్కల బాంబర్, ఇది 1920 ల మధ్యలో రూపొందించబడింది మరియు నిర్మించబడింది. CPA 1 లో రెండు భాగాలు ఉన్నాయి, స్థిరమైన మందం మరియు తీగ యొక్క కలుపు వింగ్, ఇది నిటారుగా అంచున మరియు 7 at వద్ద తుడిచిపెట్టుకుపోయింది, రెండు చెక్క స్పార్లు మరియు ఫాబ్రిక్ చుట్టూ నిర్మించబడింది. డైహెడ్రల్ లేదు. వెనుకంజలో ఉన్న అంచులు ఐలెరన్లు మరియు ఇన్బోర్డ్, కాంబర్ మారుతున్న ఫ్లాప్‌లతో నిండి ఉన్నాయి. [1] దీని ఫ్యూజ్‌లేజ్ విభాగంలో దీర్ఘచతురస్రాకారంగా ఉంది, చెక్క చట్రంతో వైర్ క్రాస్-బ్రేస్డ్ అంతర్గతంగా మరియు ప్లై కప్పబడినది, ఫాబ్రిక్ కవరింగ్ వెనుక ఉంది. రెక్కలు నాలుగు నిలువు కాబేన్ స్ట్రట్‌లపై ఫ్యూజ్‌లేజ్‌పై అమర్చబడ్డాయి మరియు వింగ్ స్పార్స్ మరియు ఇంజిన్-బేరింగ్ ఫ్రేమ్‌ల మధ్య ప్రతి వైపు ఒక జత వాలుగా ఉండే సమాంతర స్ట్రట్‌లతో కలుపుతారు. తరువాతి ప్రతి ఒక్కటి ఫ్యూజ్‌లేజ్‌తో మరో మూడు సెట్ల స్ట్రట్‌లతో జతచేయబడింది, రెండు దిగువ ఫ్యూజ్‌లేజ్‌కు మరియు దాని ఎగువ లాంగన్‌కు ఒకటి, అలాగే రెక్క అండర్సైడ్‌లకు నిలువు స్ట్రట్‌ల జత. క్యాప్ 1 లో రెండు 340 కిలోవాట్ల (450 హెచ్‌పి) వాటర్-కూల్డ్ హిస్పానో-సుజా 12 జెబి [2] వి 12 ఇంజన్లు ఫ్రంట్-మౌంటెడ్ రేడియేటర్లతో పొడవైన కౌలింగ్స్‌లో ఉన్నాయి; ఇంధన ట్యాంకులు రెక్కలలో ఉన్నాయి కాని చమురు జలాశయాలు ఇంజిన్ హౌసింగ్స్‌లో ఉంచబడ్డాయి. [1] CPA 1 యొక్క సెమీ-సిలిండ్రికల్ ముక్కు యొక్క వెనుక భాగంలో పరిశీలకునికి 5 మీ (16 అడుగులు) పొడవు క్యాబిన్ ఉంది. ఇది ఫార్వర్డ్ ఫేసింగ్ విండో మరియు నలభై 10 కిలోల (22 ఎల్బి) లేదా పది 50 కిలోల (110 ఎల్బి) బాంబులను కలిగి ఉండే ఫ్రేమ్‌ను కలిగి ఉంది, వీటిని వెంట్రల్ ఓపెనింగ్స్ ద్వారా మోహరించారు. ఇది ముక్కులో ఓపెన్ గన్ పొజిషన్‌ను కలిగి ఉంది మరియు నిలువు మరియు వాలుగా ఉన్న ఫోటోగ్రఫీకి అమర్చబడింది. పైలట్ యొక్క కాక్‌పిట్ వింగ్ వెనుకంజలో ఉంది, వెనుక-గన్నర్ యొక్క స్థానంతో వెనుకబడి ఉంది, డెమౌంటబుల్ డ్యూయల్ కంట్రోల్స్, సౌకర్యవంతమైన మౌంట్‌పై పైకి కాల్చే మెషిన్ గన్‌లు మరియు మరొక తుపాకీ-మౌంటు కోసం వెంట్రల్ హాచ్ దిగువ వెనుక ఫీల్డ్‌ను కప్పి ఉంచారు. [[పట్టు కుములి దాని టెయిల్‌ప్లేన్ స్థిరమైన తీగ మరియు కోణ చిట్కాలతో, మరియు ఫ్యూజ్‌లేజ్ పైన అమర్చబడింది, క్రింద నుండి జత చేసిన స్ట్రట్‌లతో. ఇది ఇరుకైన తీగ ఎలివేటర్లను కలిగి ఉంది. ఫిన్ విశాలమైనది మరియు దాదాపు త్రిభుజాకారంగా ఉంది మరియు నిలువుగా అంచున ఉన్న, అసమతుల్య చుక్కానిని అమర్చారు, ఇది కీల్ వరకు చేరుకుంది. గురుత్వాకర్షణ లేదా థొరెటల్ సెట్టింగ్ మధ్యలో మార్పులను భర్తీ చేయడానికి ఫిన్ మరియు టెయిల్ ప్లేన్ రెండింటి సంఘటనలను విమానంలో సర్దుబాటు చేయవచ్చు. [1] CAP 1 లో సాంప్రదాయిక, స్థిర టెయిల్‌స్కిడ్ అండర్ క్యారేజ్ ఉంది, ఇంజిన్ల క్రింద మెయిన్‌వీల్స్‌ స్వతంత్ర జతలతో; ప్రతి జత రెండు సెట్ల V- స్ట్రట్‌లపై అమర్చబడింది, ఒకటి ఇంజిన్-బేరింగ్ ఫ్రేమ్‌కు నిలువుగా మరియు మరొకటి దిగువ ఫ్యూజ్‌లేజ్ లాంగన్‌కు. [1] CPA 1 మొట్టమొదట 8 జనవరి 1926 న ఎగురవేయబడింది, [3] దాని అభివృద్ధిని వెంటనే ఓర్లీ వద్ద ప్రారంభించింది. [4] మార్చి 8 న ఈ విమానం పైలట్ టాచే చేత విల్లాకౌబ్లేకు ఎగిరింది. నవంబర్‌లో ఇది CPA 1 యొక్క రెండవ ఉదాహరణతో చేరారు. [6] [7] వారి తరువాతి చరిత్ర తెలియదు. లెస్ ఐల్స్, డిసెంబర్ 1925 నుండి వచ్చిన డేటా [1] పనితీరు గణాంకాలు 4,200 కిలోల (9,300 ఎల్బి) బరువుతో లెక్కించబడతాయి .నెరల్ క్యారెక్టరిస్టిక్స్ పెర్ఫార్మెన్స్ ఆర్మేమెంట్</v>
      </c>
      <c r="E177" s="1" t="s">
        <v>2603</v>
      </c>
      <c r="F177" s="1" t="str">
        <f>IFERROR(__xludf.DUMMYFUNCTION("GOOGLETRANSLATE(E:E, ""en"", ""te"")"),"భారీ బాంబర్ విమానం")</f>
        <v>భారీ బాంబర్ విమానం</v>
      </c>
      <c r="G177" s="1" t="s">
        <v>2604</v>
      </c>
      <c r="H177" s="1" t="s">
        <v>208</v>
      </c>
      <c r="I177" s="1" t="str">
        <f>IFERROR(__xludf.DUMMYFUNCTION("GOOGLETRANSLATE(H:H, ""en"", ""te"")"),"ఫ్రాన్స్")</f>
        <v>ఫ్రాన్స్</v>
      </c>
      <c r="J177" s="3" t="s">
        <v>209</v>
      </c>
      <c r="K177" s="1" t="s">
        <v>2605</v>
      </c>
      <c r="L177" s="2" t="str">
        <f>IFERROR(__xludf.DUMMYFUNCTION("GOOGLETRANSLATE(K:K, ""en"", ""te"")"),"చాంటియర్స్ డి ప్రోవెన్స్-ఏవియేషన్ (C.P.A.)")</f>
        <v>చాంటియర్స్ డి ప్రోవెన్స్-ఏవియేషన్ (C.P.A.)</v>
      </c>
      <c r="Q177" s="1" t="s">
        <v>2606</v>
      </c>
      <c r="R177" s="1" t="s">
        <v>2607</v>
      </c>
      <c r="S177" s="1" t="s">
        <v>2608</v>
      </c>
      <c r="U177" s="1" t="s">
        <v>2609</v>
      </c>
      <c r="X177" s="1" t="s">
        <v>2610</v>
      </c>
      <c r="Y177" s="1" t="s">
        <v>2611</v>
      </c>
      <c r="AA177" s="1" t="s">
        <v>2612</v>
      </c>
      <c r="AB177" s="1" t="s">
        <v>2613</v>
      </c>
      <c r="AD177" s="4">
        <v>9505.0</v>
      </c>
      <c r="AE177" s="1">
        <v>2.0</v>
      </c>
      <c r="AF177" s="1" t="s">
        <v>2614</v>
      </c>
      <c r="AG177" s="1" t="s">
        <v>2615</v>
      </c>
      <c r="AI177" s="1" t="s">
        <v>2616</v>
      </c>
      <c r="AJ177" s="1" t="s">
        <v>1495</v>
      </c>
      <c r="AL177" s="1" t="s">
        <v>2617</v>
      </c>
      <c r="AQ177" s="1" t="s">
        <v>1859</v>
      </c>
      <c r="AR177" s="1" t="s">
        <v>2618</v>
      </c>
      <c r="AS177" s="1" t="s">
        <v>2619</v>
      </c>
      <c r="DA177" s="1" t="s">
        <v>2620</v>
      </c>
      <c r="DE177" s="1" t="s">
        <v>2621</v>
      </c>
    </row>
    <row r="178">
      <c r="A178" s="1" t="s">
        <v>2622</v>
      </c>
      <c r="B178" s="1" t="str">
        <f>IFERROR(__xludf.DUMMYFUNCTION("GOOGLETRANSLATE(A:A, ""en"", ""te"")"),"యాకోవ్లెవ్ యా -19")</f>
        <v>యాకోవ్లెవ్ యా -19</v>
      </c>
      <c r="C178" s="1" t="s">
        <v>2623</v>
      </c>
      <c r="D178" s="1" t="str">
        <f>IFERROR(__xludf.DUMMYFUNCTION("GOOGLETRANSLATE(C:C, ""en"", ""te"")"),"యాకోవ్లెవ్ యా -19, (అకా ఎస్ -19 లేదా ఎయిర్ -19), 1930 ల చివరలో యాకోవ్లెవ్ యుటి -3 నుండి నేరుగా అభివృద్ధి చెందిన 5-సీట్ల కాంతి రవాణా విమానం. యుటి -3 అభివృద్ధి లేకపోవడం మరియు వోరోనెజ్ ఎంవి -6 ఇంజిన్ ప్రోగ్రామ్ యొక్క రద్దు కారణంగా ఫ్లైట్ ట్రయల్స్ నుండి సానుక"&amp;"ూల ఫలితాలు ఉన్నప్పటికీ, YA-19 ఉత్పత్తిలోకి ప్రవేశించలేదు గొప్ప దేశభక్తి యుద్ధం. యాకోవ్లెవ్ యుటి -3 యొక్క ఉత్పన్నం, YA-19WAS లీడ్ డిజైనర్ ఒలేగ్ K. ఆంటోనోవ్ చేత ఐదు సీట్ల కాంతి రవాణాగా అభివృద్ధి చేయబడింది. YA-19 యుటి -3 యొక్క రెక్కల అండర్ క్యారేజ్, టెయిల్ య"&amp;"ూనిట్ మరియు ఇంజిన్‌లను ఒకే పైలట్‌తో ఐదు సీటింగ్ ఐదు సీటింగ్ చేసింది. క్యాబిన్ మరియు కాక్‌పిట్‌కు ప్రాప్యత వెనుకంజలో ఉన్న అంచున ఉన్న పోర్ట్ వైపు ఒక తలుపు ద్వారా ఉంది. నలుగురు ప్రయాణీకులు క్యాబిన్లో కూర్చున్నారు, ఇద్దరు ఒక వైపు మరియు ఐదవవారు కాక్‌పిట్‌లో పై"&amp;"లట్ కుడి వైపున కూర్చున్నారు. [1] 1940 లో, ఏరోఫ్లాట్ YA-19 ను చిన్న ప్రయాణాలలో ఉపయోగం కోసం ఉత్పత్తి చేయాలని అభ్యర్థించారు, కాని సోవియట్ యూనియన్‌లో పునర్వ్యవస్థీకరణ యొక్క పెరుగుతున్న వేగం అంటే ఒకే నమూనా మాత్రమే నిర్మించబడింది. యుటి -3 పెద్ద ఎత్తున ఉత్పత్తిన"&amp;"ి సాధించడంలో విఫలమైనప్పుడు ఉత్పత్తిని తగ్గించారు. [1] రెండు స్ట్రెచర్లను మోయగల సామర్థ్యం ఉన్న అంబులెన్స్ వెర్షన్, ఒక నడక గాయపడిన మరియు ఒక వైద్య సహాయకుడిని VVS కి ప్రతిపాదించారు. మాక్-అప్ రివ్యూ కమిషన్ డిజైన్‌ను ఆమోదించింది, కాని ఉత్పత్తి యుటి -3 మరియు YA-"&amp;"19 యొక్క నిరంతర అభివృద్ధిపై ఆధారపడింది, ఇది యుద్ధ అవసరాల కారణంగా తగ్గించబడింది. [1] AIR-19 హోదా యొక్క ఉపయోగం చాలా క్లుప్తంగా ఉండేది, అస్సలు ఉపయోగించినట్లయితే, A.I. రైకోవ్ స్టాలిన్ యొక్క హింసలో ఒకదానిలో ప్రక్షాళన చేయబడ్డాడు. [1] ఏకైక ప్రోటోటైప్ అక్టోబర్ 19"&amp;"39 లో తయారీదారుల పరీక్షను పూర్తి చేసింది మరియు తరువాత NII జివిఎఫ్ (నౌచ్నో -ఇస్లెడోవాటెల్'స్కి ఇన్స్టిట్యూట్ ఇన్స్టిట్యూట్ గ్రాజ్డాన్స్కోవో వోజ్డోష్నోవా ఫ్లోటా - సివిల్ ఎయిర్ ఫ్లీట్ సైంటిఫిక్ టెస్ట్ ఇన్స్టిట్యూట్), మంచి ఫలితాలతో ముగిసిన రాష్ట్ర అంగీకార పరీ"&amp;"క్షల కోసం. ప్రోటోటైప్ యొక్క విధి తెలియదు. [1] 1924 నుండి OKB యాకోవ్లెవ్, [2] యాకోవ్లెవ్ విమానం నుండి డేటా [1] సాధారణ లక్షణాల పనితీరు")</f>
        <v>యాకోవ్లెవ్ యా -19, (అకా ఎస్ -19 లేదా ఎయిర్ -19), 1930 ల చివరలో యాకోవ్లెవ్ యుటి -3 నుండి నేరుగా అభివృద్ధి చెందిన 5-సీట్ల కాంతి రవాణా విమానం. యుటి -3 అభివృద్ధి లేకపోవడం మరియు వోరోనెజ్ ఎంవి -6 ఇంజిన్ ప్రోగ్రామ్ యొక్క రద్దు కారణంగా ఫ్లైట్ ట్రయల్స్ నుండి సానుకూల ఫలితాలు ఉన్నప్పటికీ, YA-19 ఉత్పత్తిలోకి ప్రవేశించలేదు గొప్ప దేశభక్తి యుద్ధం. యాకోవ్లెవ్ యుటి -3 యొక్క ఉత్పన్నం, YA-19WAS లీడ్ డిజైనర్ ఒలేగ్ K. ఆంటోనోవ్ చేత ఐదు సీట్ల కాంతి రవాణాగా అభివృద్ధి చేయబడింది. YA-19 యుటి -3 యొక్క రెక్కల అండర్ క్యారేజ్, టెయిల్ యూనిట్ మరియు ఇంజిన్‌లను ఒకే పైలట్‌తో ఐదు సీటింగ్ ఐదు సీటింగ్ చేసింది. క్యాబిన్ మరియు కాక్‌పిట్‌కు ప్రాప్యత వెనుకంజలో ఉన్న అంచున ఉన్న పోర్ట్ వైపు ఒక తలుపు ద్వారా ఉంది. నలుగురు ప్రయాణీకులు క్యాబిన్లో కూర్చున్నారు, ఇద్దరు ఒక వైపు మరియు ఐదవవారు కాక్‌పిట్‌లో పైలట్ కుడి వైపున కూర్చున్నారు. [1] 1940 లో, ఏరోఫ్లాట్ YA-19 ను చిన్న ప్రయాణాలలో ఉపయోగం కోసం ఉత్పత్తి చేయాలని అభ్యర్థించారు, కాని సోవియట్ యూనియన్‌లో పునర్వ్యవస్థీకరణ యొక్క పెరుగుతున్న వేగం అంటే ఒకే నమూనా మాత్రమే నిర్మించబడింది. యుటి -3 పెద్ద ఎత్తున ఉత్పత్తిని సాధించడంలో విఫలమైనప్పుడు ఉత్పత్తిని తగ్గించారు. [1] రెండు స్ట్రెచర్లను మోయగల సామర్థ్యం ఉన్న అంబులెన్స్ వెర్షన్, ఒక నడక గాయపడిన మరియు ఒక వైద్య సహాయకుడిని VVS కి ప్రతిపాదించారు. మాక్-అప్ రివ్యూ కమిషన్ డిజైన్‌ను ఆమోదించింది, కాని ఉత్పత్తి యుటి -3 మరియు YA-19 యొక్క నిరంతర అభివృద్ధిపై ఆధారపడింది, ఇది యుద్ధ అవసరాల కారణంగా తగ్గించబడింది. [1] AIR-19 హోదా యొక్క ఉపయోగం చాలా క్లుప్తంగా ఉండేది, అస్సలు ఉపయోగించినట్లయితే, A.I. రైకోవ్ స్టాలిన్ యొక్క హింసలో ఒకదానిలో ప్రక్షాళన చేయబడ్డాడు. [1] ఏకైక ప్రోటోటైప్ అక్టోబర్ 1939 లో తయారీదారుల పరీక్షను పూర్తి చేసింది మరియు తరువాత NII జివిఎఫ్ (నౌచ్నో -ఇస్లెడోవాటెల్'స్కి ఇన్స్టిట్యూట్ ఇన్స్టిట్యూట్ గ్రాజ్డాన్స్కోవో వోజ్డోష్నోవా ఫ్లోటా - సివిల్ ఎయిర్ ఫ్లీట్ సైంటిఫిక్ టెస్ట్ ఇన్స్టిట్యూట్), మంచి ఫలితాలతో ముగిసిన రాష్ట్ర అంగీకార పరీక్షల కోసం. ప్రోటోటైప్ యొక్క విధి తెలియదు. [1] 1924 నుండి OKB యాకోవ్లెవ్, [2] యాకోవ్లెవ్ విమానం నుండి డేటా [1] సాధారణ లక్షణాల పనితీరు</v>
      </c>
      <c r="E178" s="1" t="s">
        <v>2469</v>
      </c>
      <c r="F178" s="1" t="str">
        <f>IFERROR(__xludf.DUMMYFUNCTION("GOOGLETRANSLATE(E:E, ""en"", ""te"")"),"కాంతి రవాణా")</f>
        <v>కాంతి రవాణా</v>
      </c>
      <c r="H178" s="1" t="s">
        <v>778</v>
      </c>
      <c r="I178" s="1" t="str">
        <f>IFERROR(__xludf.DUMMYFUNCTION("GOOGLETRANSLATE(H:H, ""en"", ""te"")"),"రష్యా")</f>
        <v>రష్యా</v>
      </c>
      <c r="J178" s="7" t="s">
        <v>2624</v>
      </c>
      <c r="K178" s="1" t="s">
        <v>2625</v>
      </c>
      <c r="L178" s="2" t="str">
        <f>IFERROR(__xludf.DUMMYFUNCTION("GOOGLETRANSLATE(K:K, ""en"", ""te"")"),"OKB YAKOVLEV")</f>
        <v>OKB YAKOVLEV</v>
      </c>
      <c r="M178" s="1" t="s">
        <v>2626</v>
      </c>
      <c r="Q178" s="1" t="s">
        <v>780</v>
      </c>
      <c r="R178" s="1" t="s">
        <v>2627</v>
      </c>
      <c r="S178" s="1" t="s">
        <v>2628</v>
      </c>
      <c r="U178" s="1" t="s">
        <v>2629</v>
      </c>
      <c r="X178" s="1" t="s">
        <v>2630</v>
      </c>
      <c r="Z178" s="1" t="s">
        <v>2631</v>
      </c>
      <c r="AB178" s="1" t="s">
        <v>2632</v>
      </c>
      <c r="AD178" s="1">
        <v>1939.0</v>
      </c>
      <c r="AE178" s="1">
        <v>1.0</v>
      </c>
      <c r="AF178" s="1" t="s">
        <v>2633</v>
      </c>
      <c r="AI178" s="1" t="s">
        <v>2634</v>
      </c>
      <c r="AJ178" s="1" t="s">
        <v>2635</v>
      </c>
      <c r="AK178" s="1" t="s">
        <v>2636</v>
      </c>
      <c r="AM178" s="1" t="s">
        <v>2637</v>
      </c>
      <c r="AP178" s="1" t="s">
        <v>2638</v>
      </c>
      <c r="AQ178" s="1" t="s">
        <v>719</v>
      </c>
      <c r="AR178" s="1" t="s">
        <v>2639</v>
      </c>
      <c r="AS178" s="1" t="s">
        <v>2640</v>
      </c>
      <c r="BO178" s="1" t="s">
        <v>2641</v>
      </c>
      <c r="BR178" s="1" t="s">
        <v>2642</v>
      </c>
      <c r="BS178" s="1" t="s">
        <v>2643</v>
      </c>
      <c r="CG178" s="1" t="s">
        <v>2644</v>
      </c>
      <c r="CH178" s="1" t="s">
        <v>2645</v>
      </c>
    </row>
    <row r="179">
      <c r="A179" s="1" t="s">
        <v>2646</v>
      </c>
      <c r="B179" s="1" t="str">
        <f>IFERROR(__xludf.DUMMYFUNCTION("GOOGLETRANSLATE(A:A, ""en"", ""te"")"),"వాయుమార్గాన xt")</f>
        <v>వాయుమార్గాన xt</v>
      </c>
      <c r="C179" s="1" t="s">
        <v>2647</v>
      </c>
      <c r="D179" s="1" t="str">
        <f>IFERROR(__xludf.DUMMYFUNCTION("GOOGLETRANSLATE(C:C, ""en"", ""te"")"),"వాయుమార్గాన XT అనేది ఆస్ట్రేలియన్ సిరీస్, ఇది రెండు-సీట్ల ఫ్లయింగ్ వింగ్ అల్ట్రాలైట్ ట్రైక్స్, ఇది వాయుమార్గాన విండ్‌స్పోర్ట్స్ చేత రూపొందించబడింది మరియు 2003 లో ప్రవేశపెట్టింది. [1] XT సిరీస్‌లో XT క్యారేజ్ మరియు కేబుల్-బ్రెస్డ్ హాంగ్ గ్లైడర్-స్టైల్ హై-వ"&amp;"ింగ్, వెయిట్-షిఫ్ట్ కంట్రోల్స్, రెండు-సీట్ల-టెన్డం ఓపెన్ కాక్‌పిట్, ట్రైసైకిల్ ల్యాండింగ్ గేర్ మరియు పషర్ కాన్ఫిగరేషన్‌లో ఒకే ఇంజిన్ ఉన్నాయి. [1] రెక్కను బోల్ట్-టుగెథర్ అల్యూమినియం గొట్టాల నుండి తయారు చేస్తారు, దాని డబుల్ ఉపరితల వింగ్ డాక్రాన్ సెయిల్‌క్లా"&amp;"త్‌లో కప్పబడి ఉంటుంది. దీని 9.9 మీ (32.5 అడుగులు) స్పాన్ వింగ్‌కు ఒకే ట్యూబ్-రకం కింగ్‌పోస్ట్ మద్దతు ఇస్తుంది మరియు ""ఎ"" ఫ్రేమ్ కంట్రోల్ బార్‌ను ఉపయోగిస్తుంది. సిరీస్ కోసం అనేక విభిన్న రెక్కలు అందుబాటులో ఉన్నాయి. ల్యాండింగ్ గేర్ షాక్ అబ్జార్బర్‌లను కలిగి"&amp;" ఉన్న వాయుమార్గం ఉపయోగించిన మొదటి క్యారేజ్ XT. ఇది రిగ్గింగ్ కోసం వింగ్ను తగ్గించడానికి మరియు పెంచడానికి గ్యాస్ స్ట్రట్‌ను ఉపయోగిస్తుంది. పవర్‌ప్లాంట్లలో 80 హెచ్‌పి (60 కిలోవాట్ బెట్రాండ్ నుండి డేటా [1] సాధారణ లక్షణాల పనితీరు")</f>
        <v>వాయుమార్గాన XT అనేది ఆస్ట్రేలియన్ సిరీస్, ఇది రెండు-సీట్ల ఫ్లయింగ్ వింగ్ అల్ట్రాలైట్ ట్రైక్స్, ఇది వాయుమార్గాన విండ్‌స్పోర్ట్స్ చేత రూపొందించబడింది మరియు 2003 లో ప్రవేశపెట్టింది. [1] XT సిరీస్‌లో XT క్యారేజ్ మరియు కేబుల్-బ్రెస్డ్ హాంగ్ గ్లైడర్-స్టైల్ హై-వింగ్, వెయిట్-షిఫ్ట్ కంట్రోల్స్, రెండు-సీట్ల-టెన్డం ఓపెన్ కాక్‌పిట్, ట్రైసైకిల్ ల్యాండింగ్ గేర్ మరియు పషర్ కాన్ఫిగరేషన్‌లో ఒకే ఇంజిన్ ఉన్నాయి. [1] రెక్కను బోల్ట్-టుగెథర్ అల్యూమినియం గొట్టాల నుండి తయారు చేస్తారు, దాని డబుల్ ఉపరితల వింగ్ డాక్రాన్ సెయిల్‌క్లాత్‌లో కప్పబడి ఉంటుంది. దీని 9.9 మీ (32.5 అడుగులు) స్పాన్ వింగ్‌కు ఒకే ట్యూబ్-రకం కింగ్‌పోస్ట్ మద్దతు ఇస్తుంది మరియు "ఎ" ఫ్రేమ్ కంట్రోల్ బార్‌ను ఉపయోగిస్తుంది. సిరీస్ కోసం అనేక విభిన్న రెక్కలు అందుబాటులో ఉన్నాయి. ల్యాండింగ్ గేర్ షాక్ అబ్జార్బర్‌లను కలిగి ఉన్న వాయుమార్గం ఉపయోగించిన మొదటి క్యారేజ్ XT. ఇది రిగ్గింగ్ కోసం వింగ్ను తగ్గించడానికి మరియు పెంచడానికి గ్యాస్ స్ట్రట్‌ను ఉపయోగిస్తుంది. పవర్‌ప్లాంట్లలో 80 హెచ్‌పి (60 కిలోవాట్ బెట్రాండ్ నుండి డేటా [1] సాధారణ లక్షణాల పనితీరు</v>
      </c>
      <c r="E179" s="1" t="s">
        <v>1137</v>
      </c>
      <c r="F179" s="1" t="str">
        <f>IFERROR(__xludf.DUMMYFUNCTION("GOOGLETRANSLATE(E:E, ""en"", ""te"")"),"అల్ట్రాలైట్ ట్రైక్")</f>
        <v>అల్ట్రాలైట్ ట్రైక్</v>
      </c>
      <c r="G179" s="1" t="s">
        <v>1138</v>
      </c>
      <c r="H179" s="1" t="s">
        <v>1938</v>
      </c>
      <c r="I179" s="1" t="str">
        <f>IFERROR(__xludf.DUMMYFUNCTION("GOOGLETRANSLATE(H:H, ""en"", ""te"")"),"ఆస్ట్రేలియా")</f>
        <v>ఆస్ట్రేలియా</v>
      </c>
      <c r="K179" s="1" t="s">
        <v>2648</v>
      </c>
      <c r="L179" s="2" t="str">
        <f>IFERROR(__xludf.DUMMYFUNCTION("GOOGLETRANSLATE(K:K, ""en"", ""te"")"),"వాయుమార్గాన విండ్‌స్పోర్ట్స్")</f>
        <v>వాయుమార్గాన విండ్‌స్పోర్ట్స్</v>
      </c>
      <c r="M179" s="1" t="s">
        <v>2649</v>
      </c>
      <c r="N179" s="1" t="s">
        <v>584</v>
      </c>
      <c r="O179" s="1" t="str">
        <f>IFERROR(__xludf.DUMMYFUNCTION("GOOGLETRANSLATE(N:N, ""en"", ""te"")"),"ఉత్పత్తిలో")</f>
        <v>ఉత్పత్తిలో</v>
      </c>
      <c r="P179" s="1" t="s">
        <v>585</v>
      </c>
      <c r="Q179" s="1" t="s">
        <v>162</v>
      </c>
      <c r="R179" s="1" t="s">
        <v>2650</v>
      </c>
      <c r="S179" s="1" t="s">
        <v>2651</v>
      </c>
      <c r="U179" s="1" t="s">
        <v>629</v>
      </c>
      <c r="W179" s="1" t="s">
        <v>177</v>
      </c>
      <c r="X179" s="1" t="s">
        <v>2652</v>
      </c>
      <c r="Y179" s="1" t="s">
        <v>630</v>
      </c>
      <c r="AA179" s="1" t="s">
        <v>2653</v>
      </c>
      <c r="AC179" s="1">
        <v>2003.0</v>
      </c>
      <c r="AI179" s="1" t="s">
        <v>2654</v>
      </c>
      <c r="AL179" s="1" t="s">
        <v>2655</v>
      </c>
      <c r="AM179" s="1" t="s">
        <v>162</v>
      </c>
      <c r="AS179" s="1" t="s">
        <v>2656</v>
      </c>
      <c r="BO179" s="1" t="s">
        <v>2657</v>
      </c>
      <c r="BR179" s="1" t="s">
        <v>2658</v>
      </c>
    </row>
    <row r="180">
      <c r="A180" s="1" t="s">
        <v>2659</v>
      </c>
      <c r="B180" s="1" t="str">
        <f>IFERROR(__xludf.DUMMYFUNCTION("GOOGLETRANSLATE(A:A, ""en"", ""te"")"),"ఎయిర్ డ్రోమ్ డ్రీమ్ ఫాంటసీ ట్విన్")</f>
        <v>ఎయిర్ డ్రోమ్ డ్రీమ్ ఫాంటసీ ట్విన్</v>
      </c>
      <c r="C180" s="1" t="s">
        <v>2660</v>
      </c>
      <c r="D180" s="1" t="str">
        <f>IFERROR(__xludf.DUMMYFUNCTION("GOOGLETRANSLATE(C:C, ""en"", ""te"")"),"ఎయిర్‌డ్రోమ్ డ్రీం ఫాంటసీ ట్విన్ ఒక అమెరికన్ అల్ట్రాలైట్ ట్రైనర్ మరియు te త్సాహిక-నిర్మిత విమానం, మిస్సౌరీలోని హోల్డెన్ యొక్క ఎయిర్‌డ్రోమ్ విమానాలు రూపకల్పన చేసి నిర్మించింది. ఈ విమానం సింగిల్ సీట్ ఎయిర్‌డ్రోమ్ డ్రీమ్ క్లాసిక్ నుండి తీసుకోబడింది మరియు ఇది"&amp;" te త్సాహిక నిర్మాణానికి కిట్‌గా సరఫరా చేయబడుతుంది. [1] ఎయిర్‌డ్రోమ్ డ్రీం ఫాంటసీ ట్విన్లో కేబుల్-బ్రేస్డ్ బిప్‌లేన్ లేఅవుట్, రెండు-సీట్ల-సైడ్-సైడ్-సైడ్ కాన్ఫిగరేషన్ ఓపెన్ కాక్‌పిట్, స్థిర సాంప్రదాయ ల్యాండింగ్ గేర్ మరియు కీల్ ట్యూబ్‌లో కాక్‌పిట్ పైన అమర్చ"&amp;"ిన ట్రాక్టర్ కాన్ఫిగరేషన్‌లో ఒకే ఇంజిన్ ఉన్నాయి. [[[ 1] ఈ విమానం బోల్ట్-కలిసి అల్యూమినియం గొట్టాల నుండి తయారవుతుంది, దాని ఎగిరే ఉపరితలాలు డోప్డ్ ఎయిర్క్రాఫ్ట్ ఫాబ్రిక్‌లో కప్పబడి ఉంటాయి. ఎయిర్‌డ్రోమ్ డ్రీం ఫాంటసీ ట్విన్లో 30 అడుగుల (9.1 మీ) రెక్కలు మరియు "&amp;"150 చదరపు అడుగుల (14 మీ 2) రెక్క ప్రాంతం ఉన్నాయి. ఇది 35 నుండి 65 హెచ్‌పి (26 నుండి 48 కిలోవాట్) వరకు ఇంజిన్లతో అమర్చవచ్చు. ఉపయోగించిన ప్రామాణిక ఇంజిన్ 50 హెచ్‌పి (37 కిలోవాట్) రెండు స్ట్రోక్ రోటాక్స్ 503, 64 హెచ్‌పి (48 కిలోవాట్ kW) వోక్స్వ్యాగన్ ఎయిర్-క"&amp;"ూల్డ్ ఇంజిన్ ఐచ్ఛికం. ఫ్యాక్టరీ-సరఫరా చేసిన కిట్ నుండి భవనం సమయం తయారీదారు 200 గంటలు అంచనా వేయబడింది. [1] [2] నాలుగు ఉదాహరణలు డిసెంబర్ 2011 నాటికి పూర్తయ్యాయి. [1] కిట్‌ప్లాన్లు మరియు ఎయిర్‌డ్రోమ్ విమానాల నుండి డేటా [1] [2] సాధారణ లక్షణాల పనితీరు")</f>
        <v>ఎయిర్‌డ్రోమ్ డ్రీం ఫాంటసీ ట్విన్ ఒక అమెరికన్ అల్ట్రాలైట్ ట్రైనర్ మరియు te త్సాహిక-నిర్మిత విమానం, మిస్సౌరీలోని హోల్డెన్ యొక్క ఎయిర్‌డ్రోమ్ విమానాలు రూపకల్పన చేసి నిర్మించింది. ఈ విమానం సింగిల్ సీట్ ఎయిర్‌డ్రోమ్ డ్రీమ్ క్లాసిక్ నుండి తీసుకోబడింది మరియు ఇది te త్సాహిక నిర్మాణానికి కిట్‌గా సరఫరా చేయబడుతుంది. [1] ఎయిర్‌డ్రోమ్ డ్రీం ఫాంటసీ ట్విన్లో కేబుల్-బ్రేస్డ్ బిప్‌లేన్ లేఅవుట్, రెండు-సీట్ల-సైడ్-సైడ్-సైడ్ కాన్ఫిగరేషన్ ఓపెన్ కాక్‌పిట్, స్థిర సాంప్రదాయ ల్యాండింగ్ గేర్ మరియు కీల్ ట్యూబ్‌లో కాక్‌పిట్ పైన అమర్చిన ట్రాక్టర్ కాన్ఫిగరేషన్‌లో ఒకే ఇంజిన్ ఉన్నాయి. [[[ 1] ఈ విమానం బోల్ట్-కలిసి అల్యూమినియం గొట్టాల నుండి తయారవుతుంది, దాని ఎగిరే ఉపరితలాలు డోప్డ్ ఎయిర్క్రాఫ్ట్ ఫాబ్రిక్‌లో కప్పబడి ఉంటాయి. ఎయిర్‌డ్రోమ్ డ్రీం ఫాంటసీ ట్విన్లో 30 అడుగుల (9.1 మీ) రెక్కలు మరియు 150 చదరపు అడుగుల (14 మీ 2) రెక్క ప్రాంతం ఉన్నాయి. ఇది 35 నుండి 65 హెచ్‌పి (26 నుండి 48 కిలోవాట్) వరకు ఇంజిన్లతో అమర్చవచ్చు. ఉపయోగించిన ప్రామాణిక ఇంజిన్ 50 హెచ్‌పి (37 కిలోవాట్) రెండు స్ట్రోక్ రోటాక్స్ 503, 64 హెచ్‌పి (48 కిలోవాట్ kW) వోక్స్వ్యాగన్ ఎయిర్-కూల్డ్ ఇంజిన్ ఐచ్ఛికం. ఫ్యాక్టరీ-సరఫరా చేసిన కిట్ నుండి భవనం సమయం తయారీదారు 200 గంటలు అంచనా వేయబడింది. [1] [2] నాలుగు ఉదాహరణలు డిసెంబర్ 2011 నాటికి పూర్తయ్యాయి. [1] కిట్‌ప్లాన్లు మరియు ఎయిర్‌డ్రోమ్ విమానాల నుండి డేటా [1] [2] సాధారణ లక్షణాల పనితీరు</v>
      </c>
      <c r="E180" s="1" t="s">
        <v>2661</v>
      </c>
      <c r="F180" s="1" t="str">
        <f>IFERROR(__xludf.DUMMYFUNCTION("GOOGLETRANSLATE(E:E, ""en"", ""te"")"),"Te త్సాహిక నిర్మిత విమానం మరియు అల్ట్రాలైట్ ట్రైనర్")</f>
        <v>Te త్సాహిక నిర్మిత విమానం మరియు అల్ట్రాలైట్ ట్రైనర్</v>
      </c>
      <c r="G180" s="1" t="s">
        <v>2662</v>
      </c>
      <c r="H180" s="1" t="s">
        <v>227</v>
      </c>
      <c r="I180" s="1" t="str">
        <f>IFERROR(__xludf.DUMMYFUNCTION("GOOGLETRANSLATE(H:H, ""en"", ""te"")"),"అమెరికా")</f>
        <v>అమెరికా</v>
      </c>
      <c r="J180" s="3" t="s">
        <v>228</v>
      </c>
      <c r="K180" s="1" t="s">
        <v>2663</v>
      </c>
      <c r="L180" s="2" t="str">
        <f>IFERROR(__xludf.DUMMYFUNCTION("GOOGLETRANSLATE(K:K, ""en"", ""te"")"),"ఎయిర్‌డ్రోమ్ విమానాలు")</f>
        <v>ఎయిర్‌డ్రోమ్ విమానాలు</v>
      </c>
      <c r="M180" s="1" t="s">
        <v>2664</v>
      </c>
      <c r="N180" s="1" t="s">
        <v>1251</v>
      </c>
      <c r="O180" s="1" t="str">
        <f>IFERROR(__xludf.DUMMYFUNCTION("GOOGLETRANSLATE(N:N, ""en"", ""te"")"),"ఉత్పత్తిలో (2011)")</f>
        <v>ఉత్పత్తిలో (2011)</v>
      </c>
      <c r="Q180" s="1" t="s">
        <v>162</v>
      </c>
      <c r="R180" s="1" t="s">
        <v>1332</v>
      </c>
      <c r="S180" s="1" t="s">
        <v>2665</v>
      </c>
      <c r="X180" s="1" t="s">
        <v>2666</v>
      </c>
      <c r="Y180" s="1" t="s">
        <v>2667</v>
      </c>
      <c r="Z180" s="1" t="s">
        <v>2668</v>
      </c>
      <c r="AA180" s="1" t="s">
        <v>2669</v>
      </c>
      <c r="AE180" s="1" t="s">
        <v>2670</v>
      </c>
      <c r="AF180" s="1" t="s">
        <v>2671</v>
      </c>
      <c r="AI180" s="1" t="s">
        <v>2672</v>
      </c>
      <c r="AJ180" s="1" t="s">
        <v>1495</v>
      </c>
      <c r="AM180" s="1" t="s">
        <v>330</v>
      </c>
      <c r="AP180" s="1" t="s">
        <v>2673</v>
      </c>
      <c r="AS180" s="1" t="s">
        <v>2674</v>
      </c>
      <c r="AU180" s="1" t="s">
        <v>2675</v>
      </c>
      <c r="BO180" s="1" t="s">
        <v>2676</v>
      </c>
      <c r="BP180" s="1" t="s">
        <v>2677</v>
      </c>
      <c r="BR180" s="1" t="s">
        <v>2678</v>
      </c>
    </row>
    <row r="181">
      <c r="A181" s="1" t="s">
        <v>2679</v>
      </c>
      <c r="B181" s="1" t="str">
        <f>IFERROR(__xludf.DUMMYFUNCTION("GOOGLETRANSLATE(A:A, ""en"", ""te"")"),"ఎయిర్‌స్పోర్ట్ సోనెట్")</f>
        <v>ఎయిర్‌స్పోర్ట్ సోనెట్</v>
      </c>
      <c r="C181" s="1" t="s">
        <v>2680</v>
      </c>
      <c r="D181" s="1" t="str">
        <f>IFERROR(__xludf.DUMMYFUNCTION("GOOGLETRANSLATE(C:C, ""en"", ""te"")"),"ఎయిర్‌స్పోర్ట్ సోనెట్ (ఇంగ్లీష్: సొనెట్) అనేది చెక్ అల్ట్రాలైట్ విమానం, ఇది ఎయిర్‌స్పోర్ట్ ఆఫ్ Zbraslavice చేత రూపొందించబడింది మరియు ఉత్పత్తి చేస్తుంది. విమానం పూర్తి, రెడీ-టు-ఫ్లై రూపంలో సరఫరా చేయబడుతుంది. [1] [2] ఈ విమానం ఎయిర్‌స్పోర్ట్ సోనాట మోటార్ గ్ల"&amp;"ైడర్ నుండి ఉద్భవించింది మరియు ఫెడెరేషన్ ఏరోనటిక్ ఇంటర్నేషనల్ మైక్రోలైట్ నిబంధనలకు అనుగుణంగా రూపొందించబడింది. ఇది కాంటిలివర్ లో-వింగ్, టి-టెయిల్, రెండు-సీట్ల-సైడ్-సైడ్-సైడ్ కాన్ఫిగరేషన్ పరివేష్టిత కాక్‌పిట్, స్థిర ట్రైసైకిల్ ల్యాండింగ్ గేర్ మరియు ట్రాక్టర్"&amp;" కాన్ఫిగరేషన్‌లో ఒకే ఇంజిన్ కలిగి ఉంది. [1] [2] సోనెట్ మిశ్రమాల నుండి తయారవుతుంది. దీని పాలిహెడ్రల్ వింగ్ మూడు ఐచ్ఛిక స్పాన్‌లలో వస్తుంది: 10.2 మీ (33.5 అడుగులు), 11.4 మీ (37.4 అడుగులు) మరియు 15 మీ (49.2 అడుగులు). దీనికి సుమారు 65 హెచ్‌పి (48 కిలోవాట్) ఇం"&amp;"జిన్ అవసరం మరియు 60 కిలోల (132 ఎల్బి) కంటే ఎక్కువ అవసరం లేదు. అందుబాటులో ఉన్న ప్రామాణిక ఇంజన్లు 64 హెచ్‌పి (48 కిలోవాట్) రోటాక్స్ 582 టూ-స్ట్రోక్ మరియు 60 హెచ్‌పి (45 కిలోవాట్ బేయర్ల్ మరియు టాక్ నుండి డేటా [1] [2] సాధారణ లక్షణాల పనితీరు")</f>
        <v>ఎయిర్‌స్పోర్ట్ సోనెట్ (ఇంగ్లీష్: సొనెట్) అనేది చెక్ అల్ట్రాలైట్ విమానం, ఇది ఎయిర్‌స్పోర్ట్ ఆఫ్ Zbraslavice చేత రూపొందించబడింది మరియు ఉత్పత్తి చేస్తుంది. విమానం పూర్తి, రెడీ-టు-ఫ్లై రూపంలో సరఫరా చేయబడుతుంది. [1] [2] ఈ విమానం ఎయిర్‌స్పోర్ట్ సోనాట మోటార్ గ్లైడర్ నుండి ఉద్భవించింది మరియు ఫెడెరేషన్ ఏరోనటిక్ ఇంటర్నేషనల్ మైక్రోలైట్ నిబంధనలకు అనుగుణంగా రూపొందించబడింది. ఇది కాంటిలివర్ లో-వింగ్, టి-టెయిల్, రెండు-సీట్ల-సైడ్-సైడ్-సైడ్ కాన్ఫిగరేషన్ పరివేష్టిత కాక్‌పిట్, స్థిర ట్రైసైకిల్ ల్యాండింగ్ గేర్ మరియు ట్రాక్టర్ కాన్ఫిగరేషన్‌లో ఒకే ఇంజిన్ కలిగి ఉంది. [1] [2] సోనెట్ మిశ్రమాల నుండి తయారవుతుంది. దీని పాలిహెడ్రల్ వింగ్ మూడు ఐచ్ఛిక స్పాన్‌లలో వస్తుంది: 10.2 మీ (33.5 అడుగులు), 11.4 మీ (37.4 అడుగులు) మరియు 15 మీ (49.2 అడుగులు). దీనికి సుమారు 65 హెచ్‌పి (48 కిలోవాట్) ఇంజిన్ అవసరం మరియు 60 కిలోల (132 ఎల్బి) కంటే ఎక్కువ అవసరం లేదు. అందుబాటులో ఉన్న ప్రామాణిక ఇంజన్లు 64 హెచ్‌పి (48 కిలోవాట్) రోటాక్స్ 582 టూ-స్ట్రోక్ మరియు 60 హెచ్‌పి (45 కిలోవాట్ బేయర్ల్ మరియు టాక్ నుండి డేటా [1] [2] సాధారణ లక్షణాల పనితీరు</v>
      </c>
      <c r="E181" s="1" t="s">
        <v>1056</v>
      </c>
      <c r="F181" s="1" t="str">
        <f>IFERROR(__xludf.DUMMYFUNCTION("GOOGLETRANSLATE(E:E, ""en"", ""te"")"),"అల్ట్రాలైట్ విమానం")</f>
        <v>అల్ట్రాలైట్ విమానం</v>
      </c>
      <c r="G181" s="1" t="s">
        <v>1057</v>
      </c>
      <c r="H181" s="1" t="s">
        <v>246</v>
      </c>
      <c r="I181" s="1" t="str">
        <f>IFERROR(__xludf.DUMMYFUNCTION("GOOGLETRANSLATE(H:H, ""en"", ""te"")"),"చెక్ రిపబ్లిక్")</f>
        <v>చెక్ రిపబ్లిక్</v>
      </c>
      <c r="J181" s="1" t="s">
        <v>247</v>
      </c>
      <c r="K181" s="1" t="s">
        <v>2681</v>
      </c>
      <c r="L181" s="2" t="str">
        <f>IFERROR(__xludf.DUMMYFUNCTION("GOOGLETRANSLATE(K:K, ""en"", ""te"")"),"ఎయిర్‌స్పోర్ట్")</f>
        <v>ఎయిర్‌స్పోర్ట్</v>
      </c>
      <c r="M181" s="3" t="s">
        <v>2682</v>
      </c>
      <c r="N181" s="1" t="s">
        <v>2683</v>
      </c>
      <c r="O181" s="1" t="str">
        <f>IFERROR(__xludf.DUMMYFUNCTION("GOOGLETRANSLATE(N:N, ""en"", ""te"")"),"ఉత్పత్తిలో (2015)")</f>
        <v>ఉత్పత్తిలో (2015)</v>
      </c>
      <c r="Q181" s="1" t="s">
        <v>162</v>
      </c>
      <c r="R181" s="1" t="s">
        <v>413</v>
      </c>
      <c r="S181" s="1" t="s">
        <v>2684</v>
      </c>
      <c r="U181" s="1" t="s">
        <v>2685</v>
      </c>
      <c r="X181" s="1" t="s">
        <v>1128</v>
      </c>
      <c r="Y181" s="1" t="s">
        <v>630</v>
      </c>
      <c r="Z181" s="1" t="s">
        <v>1064</v>
      </c>
      <c r="AA181" s="1" t="s">
        <v>531</v>
      </c>
      <c r="AI181" s="1" t="s">
        <v>2686</v>
      </c>
      <c r="AM181" s="1" t="s">
        <v>330</v>
      </c>
      <c r="AS181" s="1" t="s">
        <v>2687</v>
      </c>
      <c r="AU181" s="1" t="s">
        <v>2688</v>
      </c>
      <c r="BO181" s="1" t="s">
        <v>2689</v>
      </c>
      <c r="BP181" s="1" t="s">
        <v>2690</v>
      </c>
      <c r="BR181" s="1" t="s">
        <v>2691</v>
      </c>
    </row>
    <row r="182">
      <c r="A182" s="1" t="s">
        <v>2692</v>
      </c>
      <c r="B182" s="1" t="str">
        <f>IFERROR(__xludf.DUMMYFUNCTION("GOOGLETRANSLATE(A:A, ""en"", ""te"")"),"నకాజిమా కి -8")</f>
        <v>నకాజిమా కి -8</v>
      </c>
      <c r="C182" s="1" t="s">
        <v>2693</v>
      </c>
      <c r="D182" s="1" t="str">
        <f>IFERROR(__xludf.DUMMYFUNCTION("GOOGLETRANSLATE(C:C, ""en"", ""te"")"),"నకాజిమా కి -8 (キ 8, కి-హచి) రెండు సీట్ల ఆధునిక మోనోప్లేన్ ఫైటర్‌లో ఇంపీరియల్ జపనీస్ ఆర్మీ వైమానిక దళాన్ని ఆసక్తి చూపడానికి నకాజిమా విమాన సంస్థ చేసిన విజయవంతం కాని ప్రయత్నం. [1] KI-8 యొక్క అభివృద్ధి, (a.k.a. నకాజిమా డిఎఫ్), 1933 లో ప్రారంభమైంది, ఇది ఆల్-మె"&amp;"టల్ రెండు-సీట్ల విమానాల ఆధారంగా, తక్కువ విలోమ గల్ రెక్కలను కలిగి ఉంది, స్థిర మరియు స్పాటెడ్ ల్యాండింగ్ గేర్‌తో, ఒకే 410 కిలోవాట్ (550 హెచ్‌పి. ) నకాజిమా కోటోబుకి HA-1-3 రేడియల్ ఇంజిన్. ప్రతిపాదిత ఆయుధాలు ఇంజిన్ సిలిండర్ల మధ్య నుండి జంట 7.7 మిమీ (.303 అంగు"&amp;"ళాలు) మెషిన్ గన్స్ మరియు వెనుక కాక్‌పిట్ వెనుక భాగంలో సౌకర్యవంతమైన మౌంట్‌పై మూడవ 7.7 మిమీ (.303 అంగుళాలు) మెషిన్ గన్ ఉన్నాయి. ప్రారంభ పరీక్షలో, ఈ విమానం టెస్ట్ పైలట్లతో జనాదరణ పొందలేదని నిరూపించబడింది, వారు డిజైన్ యొక్క ఏరోడైనమిక్ స్థిరత్వం గురించి ఆందోళన"&amp;" వ్యక్తం చేశారు. ప్రారంభ ప్రోటోటైప్‌లు కూడా వివిధ రకాల ఉత్పాదక లోపాలు మరియు లోపాలతో బాధపడుతున్నాయి. ప్రారంభ రూపకల్పన మరియు స్థిరత్వ సమస్యలను మెరుగుపరచడానికి దిద్దుబాట్లు చేసినప్పటికీ, విమానం యొక్క పనితీరు ప్రస్తుతం ఉన్న నకాజిమా టైప్ 91 ఫైటర్ కంటే మెరుగైనద"&amp;"ి కాదు, మరియు జపనీస్ ఆర్మీ వైమానిక దళం రెండు-సీట్ల యోధులకు ఉపయోగం లేదు, [2] ప్రాజెక్ట్ ఐదు ప్రోటోటైప్ విమానాలు ఉత్పత్తి చేయబడిన తరువాత మరియు పూర్తి ఉత్పత్తి ప్రారంభానికి ముందు 1934 లో రద్దు చేయబడింది. ప్రసిద్ధ విమానాల నుండి డేటా, మొదటి సిరీస్, #76: ఆర్మీ "&amp;"ప్రయోగాత్మక యోధులు (1) [3] సాధారణ లక్షణాలు పనితీరు ఆయుధాలు")</f>
        <v>నకాజిమా కి -8 (キ 8, కి-హచి) రెండు సీట్ల ఆధునిక మోనోప్లేన్ ఫైటర్‌లో ఇంపీరియల్ జపనీస్ ఆర్మీ వైమానిక దళాన్ని ఆసక్తి చూపడానికి నకాజిమా విమాన సంస్థ చేసిన విజయవంతం కాని ప్రయత్నం. [1] KI-8 యొక్క అభివృద్ధి, (a.k.a. నకాజిమా డిఎఫ్), 1933 లో ప్రారంభమైంది, ఇది ఆల్-మెటల్ రెండు-సీట్ల విమానాల ఆధారంగా, తక్కువ విలోమ గల్ రెక్కలను కలిగి ఉంది, స్థిర మరియు స్పాటెడ్ ల్యాండింగ్ గేర్‌తో, ఒకే 410 కిలోవాట్ (550 హెచ్‌పి. ) నకాజిమా కోటోబుకి HA-1-3 రేడియల్ ఇంజిన్. ప్రతిపాదిత ఆయుధాలు ఇంజిన్ సిలిండర్ల మధ్య నుండి జంట 7.7 మిమీ (.303 అంగుళాలు) మెషిన్ గన్స్ మరియు వెనుక కాక్‌పిట్ వెనుక భాగంలో సౌకర్యవంతమైన మౌంట్‌పై మూడవ 7.7 మిమీ (.303 అంగుళాలు) మెషిన్ గన్ ఉన్నాయి. ప్రారంభ పరీక్షలో, ఈ విమానం టెస్ట్ పైలట్లతో జనాదరణ పొందలేదని నిరూపించబడింది, వారు డిజైన్ యొక్క ఏరోడైనమిక్ స్థిరత్వం గురించి ఆందోళన వ్యక్తం చేశారు. ప్రారంభ ప్రోటోటైప్‌లు కూడా వివిధ రకాల ఉత్పాదక లోపాలు మరియు లోపాలతో బాధపడుతున్నాయి. ప్రారంభ రూపకల్పన మరియు స్థిరత్వ సమస్యలను మెరుగుపరచడానికి దిద్దుబాట్లు చేసినప్పటికీ, విమానం యొక్క పనితీరు ప్రస్తుతం ఉన్న నకాజిమా టైప్ 91 ఫైటర్ కంటే మెరుగైనది కాదు, మరియు జపనీస్ ఆర్మీ వైమానిక దళం రెండు-సీట్ల యోధులకు ఉపయోగం లేదు, [2] ప్రాజెక్ట్ ఐదు ప్రోటోటైప్ విమానాలు ఉత్పత్తి చేయబడిన తరువాత మరియు పూర్తి ఉత్పత్తి ప్రారంభానికి ముందు 1934 లో రద్దు చేయబడింది. ప్రసిద్ధ విమానాల నుండి డేటా, మొదటి సిరీస్, #76: ఆర్మీ ప్రయోగాత్మక యోధులు (1) [3] సాధారణ లక్షణాలు పనితీరు ఆయుధాలు</v>
      </c>
      <c r="E182" s="1" t="s">
        <v>1522</v>
      </c>
      <c r="F182" s="1" t="str">
        <f>IFERROR(__xludf.DUMMYFUNCTION("GOOGLETRANSLATE(E:E, ""en"", ""te"")"),"ప్రోటోటైప్ ఫైటర్ విమానం")</f>
        <v>ప్రోటోటైప్ ఫైటర్ విమానం</v>
      </c>
      <c r="K182" s="1" t="s">
        <v>2694</v>
      </c>
      <c r="L182" s="2" t="str">
        <f>IFERROR(__xludf.DUMMYFUNCTION("GOOGLETRANSLATE(K:K, ""en"", ""te"")"),"నకాజిమా ఎయిర్క్రాఫ్ట్ కంపెనీ")</f>
        <v>నకాజిమా ఎయిర్క్రాఫ్ట్ కంపెనీ</v>
      </c>
      <c r="M182" s="1" t="s">
        <v>2695</v>
      </c>
      <c r="Q182" s="1" t="s">
        <v>2696</v>
      </c>
      <c r="R182" s="1" t="s">
        <v>2697</v>
      </c>
      <c r="S182" s="1" t="s">
        <v>2698</v>
      </c>
      <c r="U182" s="1" t="s">
        <v>2699</v>
      </c>
      <c r="W182" s="1" t="s">
        <v>2700</v>
      </c>
      <c r="X182" s="1" t="s">
        <v>2701</v>
      </c>
      <c r="Y182" s="1" t="s">
        <v>2702</v>
      </c>
      <c r="AD182" s="1">
        <v>1934.0</v>
      </c>
      <c r="AE182" s="1">
        <v>5.0</v>
      </c>
      <c r="AF182" s="1" t="s">
        <v>2703</v>
      </c>
      <c r="AG182" s="1" t="s">
        <v>2704</v>
      </c>
      <c r="AI182" s="1" t="s">
        <v>2705</v>
      </c>
      <c r="AL182" s="1" t="s">
        <v>2706</v>
      </c>
      <c r="AP182" s="1" t="s">
        <v>2707</v>
      </c>
      <c r="AQ182" s="1" t="s">
        <v>2708</v>
      </c>
      <c r="CZ182" s="1" t="s">
        <v>2709</v>
      </c>
      <c r="DF182" s="1" t="s">
        <v>2710</v>
      </c>
    </row>
    <row r="183">
      <c r="A183" s="1" t="s">
        <v>2711</v>
      </c>
      <c r="B183" s="1" t="str">
        <f>IFERROR(__xludf.DUMMYFUNCTION("GOOGLETRANSLATE(A:A, ""en"", ""te"")"),"అన్ని అమెరికన్ ఎన్సైన్")</f>
        <v>అన్ని అమెరికన్ ఎన్సైన్</v>
      </c>
      <c r="C183" s="1" t="s">
        <v>2712</v>
      </c>
      <c r="D183" s="1" t="str">
        <f>IFERROR(__xludf.DUMMYFUNCTION("GOOGLETRANSLATE(C:C, ""en"", ""te"")"),"ఆల్ అమెరికన్ 10 ఎ ఎన్సైన్ అనేది రెండవ ప్రపంచ యుద్ధం తరువాత అమెరికాలో నిర్మించిన రెండు-సీట్ల లైట్ విమానం. ఇది తక్కువ-వింగ్, ఆల్-మెటల్ కాంటిలివర్ మోనోప్లేన్, ఇది స్థిర ట్రైసైకిల్ అండర్ క్యారేజీతో మరియు దాని పైలట్ మరియు ప్రయాణీకుల విస్తారమైన బబుల్ పందిరి కిం"&amp;"ద పక్కపక్కనే కూర్చుంది. యుద్ధం తరువాత పౌర మార్కెట్లో సైనిక మిగులు విమానాల గ్లూట్ కారణంగా, అమెరికన్ అందరూ కొనుగోలుదారులను ఆకర్షించలేకపోయారు మరియు ఎటువంటి ఉత్పత్తి జరగలేదు. మాస్ అవుట్పుట్ నుండి డేటా కొత్త ఎన్సైన్ కోసం సెట్ చేయబడింది, [1] జేన్ యొక్క అన్ని ప్"&amp;"రపంచ విమానాలు 1947 [2] సాధారణ లక్షణాల పనితీరు")</f>
        <v>ఆల్ అమెరికన్ 10 ఎ ఎన్సైన్ అనేది రెండవ ప్రపంచ యుద్ధం తరువాత అమెరికాలో నిర్మించిన రెండు-సీట్ల లైట్ విమానం. ఇది తక్కువ-వింగ్, ఆల్-మెటల్ కాంటిలివర్ మోనోప్లేన్, ఇది స్థిర ట్రైసైకిల్ అండర్ క్యారేజీతో మరియు దాని పైలట్ మరియు ప్రయాణీకుల విస్తారమైన బబుల్ పందిరి కింద పక్కపక్కనే కూర్చుంది. యుద్ధం తరువాత పౌర మార్కెట్లో సైనిక మిగులు విమానాల గ్లూట్ కారణంగా, అమెరికన్ అందరూ కొనుగోలుదారులను ఆకర్షించలేకపోయారు మరియు ఎటువంటి ఉత్పత్తి జరగలేదు. మాస్ అవుట్పుట్ నుండి డేటా కొత్త ఎన్సైన్ కోసం సెట్ చేయబడింది, [1] జేన్ యొక్క అన్ని ప్రపంచ విమానాలు 1947 [2] సాధారణ లక్షణాల పనితీరు</v>
      </c>
      <c r="E183" s="1" t="s">
        <v>2713</v>
      </c>
      <c r="F183" s="1" t="str">
        <f>IFERROR(__xludf.DUMMYFUNCTION("GOOGLETRANSLATE(E:E, ""en"", ""te"")"),"యుటిలిటీ విమానం")</f>
        <v>యుటిలిటీ విమానం</v>
      </c>
      <c r="K183" s="1" t="s">
        <v>2714</v>
      </c>
      <c r="L183" s="2" t="str">
        <f>IFERROR(__xludf.DUMMYFUNCTION("GOOGLETRANSLATE(K:K, ""en"", ""te"")"),"ఆల్ అమెరికన్")</f>
        <v>ఆల్ అమెరికన్</v>
      </c>
      <c r="M183" s="1" t="s">
        <v>2715</v>
      </c>
      <c r="Q183" s="1">
        <v>2.0</v>
      </c>
      <c r="R183" s="1" t="s">
        <v>2716</v>
      </c>
      <c r="S183" s="1" t="s">
        <v>2717</v>
      </c>
      <c r="U183" s="1" t="s">
        <v>2718</v>
      </c>
      <c r="W183" s="1" t="s">
        <v>2719</v>
      </c>
      <c r="X183" s="1" t="s">
        <v>2720</v>
      </c>
      <c r="Y183" s="1" t="s">
        <v>2721</v>
      </c>
      <c r="Z183" s="1" t="s">
        <v>2722</v>
      </c>
      <c r="AB183" s="1" t="s">
        <v>2723</v>
      </c>
      <c r="AD183" s="1">
        <v>1945.0</v>
      </c>
      <c r="AE183" s="1" t="s">
        <v>2724</v>
      </c>
      <c r="AF183" s="1" t="s">
        <v>2725</v>
      </c>
      <c r="AG183" s="1" t="s">
        <v>2726</v>
      </c>
      <c r="AI183" s="1" t="s">
        <v>2727</v>
      </c>
      <c r="AJ183" s="1" t="s">
        <v>2728</v>
      </c>
      <c r="AL183" s="1" t="s">
        <v>2729</v>
      </c>
      <c r="AP183" s="1" t="s">
        <v>242</v>
      </c>
      <c r="AQ183" s="1" t="s">
        <v>2730</v>
      </c>
      <c r="AS183" s="1" t="s">
        <v>2731</v>
      </c>
      <c r="AU183" s="1" t="s">
        <v>2732</v>
      </c>
      <c r="BN183" s="1" t="s">
        <v>2733</v>
      </c>
      <c r="BP183" s="1" t="s">
        <v>2734</v>
      </c>
      <c r="BS183" s="1" t="s">
        <v>2735</v>
      </c>
    </row>
    <row r="184">
      <c r="A184" s="1" t="s">
        <v>2736</v>
      </c>
      <c r="B184" s="1" t="str">
        <f>IFERROR(__xludf.DUMMYFUNCTION("GOOGLETRANSLATE(A:A, ""en"", ""te"")"),"ఎయిర్ కమాండ్ టెన్డం")</f>
        <v>ఎయిర్ కమాండ్ టెన్డం</v>
      </c>
      <c r="C184" s="1" t="s">
        <v>2737</v>
      </c>
      <c r="D184" s="1" t="str">
        <f>IFERROR(__xludf.DUMMYFUNCTION("GOOGLETRANSLATE(C:C, ""en"", ""te"")"),"ఎయిర్ కమాండ్ టాండెం అనేది టెక్సాస్‌లోని ఎయిర్ కమాండ్ ఇంటర్నేషనల్ ఆఫ్ కాడో మిల్స్ రూపొందించిన మరియు నిర్మించిన ఒక అమెరికన్ ఆటోజీరో. ఈ విమానం te త్సాహిక నిర్మాణానికి కిట్‌గా లేదా రెడీ-టు-ఫ్లై విమానం వలె సరఫరా చేయబడుతుంది. [1] టెన్డం కిట్ యుఎస్ ప్రయోగాత్మక -"&amp;" te త్సాహిక -నిర్మిత నియమాలకు అనుగుణంగా రూపొందించబడింది. ఇది సింగిల్ మెయిన్ రోటర్, ఫెయిరింగ్ మరియు విండ్‌షీల్డ్, ట్రైసైకిల్ ల్యాండింగ్ గేర్ మరియు నాలుగు సిలిండర్, ఎయిర్-కూల్డ్, నాలుగు-స్ట్రోక్, 115 హెచ్‌పి (86 కిలోవాట్ 100 హెచ్‌పి (75 కిలోవాట్ విమానం యొక్"&amp;"క 28 అడుగుల (8.5 మీ) వ్యాసం రోటోర్డిన్ రోటర్ 8 అంగుళాల (20.3 సెం.మీ) తీగను కలిగి ఉంది. ఈ టెన్డం ఖాళీ బరువు 489 పౌండ్లు (222 కిలోలు) మరియు స్థూల బరువు 908 ఎల్బి (412 కిలోలు), ఇది 418 ఎల్బి (190 కిలోల) ఉపయోగకరమైన లోడ్ ఇస్తుంది. [1] బేయర్ల్ నుండి డేటా [1] సా"&amp;"ధారణ లక్షణాల పనితీరు 1990 ల విమానంలో ఈ వ్యాసం ఒక స్టబ్. వికీపీడియా విస్తరించడం ద్వారా మీరు సహాయపడవచ్చు.")</f>
        <v>ఎయిర్ కమాండ్ టాండెం అనేది టెక్సాస్‌లోని ఎయిర్ కమాండ్ ఇంటర్నేషనల్ ఆఫ్ కాడో మిల్స్ రూపొందించిన మరియు నిర్మించిన ఒక అమెరికన్ ఆటోజీరో. ఈ విమానం te త్సాహిక నిర్మాణానికి కిట్‌గా లేదా రెడీ-టు-ఫ్లై విమానం వలె సరఫరా చేయబడుతుంది. [1] టెన్డం కిట్ యుఎస్ ప్రయోగాత్మక - te త్సాహిక -నిర్మిత నియమాలకు అనుగుణంగా రూపొందించబడింది. ఇది సింగిల్ మెయిన్ రోటర్, ఫెయిరింగ్ మరియు విండ్‌షీల్డ్, ట్రైసైకిల్ ల్యాండింగ్ గేర్ మరియు నాలుగు సిలిండర్, ఎయిర్-కూల్డ్, నాలుగు-స్ట్రోక్, 115 హెచ్‌పి (86 కిలోవాట్ 100 హెచ్‌పి (75 కిలోవాట్ విమానం యొక్క 28 అడుగుల (8.5 మీ) వ్యాసం రోటోర్డిన్ రోటర్ 8 అంగుళాల (20.3 సెం.మీ) తీగను కలిగి ఉంది. ఈ టెన్డం ఖాళీ బరువు 489 పౌండ్లు (222 కిలోలు) మరియు స్థూల బరువు 908 ఎల్బి (412 కిలోలు), ఇది 418 ఎల్బి (190 కిలోల) ఉపయోగకరమైన లోడ్ ఇస్తుంది. [1] బేయర్ల్ నుండి డేటా [1] సాధారణ లక్షణాల పనితీరు 1990 ల విమానంలో ఈ వ్యాసం ఒక స్టబ్. వికీపీడియా విస్తరించడం ద్వారా మీరు సహాయపడవచ్చు.</v>
      </c>
      <c r="E184" s="1" t="s">
        <v>1916</v>
      </c>
      <c r="F184" s="1" t="str">
        <f>IFERROR(__xludf.DUMMYFUNCTION("GOOGLETRANSLATE(E:E, ""en"", ""te"")"),"ఆటోజీరో")</f>
        <v>ఆటోజీరో</v>
      </c>
      <c r="G184" s="3" t="s">
        <v>1917</v>
      </c>
      <c r="H184" s="1" t="s">
        <v>227</v>
      </c>
      <c r="I184" s="1" t="str">
        <f>IFERROR(__xludf.DUMMYFUNCTION("GOOGLETRANSLATE(H:H, ""en"", ""te"")"),"అమెరికా")</f>
        <v>అమెరికా</v>
      </c>
      <c r="J184" s="3" t="s">
        <v>228</v>
      </c>
      <c r="K184" s="1" t="s">
        <v>2738</v>
      </c>
      <c r="L184" s="2" t="str">
        <f>IFERROR(__xludf.DUMMYFUNCTION("GOOGLETRANSLATE(K:K, ""en"", ""te"")"),"ఎయిర్ కమాండ్ ఇంటర్నేషనల్")</f>
        <v>ఎయిర్ కమాండ్ ఇంటర్నేషనల్</v>
      </c>
      <c r="M184" s="1" t="s">
        <v>2739</v>
      </c>
      <c r="N184" s="1" t="s">
        <v>1075</v>
      </c>
      <c r="O184" s="1" t="str">
        <f>IFERROR(__xludf.DUMMYFUNCTION("GOOGLETRANSLATE(N:N, ""en"", ""te"")"),"ఉత్పత్తిలో (2012)")</f>
        <v>ఉత్పత్తిలో (2012)</v>
      </c>
      <c r="Q184" s="1" t="s">
        <v>162</v>
      </c>
      <c r="U184" s="1" t="s">
        <v>2740</v>
      </c>
      <c r="X184" s="1" t="s">
        <v>2741</v>
      </c>
      <c r="Y184" s="1" t="s">
        <v>2742</v>
      </c>
      <c r="Z184" s="1" t="s">
        <v>2743</v>
      </c>
      <c r="AI184" s="1" t="s">
        <v>2744</v>
      </c>
      <c r="AJ184" s="1" t="s">
        <v>1259</v>
      </c>
      <c r="AM184" s="1" t="s">
        <v>330</v>
      </c>
      <c r="AS184" s="1" t="s">
        <v>2745</v>
      </c>
      <c r="BO184" s="1" t="s">
        <v>2746</v>
      </c>
      <c r="BR184" s="1" t="s">
        <v>2747</v>
      </c>
      <c r="BW184" s="1" t="s">
        <v>2748</v>
      </c>
    </row>
    <row r="185">
      <c r="A185" s="1" t="s">
        <v>2749</v>
      </c>
      <c r="B185" s="1" t="str">
        <f>IFERROR(__xludf.DUMMYFUNCTION("GOOGLETRANSLATE(A:A, ""en"", ""te"")"),"వాయుమార్గాన స్టింగ్")</f>
        <v>వాయుమార్గాన స్టింగ్</v>
      </c>
      <c r="C185" s="1" t="s">
        <v>2750</v>
      </c>
      <c r="D185" s="1" t="str">
        <f>IFERROR(__xludf.DUMMYFUNCTION("GOOGLETRANSLATE(C:C, ""en"", ""te"")"),"ఎయిర్బోర్న్ స్టింగ్ అనేది ఆస్ట్రేలియన్ హై-వింగ్, సింగిల్-సీట్ హాంగ్ గ్లైడర్స్, ఇది న్యూ సౌత్ వేల్స్లోని రెడ్ హెడ్ యొక్క వాయుమార్గాన విండ్ స్పోర్ట్స్ చేత రూపొందించబడింది మరియు నిర్మించబడింది మరియు 2000 ల ప్రారంభంలో ప్రవేశపెట్టబడింది. [1] స్టింగ్స్ వినోదభరి"&amp;"తమైన ఫ్లయింగ్ కోసం ఉపయోగించే ఇంటర్మీడియట్ హాంగ్ గ్లైడర్‌లుగా ఉండటానికి ఉద్దేశించబడింది. అవన్నీ మంచి పనితీరుతో నిర్వహణ సౌలభ్యాన్ని కలిగి ఉంటాయి [1] స్టింగ్ 2 154 ఎక్స్‌సి మోడల్ 7075 అల్యూమినియం గొట్టాల నుండి తయారవుతుంది, సెమీ-డబుల్-ఉపరితల విభాగం డాక్రాన్ స"&amp;"ెయిల్‌క్లాత్‌లో కప్పబడి ఉంటుంది. దాని 9.09 మీ (29.8 అడుగులు) స్పాన్ వింగ్ కేబుల్, ఇది గ్రౌండ్ వైర్లకు మద్దతు ఇచ్చే ఒకే కింగ్‌పోస్ట్‌తో కలుపుతారు. ముక్కు కోణం 121 ° మరియు కారక నిష్పత్తి 5.7: 1. విమానం DHV 1-2 గా ధృవీకరించబడింది. [1] బెర్ట్రాండ్ నుండి డేటా "&amp;"[1] సాధారణ లక్షణాలు")</f>
        <v>ఎయిర్బోర్న్ స్టింగ్ అనేది ఆస్ట్రేలియన్ హై-వింగ్, సింగిల్-సీట్ హాంగ్ గ్లైడర్స్, ఇది న్యూ సౌత్ వేల్స్లోని రెడ్ హెడ్ యొక్క వాయుమార్గాన విండ్ స్పోర్ట్స్ చేత రూపొందించబడింది మరియు నిర్మించబడింది మరియు 2000 ల ప్రారంభంలో ప్రవేశపెట్టబడింది. [1] స్టింగ్స్ వినోదభరితమైన ఫ్లయింగ్ కోసం ఉపయోగించే ఇంటర్మీడియట్ హాంగ్ గ్లైడర్‌లుగా ఉండటానికి ఉద్దేశించబడింది. అవన్నీ మంచి పనితీరుతో నిర్వహణ సౌలభ్యాన్ని కలిగి ఉంటాయి [1] స్టింగ్ 2 154 ఎక్స్‌సి మోడల్ 7075 అల్యూమినియం గొట్టాల నుండి తయారవుతుంది, సెమీ-డబుల్-ఉపరితల విభాగం డాక్రాన్ సెయిల్‌క్లాత్‌లో కప్పబడి ఉంటుంది. దాని 9.09 మీ (29.8 అడుగులు) స్పాన్ వింగ్ కేబుల్, ఇది గ్రౌండ్ వైర్లకు మద్దతు ఇచ్చే ఒకే కింగ్‌పోస్ట్‌తో కలుపుతారు. ముక్కు కోణం 121 ° మరియు కారక నిష్పత్తి 5.7: 1. విమానం DHV 1-2 గా ధృవీకరించబడింది. [1] బెర్ట్రాండ్ నుండి డేటా [1] సాధారణ లక్షణాలు</v>
      </c>
      <c r="E185" s="1" t="s">
        <v>1091</v>
      </c>
      <c r="F185" s="1" t="str">
        <f>IFERROR(__xludf.DUMMYFUNCTION("GOOGLETRANSLATE(E:E, ""en"", ""te"")"),"గ్లైడర్ హాంగ్")</f>
        <v>గ్లైడర్ హాంగ్</v>
      </c>
      <c r="G185" s="1" t="s">
        <v>1092</v>
      </c>
      <c r="H185" s="1" t="s">
        <v>1938</v>
      </c>
      <c r="I185" s="1" t="str">
        <f>IFERROR(__xludf.DUMMYFUNCTION("GOOGLETRANSLATE(H:H, ""en"", ""te"")"),"ఆస్ట్రేలియా")</f>
        <v>ఆస్ట్రేలియా</v>
      </c>
      <c r="J185" s="3" t="s">
        <v>1939</v>
      </c>
      <c r="K185" s="1" t="s">
        <v>2648</v>
      </c>
      <c r="L185" s="2" t="str">
        <f>IFERROR(__xludf.DUMMYFUNCTION("GOOGLETRANSLATE(K:K, ""en"", ""te"")"),"వాయుమార్గాన విండ్‌స్పోర్ట్స్")</f>
        <v>వాయుమార్గాన విండ్‌స్పోర్ట్స్</v>
      </c>
      <c r="M185" s="1" t="s">
        <v>2649</v>
      </c>
      <c r="N185" s="1" t="s">
        <v>584</v>
      </c>
      <c r="O185" s="1" t="str">
        <f>IFERROR(__xludf.DUMMYFUNCTION("GOOGLETRANSLATE(N:N, ""en"", ""te"")"),"ఉత్పత్తిలో")</f>
        <v>ఉత్పత్తిలో</v>
      </c>
      <c r="Q185" s="1" t="s">
        <v>162</v>
      </c>
      <c r="R185" s="1" t="s">
        <v>2751</v>
      </c>
      <c r="S185" s="1" t="s">
        <v>2752</v>
      </c>
      <c r="T185" s="1">
        <v>5.9</v>
      </c>
      <c r="W185" s="1" t="s">
        <v>177</v>
      </c>
    </row>
    <row r="186">
      <c r="A186" s="1" t="s">
        <v>2753</v>
      </c>
      <c r="B186" s="1" t="str">
        <f>IFERROR(__xludf.DUMMYFUNCTION("GOOGLETRANSLATE(A:A, ""en"", ""te"")"),"బ్రిటన్ యుద్ధం యొక్క విమానం")</f>
        <v>బ్రిటన్ యుద్ధం యొక్క విమానం</v>
      </c>
      <c r="C186" s="1" t="s">
        <v>2754</v>
      </c>
      <c r="D186" s="1" t="str">
        <f>IFERROR(__xludf.DUMMYFUNCTION("GOOGLETRANSLATE(C:C, ""en"", ""te"")"),"1940 వేసవి మరియు శరదృతువులో జర్మన్ వైమానిక దళం (లుఫ్ట్‌వాఫ్ఫ్) బ్రిటన్ యుద్ధం (జర్మన్: లుఫ్ట్‌స్క్లాచ్ట్ ఉమ్ ఇంగ్లాండ్), యునైటెడ్ కింగ్‌డమ్ యొక్క రాయల్ ఎయిర్ ఫోర్స్ (RAF) పై గాలి ఆధిపత్యాన్ని పొందటానికి ప్రణాళికాబద్ధంగా ఉంది. ఆపరేషన్ సీ లయన్ ద్వారా ఉభయచర "&amp;"మరియు వాయుమార్గాన శక్తులు బ్రిటన్ పై దండయాత్ర. జర్మన్ నాయకుడు అడాల్ఫ్ హిట్లర్ లేదా సాయుధ దళాల యొక్క అతని ఉన్నత ఆదేశం (ఒబెర్కోమాండో డెర్ వెహర్మాచ్ట్, లేదా ఓక్యూ) RAF తటస్థీకరించబడే వరకు బ్రిటన్ పై విజయవంతమైన ఉభయచర దాడిని నిర్వహించడం సాధ్యమేనని నమ్మలేదు. వి"&amp;"మాన ఉత్పత్తి మరియు భూ మౌలిక సదుపాయాలను నాశనం చేయడం, రాజకీయ ప్రాముఖ్యత ఉన్న ప్రాంతాలపై దాడి చేయడం మరియు బ్రిటీష్ ప్రజలను యుద్ధ విరమణను కోరుతూ లేదా లొంగిపోవడాన్ని భయపెట్టడం ద్వితీయ లక్ష్యాలు. బ్రిటిష్ వారు జూలై 10 నుండి 31 అక్టోబర్ 1940 వరకు యుద్ధం, ఇది పగట"&amp;"ి బాంబు దాడి యొక్క అత్యంత తీవ్రమైన కాలాన్ని సూచిస్తుంది. జర్మన్ చరిత్రకారులు సాధారణంగా 1940 ఆగస్టు మధ్యలో యుద్ధానికి ఆరంభంలో ఉంచి మే 1941 లో, సోవియట్ యూనియన్‌కు వ్యతిరేకంగా ప్రచారం అయిన ఆపరేషన్ బార్బరోస్సా కోసం జర్మన్ బాంబర్ యూనిట్ల ఉపసంహరణపై ముగుస్తుంది."&amp;" బ్రిటన్ యుద్ధం పూర్తిగా వైమానిక దళాలచే పోరాడిన మొదటి ప్రధాన ప్రచారం; డిఫెన్సివ్‌లోని బ్రిటిష్ వారు ప్రధానంగా ఫైటర్ విమానాలను ఉపయోగిస్తున్నారు, జర్మన్లు ​​ఫైటర్ ప్రొటెక్షన్‌తో బాంబర్ల మిశ్రమాన్ని ఉపయోగించారు. ఇది ఆ తేదీ వరకు అతిపెద్ద మరియు అత్యంత నిరంతర బ"&amp;"ాంబు ప్రచారం. నాజీ జర్మనీ బ్రిటన్ యొక్క వాయు రక్షణను నాశనం చేయడంలో లేదా బ్రిటిష్ ధైర్యాన్ని విచ్ఛిన్నం చేయడంలో వైఫల్యం దాని మొదటి ప్రధాన ఎదురుదెబ్బగా పరిగణించబడుతుంది. [2] బ్రిటన్ యుద్ధంలో ఉపయోగించిన అత్యంత ప్రసిద్ధ యుద్ధ విమానాలు బ్రిటిష్ హాకర్ హరికేన్ మ"&amp;"రియు సూపర్ మేరిన్ స్పిట్‌ఫైర్ MK I, మరియు జర్మన్ మెసెర్స్‌ష్మిట్ BF 109 E వేరియంట్ (EMIL) సింగిల్-ఇంజిన్ ఫైటర్స్. స్పిట్‌ఫైర్ ప్రజల నుండి ఎక్కువ దృష్టిని ఆకర్షించినప్పటికీ, [3] తుఫానులు చాలా ఎక్కువ మరియు చాలా జర్మన్ నష్టాలకు కారణమయ్యాయి, ముఖ్యంగా యుద్ధం య"&amp;"ొక్క ప్రారంభ భాగంలో. స్పిట్‌ఫైర్ కోసం టర్న్-రౌండ్ సమయం (రీ-ఆర్మ్ మరియు రీఫ్యూయల్) 26 నిమిషాలు, హరికేన్ 9 నిమిషాలు, ఇది దాని ప్రభావాన్ని పెంచింది. [సైటేషన్ అవసరం] యుద్ధంలో ఉపయోగించిన స్పిట్‌ఫైర్‌లలో చాలా మంది ప్రైవేటుగా కొనుగోలు చేయబడ్డాయి. పట్టణాలు, కంపెన"&amp;"ీలు, క్లబ్బులు లేదా వ్యక్తులు సేకరించిన డబ్బును స్పిట్‌ఫైర్‌లను £ 5,000 చొప్పున కొనుగోలు చేయడానికి ఉపయోగించారు, కొనుగోలుదారునికి నామకరణ హక్కులు ఉన్నాయి. నెదర్లాండ్స్‌కు చెందిన క్వీన్ విల్హెల్మినా 43 స్పిట్‌ఫైర్‌లను కొనుగోలు చేయడానికి 5,000 215,000 విరాళం "&amp;"ఇచ్చింది. ఏదేమైనా, కొంచెం పెద్ద హరికేన్ ఎగరడానికి సులభమైన విమానంగా పరిగణించబడింది మరియు లుఫ్ట్‌వాఫ్ బాంబర్లకు వ్యతిరేకంగా ప్రభావవంతంగా ఉంది. [5] రాయల్ వైమానిక దళం యొక్క ఇష్టపడే వ్యూహం ఏమిటంటే, తుఫానులను బాంబర్ల నిర్మాణాలకు వ్యతిరేకంగా మోహరించడం మరియు ఫైటర"&amp;"్ ఎస్కార్ట్‌లకు వ్యతిరేకంగా స్పిట్‌ఫైర్‌లను ఉపయోగించడం. స్పిట్‌ఫైర్ యొక్క ""ఎగిరిన"" స్పష్టమైన కాక్‌పిట్ హుడ్ నుండి దృశ్యం న్యాయంగా పరిగణించబడింది, పైకి మంచిది; కవర్ చేసిన కాక్‌పిట్ కోసం వెనుక వైపు వీక్షణ న్యాయంగా పరిగణించబడింది. వంగిన ప్లెక్సిగ్లాస్ విండ"&amp;"్‌స్క్రీన్ అయితే చాలా చెడ్డది మరియు గణనీయమైన వక్రీకరణకు కారణమైంది, ఇది సుదూర దృశ్య స్కానింగ్‌ను కష్టతరం చేసింది. స్పిట్‌ఫైర్ పైలట్ జెఫ్రీ క్విల్ సమస్యను పరిష్కరించడానికి ""ఆప్టికల్‌గా నిజమైన"" గాజును సైడ్ ప్యానెల్స్‌లోకి వ్యవస్థాపించడానికి సిఫార్సులు చేశా"&amp;"రు. [6] హరికేన్ అధిక సీటింగ్ స్థానాన్ని కలిగి ఉంది, ఇది పైలట్‌కు స్పిట్‌ఫైర్ కంటే ముక్కుపై మంచి దృశ్యాన్ని ఇచ్చింది. దాని E-3 సబ్టైప్ ద్వారా BF 109 యొక్క ఎగువ పందిరి ప్యానెల్లు వక్రంగా ఉన్నాయి, అయితే E-4 మరియు తరువాత ఎమిల్ సబ్టైప్స్ ఫ్లాట్ ప్యానెల్స్‌తో మ"&amp;"ెరుగైన దృశ్యమానత కోసం సవరించబడ్డాయి మరియు కొత్త డిజైన్ తరచుగా 109 లకు తిరిగి అమర్చబడి ఉంటుంది. ముగ్గురు ప్రధాన యోధులలో ప్రతి ఒక్కరికి వారి నియంత్రణ లక్షణాలలో ప్రయోజనాలు మరియు అప్రయోజనాలు ఉన్నాయి; యుద్ధంలో చాలా గాలి పోరాటం 20,000 అడుగుల లేదా అంతకంటే తక్కువ"&amp;" వద్ద సంభవించింది. దాని సున్నితమైన ఎలివేటర్ల కారణంగా, కర్రను స్పిట్‌ఫైర్‌పై గట్టి మలుపులో చాలా దూరం వెనక్కి లాగితే: నిలిచిపోయే సంఘటనలు చేరుకోవచ్చు మరియు హై స్పీడ్ స్టాల్‌ను ప్రేరేపించవచ్చు. ఇది సంభవించినప్పుడు, విమానం అంతటా హింసాత్మక వణుకు మరియు చప్పట్లు "&amp;"కొట్టే శబ్దం ఉంది, ఇది పార్శ్వంగా ఎగిరిపోతుంది మరియు నియంత్రణ కాలమ్ తక్షణమే ముందుకు సాగకపోతే వేగంగా రోల్ మరియు స్పిన్ వస్తుంది. [7] గట్టి మలుపుల సమయంలో ""ట్విస్ట్"" లేదా రెజినాల్డ్ మిచెల్ చేత రెక్కలో రూపొందించిన వాష్‌అవుట్ అంటే రెక్క రూట్ వింగ్‌టిప్స్ ముం"&amp;"దు నిలిచిపోతుంది, సూచించిన వణుకు మరియు క్లాటరింగ్‌ను సృష్టిస్తుంది. ఈ శబ్దం స్టాల్ హెచ్చరిక యొక్క ఒక రూపం, పైలట్ మలుపును తగ్గించమని గుర్తు చేస్తుంది. [8] సెప్టెంబర్ 1940 లో బ్రిటిష్ పరీక్షలో కొంతమంది బిఎఫ్ 109 పైలట్లు స్పిట్‌ఫైర్ తోకను ఉంచడంలో విజయవంతమయ్య"&amp;"ారని, తరువాతి విమానం యొక్క ఉన్నతమైన మలుపు పనితీరు ఉన్నప్పటికీ, స్పిట్‌ఫైర్ పైలట్లు చాలా మంది మలుపును తగినంతగా బిగించడంలో విఫలమయ్యారు. [9] BF 109 యొక్క ""G"" కింద సున్నితమైన స్టాల్ మరియు మంచి నియంత్రణ కొంత ప్రాముఖ్యత కలిగి ఉంది, ఎందుకంటే అవి లుఫ్ట్‌వాఫ్ పై"&amp;"లట్‌ను స్టాల్ దగ్గర చాలా ఎగురుతూ ప్రదక్షిణ కుక్క-పోరాటంలో విమానాలను ఎక్కువగా పొందటానికి వీలు కల్పించాయి. BF 109 ప్రముఖ ఎడ్జ్ స్లాట్లను ఉపయోగించింది, ఇది స్టాలింగ్ చేయడానికి ముందు స్వయంచాలకంగా అమలు చేయబడింది, కానీ వైమానిక పోరాట విన్యాసాలలో గట్టి మలుపుతో హర"&amp;"ికేన్ లేదా స్పిట్‌ఫైర్‌ను వెంబడించడం కొనసాగించడం చాలా కష్టమైంది, స్లాట్‌లు అడపాదడపా గట్టి మలుపులతో తెరవడం నుండి (రెక్కపై డాగ్‌ఫైట్స్ సమయంలో ఒక మలుపు యొక్క ""లోపల""), వారు అసమానంగా తెరిస్తే టేకాఫ్ సమయంలో కూడా సమస్యలను కలిగిస్తుంది. [10] బ్రిటీష్ యోధుల రోల్"&amp;"స్ రాయిస్ మెర్లిన్ ఇంజిన్ ఫ్లోట్-టైప్ కార్బ్యురేటర్ కలిగి ఉన్న లోపం కలిగి ఉంది, ఇది ప్రతికూల ""జి"" శక్తుల క్రింద కత్తిరించబడింది. డైరెక్ట్-ఫ్యూయల్ ఇంజెక్ట్ చేసిన డైమ్లెర్-బెంజ్ డిబి 601 ఇంజిన్ కార్బ్యురేటర్-అమర్చిన ఇంజిన్ కంటే 109 కి ఒక ప్రయోజనాన్ని ఇచ్చ"&amp;"ింది; ఒక RAF ఫైటర్ ""బంట్"" (బయటి లూప్‌లోకి డైవింగ్ ఎంట్రీ) మరియు 109 సాధ్యమైనంత ప్రత్యర్థి నుండి డైవ్ చేయడానికి ప్రయత్నించినప్పుడు, వారి ఇంజన్లు ప్రతికూల-G శక్తుల వ్యవధి కోసం తాత్కాలికంగా కత్తిరించబడతాయి. ఇంజిన్ కత్తిరించకుండా నెగటివ్-జి విన్యాసాలను చేయగ"&amp;"ల ఈ సామర్థ్యం 109 పైలట్‌కు ఇష్టానుసారం విడదీయడానికి మంచి సామర్థ్యాన్ని ఇచ్చింది. [11] పోరాటంలో తులనాత్మక మలుపుల వృత్తాల ప్రశ్నపై, బిఎఫ్ 109 తో పోలిస్తే స్పిట్‌ఫైర్స్ మరియు హరికేన్స్ వారి దిగువ వింగ్ లోడింగ్ నుండి ప్రయోజనం పొందాయి: రాయల్ ఎయిర్క్రాఫ్ట్ ఎస్ట"&amp;"ాబ్లిష్మెంట్ స్పిట్‌ఫైర్ యొక్క టర్నింగ్ సర్కిల్‌ను అంచనా వేసింది - ఎత్తు నష్టం లేకుండా - 212 మీ (700 అడుగులు) వ్యాసార్థంలో (700 అడుగులు హరికేన్ కొంచెం గట్టిగా ఉంటుంది) అయితే 109E లు 3,657 మీ (12,000 అడుగులు) వద్ద 270 మీ (890 అడుగులు) వ్యాసార్థంగా అంచనా వే"&amp;"యబడ్డాయి. [9] ఇతర వనరులు భూమి స్థాయిలో 125 మీ (410 అడుగులు) మరియు 170 మీ (558 అడుగులు) మరియు 109 ఇ కోసం 6,000 మీ (19,690 అడుగులు) వద్ద 230 మీ (754 అడుగులు) మధ్య మలుపు వ్యాసార్థాన్ని విభిన్నంగా జాబితా చేస్తాయి. [12] [13] ఎమిల్ RAF ఫైటర్ కంటే చిన్నది, మరియు"&amp;" స్పిట్‌ఫైర్ మరియు హరికేన్ కంటే దిగడం మరియు బయలుదేరడం చాలా కష్టం. [14] అధిక వేగంతో నియంత్రణలు గణనీయంగా బిగించబడ్డాయి, మరియు BF 109E దాని ప్రధాన ప్రత్యర్థుల కంటే యుక్తికి ఎక్కువ బలం అవసరం. ముగ్గురు యోధులలో, BF 109E అత్యధిక రోల్ రేటును కలిగి ఉంటుంది, ఐలెరాన"&amp;"్ నియంత్రణలు చురుకైనవి మరియు ప్రతిస్పందిస్తాయి; స్పిట్‌ఫైర్ అత్యధిక ఐలెరాన్ దళాలను కలిగి ఉంది, కాని స్పిట్‌ఫైర్ మరియు మెసెర్స్‌ష్మిట్ యొక్క రోల్ రేటు రెండూ అధిక వేగంతో బాధపడ్డాయి. [సైటేషన్ అవసరం] మొత్తం బిఎఫ్ 109 మరియు స్పిట్‌ఫైర్ మధ్య పనితీరులో తేడాలు ఉప"&amp;"ాంతంగా ఉన్నాయి మరియు పోరాటంలో అవి వ్యూహాత్మక పరిశీలనల ద్వారా అధిగమించబడ్డాయి. ఏ వైపు మొదట చూసినట్లుగా, ఏ వైపు ఎత్తు, సంఖ్యలు, పైలట్ సామర్థ్యం మొదలైన వాటి యొక్క ప్రయోజనం ఉంది. రెండు విమానాల మధ్య ప్రధాన వ్యత్యాసం స్పిట్‌ఫైర్ యొక్క కఠినమైన మలుపు సామర్థ్యం మర"&amp;"ియు BF 109 యొక్క వేగవంతమైన ఆరోహణ రేటు. [4] RAF యోధులు ఇద్దరూ ఎనిమిది .303 బ్రౌనింగ్ మెషిన్ గన్లతో రెక్కలలో ఆయుధాలు కలిగి ఉన్నారు, స్క్వాడ్రన్లచే సమన్వయం చేసుకున్నారు, బుల్లెట్లు దూరం వద్ద కలుస్తాయి. బ్రౌనింగ్స్ అధిక రేటును కలిగి ఉంది మరియు ఎనిమిది మెషిన్ "&amp;"గన్స్ నుండి ఒక చిన్న పేలుడు కూడా పెద్ద సంఖ్యలో బుల్లెట్లను పంపింది. అనేక విమానాలకు వ్యతిరేకంగా సమర్థవంతంగా ఉన్నప్పటికీ, చిన్న క్యాలిబర్ బుల్లెట్లు తరచుగా కవచం లేపనంలోకి చొచ్చుకుపోలేకపోయాయి, ఇవి సిబ్బంది మరియు ముఖ్యమైన ప్రాంతాలను రక్షించడానికి లుఫ్ట్‌వాఫ్ "&amp;"విమానాలలో ఎక్కువగా ఉపయోగించబడుతున్నాయి. ""డి వైల్డ్"" అని పిలువబడే ఒక దాహక రౌండ్ అందుబాటులో ఉంది మరియు ఇది ప్రామాణిక ""బాల్"" రౌండ్ల కంటే ఎక్కువ నష్టాన్ని కలిగిస్తుంది. [15] యుద్ధంలో కనీసం ఒక హరికేన్ ప్రతి రెక్క కింద ఒక పాడ్‌లో ఒకే హిస్పానో 20 మిమీ ఫిరంగి"&amp;"ని ప్రయోగాత్మకంగా ఆయుధాలు కలిగి ఉంది, అయితే ఇది చాలా నెమ్మదిగా మరియు నియంత్రణలపై నిదానంగా ఉందని నిరూపించబడింది. [16] అనేక స్పిట్‌ఫైర్లు, నియమించబడిన స్పిట్‌ఫైర్ MK. ప్రతి వింగ్ ప్యానెల్‌లో హిస్పానో ఫిరంగిని తీసుకెళ్లడానికి కూడా ఐబిఎస్ సవరించబడింది. [19] జ"&amp;"ూన్ 1940 లో స్క్వాడ్రన్ ఈ సంస్కరణను కలిగి ఉంది. ఆగస్టులో పోరాటంలో ప్రవేశించినప్పుడు ఈ మొదటి ఫిరంగి సాయుధ స్పిట్‌ఫైర్ ప్రభావాన్ని సృష్టించడంలో విఫలమైంది, తుపాకులు తరచూ జామింగ్ మరియు కాల్పులు జరపలేకపోయాయి. అయితే, ఇది పని చేసినప్పుడు, హిస్పానో ఒక ప్రభావవంతమై"&amp;"న ఆయుధం, దాని గుండ్లు కవచం లేపనం మరియు లుఫ్ట్‌వాఫ్ విమానాల యొక్క స్వీయ-సీలింగ్ ఇంధన ట్యాంకులను సులభంగా చొచ్చుకుపోతాయి. [17] EMIL యొక్క ప్రధాన ఆయుధాలు సబ్టైప్ మీద ఆధారపడి ఉంటాయి. E-1 నాలుగు mg 17 7.92mm మెషిన్ గన్‌లతో ఆయుధాలు కలిగి ఉంది; ఇంజిన్ పైన రెండు క"&amp;"ౌల్ తుపాకులు తుపాకీకి 1,000 రౌండ్లు, రెండు రెక్కలలో తుపాకీకి 500 రౌండ్లు ఉన్నాయి. E-3, E-4 మరియు E-7 లు E-1 యొక్క ఫ్యూజ్‌లేజ్ ఆయుధాన్ని నిలుపుకున్నాయి, కాని Mg 17 వింగ్ తుపాకులను రెండు 20 mM ఫిరంగులతో భర్తీ చేశాయి, ప్రతి రెక్కలో ఒకటి 60 RPG తో; Mg FFS (E-"&amp;"3) లేదా మరింత అధునాతన MG FF/M (E-4 మరియు E-7), ఇది కొత్త జర్మన్ స్టీల్-కార్ట్రిడ్జ్ మైన్ గని షెల్ మందుగుండు సామగ్రిని కాల్చగలదు. పేలుడు గుండ్లు బ్రౌనింగ్స్ యొక్క బుల్లెట్ల కంటే ఎక్కువ విధ్వంసక శక్తిని కలిగి ఉన్నప్పటికీ, ఈ ఫిరంగి యొక్క తక్కువ మూతి వేగం మరి"&amp;"యు వారి అరవై రౌండ్ డ్రమ్ మ్యాగజైన్‌ల యొక్క పరిమిత మందుగుండు సామగ్రి అంటే ఆయుధాలు RAF ఫైటర్ యొక్క ఎనిమిది మెషిన్ గన్‌ల కంటే గొప్పవి కావు. అవసరం] ఫిరంగుల నుండి మూడు లేదా నాలుగు హిట్స్ సాధారణంగా శత్రు పోరాట యోధుడిని తగ్గించడానికి సరిపోతాయి మరియు, పోరాట యోధుడ"&amp;"ు తిరిగి బేస్కు తిరిగి రాగలిగినప్పటికీ, అది తరచుగా వ్రాయబడుతుంది. [18] ఉదాహరణకు, ఆగస్టు 18 న 602 స్క్వాడ్రన్ యొక్క సరికొత్త స్పిట్‌ఫైర్ 20 మిమీ షెల్స్‌తో దెబ్బతింది, ఇది వెనుక ఫ్యూజ్‌లేజ్ యొక్క నిర్మాణంలో పేలింది. వికలాంగ విమానం విజయవంతంగా దాని ఎయిర్ఫీల్డ"&amp;"్ వద్ద తిరిగి దిగినప్పటికీ, అది మరమ్మతులు చేయలేనిదిగా భావించబడింది. [19] BF 109E-4 లో ఉపయోగించిన Mg FF/M, మరింత విధ్వంసక, అధిక సామర్థ్యం గల గని-షెల్స్‌ను MG FF కంటే ఎక్కువ వేగం వద్ద తేలికైన గుండ్లు నడిపించేలా సవరించబడింది. [20] [21] ఈ రకమైన ప్రారంభ షెల్స్"&amp;"‌లో కాంటాక్ట్ ఫ్యూజింగ్ ఉంది, చొచ్చుకుపోవటం కంటే ఎయిర్‌ఫ్రేమ్ యొక్క చర్మంతో సంబంధాన్ని పేల్చివేసింది, తరువాత పేలుతుంది. [22] అక్టోబర్ నుండి ప్రారంభమయ్యే తక్కువ సంఖ్యలో జారీ చేయబడిన మరింత స్ట్రీమ్లైన్డ్ బిఎఫ్ 109 ఎఫ్ -1, రెండు కౌల్ ఎంజి -17 లు మరియు ఫ్యూజ్"&amp;"‌లేజ్‌లో సింగిల్ 20 ఎంఎం ఎంజి ఎఫ్‌ఎఫ్/ఎమ్ ఇంజిన్-మౌంటెడ్ మోటార్కానోన్‌గా, ప్రొపెల్లర్ హబ్ ద్వారా కాల్పులు జరిపింది. హరికేన్ యొక్క లోపం ఇంజిన్ ఫైర్‌వాల్ వెనుక ఇంధన ట్యాంక్ ఉండటం, ఇది మంటలను పట్టుకోగలదు మరియు కొన్ని సెకన్లలోపు పైలట్‌ను బెయిల్ పొందే ముందు పై"&amp;"లట్‌ను తీవ్రంగా కాల్చాడు. ట్యాంక్‌కు ""లినేట్క్స్"" ఫైర్-రెసిస్టెంట్ మెటీరియల్ యొక్క పొరను అమర్చడం ద్వారా మరియు ఇన్స్ట్రుమెంట్ ప్యానెల్ యొక్క సాయుధ ప్యానెల్ ముందుకు సాగడం ద్వారా ఇది పాక్షికంగా పరిష్కరించబడింది. మరొక ప్రమాదాన్ని హరికేన్ యొక్క ప్రధాన వింగ్ "&amp;"రూట్ మౌంటెడ్ ఇంధన ట్యాంకులు సమర్పించాయి, ఇవి వెనుక నుండి కాల్చిన బుల్లెట్లకు గురవుతాయి. [23] కాక్‌పిట్ యొక్క ఫ్యూజ్‌లేజ్‌లో అమర్చిన స్పిట్‌ఫైర్ యొక్క ప్రధాన ఇంధన ట్యాంకులు హరికేన్ కంటే మెరుగైన రక్షించబడ్డాయి; దిగువ ట్యాంక్ స్వీయ-సీలింగ్ మరియు 3 మిమీ మందపా"&amp;"టి అల్యూమినియం యొక్క ప్యానెల్, చిన్న క్యాలిబర్ బుల్లెట్లను విక్షేపం చేయడానికి సరిపోతుంది, పై ట్యాంకులపై బాహ్యంగా చుట్టబడింది. అంతర్గతంగా అవి ""లినేట్క్స్"" పొరలతో పూత పూయబడ్డాయి మరియు కాక్‌పిట్ బల్క్‌హెడ్ ఆస్బెస్టాస్ యొక్క మందపాటి ప్యానెల్‌తో ఫైర్‌ప్రూఫ్ "&amp;"చేయబడింది. [23] [24] జర్మన్ యోధులు మరియు బాంబర్లందరిపై, ఇంధన ట్యాంకులు స్వీయ-సీలింగ్, మరియు శత్రు రౌండ్ల నుండి లీక్‌లను మూసివేయగల సామర్థ్యం ఉన్నప్పటికీ, ఇది RAF చేత ఉపయోగించబడుతున్న ""డి వైల్డ్"" దాహక రౌండ్ వల్ల ప్రాణాంతక నష్టాన్ని కలిగించకుండా నిరోధించలే"&amp;"కపోయింది. . BF 109E ఎస్కార్ట్‌లు పరిమిత ఇంధన సామర్థ్యాన్ని కలిగి ఉన్నాయి, దీని ఫలితంగా కేవలం 660 కిమీ (410 మైళ్ల) గరిష్ట పరిధి మాత్రమే అంతర్గత ఇంధనంపై మాత్రమే ఉంటుంది, [25] మరియు వారు బ్రిటిష్ లక్ష్యానికి వచ్చినప్పుడు, ఇంటికి తిరగడానికి ముందు 10 నిమిషాల ఎ"&amp;"గురుతున్న సమయం మాత్రమే ఉంది, ఫైటర్ ఎస్కార్ట్స్ ద్వారా బాంబర్లను వదిలివేయడం. దాని చివరికి స్టేబుల్‌మేట్, ఫోకే-వుల్ఫ్ FW 190A, 1940 వేసవిలో ప్రోటోటైప్ రూపంలో మాత్రమే ఎగురుతోంది; మొదటి 28 FW 190A-0 సేవా పరీక్ష ఉదాహరణలు నవంబర్ 1940 వరకు పంపిణీ చేయబడలేదు. FW 1"&amp;"90A-1 గరిష్టంగా 940 కిమీ (584 మైళ్ళు) అంతర్గత ఇంధనంపై ఉంది, BF 109E కన్నా 40% ఎక్కువ. [26] మెసెర్స్‌ష్మిట్ బిఎఫ్ 109 ఇ -7 జాబో డ్యూటీల కోసం ఎస్సీ 250 బాంబును తీసుకోవడానికి వెంట్రల్ సెంటర్-లైన్ ఆర్డినెన్స్ ర్యాక్‌ను జోడించడం ద్వారా లేదా ప్రామాణిక 300 లీటర్"&amp;" (66 ఇంప్. పరిధి 1,325 కిమీ (820 మైళ్ళు). ఆర్డినెన్స్ రాక్ అక్టోబర్ 1940 వరకు మునుపటి BF 109E లకు తిరిగి అమర్చబడలేదు. స్పిట్‌ఫైర్, 1940 మధ్య నుండి, 73 పౌండ్ల (33 కిలోల) సాయుధ ఉక్కు లేపనం కలిగి ఉంది (6.5 మిమీ మందం) మరియు బ్యాక్ ప్రొటెక్షన్ ఆన్ ది సీట్ బల్క"&amp;"్‌హెడ్ (4.5 మిమీ), మరియు గ్లైకాల్ హెడర్ ట్యాంక్ యొక్క ఫార్వర్డ్ ముఖాన్ని కవర్ చేస్తుంది. [24] హరికేన్ స్పిట్‌ఫైర్‌కు సమానమైన కవచం లేఅవుట్‌ను కలిగి ఉంది మరియు ముగ్గురిలో కష్టతరమైనది మరియు మన్నికైనది. హాకర్ యొక్క ఫైటర్ యొక్క సర్వీసిబిలిటీ రేట్లు ఎల్లప్పుడూ "&amp;"సంక్లిష్టమైన మరియు అధునాతన స్పిట్‌ఫైర్ కంటే ఎక్కువగా ఉండేవి. ఫ్రాన్స్ యుద్ధం తరువాత. ఇంధన ట్యాంక్ వెనుక, ట్యాంక్ మరియు పైలట్‌ను వెనుక నుండి దాడుల నుండి పైలట్‌ను రక్షించే ఫ్యూజ్‌లేజ్‌లో 8 మి.మీ సాయుధ పలకను ఉంచారు. [సైటేషన్ అవసరం] జూలై 1940 నాటికి, మరింత సమ"&amp;"ర్థవంతమైన డి హవిలాండ్ మరియు రోటోల్ స్థిరమైన స్పీడ్ ప్రొపెల్లర్లు రెండు-పిచ్ ప్రొపెల్లర్లను భర్తీ చేయడం ప్రారంభించారు ముందు వరుసలో RAF ఫైటర్స్. కొత్త యూనిట్లు మెర్లిన్ అన్ని ఎత్తుల వద్ద మరింత సజావుగా పనిచేయడానికి అనుమతించాయి మరియు టేకాఫ్ మరియు ల్యాండింగ్ ప"&amp;"రుగులను తగ్గించాయి. ఫ్రంట్ లైన్ RAF యోధులలో ఎక్కువమంది ఈ ప్రొపెల్లర్లతో ఆగస్టు మధ్యలో ఉన్నారు. [24] BF 109E ఆటోమేటిక్ పిచ్ నియంత్రణతో స్థిరమైన స్పీడ్ వెరినిగ్టే డ్యూయిష్ మెటల్‌వెర్కే (VDM) మూడు-బ్లేడ్ యూనిట్‌ను కూడా ఉపయోగించింది. 1938 లోనే బ్రిస్టల్ ఇంజిన"&amp;"్ కంపెనీ యొక్క అత్యంత విజయవంతమైన ఏరో ఇంజిన్లను రూపొందించిన రాయ్ ఫెడెన్, యుఎస్ నుండి 100 ఆక్టేన్ ఏవియేషన్ ఇంధనాన్ని ప్రవేశపెట్టాలని ఒత్తిడి చేశారు, మరియు ఆ సంవత్సరం తరువాత బ్రిటిష్ ఏరో ఇంజిన్ తయారీదారులు బ్రిస్టల్ మరియు రోల్స్-రాయిస్ వేరియంట్లను ప్రదర్శించ"&amp;"ారు వారి 'మెర్క్యురీ' మరియు 'మెర్లిన్' ఇంజన్లు 100 ఆక్టేన్ ఇంధనం కోసం రేట్ చేయబడ్డాయి. [27] [28] ""డిపార్ట్మెంట్ ఆఫ్ డిఫెన్స్ కో-ఆర్డినేషన్"" చేత ఒక మెమోరాండం, 'యుద్ధ అవసరాలను తీర్చడానికి 100 ఆక్టేన్ ఇంధనం యొక్క తగిన సామాగ్రిని పొందటానికి ప్రతిపాదనలు', 23"&amp;" డిసెంబర్ 1938, 100 ఆక్టేన్ ఇంధన సరఫరాను పెంచాల్సిన అవసరం ఉందని గుర్తించింది మరియు మార్గాలను చర్చించారు ఇది సాధించవచ్చు. [29] 100 ఆక్టేన్ ఇంధనాన్ని అన్ని RAF విమానాలకు సాధారణ ఉపయోగం కోసం ఎప్పుడు ప్రవేశపెట్టాలి అనే ప్రశ్నను పరిగణనలోకి తీసుకోవడానికి 16 మార్"&amp;"చి 1939 న ఒక సమావేశం జరిగింది, మరియు ఏ స్క్వాడ్రన్లు, సంఖ్య మరియు రకాన్ని సరఫరా చేయాల్సి ఉంది. తీసుకున్న నిర్ణయం ఏమిటంటే, సెప్టెంబర్ 1940 నాటికి 16 ఫైటర్ మరియు రెండు ట్విన్-ఇంజిన్ బాంబర్ స్క్వాడ్రన్లకు ప్రారంభ డెలివరీ ఉంటుంది. [30] ఏదేమైనా, ఇది యుద్ధానికి"&amp;" పూర్వం umption హపై ఆధారపడింది, ఇది యుద్ధకాలంలో బ్రిటన్‌కు యుఎస్ సరఫరా తిరస్కరించబడుతుంది, ఇది ఇంధనాన్ని ఉపయోగించగల ఫ్రంట్-లైన్ యూనిట్ల సంఖ్యను పరిమితం చేస్తుంది. [31] యుద్ధం ప్రారంభమైన తరువాత ఈ సమస్య అదృశ్యమైంది; యుఎస్ లో మరియు ప్రపంచంలోని ఇతర ప్రాంతాలలో"&amp;" కొత్త ఇంధనం యొక్క ఉత్పత్తి కొత్త శుద్ధి పద్ధతులను స్వీకరించడంతో expected హించిన దానికంటే త్వరగా పెరిగింది. [32] [33] తత్ఫలితంగా, 1940 వసంతకాలంలో ప్రారంభమయ్యే అన్ని ఫ్రంట్-లైన్ ఫైటర్ కమాండ్ విమానానికి 100 ఆక్టేన్ ఇంధనం జారీ చేయగలిగింది. [34] . . [36] [33]"&amp;" సిఎస్ ప్రొపెల్లర్లు మరియు 100 ఆక్టేన్ ఇంధనం కలయిక బ్రిటిష్ యోధులను లుఫ్ట్‌వాఫ్‌తో సమానంగా ఉంచుతుంది. [30] [37] [38] 1940 అంతటా ఫ్రంట్ లైన్ సేవలకు సరఫరా పరిస్థితి మరియు ఇంధనం పంపిణీ ""చమురు విధాన కమిటీ యొక్క సమన్వయం"" చర్చించారు. [39] 100 ఆక్టేన్ ఇంధనంతో "&amp;"మెర్లిన్ III ఇంజిన్ యొక్క సూపర్ఛార్జర్‌ను +12 పౌండ్లు/చదరపు.ఇన్ వరకు ""బూస్ట్"" చేయవచ్చు. . [[40] ఇది పెరిగిన శక్తి ఆరోహణ రేటును గణనీయంగా మెరుగుపరిచింది, ముఖ్యంగా తక్కువ నుండి మధ్యస్థ ఎత్తు వరకు, మరియు ఎగువ వేగాన్ని 25-34 mph 10,000 అడుగుల వరకు పెంచింది. "&amp;"[33] [24] [n 2] ఫ్రాన్స్ యుద్ధంలో మరియు డంకిర్క్ పై RAF హరికేన్స్ మరియు స్పిట్‌ఫైర్లు అత్యవసర బూస్ట్‌ను ఉపయోగించగలిగాయి. [41] [42] ""1940 మొదటి భాగంలో, RAF అన్ని హరికేన్ మరియు స్పిట్‌ఫైర్ స్క్వాడ్రన్‌లను 100 ఆక్టేన్ ఇంధనానికి బదిలీ చేసింది."" [43] బ్రిటీష"&amp;"్ వైమానిక మంత్రిత్వ శాఖ జర్మనీ యుద్ధానికి పూర్వపు కాగితం అభిప్రాయం ప్రకారం, సింథటిక్ ఇంధనం యొక్క పెద్ద ఉత్పత్తిదారుగా జర్మనీ 100 ఆక్టేన్ ఇంధనాన్ని పెద్ద పరిమాణంలో ఉత్పత్తి చేయడానికి అనుకూలమైన స్థితిలో ఉంటుందని భావించారు. [44] జర్మన్ విమానయాన ఇంధనాల సరఫరా "&amp;"ఎక్కువగా బొగ్గు యొక్క హైడ్రోజనేషన్ మీద ఆధారపడింది, ఎందుకంటే సహజ ముడి చమురు పరిమిత సరఫరా కారణంగా. యుద్ధం ప్రారంభమైనప్పుడు, జర్మనీకి ఇప్పటికే ఏడు విధ్వంసక హైడ్రోజనేషన్ ప్లాంట్లు పనిచేస్తున్నాయి, మొత్తం వ్యవస్థాపిత సామర్థ్యం 1,400,000 టి/ఇయర్ చమురు. [45] యుద"&amp;"్ధం ప్రారంభంలో, లుఫ్ట్‌వాఫ్ 87 ఆక్టేన్ ఏవియేషన్ గ్యాసోలిన్, ""బి 4"" అని పిలుస్తారు, దీనిని బ్రౌన్ బొగ్గు నుండి సేకరించిన లీడ్ హైడ్రో-పెట్రోల్ నుండి తయారు చేస్తారు. [46] 1940 లో, మెరుగైన ఇంధనం, ""సి 2"" గా నియమించబడినది 35–38% అధిక సుగంధ కంటెంట్ కలిగి ఉంద"&amp;"ి మరియు ఆ కాలపు అనుబంధ 100 ఆక్టేన్ గ్రేడ్‌కు సమానమైన పనితీరును ఇస్తుంది. [46] C2 ను చిన్న పరిమాణంలో మెసెర్స్చ్మిట్ BF 109E-4/N మరియు E-7/N మరియు మెసెర్స్చ్మిట్ BF 110C వంటి విమానాల ద్వారా ఉపయోగించారు, ఇది DB 601N ఇంజిన్‌తో కూడినప్పుడు, ఇది అక్టోబర్ 1939 ల"&amp;"ో సిరీస్ ఉత్పత్తిలో ప్రవేశించింది. [47] ఈ శక్తిని DB 601A కంటే 20% పెంచింది, 1.35 atm బూస్ట్ పీడనం మరియు 2,400 RPM వద్ద 6,900 అడుగుల (2,100 మీ) వద్ద 1,260 హెచ్‌పికి పెరిగింది. [47] [48] జూలై నాటికి, తొమ్మిది బిఎఫ్ 110 మరియు మూడు బిఎఫ్ 109 ఫైటర్ స్టాఫెల్న్"&amp;" (స్క్వాడ్రన్లు) కొత్త ఇంజిన్లతో అమర్చారు, [48] అక్టోబర్ చివరి నాటికి 1,200 డిబి 601 ఎన్ ఇంజన్లు పంపిణీ చేయబడ్డాయి. [49] మరియు మెరుగైన ఇంజిన్‌తో కూడిన విమానాల సంఖ్య క్రమంగా సంవత్సరం రెండవ సగం వరకు పెరిగింది. [50] ఏదేమైనా, కవాటాలు లీక్ కావడం వల్ల [స్పష్టీక"&amp;"రణ అవసరం] 601 ఎన్-ఇంజిన్లలో సాపేక్షంగా అధిక దుస్తులు ఉన్నాయి, ఇది సుమారు 40 గంటల జీవితాన్ని కలిగి ఉంది. [51] [52] హరికేన్, స్పిట్‌ఫైర్ మరియు బిఎఫ్ 109 తో పాటు, అనేక ఇతర ఫైటర్ విమానాలు-ఎక్కువగా జంట-ఇంజిన్డ్ హెవీ ఫైటర్స్-బ్రిటన్ యుద్ధంలో పాల్గొన్నాయి. యుద్ధ"&amp;"ం ప్రారంభంలో, ట్విన్-ఇంజిన్ మెసెర్స్చ్మిట్ బిఎఫ్ 110 లాంగ్ రేంజ్ ""డిస్ట్రాయర్"" (జర్మన్: జెర్స్టార్) లుఫ్ట్‌వాఫ్ బాంబర్ ఫ్లీట్‌ను ఎస్కార్ట్ చేస్తున్నప్పుడు గాలి నుండి గాలికి పోరాటంలో పాల్గొంటుందని భావించారు. విమానం బాగా రూపకల్పన చేయబడినప్పటికీ, దాని తరగత"&amp;"ిలో ఉత్తమమైనది, సహేతుకంగా వేగంగా ఉంది (BF 110C-3 గురించి 340 mph [547 km/h]) మరియు గౌరవనీయమైన పోరాట వ్యాసార్థాన్ని కలిగి ఉంది, BF 110 కచేరీకి వ్యతిరేకంగా బాంబర్లను రక్షించగలదు వేగవంతమైన సింగిల్-సీట్, సింగిల్-ఇంజిన్ ఫైటర్స్ యొక్క శక్తి ద్వారా దాడి లోపభూయిష"&amp;"్టంగా ఉంది. హరికేన్ మరియు స్పిట్‌ఫైర్‌కు వ్యతిరేకంగా పిట్ చేసినప్పుడు, BF 110 లు వారు ఎస్కార్ట్ చేయడానికి ఉద్దేశించిన బాంబర్ల కంటే కొంచెం ఎక్కువ మనోహరంగా ఉండటం ద్వారా భారీ నష్టాలను అనుభవించడం ప్రారంభించింది. [53] 110 యొక్క వైవిధ్యం BF 110D-1, ""డాచ్‌షండ్-"&amp;"బెల్లీ"" (డాకెల్బాచ్) అనే మారుపేరుతో ఉంది, ఎందుకంటే స్థిర, చెక్క, 1,050 లీటర్ (277 యు.ఎస్. గాల్) ఫ్యూజ్‌లేజ్ కింద అమర్చిన ఇంధన ట్యాంక్. [N 3] I./zg నార్వేలో ఉన్న 76, నార్వేజియన్ తీరం వెంబడి కాన్వాయ్ల కోసం ఎయిర్ కవర్ను అందించడానికి ఈ సంస్కరణను కలిగి ఉంది. "&amp;"ఆగస్టు 15 న, RAF ఫైటర్ యూనిట్లన్నీ దక్షిణాన కేంద్రీకృతమై ఉన్నాయని నమ్మకంతో, లుఫ్ట్‌ఫ్లోట్ 5 ఈశాన్య ఇంగ్లాండ్‌పై మొదటి మరియు ఏకైక బాంబర్ దాడిని ప్రారంభించింది. 21 I.ZG 76 విమానంలో ఏడు బాంబర్ ఎస్కార్ట్‌లుగా ఉపయోగించబడుతున్నాయి, వీటిలో గ్రప్పెన్‌కోమాండూర్ ("&amp;"""గ్రూప్ కమాండర్"") ఉన్నాయి. [54] బిఎఫ్ 110 సిలను ఉపయోగించి జెర్స్టార్జెస్చ్వాడర్ రెక్కలన్నింటికీ ప్రమాద రేట్లు యుద్ధం అంతటా చాలా ఎక్కువగా ఉన్నాయి, మరియు వారు హర్మన్ గోరింగ్ యొక్క అధిక ఆకాంక్షలను నెరవేర్చలేకపోయారు, వారు అతనిని ""ఐరన్సైడ్లు"" (ఐసెన్సిటెన్)"&amp;" అని పేర్కొన్నారు. ""[55 ] యుద్ధంలో BF 110 యొక్క అత్యంత విజయవంతమైన పాత్ర ""ఫాస్ట్ బాంబర్"" (ష్నెల్బాంబర్) గా ఉంది, అదే పాత్ర జంకర్స్ జు 88 ఎ 1930 ల మధ్యలో రూపొందించబడింది. ఒక యూనిట్, టెస్ట్ గ్రూప్ 210 "" 210)-వాస్తవానికి BF 110 యొక్క ఉద్దేశించిన (కాని చెడ"&amp;"ు-భయం) పున ment స్థాపనను పరీక్షించడానికి ఉద్దేశించినది, మెసెర్స్‌ష్మిట్ ME 210-ఇది JU 87 కన్నా ఎక్కువ శ్రేణికి ఎక్కువ బాంబు భారాన్ని మోసుకెళ్ళి, ఇలాంటి ఖచ్చితత్వంతో బట్వాడా చేస్తుంది చాలా ఎక్కువ గరిష్ట వేగం, ముఖ్యంగా తక్కువ ఎత్తులో, RAF యోధులను తప్పించుకో"&amp;"వడానికి ఇది చాలా ఎక్కువ సామర్థ్యం కలిగి ఉంది. [55] [56] BF 110 లో రెండు 20 mm mg FF/M ఫిరంగి మరియు నాలుగు 7.92 mm mg 17s ఫార్వర్డ్ ఫ్యూజ్‌లేజ్‌లో కేంద్రీకృతమై ఉంది, వెనుక కాక్‌పిట్‌లో వెనుక రక్షణ కోసం ఒకే 7.92 mm mg 15 తో పాటు. బ్రిటీష్ వారికి, చాలా నిరాశ"&amp;"పరిచిన పోరాట యోధుడు బౌల్టన్-పాల్ ధిక్కరించాడు. ఈ విమానం ""బాంబర్ డిస్ట్రాయర్"" గా ఉపయోగించటానికి ఉద్దేశించబడింది, ఎందుకంటే ఇది ఆలోచించబడింది: ఆధునిక బాంబర్ల వేగం చాలా గొప్పది, ఫైటర్ మరియు దాని లక్ష్యం మధ్య సాపేక్ష కదలికను అనుమతించే పరిస్థితులలో వారిపై దాడ"&amp;"ి చేయడం మాత్రమే విలువైనది. తుపాకీలతో కాల్పులు జరిపిన స్థిర-తుపాకీ ఫైటర్ చనిపోయిన ఆస్టెర్న్ నుండి బాంబర్‌పై దాడి చేయడం ద్వారా ఈ పరిస్థితులను గ్రహించగలదు ... (ఎయిర్ స్టాఫ్ మెమోరాండం, జూన్ 1938) [57] అయితే, లుఫ్ట్‌వాఫ్ ఉపయోగించిన మీడియం బాంబర్ రకాలు-ది డూ 17"&amp;"z . 1940 నాటికి, బాంబర్ల యొక్క ప్రాణాంతక ప్రత్యర్థులు సింగిల్-ఇంజిన్, స్థిర, ఫార్వర్డ్ ఫైరింగ్ ఆయుధాలతో సింగిల్-సీట్ ఫైటర్స్ అని RAF మరియు లుఫ్ట్‌వాఫ్ఫ్ రెండింటికీ స్పష్టమైంది. నాలుగు-గన్ టరెట్ మరియు రెండవ సిబ్బంది విధించిన అదనపు బరువు మరియు డ్రాగ్‌తో పాట"&amp;"ు, ధిక్కరించేవారికి నేరుగా ఫార్వర్డ్-ఫైరింగ్ ఆయుధాలు లేవు. గన్నర్ టరెట్ నుండి అత్యవసర పరిస్థితుల్లో తప్పించుకోవాల్సిన అవసరం ఉంటే, అతను దీన్ని చేయగలిగిన ఏకైక మార్గం టరెట్‌ను ఒక వైపుకు దాటి ఎస్కేప్ హాచ్ ద్వారా బెయిల్ ఇవ్వడం-కాని విమానం యొక్క విద్యుత్ వ్యవస్"&amp;"థ నిలిపివేయబడితే, ఆల్-ఎలక్ట్రిక్‌ను స్థిరీకరించడం టరెట్ దాని విద్యుత్ వనరును పడగొట్టడం వల్ల, తప్పించుకోలేదు. డౌడింగ్ యొక్క బలమైన జోక్యం తరువాత, ధిక్కరించేది పని చేయలేని భావనకు రూపొందించబడింది, ఈ విమానం, 141 మరియు 264 స్క్వాడ్రన్లతో కూడిన రెండు యూనిట్లు మా"&amp;"త్రమే ఉన్నాయి. జూలై 19 న, III./JG 51 యొక్క BF 109 లను ఎదుర్కొన్న తరువాత, 141 చదరపు నాలో నాలుగు డిఫెంట్స్ కాల్చి చంపబడ్డాయి, ఒకటి వ్రాశారు మరియు ఒకరు దెబ్బతిన్నారు, 10 మంది సిబ్బంది చంపబడ్డారు లేదా తప్పిపోయారు. [58] ఒక నెల తరువాత, 24 ఆగస్టు 264 న చందలు నలు"&amp;"గురు డిఫెంట్స్ కాల్పులు జరిపారు మరియు ఏడుగురు సిబ్బంది చంపబడ్డారు. [59] రెండు యూనిట్లు 11 సమూహం నుండి ఉపసంహరించబడ్డాయి, తిరిగి అప్పగించబడ్డాయి మరియు పగటిపూట కార్యకలాపాలలో ఎక్కువ పాల్గొనలేదు. [60] [61] ఏదేమైనా, ధిక్కరించేది నైట్ ఫైటర్‌గా మరింత ప్రభావవంతంగా"&amp;" ఉన్నట్లు కనుగొనబడింది. ఇది నాలుగు స్క్వాడ్రన్లను కలిగి ఉంది మరియు 1940–41 లండన్లో శీతాకాలపు బ్లిట్జ్ సమయంలో, డిఫెంట్స్ ఏ ఇతర రకాల కంటే ఎక్కువ శత్రు విమానాలను కాల్చారు. [62] ఫియట్ Cr.42 ఫాల్కో ఇటాలియన్ ఎయిర్ కార్ప్స్ (కార్పో ఏరియో ఇటాలియానో) ఉపయోగించే బైప"&amp;"్‌లేన్ ఫైటర్. అక్టోబర్ 29 న వారు రామ్స్‌గేట్‌పై దాడిలో బాంబర్ ఎస్కార్ట్‌ను అందించినప్పుడు వారు యుద్ధంలోనే ఒక మిషన్ మాత్రమే చేశారు. [63] యుద్ధం ముగిసిన తరువాత, ఇటాలియన్ శక్తి ఇంగ్లాండ్‌పై పరిమిత దాడులను కొనసాగించింది, మరియు 11 నవంబర్ 1940 న, ఎస్కార్ట్‌లుగా"&amp;" వ్యవహరించే నాలుగు Cr.42 లు RAF తుఫానులచే నాశనం చేయబడ్డాయి. జర్మన్ లుఫ్ట్‌వాఫ్ విమానాలు బైప్‌లాన్‌లతో ఏర్పడటానికి ఇబ్బంది పడ్డాయి, ఇది మరింత ఆధునిక బ్రిటిష్ యోధులకు పేలవమైన మ్యాచ్‌గా నిరూపించబడింది మరియు CR.42 లు తిరిగి మధ్యధరా థియేటర్‌కు బదిలీ చేయబడ్డాయి"&amp;". [64] ఇటాలియన్లు తక్కువ సంఖ్యలో ఫియట్ జి .50 ఫ్రీసియా మోనోప్లేన్ యోధులను కూడా నిలబెట్టారు. లుఫ్ట్‌వాఫ్ఫ్ యొక్క బిఎఫ్ 109 ఇ మాదిరిగానే, ఈ ఫైటర్ దాని స్వల్ప శ్రేణి 400 మైళ్ళు (640 కిమీ) ద్వారా పరిమితం చేయబడింది, ఇది పరిమిత అంతర్గత ఇంధనం కారణంగా, కానీ జర్మన"&amp;"్ మెయిన్‌స్టే ఫైటర్ మాదిరిగా కాకుండా, పాల్గొనే విమానాలలో రేడియో యూనిట్ లేకపోవడం కూడా సవాలు చేయబడింది దాని వినియోగం. [సైటేషన్ అవసరం] బ్రిస్టల్ బ్లెన్‌హీమ్‌ను బాంబర్ మరియు ఫైటర్ ఆదేశాలు రెండూ ఉపయోగించాయి. సుమారు 200 mk. నేను బాంబర్లను MK లో సవరించాను. హెండన"&amp;"్ వద్ద ఉన్న 600 (సహాయక వైమానిక దళం) స్క్వాడ్రన్‌తో సుదూర యోధులు, ఈ వేరియంట్ల డెలివరీని సెప్టెంబర్ 1938 లో తీసుకున్న మొదటి స్క్వాడ్రన్. 1939 నాటికి, కనీసం ఏడు స్క్వాడ్రన్లు ఈ జంట-ఇంజిన్ ఫైటర్స్ మరియు కొన్ని నెలల్లోనే పనిచేస్తున్నారు. 60 స్క్వాడ్రన్లు రకాని"&amp;"కి మార్చబడ్డాయి. [సైటేషన్ అవసరం] MK. Expected హించిన దానికంటే నెమ్మదిగా మరియు తక్కువ అతి చురుకైనదని నిరూపించబడితే మరియు జూన్ 1940 నాటికి, పగటి బ్లెన్‌హీమ్ నష్టాలు ఫైటర్ కమాండ్ కోసం ఆందోళన కలిగిస్తాయి. నైట్ టైమ్ పరిస్థితులలో అప్పటికే రకాన్ని నిర్వహించిన 23"&amp;" వ స్క్వాడ్రన్ RAF మెరుగైన విజయాన్ని సాధించిన 23 వ స్క్వాడ్రన్ RAF ప్రధానంగా నైట్ ఫైటర్ డ్యూటీలకు పంపబడుతుందని నిర్ణయించారు. [సైటేషన్ అవసరం] జర్మన్ నైట్ బాంబు దాడిలో లండన్, 18 జూన్ 1940, బ్లెన్‌హీమ్ నైట్ ఫైటర్స్ ఐదు జర్మన్ బాంబర్లకు కారణమయ్యారు, తద్వారా అ"&amp;"వి రాత్రిపూట పాత్రలో బాగా సరిపోతాయని రుజువు చేశారు. జూలైలో, 600 నంబర్ 600 స్క్వాడ్రన్, అప్పటికి RAF మాన్స్టన్ వద్ద ఉంది, దాని IFS లో కొన్ని IFS ను వాయుమార్గాన అంతరాయం (AI) MK కలిగి ఉంది. III రాడార్. ఈ రాడార్ పరికరాలతో, RAF ఫోర్డ్‌లోని ఫైటర్ ఇంటర్‌సెప్షన్ "&amp;"యూనిట్ (FIU) నుండి బ్లెన్‌హీమ్ 2/3 జూలై 1940 రాత్రి మొదటి విజయాన్ని సాధించింది, డోర్నియర్ డు 17 బాంబర్ కోసం అకౌంటింగ్. మరిన్ని విజయాలు వచ్చాయి మరియు చాలా కాలం ముందు, బ్లెన్‌హీమ్ నైట్ ఫైటర్ పాత్రలో అమూల్యమైనదని నిరూపించవలసి ఉంది. క్రమంగా, 1940–41లో బ్రిస్ట"&amp;"ల్ బ్యూఫైటర్ ప్రవేశపెట్టడంతో, దాని పాత్ర దాని వేగవంతమైన, మంచి సాయుధ సంతానం ద్వారా భర్తీ చేయబడింది. [65] మొట్టమొదటి బ్యూఫైటర్స్ సెప్టెంబర్ 1940 ప్రారంభంలో సేవలోకి ప్రవేశించారు, మొదట ప్రామాణిక రోజు ఫైటర్ మభ్యపెట్టే పథకాలలో పంపిణీ చేయబడింది, అయితే ఈ రకం రాత్"&amp;"రి పోరాట పాత్ర కోసం ఉద్దేశించబడింది. మొదటి రాత్రి కార్యకలాపాలు సెప్టెంబర్ మరియు అక్టోబర్ 1940 లో మరియు 19/20 నవంబర్ 1940 రాత్రి, ఒక బ్యూఫైటర్ IF, AI రాడార్‌తో అమర్చబడి, JU 88 ను తగ్గించింది. 604 స్క్వాడ్రన్ నుండి విమానం FLT LT. జాన్ కన్నిన్గ్హమ్ చేత ఎగిరి"&amp;"ంది, స్కోరింగ్ అతని 20 విజయాలలో మొదటిది. [66] కార్యాచరణ సేవలో ఉన్న ఏకైక బ్రిటిష్ బిప్‌లేన్ ఫైటర్ గ్లోస్టర్ గ్లాడియేటర్, ఇది 247 స్క్వాడ్రన్ RAF ను కలిగి ఉంది, ఇది డెవాన్లోని RAF రోబోర్గ్‌లో ఉంది. వైమానిక యుద్ధాల ఎత్తులో ఎటువంటి పోరాట సోర్టీలు జరగనప్పటికీ,"&amp;" నంబర్ 247 గ్లాడియేటర్స్ ఫలితం లేకుండా అక్టోబర్ 1940 చివరలో HE 111 ను అడ్డుకున్నారు. ఆర్మీ కోఆపరేషన్ పాత్రలో గ్లాడియేటర్స్ మరియు నంబర్ 804 స్క్వాడ్రన్ ఉపయోగించి 239 స్క్వాడ్రన్ RAF, సీ గ్లాడియేటర్లతో తయారు చేయబడిన ఫ్లీట్ ఎయిర్ ఆర్మ్ కూడా బ్రిటన్ యుద్ధంలో "&amp;"పనిచేసింది. [67] బ్రిటిష్ వారు ఫిరంగి-సాయుధ పోరాట యోధుడిని సేవలోకి తీసుకున్నారు, ట్విన్-ఇంజిన్ వెస్ట్‌ల్యాండ్ వర్ల్‌విండ్, కానీ దాని ఇంజిన్‌లతో సమస్యలు మరియు నెమ్మదిగా ఉత్పత్తి అంటే డిసెంబర్ 1940 వరకు సేవలోకి ప్రవేశించలేదు. ఇటాలియన్లు తక్కువ సంఖ్యలో ఉన్నప"&amp;"్పటికీ బ్రిటన్ యుద్ధం జర్మన్. 1940 లో లుఫ్ట్‌వాఫ్ఫ్ ప్రధానంగా మూడు జంట-ఇంజిన్ మీడియం బాంబర్‌లపై ఆధారపడింది: డోర్నియర్ డూ 17, ది హీంకెల్ హెచ్ఇ 111 మరియు జంకర్స్ జు 88. లుఫ్ట్‌వాఫ్ఫ్ అధునాతన గైరోస్కోపిక్ బాంబు దృశ్యాలను కలిగి ఉన్నప్పటికీ, పగటి బాంబు మరియు ఎ"&amp;"లక్ట్రానిక్ కోసం లోట్‌ఫెర్న్రోహర్ 7 రాత్రిపూట బాంబు దాడులకు నిక్బీన్, ఎక్స్-జెరాట్ మరియు వై-గెట్ వంటి నావిగేషనల్ ఎయిడ్స్, స్థాయి విమాన నుండి బాంబు దాడి యొక్క ఖచ్చితత్వానికి చాలా ప్రాథమిక పరిమితులు ఉన్నాయి, మరియు ఇటువంటి దాడులు చిన్న లేదా కష్టమైన లక్ష్యాలప"&amp;"ై విజయాన్ని సాధించగలవని ఎటువంటి హామీ లేదు రాడార్ స్టేషన్లు. [68] ఖచ్చితమైన దాడి కోసం విమానాల అభివృద్ధికి ప్రాధాన్యత ఇవ్వబడింది, ఇది డైవ్ బాంబు దాడుల సాంకేతికతను ఉపయోగించుకోవచ్చు, దీని కోసం జంకర్స్ జు 87 స్టుకా ప్రత్యేకంగా రూపొందించబడింది. జంకర్స్ జు 88 ను"&amp;" బాహ్య డైవ్ బ్రేక్‌లు మరియు నియంత్రణ వ్యవస్థతో అమర్చారు, ఇది జు 87 మాదిరిగానే ఉంటుంది మరియు డైవ్ బాంబు పాత్రను నిర్వహించగలదు, అయినప్పటికీ ఇది ప్రధానంగా స్థాయి బాంబర్‌గా ఉపయోగించబడింది. జు 87 చేత తీసుకువెళ్ళిన తేలికపాటి బాంబు లోడ్లు ఫ్రాన్స్ యుద్ధంలో గొప్ప"&amp;" ప్రభావానికి ఉపయోగించబడ్డాయి. ఏదేమైనా, JU 87 నెమ్మదిగా ఉంది మరియు రక్షణాత్మక ఆయుధాల యొక్క సరిపోని స్థాయిని కలిగి ఉంది, వెనుక రక్షణ కోసం కాక్‌పిట్ వెనుక భాగంలో ఒకే, 7.92 మిమీ క్యాలిబర్ Mg 15 మెషిన్ గన్ మాత్రమే ఉంది. ఇంకా, దాని తక్కువ వేగం మరియు దాని డైవ్ బ"&amp;"ాంబు దాడులను ముగించిన చాలా తక్కువ ఎత్తులో ఉన్నందున ఇది యోధులచే సమర్థవంతంగా రక్షించబడదు. స్టుకా గాలి ఆధిపత్యం మీద ఆధారపడింది, బ్రిటన్ మీద పోటీ పడుతోంది. అందువల్ల ఇది నిషేధిత నష్టాల తరువాత ఆగస్టులో బ్రిటన్ పై దాడుల నుండి ఉపసంహరించబడింది, లుఫ్ట్‌వాఫేను ఖచ్చి"&amp;"తమైన భూ-అటాక్ విమానాలకు తక్కువ వదిలివేసింది. [68] లుఫ్ట్‌వాఫ్ బాంబర్లు తీసుకువెళ్ళిన తేలికపాటి ఆయుధాలు మరో అడ్డంకిని విధించింది. యుద్ధం ప్రారంభంలో వారు ఇప్పటికీ సగటున మూడు చేతితో పట్టుకున్న Mg 15 లైట్ మెషిన్ గన్లతో సాయుధమయ్యారు, వీటిని 75 రౌండ్ ""సాడిల్ డ"&amp;"్రమ్"" మ్యాగజైన్స్ సరఫరా చేశారు. ఆధునిక యోధులు హరికేన్ మరియు స్పిట్‌ఫైర్ వంటి కేంద్రీకృత దాడులను ఎదుర్కొన్నప్పుడు ఇది పూర్తిగా సరిపోదని నిరూపించబడింది. లుఫ్ట్‌వాఫ్ గన్నర్లలో చాలామంది బాగా శిక్షణ పొందినప్పటికీ, వేగంగా కదిలే పోరాట యోధుడిని కొట్టగల సామర్థ్యం"&amp;" ఉన్నప్పటికీ, బాంబర్‌కు భారీగా నష్టం జరగకుండా ఉండటానికి సమయం ఆగిపోవడానికి చాలా అరుదు. Mg 15 యొక్క అధిక రేటు అంటే చిన్న పత్రికలు త్వరగా ఖాళీ చేయబడ్డాయి; రీలోడ్ చేయడానికి తీసుకున్న సమయం తరచుగా విజయవంతమైన దాడి చేయడానికి అవసరమైన సమయాన్ని ఫైటర్ ఇచ్చింది. డిఫెన"&amp;"్సివ్ ఆయుధాల సంఖ్యను పెంచే ప్రయత్నాలు జరిగాయి, అయితే దీని అర్థం, ఆయుధాలు చేతితో పట్టుకున్నందున ప్రతి విమానంలో ఎక్కువ మంది సిబ్బంది అవసరం, లేదా ప్రస్తుత సిబ్బందిని అధికంగా పని చేయవచ్చు. ఇది పూర్తిగా పరిష్కరించబడని సమస్య బాంబర్లు కొన్ని ప్రయోజనాలను పొందారు."&amp;" కీలక ప్రాంతాలలో ఎక్కువ కవచం ప్లేట్ జోడించడంతో, సిబ్బంది సభ్యులు తక్కువ హాని కలిగించారు. వారి ఇంధన ట్యాంకులు స్వీయ-సీలింగ్ రబ్బరు పొరల ద్వారా కూడా బాగా రక్షించబడ్డాయి, అయినప్పటికీ RAF యోధులు తీసుకువెళ్ళిన దాహక మరియు ట్రేసర్ మందుగుండు సామగ్రి కొన్నిసార్లు "&amp;"ఖాళీ ట్యాంకులలో ఇంధన ఆవిరిని మండించగలదు. HE 111 స్పిట్‌ఫైర్ కంటే దాదాపు 100 mph నెమ్మదిగా ఉంది మరియు పట్టుకోవటానికి చాలా సవాలు చేయలేదు, అయినప్పటికీ సిబ్బంది స్టేషన్లు, స్వీయ-సీలింగ్ ఇంధన ట్యాంకులు మరియు క్రమంగా అప్‌రేటెడ్ డిఫెన్సివ్ ఆయుధాలు అంటే ఇది ఇప్పట"&amp;"ికీ సవాలుగా ఉంది కాల్చివేయు. ఇది యుద్ధంలో చాలా జర్మన్ బాంబర్ రకం, మరియు 2000 కిలోల బాంబులను లక్ష్యానికి పంపిణీ చేయగలదు, అంతర్గత బాంబు బేలో తీసుకువెళుతుంది - సాధారణంగా ఎనిమిది 250 కిలోల బాంబులు, నిలువుగా నిల్వ చేయబడతాయి. తరువాతి వైవిధ్యాలు బాంబు లోడ్ మరియు"&amp;" బాహ్య బాంబు రాక్లతో బాంబుల గరిష్ట పరిమాణంలో మరింత పెరుగుదలను అనుమతించాయి. The state-of-the art Lotfernrohr 7 gyroscoping bomb sight fitted to the Heinkel allowed for reasonable accuracy, for a level bomber. The main versions of the He 111 in use were the"&amp;" Jumo engined H-1, H-2 and H-3 and the DB 601 powered P-2 and P-4. Small numbers of the aircraft, called H-1x and H-3x, were equipped with Knickebein and X-Gerät and were used by Kampfgruppe 100 (KGr. 100) at night during the closing stages of the battle."&amp;" Y-Gerät equipped H-5y of III. Gruppe Kampfgeschwader 26 began to take part in the Blitz of the winter of 1940–1941.[69] The Do 17Z was an older type of German bomber that was no longer in production by the start of the Battle. Still, many Kampfgeschwader"&amp;"n still operated the Dornier, known as ""the flying pencil"" due to its sleek fuselage. Its air-cooled radial BMW engines meant that many of these aircraft were able to survive fighter attack because there was no vulnerable cooling system to disable.[70] "&amp;"The Dornier was also manoeuvrable, and as a result was popular in the Luftwaffe. The main problem with the Dornier was its limited 200 mile combat range, when fully loaded with bombs. Its bomb carrying capacity was also limited to 2,205 lbs.[71] Older ver"&amp;"sions of the Do 17, mainly the E-1, were still used for weather reconnaissance duties. Of the four types of bomber used by the Luftwaffe the Ju 88 (the original Schnellbomber) was considered to be the most difficult to shoot down. As a bomber it was relat"&amp;"ively manoeuvrable and, especially at low altitudes with no bomb load, it was fast enough to ensure that a Spitfire engaged in a tail-chase would be hard pressed to catch up. It could carry up to 3,000 kg of bombs. However, only small sized 50 and 70 kg b"&amp;"ombs, up to a total weight of 1,400 kg, could be carried internally, while larger bombs had to be carried on external racks, causing considerable drag. The Ju 88 was also extremely versatile, being fitted with both the Lotfernrohr 7 gyroscopic bomb sight "&amp;"and Stuvi dive sight as well as retractable dive brakes. The front MG 15 machine gun could be locked with an ingenious retracting clamp just forward of the windscreen to lock it for forwards firing, and could be used for strafing runs. Thus the Ju 88, dub"&amp;"bed as the ""Big Stuka"", was equally at home when it came to level or dive bombing or low-level attacks. The versions of the Ju 88 used during the battle were the small-wingtipped A-1 and the A-5; the latter incorporated several improvements, including t"&amp;"he A-4's increased 20.08 meter wingspan and uprated armament.[72] The Ju 88 C-1 heavy fighter version, with a sheet metal nose replacing the bombers' ""beetle's-eye"" faceted glazing, was also used in small numbers. In reality, the Ju 88, although operati"&amp;"ng in smaller numbers than the Do 17 and He 111, suffered the highest losses of the three German bomber types. Losses of Do 17 and He 111s amounted to 132 and 252 machines destroyed respectively, while 313 Ju 88s were lost.[73][74] I./KG 40 was equipped w"&amp;"ith a small number of the four-engined Focke-Wulf Fw 200 converted airliners, which were used to attack shipping and to provide long-range reconnaissance around the British Isles and out into the Atlantic Ocean.[75] The Corpo Aereo Italiano (CAI) was an e"&amp;"xpeditionary force of the Regia Aeronautica that participated in the very late stages of the Battle of Britain. The bomber element consisted of some 70 Fiat BR.20 twin engined bombers of 13° Stormo and 43° Stormo. based in Belgium. The Italian BR.20 was a"&amp;"  bomber capable of carrying 1600 kg (3,528 lb) of bombs. Supporting aircraft included five CANT Z.1007 used for reconnaissance duties and several Caproni Ca.133 transports. The Italian bomber force flew limited operations, undertaken towards the end of t"&amp;"he battle. The CAI's bombers flew about 102 sorties, only one of which attained any notable success— severe damage being caused to a canning factory in Lowestoft by a raid on 29 November 1940, which killed three people.[76] The first mission on 25 October"&amp;",[63] a night attack of 16 aircraft on Harwich led to three bombers being lost, with one crashing on takeoff and two becoming lost on their return. On 11 November a formation of 10 BR.20s escorted by Fiat CR.42 biplane fighters on a daylight raid on Harwi"&amp;"ch, was intercepted by RAF Hurricanes. Three bombers were downed and three CR.42s destroyed with four damaged, with no loss to the Hurricanes.[64] In early January 1941 all of the bombers were redeployed. Only the squadrons listed as Battle of Britain RAF"&amp;" squadrons were counted as being part of the Battle of Britain for the award of a campaign medal")</f>
        <v>1940 వేసవి మరియు శరదృతువులో జర్మన్ వైమానిక దళం (లుఫ్ట్‌వాఫ్ఫ్) బ్రిటన్ యుద్ధం (జర్మన్: లుఫ్ట్‌స్క్లాచ్ట్ ఉమ్ ఇంగ్లాండ్), యునైటెడ్ కింగ్‌డమ్ యొక్క రాయల్ ఎయిర్ ఫోర్స్ (RAF) పై గాలి ఆధిపత్యాన్ని పొందటానికి ప్రణాళికాబద్ధంగా ఉంది. ఆపరేషన్ సీ లయన్ ద్వారా ఉభయచర మరియు వాయుమార్గాన శక్తులు బ్రిటన్ పై దండయాత్ర. జర్మన్ నాయకుడు అడాల్ఫ్ హిట్లర్ లేదా సాయుధ దళాల యొక్క అతని ఉన్నత ఆదేశం (ఒబెర్కోమాండో డెర్ వెహర్మాచ్ట్, లేదా ఓక్యూ) RAF తటస్థీకరించబడే వరకు బ్రిటన్ పై విజయవంతమైన ఉభయచర దాడిని నిర్వహించడం సాధ్యమేనని నమ్మలేదు. విమాన ఉత్పత్తి మరియు భూ మౌలిక సదుపాయాలను నాశనం చేయడం, రాజకీయ ప్రాముఖ్యత ఉన్న ప్రాంతాలపై దాడి చేయడం మరియు బ్రిటీష్ ప్రజలను యుద్ధ విరమణను కోరుతూ లేదా లొంగిపోవడాన్ని భయపెట్టడం ద్వితీయ లక్ష్యాలు. బ్రిటిష్ వారు జూలై 10 నుండి 31 అక్టోబర్ 1940 వరకు యుద్ధం, ఇది పగటి బాంబు దాడి యొక్క అత్యంత తీవ్రమైన కాలాన్ని సూచిస్తుంది. జర్మన్ చరిత్రకారులు సాధారణంగా 1940 ఆగస్టు మధ్యలో యుద్ధానికి ఆరంభంలో ఉంచి మే 1941 లో, సోవియట్ యూనియన్‌కు వ్యతిరేకంగా ప్రచారం అయిన ఆపరేషన్ బార్బరోస్సా కోసం జర్మన్ బాంబర్ యూనిట్ల ఉపసంహరణపై ముగుస్తుంది. బ్రిటన్ యుద్ధం పూర్తిగా వైమానిక దళాలచే పోరాడిన మొదటి ప్రధాన ప్రచారం; డిఫెన్సివ్‌లోని బ్రిటిష్ వారు ప్రధానంగా ఫైటర్ విమానాలను ఉపయోగిస్తున్నారు, జర్మన్లు ​​ఫైటర్ ప్రొటెక్షన్‌తో బాంబర్ల మిశ్రమాన్ని ఉపయోగించారు. ఇది ఆ తేదీ వరకు అతిపెద్ద మరియు అత్యంత నిరంతర బాంబు ప్రచారం. నాజీ జర్మనీ బ్రిటన్ యొక్క వాయు రక్షణను నాశనం చేయడంలో లేదా బ్రిటిష్ ధైర్యాన్ని విచ్ఛిన్నం చేయడంలో వైఫల్యం దాని మొదటి ప్రధాన ఎదురుదెబ్బగా పరిగణించబడుతుంది. [2] బ్రిటన్ యుద్ధంలో ఉపయోగించిన అత్యంత ప్రసిద్ధ యుద్ధ విమానాలు బ్రిటిష్ హాకర్ హరికేన్ మరియు సూపర్ మేరిన్ స్పిట్‌ఫైర్ MK I, మరియు జర్మన్ మెసెర్స్‌ష్మిట్ BF 109 E వేరియంట్ (EMIL) సింగిల్-ఇంజిన్ ఫైటర్స్. స్పిట్‌ఫైర్ ప్రజల నుండి ఎక్కువ దృష్టిని ఆకర్షించినప్పటికీ, [3] తుఫానులు చాలా ఎక్కువ మరియు చాలా జర్మన్ నష్టాలకు కారణమయ్యాయి, ముఖ్యంగా యుద్ధం యొక్క ప్రారంభ భాగంలో. స్పిట్‌ఫైర్ కోసం టర్న్-రౌండ్ సమయం (రీ-ఆర్మ్ మరియు రీఫ్యూయల్) 26 నిమిషాలు, హరికేన్ 9 నిమిషాలు, ఇది దాని ప్రభావాన్ని పెంచింది. [సైటేషన్ అవసరం] యుద్ధంలో ఉపయోగించిన స్పిట్‌ఫైర్‌లలో చాలా మంది ప్రైవేటుగా కొనుగోలు చేయబడ్డాయి. పట్టణాలు, కంపెనీలు, క్లబ్బులు లేదా వ్యక్తులు సేకరించిన డబ్బును స్పిట్‌ఫైర్‌లను £ 5,000 చొప్పున కొనుగోలు చేయడానికి ఉపయోగించారు, కొనుగోలుదారునికి నామకరణ హక్కులు ఉన్నాయి. నెదర్లాండ్స్‌కు చెందిన క్వీన్ విల్హెల్మినా 43 స్పిట్‌ఫైర్‌లను కొనుగోలు చేయడానికి 5,000 215,000 విరాళం ఇచ్చింది. ఏదేమైనా, కొంచెం పెద్ద హరికేన్ ఎగరడానికి సులభమైన విమానంగా పరిగణించబడింది మరియు లుఫ్ట్‌వాఫ్ బాంబర్లకు వ్యతిరేకంగా ప్రభావవంతంగా ఉంది. [5] రాయల్ వైమానిక దళం యొక్క ఇష్టపడే వ్యూహం ఏమిటంటే, తుఫానులను బాంబర్ల నిర్మాణాలకు వ్యతిరేకంగా మోహరించడం మరియు ఫైటర్ ఎస్కార్ట్‌లకు వ్యతిరేకంగా స్పిట్‌ఫైర్‌లను ఉపయోగించడం. స్పిట్‌ఫైర్ యొక్క "ఎగిరిన" స్పష్టమైన కాక్‌పిట్ హుడ్ నుండి దృశ్యం న్యాయంగా పరిగణించబడింది, పైకి మంచిది; కవర్ చేసిన కాక్‌పిట్ కోసం వెనుక వైపు వీక్షణ న్యాయంగా పరిగణించబడింది. వంగిన ప్లెక్సిగ్లాస్ విండ్‌స్క్రీన్ అయితే చాలా చెడ్డది మరియు గణనీయమైన వక్రీకరణకు కారణమైంది, ఇది సుదూర దృశ్య స్కానింగ్‌ను కష్టతరం చేసింది. స్పిట్‌ఫైర్ పైలట్ జెఫ్రీ క్విల్ సమస్యను పరిష్కరించడానికి "ఆప్టికల్‌గా నిజమైన" గాజును సైడ్ ప్యానెల్స్‌లోకి వ్యవస్థాపించడానికి సిఫార్సులు చేశారు. [6] హరికేన్ అధిక సీటింగ్ స్థానాన్ని కలిగి ఉంది, ఇది పైలట్‌కు స్పిట్‌ఫైర్ కంటే ముక్కుపై మంచి దృశ్యాన్ని ఇచ్చింది. దాని E-3 సబ్టైప్ ద్వారా BF 109 యొక్క ఎగువ పందిరి ప్యానెల్లు వక్రంగా ఉన్నాయి, అయితే E-4 మరియు తరువాత ఎమిల్ సబ్టైప్స్ ఫ్లాట్ ప్యానెల్స్‌తో మెరుగైన దృశ్యమానత కోసం సవరించబడ్డాయి మరియు కొత్త డిజైన్ తరచుగా 109 లకు తిరిగి అమర్చబడి ఉంటుంది. ముగ్గురు ప్రధాన యోధులలో ప్రతి ఒక్కరికి వారి నియంత్రణ లక్షణాలలో ప్రయోజనాలు మరియు అప్రయోజనాలు ఉన్నాయి; యుద్ధంలో చాలా గాలి పోరాటం 20,000 అడుగుల లేదా అంతకంటే తక్కువ వద్ద సంభవించింది. దాని సున్నితమైన ఎలివేటర్ల కారణంగా, కర్రను స్పిట్‌ఫైర్‌పై గట్టి మలుపులో చాలా దూరం వెనక్కి లాగితే: నిలిచిపోయే సంఘటనలు చేరుకోవచ్చు మరియు హై స్పీడ్ స్టాల్‌ను ప్రేరేపించవచ్చు. ఇది సంభవించినప్పుడు, విమానం అంతటా హింసాత్మక వణుకు మరియు చప్పట్లు కొట్టే శబ్దం ఉంది, ఇది పార్శ్వంగా ఎగిరిపోతుంది మరియు నియంత్రణ కాలమ్ తక్షణమే ముందుకు సాగకపోతే వేగంగా రోల్ మరియు స్పిన్ వస్తుంది. [7] గట్టి మలుపుల సమయంలో "ట్విస్ట్" లేదా రెజినాల్డ్ మిచెల్ చేత రెక్కలో రూపొందించిన వాష్‌అవుట్ అంటే రెక్క రూట్ వింగ్‌టిప్స్ ముందు నిలిచిపోతుంది, సూచించిన వణుకు మరియు క్లాటరింగ్‌ను సృష్టిస్తుంది. ఈ శబ్దం స్టాల్ హెచ్చరిక యొక్క ఒక రూపం, పైలట్ మలుపును తగ్గించమని గుర్తు చేస్తుంది. [8] సెప్టెంబర్ 1940 లో బ్రిటిష్ పరీక్షలో కొంతమంది బిఎఫ్ 109 పైలట్లు స్పిట్‌ఫైర్ తోకను ఉంచడంలో విజయవంతమయ్యారని, తరువాతి విమానం యొక్క ఉన్నతమైన మలుపు పనితీరు ఉన్నప్పటికీ, స్పిట్‌ఫైర్ పైలట్లు చాలా మంది మలుపును తగినంతగా బిగించడంలో విఫలమయ్యారు. [9] BF 109 యొక్క "G" కింద సున్నితమైన స్టాల్ మరియు మంచి నియంత్రణ కొంత ప్రాముఖ్యత కలిగి ఉంది, ఎందుకంటే అవి లుఫ్ట్‌వాఫ్ పైలట్‌ను స్టాల్ దగ్గర చాలా ఎగురుతూ ప్రదక్షిణ కుక్క-పోరాటంలో విమానాలను ఎక్కువగా పొందటానికి వీలు కల్పించాయి. BF 109 ప్రముఖ ఎడ్జ్ స్లాట్లను ఉపయోగించింది, ఇది స్టాలింగ్ చేయడానికి ముందు స్వయంచాలకంగా అమలు చేయబడింది, కానీ వైమానిక పోరాట విన్యాసాలలో గట్టి మలుపుతో హరికేన్ లేదా స్పిట్‌ఫైర్‌ను వెంబడించడం కొనసాగించడం చాలా కష్టమైంది, స్లాట్‌లు అడపాదడపా గట్టి మలుపులతో తెరవడం నుండి (రెక్కపై డాగ్‌ఫైట్స్ సమయంలో ఒక మలుపు యొక్క "లోపల"), వారు అసమానంగా తెరిస్తే టేకాఫ్ సమయంలో కూడా సమస్యలను కలిగిస్తుంది. [10] బ్రిటీష్ యోధుల రోల్స్ రాయిస్ మెర్లిన్ ఇంజిన్ ఫ్లోట్-టైప్ కార్బ్యురేటర్ కలిగి ఉన్న లోపం కలిగి ఉంది, ఇది ప్రతికూల "జి" శక్తుల క్రింద కత్తిరించబడింది. డైరెక్ట్-ఫ్యూయల్ ఇంజెక్ట్ చేసిన డైమ్లెర్-బెంజ్ డిబి 601 ఇంజిన్ కార్బ్యురేటర్-అమర్చిన ఇంజిన్ కంటే 109 కి ఒక ప్రయోజనాన్ని ఇచ్చింది; ఒక RAF ఫైటర్ "బంట్" (బయటి లూప్‌లోకి డైవింగ్ ఎంట్రీ) మరియు 109 సాధ్యమైనంత ప్రత్యర్థి నుండి డైవ్ చేయడానికి ప్రయత్నించినప్పుడు, వారి ఇంజన్లు ప్రతికూల-G శక్తుల వ్యవధి కోసం తాత్కాలికంగా కత్తిరించబడతాయి. ఇంజిన్ కత్తిరించకుండా నెగటివ్-జి విన్యాసాలను చేయగల ఈ సామర్థ్యం 109 పైలట్‌కు ఇష్టానుసారం విడదీయడానికి మంచి సామర్థ్యాన్ని ఇచ్చింది. [11] పోరాటంలో తులనాత్మక మలుపుల వృత్తాల ప్రశ్నపై, బిఎఫ్ 109 తో పోలిస్తే స్పిట్‌ఫైర్స్ మరియు హరికేన్స్ వారి దిగువ వింగ్ లోడింగ్ నుండి ప్రయోజనం పొందాయి: రాయల్ ఎయిర్క్రాఫ్ట్ ఎస్టాబ్లిష్మెంట్ స్పిట్‌ఫైర్ యొక్క టర్నింగ్ సర్కిల్‌ను అంచనా వేసింది - ఎత్తు నష్టం లేకుండా - 212 మీ (700 అడుగులు) వ్యాసార్థంలో (700 అడుగులు హరికేన్ కొంచెం గట్టిగా ఉంటుంది) అయితే 109E లు 3,657 మీ (12,000 అడుగులు) వద్ద 270 మీ (890 అడుగులు) వ్యాసార్థంగా అంచనా వేయబడ్డాయి. [9] ఇతర వనరులు భూమి స్థాయిలో 125 మీ (410 అడుగులు) మరియు 170 మీ (558 అడుగులు) మరియు 109 ఇ కోసం 6,000 మీ (19,690 అడుగులు) వద్ద 230 మీ (754 అడుగులు) మధ్య మలుపు వ్యాసార్థాన్ని విభిన్నంగా జాబితా చేస్తాయి. [12] [13] ఎమిల్ RAF ఫైటర్ కంటే చిన్నది, మరియు స్పిట్‌ఫైర్ మరియు హరికేన్ కంటే దిగడం మరియు బయలుదేరడం చాలా కష్టం. [14] అధిక వేగంతో నియంత్రణలు గణనీయంగా బిగించబడ్డాయి, మరియు BF 109E దాని ప్రధాన ప్రత్యర్థుల కంటే యుక్తికి ఎక్కువ బలం అవసరం. ముగ్గురు యోధులలో, BF 109E అత్యధిక రోల్ రేటును కలిగి ఉంటుంది, ఐలెరాన్ నియంత్రణలు చురుకైనవి మరియు ప్రతిస్పందిస్తాయి; స్పిట్‌ఫైర్ అత్యధిక ఐలెరాన్ దళాలను కలిగి ఉంది, కాని స్పిట్‌ఫైర్ మరియు మెసెర్స్‌ష్మిట్ యొక్క రోల్ రేటు రెండూ అధిక వేగంతో బాధపడ్డాయి. [సైటేషన్ అవసరం] మొత్తం బిఎఫ్ 109 మరియు స్పిట్‌ఫైర్ మధ్య పనితీరులో తేడాలు ఉపాంతంగా ఉన్నాయి మరియు పోరాటంలో అవి వ్యూహాత్మక పరిశీలనల ద్వారా అధిగమించబడ్డాయి. ఏ వైపు మొదట చూసినట్లుగా, ఏ వైపు ఎత్తు, సంఖ్యలు, పైలట్ సామర్థ్యం మొదలైన వాటి యొక్క ప్రయోజనం ఉంది. రెండు విమానాల మధ్య ప్రధాన వ్యత్యాసం స్పిట్‌ఫైర్ యొక్క కఠినమైన మలుపు సామర్థ్యం మరియు BF 109 యొక్క వేగవంతమైన ఆరోహణ రేటు. [4] RAF యోధులు ఇద్దరూ ఎనిమిది .303 బ్రౌనింగ్ మెషిన్ గన్లతో రెక్కలలో ఆయుధాలు కలిగి ఉన్నారు, స్క్వాడ్రన్లచే సమన్వయం చేసుకున్నారు, బుల్లెట్లు దూరం వద్ద కలుస్తాయి. బ్రౌనింగ్స్ అధిక రేటును కలిగి ఉంది మరియు ఎనిమిది మెషిన్ గన్స్ నుండి ఒక చిన్న పేలుడు కూడా పెద్ద సంఖ్యలో బుల్లెట్లను పంపింది. అనేక విమానాలకు వ్యతిరేకంగా సమర్థవంతంగా ఉన్నప్పటికీ, చిన్న క్యాలిబర్ బుల్లెట్లు తరచుగా కవచం లేపనంలోకి చొచ్చుకుపోలేకపోయాయి, ఇవి సిబ్బంది మరియు ముఖ్యమైన ప్రాంతాలను రక్షించడానికి లుఫ్ట్‌వాఫ్ విమానాలలో ఎక్కువగా ఉపయోగించబడుతున్నాయి. "డి వైల్డ్" అని పిలువబడే ఒక దాహక రౌండ్ అందుబాటులో ఉంది మరియు ఇది ప్రామాణిక "బాల్" రౌండ్ల కంటే ఎక్కువ నష్టాన్ని కలిగిస్తుంది. [15] యుద్ధంలో కనీసం ఒక హరికేన్ ప్రతి రెక్క కింద ఒక పాడ్‌లో ఒకే హిస్పానో 20 మిమీ ఫిరంగిని ప్రయోగాత్మకంగా ఆయుధాలు కలిగి ఉంది, అయితే ఇది చాలా నెమ్మదిగా మరియు నియంత్రణలపై నిదానంగా ఉందని నిరూపించబడింది. [16] అనేక స్పిట్‌ఫైర్లు, నియమించబడిన స్పిట్‌ఫైర్ MK. ప్రతి వింగ్ ప్యానెల్‌లో హిస్పానో ఫిరంగిని తీసుకెళ్లడానికి కూడా ఐబిఎస్ సవరించబడింది. [19] జూన్ 1940 లో స్క్వాడ్రన్ ఈ సంస్కరణను కలిగి ఉంది. ఆగస్టులో పోరాటంలో ప్రవేశించినప్పుడు ఈ మొదటి ఫిరంగి సాయుధ స్పిట్‌ఫైర్ ప్రభావాన్ని సృష్టించడంలో విఫలమైంది, తుపాకులు తరచూ జామింగ్ మరియు కాల్పులు జరపలేకపోయాయి. అయితే, ఇది పని చేసినప్పుడు, హిస్పానో ఒక ప్రభావవంతమైన ఆయుధం, దాని గుండ్లు కవచం లేపనం మరియు లుఫ్ట్‌వాఫ్ విమానాల యొక్క స్వీయ-సీలింగ్ ఇంధన ట్యాంకులను సులభంగా చొచ్చుకుపోతాయి. [17] EMIL యొక్క ప్రధాన ఆయుధాలు సబ్టైప్ మీద ఆధారపడి ఉంటాయి. E-1 నాలుగు mg 17 7.92mm మెషిన్ గన్‌లతో ఆయుధాలు కలిగి ఉంది; ఇంజిన్ పైన రెండు కౌల్ తుపాకులు తుపాకీకి 1,000 రౌండ్లు, రెండు రెక్కలలో తుపాకీకి 500 రౌండ్లు ఉన్నాయి. E-3, E-4 మరియు E-7 లు E-1 యొక్క ఫ్యూజ్‌లేజ్ ఆయుధాన్ని నిలుపుకున్నాయి, కాని Mg 17 వింగ్ తుపాకులను రెండు 20 mM ఫిరంగులతో భర్తీ చేశాయి, ప్రతి రెక్కలో ఒకటి 60 RPG తో; Mg FFS (E-3) లేదా మరింత అధునాతన MG FF/M (E-4 మరియు E-7), ఇది కొత్త జర్మన్ స్టీల్-కార్ట్రిడ్జ్ మైన్ గని షెల్ మందుగుండు సామగ్రిని కాల్చగలదు. పేలుడు గుండ్లు బ్రౌనింగ్స్ యొక్క బుల్లెట్ల కంటే ఎక్కువ విధ్వంసక శక్తిని కలిగి ఉన్నప్పటికీ, ఈ ఫిరంగి యొక్క తక్కువ మూతి వేగం మరియు వారి అరవై రౌండ్ డ్రమ్ మ్యాగజైన్‌ల యొక్క పరిమిత మందుగుండు సామగ్రి అంటే ఆయుధాలు RAF ఫైటర్ యొక్క ఎనిమిది మెషిన్ గన్‌ల కంటే గొప్పవి కావు. అవసరం] ఫిరంగుల నుండి మూడు లేదా నాలుగు హిట్స్ సాధారణంగా శత్రు పోరాట యోధుడిని తగ్గించడానికి సరిపోతాయి మరియు, పోరాట యోధుడు తిరిగి బేస్కు తిరిగి రాగలిగినప్పటికీ, అది తరచుగా వ్రాయబడుతుంది. [18] ఉదాహరణకు, ఆగస్టు 18 న 602 స్క్వాడ్రన్ యొక్క సరికొత్త స్పిట్‌ఫైర్ 20 మిమీ షెల్స్‌తో దెబ్బతింది, ఇది వెనుక ఫ్యూజ్‌లేజ్ యొక్క నిర్మాణంలో పేలింది. వికలాంగ విమానం విజయవంతంగా దాని ఎయిర్ఫీల్డ్ వద్ద తిరిగి దిగినప్పటికీ, అది మరమ్మతులు చేయలేనిదిగా భావించబడింది. [19] BF 109E-4 లో ఉపయోగించిన Mg FF/M, మరింత విధ్వంసక, అధిక సామర్థ్యం గల గని-షెల్స్‌ను MG FF కంటే ఎక్కువ వేగం వద్ద తేలికైన గుండ్లు నడిపించేలా సవరించబడింది. [20] [21] ఈ రకమైన ప్రారంభ షెల్స్‌లో కాంటాక్ట్ ఫ్యూజింగ్ ఉంది, చొచ్చుకుపోవటం కంటే ఎయిర్‌ఫ్రేమ్ యొక్క చర్మంతో సంబంధాన్ని పేల్చివేసింది, తరువాత పేలుతుంది. [22] అక్టోబర్ నుండి ప్రారంభమయ్యే తక్కువ సంఖ్యలో జారీ చేయబడిన మరింత స్ట్రీమ్లైన్డ్ బిఎఫ్ 109 ఎఫ్ -1, రెండు కౌల్ ఎంజి -17 లు మరియు ఫ్యూజ్‌లేజ్‌లో సింగిల్ 20 ఎంఎం ఎంజి ఎఫ్‌ఎఫ్/ఎమ్ ఇంజిన్-మౌంటెడ్ మోటార్కానోన్‌గా, ప్రొపెల్లర్ హబ్ ద్వారా కాల్పులు జరిపింది. హరికేన్ యొక్క లోపం ఇంజిన్ ఫైర్‌వాల్ వెనుక ఇంధన ట్యాంక్ ఉండటం, ఇది మంటలను పట్టుకోగలదు మరియు కొన్ని సెకన్లలోపు పైలట్‌ను బెయిల్ పొందే ముందు పైలట్‌ను తీవ్రంగా కాల్చాడు. ట్యాంక్‌కు "లినేట్క్స్" ఫైర్-రెసిస్టెంట్ మెటీరియల్ యొక్క పొరను అమర్చడం ద్వారా మరియు ఇన్స్ట్రుమెంట్ ప్యానెల్ యొక్క సాయుధ ప్యానెల్ ముందుకు సాగడం ద్వారా ఇది పాక్షికంగా పరిష్కరించబడింది. మరొక ప్రమాదాన్ని హరికేన్ యొక్క ప్రధాన వింగ్ రూట్ మౌంటెడ్ ఇంధన ట్యాంకులు సమర్పించాయి, ఇవి వెనుక నుండి కాల్చిన బుల్లెట్లకు గురవుతాయి. [23] కాక్‌పిట్ యొక్క ఫ్యూజ్‌లేజ్‌లో అమర్చిన స్పిట్‌ఫైర్ యొక్క ప్రధాన ఇంధన ట్యాంకులు హరికేన్ కంటే మెరుగైన రక్షించబడ్డాయి; దిగువ ట్యాంక్ స్వీయ-సీలింగ్ మరియు 3 మిమీ మందపాటి అల్యూమినియం యొక్క ప్యానెల్, చిన్న క్యాలిబర్ బుల్లెట్లను విక్షేపం చేయడానికి సరిపోతుంది, పై ట్యాంకులపై బాహ్యంగా చుట్టబడింది. అంతర్గతంగా అవి "లినేట్క్స్" పొరలతో పూత పూయబడ్డాయి మరియు కాక్‌పిట్ బల్క్‌హెడ్ ఆస్బెస్టాస్ యొక్క మందపాటి ప్యానెల్‌తో ఫైర్‌ప్రూఫ్ చేయబడింది. [23] [24] జర్మన్ యోధులు మరియు బాంబర్లందరిపై, ఇంధన ట్యాంకులు స్వీయ-సీలింగ్, మరియు శత్రు రౌండ్ల నుండి లీక్‌లను మూసివేయగల సామర్థ్యం ఉన్నప్పటికీ, ఇది RAF చేత ఉపయోగించబడుతున్న "డి వైల్డ్" దాహక రౌండ్ వల్ల ప్రాణాంతక నష్టాన్ని కలిగించకుండా నిరోధించలేకపోయింది. . BF 109E ఎస్కార్ట్‌లు పరిమిత ఇంధన సామర్థ్యాన్ని కలిగి ఉన్నాయి, దీని ఫలితంగా కేవలం 660 కిమీ (410 మైళ్ల) గరిష్ట పరిధి మాత్రమే అంతర్గత ఇంధనంపై మాత్రమే ఉంటుంది, [25] మరియు వారు బ్రిటిష్ లక్ష్యానికి వచ్చినప్పుడు, ఇంటికి తిరగడానికి ముందు 10 నిమిషాల ఎగురుతున్న సమయం మాత్రమే ఉంది, ఫైటర్ ఎస్కార్ట్స్ ద్వారా బాంబర్లను వదిలివేయడం. దాని చివరికి స్టేబుల్‌మేట్, ఫోకే-వుల్ఫ్ FW 190A, 1940 వేసవిలో ప్రోటోటైప్ రూపంలో మాత్రమే ఎగురుతోంది; మొదటి 28 FW 190A-0 సేవా పరీక్ష ఉదాహరణలు నవంబర్ 1940 వరకు పంపిణీ చేయబడలేదు. FW 190A-1 గరిష్టంగా 940 కిమీ (584 మైళ్ళు) అంతర్గత ఇంధనంపై ఉంది, BF 109E కన్నా 40% ఎక్కువ. [26] మెసెర్స్‌ష్మిట్ బిఎఫ్ 109 ఇ -7 జాబో డ్యూటీల కోసం ఎస్సీ 250 బాంబును తీసుకోవడానికి వెంట్రల్ సెంటర్-లైన్ ఆర్డినెన్స్ ర్యాక్‌ను జోడించడం ద్వారా లేదా ప్రామాణిక 300 లీటర్ (66 ఇంప్. పరిధి 1,325 కిమీ (820 మైళ్ళు). ఆర్డినెన్స్ రాక్ అక్టోబర్ 1940 వరకు మునుపటి BF 109E లకు తిరిగి అమర్చబడలేదు. స్పిట్‌ఫైర్, 1940 మధ్య నుండి, 73 పౌండ్ల (33 కిలోల) సాయుధ ఉక్కు లేపనం కలిగి ఉంది (6.5 మిమీ మందం) మరియు బ్యాక్ ప్రొటెక్షన్ ఆన్ ది సీట్ బల్క్‌హెడ్ (4.5 మిమీ), మరియు గ్లైకాల్ హెడర్ ట్యాంక్ యొక్క ఫార్వర్డ్ ముఖాన్ని కవర్ చేస్తుంది. [24] హరికేన్ స్పిట్‌ఫైర్‌కు సమానమైన కవచం లేఅవుట్‌ను కలిగి ఉంది మరియు ముగ్గురిలో కష్టతరమైనది మరియు మన్నికైనది. హాకర్ యొక్క ఫైటర్ యొక్క సర్వీసిబిలిటీ రేట్లు ఎల్లప్పుడూ సంక్లిష్టమైన మరియు అధునాతన స్పిట్‌ఫైర్ కంటే ఎక్కువగా ఉండేవి. ఫ్రాన్స్ యుద్ధం తరువాత. ఇంధన ట్యాంక్ వెనుక, ట్యాంక్ మరియు పైలట్‌ను వెనుక నుండి దాడుల నుండి పైలట్‌ను రక్షించే ఫ్యూజ్‌లేజ్‌లో 8 మి.మీ సాయుధ పలకను ఉంచారు. [సైటేషన్ అవసరం] జూలై 1940 నాటికి, మరింత సమర్థవంతమైన డి హవిలాండ్ మరియు రోటోల్ స్థిరమైన స్పీడ్ ప్రొపెల్లర్లు రెండు-పిచ్ ప్రొపెల్లర్లను భర్తీ చేయడం ప్రారంభించారు ముందు వరుసలో RAF ఫైటర్స్. కొత్త యూనిట్లు మెర్లిన్ అన్ని ఎత్తుల వద్ద మరింత సజావుగా పనిచేయడానికి అనుమతించాయి మరియు టేకాఫ్ మరియు ల్యాండింగ్ పరుగులను తగ్గించాయి. ఫ్రంట్ లైన్ RAF యోధులలో ఎక్కువమంది ఈ ప్రొపెల్లర్లతో ఆగస్టు మధ్యలో ఉన్నారు. [24] BF 109E ఆటోమేటిక్ పిచ్ నియంత్రణతో స్థిరమైన స్పీడ్ వెరినిగ్టే డ్యూయిష్ మెటల్‌వెర్కే (VDM) మూడు-బ్లేడ్ యూనిట్‌ను కూడా ఉపయోగించింది. 1938 లోనే బ్రిస్టల్ ఇంజిన్ కంపెనీ యొక్క అత్యంత విజయవంతమైన ఏరో ఇంజిన్లను రూపొందించిన రాయ్ ఫెడెన్, యుఎస్ నుండి 100 ఆక్టేన్ ఏవియేషన్ ఇంధనాన్ని ప్రవేశపెట్టాలని ఒత్తిడి చేశారు, మరియు ఆ సంవత్సరం తరువాత బ్రిటిష్ ఏరో ఇంజిన్ తయారీదారులు బ్రిస్టల్ మరియు రోల్స్-రాయిస్ వేరియంట్లను ప్రదర్శించారు వారి 'మెర్క్యురీ' మరియు 'మెర్లిన్' ఇంజన్లు 100 ఆక్టేన్ ఇంధనం కోసం రేట్ చేయబడ్డాయి. [27] [28] "డిపార్ట్మెంట్ ఆఫ్ డిఫెన్స్ కో-ఆర్డినేషన్" చేత ఒక మెమోరాండం, 'యుద్ధ అవసరాలను తీర్చడానికి 100 ఆక్టేన్ ఇంధనం యొక్క తగిన సామాగ్రిని పొందటానికి ప్రతిపాదనలు', 23 డిసెంబర్ 1938, 100 ఆక్టేన్ ఇంధన సరఫరాను పెంచాల్సిన అవసరం ఉందని గుర్తించింది మరియు మార్గాలను చర్చించారు ఇది సాధించవచ్చు. [29] 100 ఆక్టేన్ ఇంధనాన్ని అన్ని RAF విమానాలకు సాధారణ ఉపయోగం కోసం ఎప్పుడు ప్రవేశపెట్టాలి అనే ప్రశ్నను పరిగణనలోకి తీసుకోవడానికి 16 మార్చి 1939 న ఒక సమావేశం జరిగింది, మరియు ఏ స్క్వాడ్రన్లు, సంఖ్య మరియు రకాన్ని సరఫరా చేయాల్సి ఉంది. తీసుకున్న నిర్ణయం ఏమిటంటే, సెప్టెంబర్ 1940 నాటికి 16 ఫైటర్ మరియు రెండు ట్విన్-ఇంజిన్ బాంబర్ స్క్వాడ్రన్లకు ప్రారంభ డెలివరీ ఉంటుంది. [30] ఏదేమైనా, ఇది యుద్ధానికి పూర్వం umption హపై ఆధారపడింది, ఇది యుద్ధకాలంలో బ్రిటన్‌కు యుఎస్ సరఫరా తిరస్కరించబడుతుంది, ఇది ఇంధనాన్ని ఉపయోగించగల ఫ్రంట్-లైన్ యూనిట్ల సంఖ్యను పరిమితం చేస్తుంది. [31] యుద్ధం ప్రారంభమైన తరువాత ఈ సమస్య అదృశ్యమైంది; యుఎస్ లో మరియు ప్రపంచంలోని ఇతర ప్రాంతాలలో కొత్త ఇంధనం యొక్క ఉత్పత్తి కొత్త శుద్ధి పద్ధతులను స్వీకరించడంతో expected హించిన దానికంటే త్వరగా పెరిగింది. [32] [33] తత్ఫలితంగా, 1940 వసంతకాలంలో ప్రారంభమయ్యే అన్ని ఫ్రంట్-లైన్ ఫైటర్ కమాండ్ విమానానికి 100 ఆక్టేన్ ఇంధనం జారీ చేయగలిగింది. [34] . . [36] [33] సిఎస్ ప్రొపెల్లర్లు మరియు 100 ఆక్టేన్ ఇంధనం కలయిక బ్రిటిష్ యోధులను లుఫ్ట్‌వాఫ్‌తో సమానంగా ఉంచుతుంది. [30] [37] [38] 1940 అంతటా ఫ్రంట్ లైన్ సేవలకు సరఫరా పరిస్థితి మరియు ఇంధనం పంపిణీ "చమురు విధాన కమిటీ యొక్క సమన్వయం" చర్చించారు. [39] 100 ఆక్టేన్ ఇంధనంతో మెర్లిన్ III ఇంజిన్ యొక్క సూపర్ఛార్జర్‌ను +12 పౌండ్లు/చదరపు.ఇన్ వరకు "బూస్ట్" చేయవచ్చు. . [[40] ఇది పెరిగిన శక్తి ఆరోహణ రేటును గణనీయంగా మెరుగుపరిచింది, ముఖ్యంగా తక్కువ నుండి మధ్యస్థ ఎత్తు వరకు, మరియు ఎగువ వేగాన్ని 25-34 mph 10,000 అడుగుల వరకు పెంచింది. [33] [24] [n 2] ఫ్రాన్స్ యుద్ధంలో మరియు డంకిర్క్ పై RAF హరికేన్స్ మరియు స్పిట్‌ఫైర్లు అత్యవసర బూస్ట్‌ను ఉపయోగించగలిగాయి. [41] [42] "1940 మొదటి భాగంలో, RAF అన్ని హరికేన్ మరియు స్పిట్‌ఫైర్ స్క్వాడ్రన్‌లను 100 ఆక్టేన్ ఇంధనానికి బదిలీ చేసింది." [43] బ్రిటీష్ వైమానిక మంత్రిత్వ శాఖ జర్మనీ యుద్ధానికి పూర్వపు కాగితం అభిప్రాయం ప్రకారం, సింథటిక్ ఇంధనం యొక్క పెద్ద ఉత్పత్తిదారుగా జర్మనీ 100 ఆక్టేన్ ఇంధనాన్ని పెద్ద పరిమాణంలో ఉత్పత్తి చేయడానికి అనుకూలమైన స్థితిలో ఉంటుందని భావించారు. [44] జర్మన్ విమానయాన ఇంధనాల సరఫరా ఎక్కువగా బొగ్గు యొక్క హైడ్రోజనేషన్ మీద ఆధారపడింది, ఎందుకంటే సహజ ముడి చమురు పరిమిత సరఫరా కారణంగా. యుద్ధం ప్రారంభమైనప్పుడు, జర్మనీకి ఇప్పటికే ఏడు విధ్వంసక హైడ్రోజనేషన్ ప్లాంట్లు పనిచేస్తున్నాయి, మొత్తం వ్యవస్థాపిత సామర్థ్యం 1,400,000 టి/ఇయర్ చమురు. [45] యుద్ధం ప్రారంభంలో, లుఫ్ట్‌వాఫ్ 87 ఆక్టేన్ ఏవియేషన్ గ్యాసోలిన్, "బి 4" అని పిలుస్తారు, దీనిని బ్రౌన్ బొగ్గు నుండి సేకరించిన లీడ్ హైడ్రో-పెట్రోల్ నుండి తయారు చేస్తారు. [46] 1940 లో, మెరుగైన ఇంధనం, "సి 2" గా నియమించబడినది 35–38% అధిక సుగంధ కంటెంట్ కలిగి ఉంది మరియు ఆ కాలపు అనుబంధ 100 ఆక్టేన్ గ్రేడ్‌కు సమానమైన పనితీరును ఇస్తుంది. [46] C2 ను చిన్న పరిమాణంలో మెసెర్స్చ్మిట్ BF 109E-4/N మరియు E-7/N మరియు మెసెర్స్చ్మిట్ BF 110C వంటి విమానాల ద్వారా ఉపయోగించారు, ఇది DB 601N ఇంజిన్‌తో కూడినప్పుడు, ఇది అక్టోబర్ 1939 లో సిరీస్ ఉత్పత్తిలో ప్రవేశించింది. [47] ఈ శక్తిని DB 601A కంటే 20% పెంచింది, 1.35 atm బూస్ట్ పీడనం మరియు 2,400 RPM వద్ద 6,900 అడుగుల (2,100 మీ) వద్ద 1,260 హెచ్‌పికి పెరిగింది. [47] [48] జూలై నాటికి, తొమ్మిది బిఎఫ్ 110 మరియు మూడు బిఎఫ్ 109 ఫైటర్ స్టాఫెల్న్ (స్క్వాడ్రన్లు) కొత్త ఇంజిన్లతో అమర్చారు, [48] అక్టోబర్ చివరి నాటికి 1,200 డిబి 601 ఎన్ ఇంజన్లు పంపిణీ చేయబడ్డాయి. [49] మరియు మెరుగైన ఇంజిన్‌తో కూడిన విమానాల సంఖ్య క్రమంగా సంవత్సరం రెండవ సగం వరకు పెరిగింది. [50] ఏదేమైనా, కవాటాలు లీక్ కావడం వల్ల [స్పష్టీకరణ అవసరం] 601 ఎన్-ఇంజిన్లలో సాపేక్షంగా అధిక దుస్తులు ఉన్నాయి, ఇది సుమారు 40 గంటల జీవితాన్ని కలిగి ఉంది. [51] [52] హరికేన్, స్పిట్‌ఫైర్ మరియు బిఎఫ్ 109 తో పాటు, అనేక ఇతర ఫైటర్ విమానాలు-ఎక్కువగా జంట-ఇంజిన్డ్ హెవీ ఫైటర్స్-బ్రిటన్ యుద్ధంలో పాల్గొన్నాయి. యుద్ధం ప్రారంభంలో, ట్విన్-ఇంజిన్ మెసెర్స్చ్మిట్ బిఎఫ్ 110 లాంగ్ రేంజ్ "డిస్ట్రాయర్" (జర్మన్: జెర్స్టార్) లుఫ్ట్‌వాఫ్ బాంబర్ ఫ్లీట్‌ను ఎస్కార్ట్ చేస్తున్నప్పుడు గాలి నుండి గాలికి పోరాటంలో పాల్గొంటుందని భావించారు. విమానం బాగా రూపకల్పన చేయబడినప్పటికీ, దాని తరగతిలో ఉత్తమమైనది, సహేతుకంగా వేగంగా ఉంది (BF 110C-3 గురించి 340 mph [547 km/h]) మరియు గౌరవనీయమైన పోరాట వ్యాసార్థాన్ని కలిగి ఉంది, BF 110 కచేరీకి వ్యతిరేకంగా బాంబర్లను రక్షించగలదు వేగవంతమైన సింగిల్-సీట్, సింగిల్-ఇంజిన్ ఫైటర్స్ యొక్క శక్తి ద్వారా దాడి లోపభూయిష్టంగా ఉంది. హరికేన్ మరియు స్పిట్‌ఫైర్‌కు వ్యతిరేకంగా పిట్ చేసినప్పుడు, BF 110 లు వారు ఎస్కార్ట్ చేయడానికి ఉద్దేశించిన బాంబర్ల కంటే కొంచెం ఎక్కువ మనోహరంగా ఉండటం ద్వారా భారీ నష్టాలను అనుభవించడం ప్రారంభించింది. [53] 110 యొక్క వైవిధ్యం BF 110D-1, "డాచ్‌షండ్-బెల్లీ" (డాకెల్బాచ్) అనే మారుపేరుతో ఉంది, ఎందుకంటే స్థిర, చెక్క, 1,050 లీటర్ (277 యు.ఎస్. గాల్) ఫ్యూజ్‌లేజ్ కింద అమర్చిన ఇంధన ట్యాంక్. [N 3] I./zg నార్వేలో ఉన్న 76, నార్వేజియన్ తీరం వెంబడి కాన్వాయ్ల కోసం ఎయిర్ కవర్ను అందించడానికి ఈ సంస్కరణను కలిగి ఉంది. ఆగస్టు 15 న, RAF ఫైటర్ యూనిట్లన్నీ దక్షిణాన కేంద్రీకృతమై ఉన్నాయని నమ్మకంతో, లుఫ్ట్‌ఫ్లోట్ 5 ఈశాన్య ఇంగ్లాండ్‌పై మొదటి మరియు ఏకైక బాంబర్ దాడిని ప్రారంభించింది. 21 I.ZG 76 విమానంలో ఏడు బాంబర్ ఎస్కార్ట్‌లుగా ఉపయోగించబడుతున్నాయి, వీటిలో గ్రప్పెన్‌కోమాండూర్ ("గ్రూప్ కమాండర్") ఉన్నాయి. [54] బిఎఫ్ 110 సిలను ఉపయోగించి జెర్స్టార్జెస్చ్వాడర్ రెక్కలన్నింటికీ ప్రమాద రేట్లు యుద్ధం అంతటా చాలా ఎక్కువగా ఉన్నాయి, మరియు వారు హర్మన్ గోరింగ్ యొక్క అధిక ఆకాంక్షలను నెరవేర్చలేకపోయారు, వారు అతనిని "ఐరన్సైడ్లు" (ఐసెన్సిటెన్) అని పేర్కొన్నారు. "[55 ] యుద్ధంలో BF 110 యొక్క అత్యంత విజయవంతమైన పాత్ర "ఫాస్ట్ బాంబర్" (ష్నెల్బాంబర్) గా ఉంది, అదే పాత్ర జంకర్స్ జు 88 ఎ 1930 ల మధ్యలో రూపొందించబడింది. ఒక యూనిట్, టెస్ట్ గ్రూప్ 210 " 210)-వాస్తవానికి BF 110 యొక్క ఉద్దేశించిన (కాని చెడు-భయం) పున ment స్థాపనను పరీక్షించడానికి ఉద్దేశించినది, మెసెర్స్‌ష్మిట్ ME 210-ఇది JU 87 కన్నా ఎక్కువ శ్రేణికి ఎక్కువ బాంబు భారాన్ని మోసుకెళ్ళి, ఇలాంటి ఖచ్చితత్వంతో బట్వాడా చేస్తుంది చాలా ఎక్కువ గరిష్ట వేగం, ముఖ్యంగా తక్కువ ఎత్తులో, RAF యోధులను తప్పించుకోవడానికి ఇది చాలా ఎక్కువ సామర్థ్యం కలిగి ఉంది. [55] [56] BF 110 లో రెండు 20 mm mg FF/M ఫిరంగి మరియు నాలుగు 7.92 mm mg 17s ఫార్వర్డ్ ఫ్యూజ్‌లేజ్‌లో కేంద్రీకృతమై ఉంది, వెనుక కాక్‌పిట్‌లో వెనుక రక్షణ కోసం ఒకే 7.92 mm mg 15 తో పాటు. బ్రిటీష్ వారికి, చాలా నిరాశపరిచిన పోరాట యోధుడు బౌల్టన్-పాల్ ధిక్కరించాడు. ఈ విమానం "బాంబర్ డిస్ట్రాయర్" గా ఉపయోగించటానికి ఉద్దేశించబడింది, ఎందుకంటే ఇది ఆలోచించబడింది: ఆధునిక బాంబర్ల వేగం చాలా గొప్పది, ఫైటర్ మరియు దాని లక్ష్యం మధ్య సాపేక్ష కదలికను అనుమతించే పరిస్థితులలో వారిపై దాడి చేయడం మాత్రమే విలువైనది. తుపాకీలతో కాల్పులు జరిపిన స్థిర-తుపాకీ ఫైటర్ చనిపోయిన ఆస్టెర్న్ నుండి బాంబర్‌పై దాడి చేయడం ద్వారా ఈ పరిస్థితులను గ్రహించగలదు ... (ఎయిర్ స్టాఫ్ మెమోరాండం, జూన్ 1938) [57] అయితే, లుఫ్ట్‌వాఫ్ ఉపయోగించిన మీడియం బాంబర్ రకాలు-ది డూ 17z . 1940 నాటికి, బాంబర్ల యొక్క ప్రాణాంతక ప్రత్యర్థులు సింగిల్-ఇంజిన్, స్థిర, ఫార్వర్డ్ ఫైరింగ్ ఆయుధాలతో సింగిల్-సీట్ ఫైటర్స్ అని RAF మరియు లుఫ్ట్‌వాఫ్ఫ్ రెండింటికీ స్పష్టమైంది. నాలుగు-గన్ టరెట్ మరియు రెండవ సిబ్బంది విధించిన అదనపు బరువు మరియు డ్రాగ్‌తో పాటు, ధిక్కరించేవారికి నేరుగా ఫార్వర్డ్-ఫైరింగ్ ఆయుధాలు లేవు. గన్నర్ టరెట్ నుండి అత్యవసర పరిస్థితుల్లో తప్పించుకోవాల్సిన అవసరం ఉంటే, అతను దీన్ని చేయగలిగిన ఏకైక మార్గం టరెట్‌ను ఒక వైపుకు దాటి ఎస్కేప్ హాచ్ ద్వారా బెయిల్ ఇవ్వడం-కాని విమానం యొక్క విద్యుత్ వ్యవస్థ నిలిపివేయబడితే, ఆల్-ఎలక్ట్రిక్‌ను స్థిరీకరించడం టరెట్ దాని విద్యుత్ వనరును పడగొట్టడం వల్ల, తప్పించుకోలేదు. డౌడింగ్ యొక్క బలమైన జోక్యం తరువాత, ధిక్కరించేది పని చేయలేని భావనకు రూపొందించబడింది, ఈ విమానం, 141 మరియు 264 స్క్వాడ్రన్లతో కూడిన రెండు యూనిట్లు మాత్రమే ఉన్నాయి. జూలై 19 న, III./JG 51 యొక్క BF 109 లను ఎదుర్కొన్న తరువాత, 141 చదరపు నాలో నాలుగు డిఫెంట్స్ కాల్చి చంపబడ్డాయి, ఒకటి వ్రాశారు మరియు ఒకరు దెబ్బతిన్నారు, 10 మంది సిబ్బంది చంపబడ్డారు లేదా తప్పిపోయారు. [58] ఒక నెల తరువాత, 24 ఆగస్టు 264 న చందలు నలుగురు డిఫెంట్స్ కాల్పులు జరిపారు మరియు ఏడుగురు సిబ్బంది చంపబడ్డారు. [59] రెండు యూనిట్లు 11 సమూహం నుండి ఉపసంహరించబడ్డాయి, తిరిగి అప్పగించబడ్డాయి మరియు పగటిపూట కార్యకలాపాలలో ఎక్కువ పాల్గొనలేదు. [60] [61] ఏదేమైనా, ధిక్కరించేది నైట్ ఫైటర్‌గా మరింత ప్రభావవంతంగా ఉన్నట్లు కనుగొనబడింది. ఇది నాలుగు స్క్వాడ్రన్లను కలిగి ఉంది మరియు 1940–41 లండన్లో శీతాకాలపు బ్లిట్జ్ సమయంలో, డిఫెంట్స్ ఏ ఇతర రకాల కంటే ఎక్కువ శత్రు విమానాలను కాల్చారు. [62] ఫియట్ Cr.42 ఫాల్కో ఇటాలియన్ ఎయిర్ కార్ప్స్ (కార్పో ఏరియో ఇటాలియానో) ఉపయోగించే బైప్‌లేన్ ఫైటర్. అక్టోబర్ 29 న వారు రామ్స్‌గేట్‌పై దాడిలో బాంబర్ ఎస్కార్ట్‌ను అందించినప్పుడు వారు యుద్ధంలోనే ఒక మిషన్ మాత్రమే చేశారు. [63] యుద్ధం ముగిసిన తరువాత, ఇటాలియన్ శక్తి ఇంగ్లాండ్‌పై పరిమిత దాడులను కొనసాగించింది, మరియు 11 నవంబర్ 1940 న, ఎస్కార్ట్‌లుగా వ్యవహరించే నాలుగు Cr.42 లు RAF తుఫానులచే నాశనం చేయబడ్డాయి. జర్మన్ లుఫ్ట్‌వాఫ్ విమానాలు బైప్‌లాన్‌లతో ఏర్పడటానికి ఇబ్బంది పడ్డాయి, ఇది మరింత ఆధునిక బ్రిటిష్ యోధులకు పేలవమైన మ్యాచ్‌గా నిరూపించబడింది మరియు CR.42 లు తిరిగి మధ్యధరా థియేటర్‌కు బదిలీ చేయబడ్డాయి. [64] ఇటాలియన్లు తక్కువ సంఖ్యలో ఫియట్ జి .50 ఫ్రీసియా మోనోప్లేన్ యోధులను కూడా నిలబెట్టారు. లుఫ్ట్‌వాఫ్ఫ్ యొక్క బిఎఫ్ 109 ఇ మాదిరిగానే, ఈ ఫైటర్ దాని స్వల్ప శ్రేణి 400 మైళ్ళు (640 కిమీ) ద్వారా పరిమితం చేయబడింది, ఇది పరిమిత అంతర్గత ఇంధనం కారణంగా, కానీ జర్మన్ మెయిన్‌స్టే ఫైటర్ మాదిరిగా కాకుండా, పాల్గొనే విమానాలలో రేడియో యూనిట్ లేకపోవడం కూడా సవాలు చేయబడింది దాని వినియోగం. [సైటేషన్ అవసరం] బ్రిస్టల్ బ్లెన్‌హీమ్‌ను బాంబర్ మరియు ఫైటర్ ఆదేశాలు రెండూ ఉపయోగించాయి. సుమారు 200 mk. నేను బాంబర్లను MK లో సవరించాను. హెండన్ వద్ద ఉన్న 600 (సహాయక వైమానిక దళం) స్క్వాడ్రన్‌తో సుదూర యోధులు, ఈ వేరియంట్ల డెలివరీని సెప్టెంబర్ 1938 లో తీసుకున్న మొదటి స్క్వాడ్రన్. 1939 నాటికి, కనీసం ఏడు స్క్వాడ్రన్లు ఈ జంట-ఇంజిన్ ఫైటర్స్ మరియు కొన్ని నెలల్లోనే పనిచేస్తున్నారు. 60 స్క్వాడ్రన్లు రకానికి మార్చబడ్డాయి. [సైటేషన్ అవసరం] MK. Expected హించిన దానికంటే నెమ్మదిగా మరియు తక్కువ అతి చురుకైనదని నిరూపించబడితే మరియు జూన్ 1940 నాటికి, పగటి బ్లెన్‌హీమ్ నష్టాలు ఫైటర్ కమాండ్ కోసం ఆందోళన కలిగిస్తాయి. నైట్ టైమ్ పరిస్థితులలో అప్పటికే రకాన్ని నిర్వహించిన 23 వ స్క్వాడ్రన్ RAF మెరుగైన విజయాన్ని సాధించిన 23 వ స్క్వాడ్రన్ RAF ప్రధానంగా నైట్ ఫైటర్ డ్యూటీలకు పంపబడుతుందని నిర్ణయించారు. [సైటేషన్ అవసరం] జర్మన్ నైట్ బాంబు దాడిలో లండన్, 18 జూన్ 1940, బ్లెన్‌హీమ్ నైట్ ఫైటర్స్ ఐదు జర్మన్ బాంబర్లకు కారణమయ్యారు, తద్వారా అవి రాత్రిపూట పాత్రలో బాగా సరిపోతాయని రుజువు చేశారు. జూలైలో, 600 నంబర్ 600 స్క్వాడ్రన్, అప్పటికి RAF మాన్స్టన్ వద్ద ఉంది, దాని IFS లో కొన్ని IFS ను వాయుమార్గాన అంతరాయం (AI) MK కలిగి ఉంది. III రాడార్. ఈ రాడార్ పరికరాలతో, RAF ఫోర్డ్‌లోని ఫైటర్ ఇంటర్‌సెప్షన్ యూనిట్ (FIU) నుండి బ్లెన్‌హీమ్ 2/3 జూలై 1940 రాత్రి మొదటి విజయాన్ని సాధించింది, డోర్నియర్ డు 17 బాంబర్ కోసం అకౌంటింగ్. మరిన్ని విజయాలు వచ్చాయి మరియు చాలా కాలం ముందు, బ్లెన్‌హీమ్ నైట్ ఫైటర్ పాత్రలో అమూల్యమైనదని నిరూపించవలసి ఉంది. క్రమంగా, 1940–41లో బ్రిస్టల్ బ్యూఫైటర్ ప్రవేశపెట్టడంతో, దాని పాత్ర దాని వేగవంతమైన, మంచి సాయుధ సంతానం ద్వారా భర్తీ చేయబడింది. [65] మొట్టమొదటి బ్యూఫైటర్స్ సెప్టెంబర్ 1940 ప్రారంభంలో సేవలోకి ప్రవేశించారు, మొదట ప్రామాణిక రోజు ఫైటర్ మభ్యపెట్టే పథకాలలో పంపిణీ చేయబడింది, అయితే ఈ రకం రాత్రి పోరాట పాత్ర కోసం ఉద్దేశించబడింది. మొదటి రాత్రి కార్యకలాపాలు సెప్టెంబర్ మరియు అక్టోబర్ 1940 లో మరియు 19/20 నవంబర్ 1940 రాత్రి, ఒక బ్యూఫైటర్ IF, AI రాడార్‌తో అమర్చబడి, JU 88 ను తగ్గించింది. 604 స్క్వాడ్రన్ నుండి విమానం FLT LT. జాన్ కన్నిన్గ్హమ్ చేత ఎగిరింది, స్కోరింగ్ అతని 20 విజయాలలో మొదటిది. [66] కార్యాచరణ సేవలో ఉన్న ఏకైక బ్రిటిష్ బిప్‌లేన్ ఫైటర్ గ్లోస్టర్ గ్లాడియేటర్, ఇది 247 స్క్వాడ్రన్ RAF ను కలిగి ఉంది, ఇది డెవాన్లోని RAF రోబోర్గ్‌లో ఉంది. వైమానిక యుద్ధాల ఎత్తులో ఎటువంటి పోరాట సోర్టీలు జరగనప్పటికీ, నంబర్ 247 గ్లాడియేటర్స్ ఫలితం లేకుండా అక్టోబర్ 1940 చివరలో HE 111 ను అడ్డుకున్నారు. ఆర్మీ కోఆపరేషన్ పాత్రలో గ్లాడియేటర్స్ మరియు నంబర్ 804 స్క్వాడ్రన్ ఉపయోగించి 239 స్క్వాడ్రన్ RAF, సీ గ్లాడియేటర్లతో తయారు చేయబడిన ఫ్లీట్ ఎయిర్ ఆర్మ్ కూడా బ్రిటన్ యుద్ధంలో పనిచేసింది. [67] బ్రిటిష్ వారు ఫిరంగి-సాయుధ పోరాట యోధుడిని సేవలోకి తీసుకున్నారు, ట్విన్-ఇంజిన్ వెస్ట్‌ల్యాండ్ వర్ల్‌విండ్, కానీ దాని ఇంజిన్‌లతో సమస్యలు మరియు నెమ్మదిగా ఉత్పత్తి అంటే డిసెంబర్ 1940 వరకు సేవలోకి ప్రవేశించలేదు. ఇటాలియన్లు తక్కువ సంఖ్యలో ఉన్నప్పటికీ బ్రిటన్ యుద్ధం జర్మన్. 1940 లో లుఫ్ట్‌వాఫ్ఫ్ ప్రధానంగా మూడు జంట-ఇంజిన్ మీడియం బాంబర్‌లపై ఆధారపడింది: డోర్నియర్ డూ 17, ది హీంకెల్ హెచ్ఇ 111 మరియు జంకర్స్ జు 88. లుఫ్ట్‌వాఫ్ఫ్ అధునాతన గైరోస్కోపిక్ బాంబు దృశ్యాలను కలిగి ఉన్నప్పటికీ, పగటి బాంబు మరియు ఎలక్ట్రానిక్ కోసం లోట్‌ఫెర్న్రోహర్ 7 రాత్రిపూట బాంబు దాడులకు నిక్బీన్, ఎక్స్-జెరాట్ మరియు వై-గెట్ వంటి నావిగేషనల్ ఎయిడ్స్, స్థాయి విమాన నుండి బాంబు దాడి యొక్క ఖచ్చితత్వానికి చాలా ప్రాథమిక పరిమితులు ఉన్నాయి, మరియు ఇటువంటి దాడులు చిన్న లేదా కష్టమైన లక్ష్యాలపై విజయాన్ని సాధించగలవని ఎటువంటి హామీ లేదు రాడార్ స్టేషన్లు. [68] ఖచ్చితమైన దాడి కోసం విమానాల అభివృద్ధికి ప్రాధాన్యత ఇవ్వబడింది, ఇది డైవ్ బాంబు దాడుల సాంకేతికతను ఉపయోగించుకోవచ్చు, దీని కోసం జంకర్స్ జు 87 స్టుకా ప్రత్యేకంగా రూపొందించబడింది. జంకర్స్ జు 88 ను బాహ్య డైవ్ బ్రేక్‌లు మరియు నియంత్రణ వ్యవస్థతో అమర్చారు, ఇది జు 87 మాదిరిగానే ఉంటుంది మరియు డైవ్ బాంబు పాత్రను నిర్వహించగలదు, అయినప్పటికీ ఇది ప్రధానంగా స్థాయి బాంబర్‌గా ఉపయోగించబడింది. జు 87 చేత తీసుకువెళ్ళిన తేలికపాటి బాంబు లోడ్లు ఫ్రాన్స్ యుద్ధంలో గొప్ప ప్రభావానికి ఉపయోగించబడ్డాయి. ఏదేమైనా, JU 87 నెమ్మదిగా ఉంది మరియు రక్షణాత్మక ఆయుధాల యొక్క సరిపోని స్థాయిని కలిగి ఉంది, వెనుక రక్షణ కోసం కాక్‌పిట్ వెనుక భాగంలో ఒకే, 7.92 మిమీ క్యాలిబర్ Mg 15 మెషిన్ గన్ మాత్రమే ఉంది. ఇంకా, దాని తక్కువ వేగం మరియు దాని డైవ్ బాంబు దాడులను ముగించిన చాలా తక్కువ ఎత్తులో ఉన్నందున ఇది యోధులచే సమర్థవంతంగా రక్షించబడదు. స్టుకా గాలి ఆధిపత్యం మీద ఆధారపడింది, బ్రిటన్ మీద పోటీ పడుతోంది. అందువల్ల ఇది నిషేధిత నష్టాల తరువాత ఆగస్టులో బ్రిటన్ పై దాడుల నుండి ఉపసంహరించబడింది, లుఫ్ట్‌వాఫేను ఖచ్చితమైన భూ-అటాక్ విమానాలకు తక్కువ వదిలివేసింది. [68] లుఫ్ట్‌వాఫ్ బాంబర్లు తీసుకువెళ్ళిన తేలికపాటి ఆయుధాలు మరో అడ్డంకిని విధించింది. యుద్ధం ప్రారంభంలో వారు ఇప్పటికీ సగటున మూడు చేతితో పట్టుకున్న Mg 15 లైట్ మెషిన్ గన్లతో సాయుధమయ్యారు, వీటిని 75 రౌండ్ "సాడిల్ డ్రమ్" మ్యాగజైన్స్ సరఫరా చేశారు. ఆధునిక యోధులు హరికేన్ మరియు స్పిట్‌ఫైర్ వంటి కేంద్రీకృత దాడులను ఎదుర్కొన్నప్పుడు ఇది పూర్తిగా సరిపోదని నిరూపించబడింది. లుఫ్ట్‌వాఫ్ గన్నర్లలో చాలామంది బాగా శిక్షణ పొందినప్పటికీ, వేగంగా కదిలే పోరాట యోధుడిని కొట్టగల సామర్థ్యం ఉన్నప్పటికీ, బాంబర్‌కు భారీగా నష్టం జరగకుండా ఉండటానికి సమయం ఆగిపోవడానికి చాలా అరుదు. Mg 15 యొక్క అధిక రేటు అంటే చిన్న పత్రికలు త్వరగా ఖాళీ చేయబడ్డాయి; రీలోడ్ చేయడానికి తీసుకున్న సమయం తరచుగా విజయవంతమైన దాడి చేయడానికి అవసరమైన సమయాన్ని ఫైటర్ ఇచ్చింది. డిఫెన్సివ్ ఆయుధాల సంఖ్యను పెంచే ప్రయత్నాలు జరిగాయి, అయితే దీని అర్థం, ఆయుధాలు చేతితో పట్టుకున్నందున ప్రతి విమానంలో ఎక్కువ మంది సిబ్బంది అవసరం, లేదా ప్రస్తుత సిబ్బందిని అధికంగా పని చేయవచ్చు. ఇది పూర్తిగా పరిష్కరించబడని సమస్య బాంబర్లు కొన్ని ప్రయోజనాలను పొందారు. కీలక ప్రాంతాలలో ఎక్కువ కవచం ప్లేట్ జోడించడంతో, సిబ్బంది సభ్యులు తక్కువ హాని కలిగించారు. వారి ఇంధన ట్యాంకులు స్వీయ-సీలింగ్ రబ్బరు పొరల ద్వారా కూడా బాగా రక్షించబడ్డాయి, అయినప్పటికీ RAF యోధులు తీసుకువెళ్ళిన దాహక మరియు ట్రేసర్ మందుగుండు సామగ్రి కొన్నిసార్లు ఖాళీ ట్యాంకులలో ఇంధన ఆవిరిని మండించగలదు. HE 111 స్పిట్‌ఫైర్ కంటే దాదాపు 100 mph నెమ్మదిగా ఉంది మరియు పట్టుకోవటానికి చాలా సవాలు చేయలేదు, అయినప్పటికీ సిబ్బంది స్టేషన్లు, స్వీయ-సీలింగ్ ఇంధన ట్యాంకులు మరియు క్రమంగా అప్‌రేటెడ్ డిఫెన్సివ్ ఆయుధాలు అంటే ఇది ఇప్పటికీ సవాలుగా ఉంది కాల్చివేయు. ఇది యుద్ధంలో చాలా జర్మన్ బాంబర్ రకం, మరియు 2000 కిలోల బాంబులను లక్ష్యానికి పంపిణీ చేయగలదు, అంతర్గత బాంబు బేలో తీసుకువెళుతుంది - సాధారణంగా ఎనిమిది 250 కిలోల బాంబులు, నిలువుగా నిల్వ చేయబడతాయి. తరువాతి వైవిధ్యాలు బాంబు లోడ్ మరియు బాహ్య బాంబు రాక్లతో బాంబుల గరిష్ట పరిమాణంలో మరింత పెరుగుదలను అనుమతించాయి. The state-of-the art Lotfernrohr 7 gyroscoping bomb sight fitted to the Heinkel allowed for reasonable accuracy, for a level bomber. The main versions of the He 111 in use were the Jumo engined H-1, H-2 and H-3 and the DB 601 powered P-2 and P-4. Small numbers of the aircraft, called H-1x and H-3x, were equipped with Knickebein and X-Gerät and were used by Kampfgruppe 100 (KGr. 100) at night during the closing stages of the battle. Y-Gerät equipped H-5y of III. Gruppe Kampfgeschwader 26 began to take part in the Blitz of the winter of 1940–1941.[69] The Do 17Z was an older type of German bomber that was no longer in production by the start of the Battle. Still, many Kampfgeschwadern still operated the Dornier, known as "the flying pencil" due to its sleek fuselage. Its air-cooled radial BMW engines meant that many of these aircraft were able to survive fighter attack because there was no vulnerable cooling system to disable.[70] The Dornier was also manoeuvrable, and as a result was popular in the Luftwaffe. The main problem with the Dornier was its limited 200 mile combat range, when fully loaded with bombs. Its bomb carrying capacity was also limited to 2,205 lbs.[71] Older versions of the Do 17, mainly the E-1, were still used for weather reconnaissance duties. Of the four types of bomber used by the Luftwaffe the Ju 88 (the original Schnellbomber) was considered to be the most difficult to shoot down. As a bomber it was relatively manoeuvrable and, especially at low altitudes with no bomb load, it was fast enough to ensure that a Spitfire engaged in a tail-chase would be hard pressed to catch up. It could carry up to 3,000 kg of bombs. However, only small sized 50 and 70 kg bombs, up to a total weight of 1,400 kg, could be carried internally, while larger bombs had to be carried on external racks, causing considerable drag. The Ju 88 was also extremely versatile, being fitted with both the Lotfernrohr 7 gyroscopic bomb sight and Stuvi dive sight as well as retractable dive brakes. The front MG 15 machine gun could be locked with an ingenious retracting clamp just forward of the windscreen to lock it for forwards firing, and could be used for strafing runs. Thus the Ju 88, dubbed as the "Big Stuka", was equally at home when it came to level or dive bombing or low-level attacks. The versions of the Ju 88 used during the battle were the small-wingtipped A-1 and the A-5; the latter incorporated several improvements, including the A-4's increased 20.08 meter wingspan and uprated armament.[72] The Ju 88 C-1 heavy fighter version, with a sheet metal nose replacing the bombers' "beetle's-eye" faceted glazing, was also used in small numbers. In reality, the Ju 88, although operating in smaller numbers than the Do 17 and He 111, suffered the highest losses of the three German bomber types. Losses of Do 17 and He 111s amounted to 132 and 252 machines destroyed respectively, while 313 Ju 88s were lost.[73][74] I./KG 40 was equipped with a small number of the four-engined Focke-Wulf Fw 200 converted airliners, which were used to attack shipping and to provide long-range reconnaissance around the British Isles and out into the Atlantic Ocean.[75] The Corpo Aereo Italiano (CAI) was an expeditionary force of the Regia Aeronautica that participated in the very late stages of the Battle of Britain. The bomber element consisted of some 70 Fiat BR.20 twin engined bombers of 13° Stormo and 43° Stormo. based in Belgium. The Italian BR.20 was a  bomber capable of carrying 1600 kg (3,528 lb) of bombs. Supporting aircraft included five CANT Z.1007 used for reconnaissance duties and several Caproni Ca.133 transports. The Italian bomber force flew limited operations, undertaken towards the end of the battle. The CAI's bombers flew about 102 sorties, only one of which attained any notable success— severe damage being caused to a canning factory in Lowestoft by a raid on 29 November 1940, which killed three people.[76] The first mission on 25 October,[63] a night attack of 16 aircraft on Harwich led to three bombers being lost, with one crashing on takeoff and two becoming lost on their return. On 11 November a formation of 10 BR.20s escorted by Fiat CR.42 biplane fighters on a daylight raid on Harwich, was intercepted by RAF Hurricanes. Three bombers were downed and three CR.42s destroyed with four damaged, with no loss to the Hurricanes.[64] In early January 1941 all of the bombers were redeployed. Only the squadrons listed as Battle of Britain RAF squadrons were counted as being part of the Battle of Britain for the award of a campaign medal</v>
      </c>
      <c r="L186" s="2"/>
      <c r="AL186" s="1" t="s">
        <v>2755</v>
      </c>
    </row>
    <row r="187">
      <c r="A187" s="1" t="s">
        <v>2756</v>
      </c>
      <c r="B187" s="1" t="str">
        <f>IFERROR(__xludf.DUMMYFUNCTION("GOOGLETRANSLATE(A:A, ""en"", ""te"")"),"విమాన పరిశోధన BT-11")</f>
        <v>విమాన పరిశోధన BT-11</v>
      </c>
      <c r="C187" s="1" t="s">
        <v>2757</v>
      </c>
      <c r="D187" s="1" t="str">
        <f>IFERROR(__xludf.DUMMYFUNCTION("GOOGLETRANSLATE(C:C, ""en"", ""te"")"),"విమాన పరిశోధన XBT-11 అనేది న్యూజెర్సీలోని బెండిక్స్ యొక్క విమాన పరిశోధన సంస్థ (గతంలో విడాల్ రీసెర్చ్ కార్పొరేషన్) చేత నిర్మించబడిన ప్రాథమిక శిక్షకుడు, ""వెల్డ్‌వుడ్"" ను అచ్చు వేయడం ద్వారా, వేడి మరియు పీడనంతో చేసిన ""ప్లాస్టిక్"" ప్లైవుడ్ మిశ్రమ పదార్థం -"&amp;"ప్రొసెస్డ్ ఫినాల్ ఫినాల్-ఫార్మాల్డిహైడ్ రెసిన్లు మరియు డ్యూరామోల్డ్ ప్రక్రియ మాదిరిగానే కలప. డ్యూరామోల్డ్ మరియు హాస్కెలైట్ ప్రక్రియలు మొట్టమొదట 1937 లో అభివృద్ధి చేయబడ్డాయి, తరువాత యూజీన్ ఎల్. విడాల్ యొక్క వెల్డ్‌వుడ్ 1938 లో. [1] ఉత్పత్తి ఒప్పందం, 1940 ల"&amp;"ో ప్రతిపాదించబడింది, ఏదైనా నిర్మించబడటానికి ముందే రద్దు చేయబడింది. [2] [3] సాధారణ లక్షణాల పనితీరు నుండి డేటా")</f>
        <v>విమాన పరిశోధన XBT-11 అనేది న్యూజెర్సీలోని బెండిక్స్ యొక్క విమాన పరిశోధన సంస్థ (గతంలో విడాల్ రీసెర్చ్ కార్పొరేషన్) చేత నిర్మించబడిన ప్రాథమిక శిక్షకుడు, "వెల్డ్‌వుడ్" ను అచ్చు వేయడం ద్వారా, వేడి మరియు పీడనంతో చేసిన "ప్లాస్టిక్" ప్లైవుడ్ మిశ్రమ పదార్థం -ప్రొసెస్డ్ ఫినాల్ ఫినాల్-ఫార్మాల్డిహైడ్ రెసిన్లు మరియు డ్యూరామోల్డ్ ప్రక్రియ మాదిరిగానే కలప. డ్యూరామోల్డ్ మరియు హాస్కెలైట్ ప్రక్రియలు మొట్టమొదట 1937 లో అభివృద్ధి చేయబడ్డాయి, తరువాత యూజీన్ ఎల్. విడాల్ యొక్క వెల్డ్‌వుడ్ 1938 లో. [1] ఉత్పత్తి ఒప్పందం, 1940 లో ప్రతిపాదించబడింది, ఏదైనా నిర్మించబడటానికి ముందే రద్దు చేయబడింది. [2] [3] సాధారణ లక్షణాల పనితీరు నుండి డేటా</v>
      </c>
      <c r="E187" s="1" t="s">
        <v>702</v>
      </c>
      <c r="F187" s="1" t="str">
        <f>IFERROR(__xludf.DUMMYFUNCTION("GOOGLETRANSLATE(E:E, ""en"", ""te"")"),"ట్రైనర్ విమానం")</f>
        <v>ట్రైనర్ విమానం</v>
      </c>
      <c r="K187" s="1" t="s">
        <v>2758</v>
      </c>
      <c r="L187" s="2" t="str">
        <f>IFERROR(__xludf.DUMMYFUNCTION("GOOGLETRANSLATE(K:K, ""en"", ""te"")"),"ఎయిర్క్రాఫ్ట్ రీసెర్చ్ కార్ప్")</f>
        <v>ఎయిర్క్రాఫ్ట్ రీసెర్చ్ కార్ప్</v>
      </c>
      <c r="M187" s="1" t="s">
        <v>2759</v>
      </c>
      <c r="N187" s="1" t="s">
        <v>728</v>
      </c>
      <c r="O187" s="1" t="str">
        <f>IFERROR(__xludf.DUMMYFUNCTION("GOOGLETRANSLATE(N:N, ""en"", ""te"")"),"రద్దు")</f>
        <v>రద్దు</v>
      </c>
      <c r="Q187" s="1">
        <v>2.0</v>
      </c>
      <c r="R187" s="1" t="s">
        <v>2760</v>
      </c>
      <c r="U187" s="1" t="s">
        <v>2761</v>
      </c>
      <c r="Y187" s="1" t="s">
        <v>2762</v>
      </c>
      <c r="AE187" s="1">
        <v>0.0</v>
      </c>
      <c r="AF187" s="1" t="s">
        <v>2763</v>
      </c>
      <c r="AI187" s="1" t="s">
        <v>2764</v>
      </c>
      <c r="CZ187" s="1" t="s">
        <v>2765</v>
      </c>
      <c r="DF187" s="1" t="s">
        <v>2766</v>
      </c>
    </row>
    <row r="188">
      <c r="A188" s="1" t="s">
        <v>2676</v>
      </c>
      <c r="B188" s="1" t="str">
        <f>IFERROR(__xludf.DUMMYFUNCTION("GOOGLETRANSLATE(A:A, ""en"", ""te"")"),"ఎయిర్‌డ్రోమ్ డ్రీం క్లాసిక్")</f>
        <v>ఎయిర్‌డ్రోమ్ డ్రీం క్లాసిక్</v>
      </c>
      <c r="C188" s="1" t="s">
        <v>2767</v>
      </c>
      <c r="D188" s="1" t="str">
        <f>IFERROR(__xludf.DUMMYFUNCTION("GOOGLETRANSLATE(C:C, ""en"", ""te"")"),"ఎయిర్‌డ్రోమ్ డ్రీమ్ క్లాసిక్ ఒక మినిమలిస్ట్, హై వింగ్, సింగిల్ సీట్, సింగిల్ ఇంజిన్ అల్ట్రాలైట్ విమానం, ఇది 1908 శాంటాస్-డుమోంట్ డెమోసెల్లె నుండి ప్రేరణ పొందింది మరియు మిస్సౌరీలోని హోల్డెన్ యొక్క ఎయిర్‌డ్రోమ్ విమానాల ద్వారా కిట్ రూపంలో ఉత్పత్తి చేయబడింది."&amp;" [1] [3] [4 సాహస ఈ విమానం యుఎస్ ఫార్ 103 అల్ట్రాలైట్ వాహనాల వర్గానికి ఉద్దేశించబడింది. [1] డ్రీమ్ క్లాసిక్ తక్కువ ఖర్చుతో మరియు చాలా ప్రాథమిక అల్ట్రాలైట్‌గా రూపొందించబడింది. ఫ్యూజ్‌లేజ్ తెరిచి ఉంది మరియు పాప్-రివేటెడ్ అల్యూమినియం గొట్టాల నుండి నిర్మించబడి"&amp;"ంది. రెక్క విమాన ఫాబ్రిక్‌తో కప్పబడి ఉంటుంది మరియు గ్రౌండ్ లోడ్లకు లేదా ఐచ్ఛికంగా స్ట్రట్-బ్రేస్డ్ లకు మద్దతు ఇవ్వడానికి కింగ్‌పోస్ట్‌ను ఉపయోగించి వైర్-బ్రాస్డ్. ట్రెయిలింగ్ కోసం రెక్కలను 20 నిమిషాల్లో తొలగించవచ్చు. నియంత్రణలు సాంప్రదాయిక మూడు-అక్షం, ఎలివ"&amp;"ేటర్ మరియు ఐలెరాన్‌లు సైడ్ స్టిక్ ద్వారా పనిచేస్తాయి. [1] [3] [5] రెండు వేర్వేరు రెక్కలు అందుబాటులో ఉన్నాయి, ప్రామాణిక రెక్క 30.5 అడుగులు (9.3 మీ) స్పాన్ మరియు 122 చదరపు అడుగులు (11.35 చదరపు మీ) ప్రాంతం మరియు స్పీడ్ వింగ్ 21.5 అడుగులు (6.6 మీ) స్పాన్ మరియ"&amp;"ు 86 చదరపు అడుగులు (8.00 చదరపు మీటర్లు) ప్రాంతం. స్పీడ్ వింగ్ విమానం యొక్క ఉపయోగకరమైన లోడ్‌ను 170 lb (77 kg) కు పరిమితం చేస్తుంది, అయితే ప్రామాణిక రెక్క 250 lb (113 కిలోలు) ను అనుమతిస్తుంది. [1] [5] ప్రామాణిక ఇంజిన్ 40 హెచ్‌పి (30 కిలోవాట్) రోటాక్స్ 447, "&amp;"అయినప్పటికీ 28 నుండి 52 హెచ్‌పి (21 నుండి 39 కిలోవాట్) ఇంజిన్‌లను ఉపయోగించవచ్చు. కిట్ నుండి ఈ విమానాన్ని పూర్తి చేయడానికి బిల్డర్ 100–120 గంటలు పడుతుందని తయారీదారు అంచనా వేశారు. 2009 లో, వైర్-బ్రాస్డ్ వెర్షన్ కోసం ఎయిర్ఫ్రేమ్-మాత్రమే కిట్ స్ట్రట్-బ్రేస్డ్"&amp;" వెర్షన్ కోసం US $ 3495 మరియు US $ 3995 ఖర్చు అవుతుంది. పూర్తి చేసిన ఎయిర్‌ఫ్రేమ్ అదనపు US $ 2000 కు కూడా అందుబాటులో ఉంది. [1] [5] [7] 2007 పతనం నాటికి, 48 వైర్డ్ బ్రేస్ మరియు ఒక స్ట్రట్-బ్రేస్డ్ డ్రీమ్ క్లాసిక్‌లు ఎగురుతున్నాయి. [4] ఎయిర్‌డ్రోమ్ విమానాల "&amp;"నుండి డేటా [5] &amp; కిట్‌ప్లేన్‌లు [3] [4] పోల్చదగిన పాత్ర, కాన్ఫిగరేషన్ మరియు యుగం యొక్క సాధారణ లక్షణాల పనితీరు విమానం")</f>
        <v>ఎయిర్‌డ్రోమ్ డ్రీమ్ క్లాసిక్ ఒక మినిమలిస్ట్, హై వింగ్, సింగిల్ సీట్, సింగిల్ ఇంజిన్ అల్ట్రాలైట్ విమానం, ఇది 1908 శాంటాస్-డుమోంట్ డెమోసెల్లె నుండి ప్రేరణ పొందింది మరియు మిస్సౌరీలోని హోల్డెన్ యొక్క ఎయిర్‌డ్రోమ్ విమానాల ద్వారా కిట్ రూపంలో ఉత్పత్తి చేయబడింది. [1] [3] [4 సాహస ఈ విమానం యుఎస్ ఫార్ 103 అల్ట్రాలైట్ వాహనాల వర్గానికి ఉద్దేశించబడింది. [1] డ్రీమ్ క్లాసిక్ తక్కువ ఖర్చుతో మరియు చాలా ప్రాథమిక అల్ట్రాలైట్‌గా రూపొందించబడింది. ఫ్యూజ్‌లేజ్ తెరిచి ఉంది మరియు పాప్-రివేటెడ్ అల్యూమినియం గొట్టాల నుండి నిర్మించబడింది. రెక్క విమాన ఫాబ్రిక్‌తో కప్పబడి ఉంటుంది మరియు గ్రౌండ్ లోడ్లకు లేదా ఐచ్ఛికంగా స్ట్రట్-బ్రేస్డ్ లకు మద్దతు ఇవ్వడానికి కింగ్‌పోస్ట్‌ను ఉపయోగించి వైర్-బ్రాస్డ్. ట్రెయిలింగ్ కోసం రెక్కలను 20 నిమిషాల్లో తొలగించవచ్చు. నియంత్రణలు సాంప్రదాయిక మూడు-అక్షం, ఎలివేటర్ మరియు ఐలెరాన్‌లు సైడ్ స్టిక్ ద్వారా పనిచేస్తాయి. [1] [3] [5] రెండు వేర్వేరు రెక్కలు అందుబాటులో ఉన్నాయి, ప్రామాణిక రెక్క 30.5 అడుగులు (9.3 మీ) స్పాన్ మరియు 122 చదరపు అడుగులు (11.35 చదరపు మీ) ప్రాంతం మరియు స్పీడ్ వింగ్ 21.5 అడుగులు (6.6 మీ) స్పాన్ మరియు 86 చదరపు అడుగులు (8.00 చదరపు మీటర్లు) ప్రాంతం. స్పీడ్ వింగ్ విమానం యొక్క ఉపయోగకరమైన లోడ్‌ను 170 lb (77 kg) కు పరిమితం చేస్తుంది, అయితే ప్రామాణిక రెక్క 250 lb (113 కిలోలు) ను అనుమతిస్తుంది. [1] [5] ప్రామాణిక ఇంజిన్ 40 హెచ్‌పి (30 కిలోవాట్) రోటాక్స్ 447, అయినప్పటికీ 28 నుండి 52 హెచ్‌పి (21 నుండి 39 కిలోవాట్) ఇంజిన్‌లను ఉపయోగించవచ్చు. కిట్ నుండి ఈ విమానాన్ని పూర్తి చేయడానికి బిల్డర్ 100–120 గంటలు పడుతుందని తయారీదారు అంచనా వేశారు. 2009 లో, వైర్-బ్రాస్డ్ వెర్షన్ కోసం ఎయిర్ఫ్రేమ్-మాత్రమే కిట్ స్ట్రట్-బ్రేస్డ్ వెర్షన్ కోసం US $ 3495 మరియు US $ 3995 ఖర్చు అవుతుంది. పూర్తి చేసిన ఎయిర్‌ఫ్రేమ్ అదనపు US $ 2000 కు కూడా అందుబాటులో ఉంది. [1] [5] [7] 2007 పతనం నాటికి, 48 వైర్డ్ బ్రేస్ మరియు ఒక స్ట్రట్-బ్రేస్డ్ డ్రీమ్ క్లాసిక్‌లు ఎగురుతున్నాయి. [4] ఎయిర్‌డ్రోమ్ విమానాల నుండి డేటా [5] &amp; కిట్‌ప్లేన్‌లు [3] [4] పోల్చదగిన పాత్ర, కాన్ఫిగరేషన్ మరియు యుగం యొక్క సాధారణ లక్షణాల పనితీరు విమానం</v>
      </c>
      <c r="E188" s="1" t="s">
        <v>1056</v>
      </c>
      <c r="F188" s="1" t="str">
        <f>IFERROR(__xludf.DUMMYFUNCTION("GOOGLETRANSLATE(E:E, ""en"", ""te"")"),"అల్ట్రాలైట్ విమానం")</f>
        <v>అల్ట్రాలైట్ విమానం</v>
      </c>
      <c r="G188" s="1" t="s">
        <v>1057</v>
      </c>
      <c r="H188" s="1" t="s">
        <v>227</v>
      </c>
      <c r="I188" s="1" t="str">
        <f>IFERROR(__xludf.DUMMYFUNCTION("GOOGLETRANSLATE(H:H, ""en"", ""te"")"),"అమెరికా")</f>
        <v>అమెరికా</v>
      </c>
      <c r="J188" s="3" t="s">
        <v>228</v>
      </c>
      <c r="K188" s="1" t="s">
        <v>2663</v>
      </c>
      <c r="L188" s="2" t="str">
        <f>IFERROR(__xludf.DUMMYFUNCTION("GOOGLETRANSLATE(K:K, ""en"", ""te"")"),"ఎయిర్‌డ్రోమ్ విమానాలు")</f>
        <v>ఎయిర్‌డ్రోమ్ విమానాలు</v>
      </c>
      <c r="M188" s="1" t="s">
        <v>2664</v>
      </c>
      <c r="Q188" s="1" t="s">
        <v>162</v>
      </c>
      <c r="R188" s="1" t="s">
        <v>2768</v>
      </c>
      <c r="S188" s="1" t="s">
        <v>2769</v>
      </c>
      <c r="U188" s="1" t="s">
        <v>2770</v>
      </c>
      <c r="W188" s="1" t="s">
        <v>177</v>
      </c>
      <c r="X188" s="1" t="s">
        <v>2771</v>
      </c>
      <c r="Z188" s="1" t="s">
        <v>2772</v>
      </c>
      <c r="AA188" s="1" t="s">
        <v>2773</v>
      </c>
      <c r="AB188" s="1" t="s">
        <v>2774</v>
      </c>
      <c r="AE188" s="1" t="s">
        <v>2775</v>
      </c>
      <c r="AF188" s="1" t="s">
        <v>2776</v>
      </c>
      <c r="AG188" s="1" t="s">
        <v>2777</v>
      </c>
      <c r="AI188" s="1" t="s">
        <v>2778</v>
      </c>
      <c r="AM188" s="1" t="s">
        <v>2779</v>
      </c>
      <c r="AR188" s="1" t="s">
        <v>2780</v>
      </c>
      <c r="AU188" s="1" t="s">
        <v>2781</v>
      </c>
      <c r="BN188" s="1" t="s">
        <v>2782</v>
      </c>
      <c r="BO188" s="1" t="s">
        <v>2783</v>
      </c>
      <c r="BP188" s="1" t="s">
        <v>2784</v>
      </c>
      <c r="BR188" s="1" t="s">
        <v>2785</v>
      </c>
    </row>
    <row r="189">
      <c r="A189" s="1" t="s">
        <v>2786</v>
      </c>
      <c r="B189" s="1" t="str">
        <f>IFERROR(__xludf.DUMMYFUNCTION("GOOGLETRANSLATE(A:A, ""en"", ""te"")"),"ఎయిర్ కమాండ్ కమాండర్ సైడ్-బై-సైడ్")</f>
        <v>ఎయిర్ కమాండ్ కమాండర్ సైడ్-బై-సైడ్</v>
      </c>
      <c r="C189" s="1" t="s">
        <v>2787</v>
      </c>
      <c r="D189" s="1" t="str">
        <f>IFERROR(__xludf.DUMMYFUNCTION("GOOGLETRANSLATE(C:C, ""en"", ""te"")"),"ఎయిర్ కమాండ్ కమాండర్ సైడ్-బై-సైడ్, ఇది టెక్సాస్‌లోని ఎయిర్ కమాండ్ ఇంటర్నేషనల్ ఆఫ్ కాడో మిల్స్ రూపొందించిన మరియు నిర్మించిన అమెరికన్ ఆటోజీరో. ఈ విమానం te త్సాహిక నిర్మాణానికి కిట్‌గా సరఫరా చేయబడుతుంది. [1] కమాండర్ సైడ్-బై-సైడ్ అసాధారణమైన గైరోప్లేన్ డిజైన్‌"&amp;"ను అందిస్తుంది, దీనిలో సైడ్-బై-సైడ్ కాన్ఫిగరేషన్ సీటింగ్ ఉంటుంది. గైరోప్లేన్ యుఎస్ ప్రయోగాత్మక - te త్సాహిక -నిర్మిత నియమాలకు అనుగుణంగా రూపొందించబడింది. ఇది సింగిల్ మెయిన్ రోటర్, విండ్‌షీల్డ్ లేని రెండు-సీట్ల ఓపెన్ కాక్‌పిట్, ట్రైసైకిల్ ల్యాండింగ్ గేర్ మర"&amp;"ియు నాలుగు సిలిండర్, ఎయిర్-కూల్డ్, ఫోర్-స్ట్రోక్, 115 హెచ్‌పి (86 కిలోవాట్ ప్రొపెల్లర్ గిల్మర్ బెల్ట్ తగ్గింపు డ్రైవ్ అయినప్పటికీ. [1] విమానం యొక్క 29 అడుగుల (8.8 మీ) వ్యాసం రోటోర్డిన్ రోటర్ 8 అంగుళాల (20.3 సెం.మీ) తీగను కలిగి ఉంది. పక్కపక్కనే 485 lb (220"&amp;" kg) ఖాళీ బరువు మరియు 926 lb (420 kg) స్థూల బరువు ఉంటుంది, ఇది 441 lb (200 kg) ఉపయోగకరమైన లోడ్‌ను ఇస్తుంది. అందుబాటులో ఉన్న ఐచ్ఛిక పరికరాలలో మడత మాస్ట్, హైడ్రాలిక్ వీల్ బ్రేక్‌లు మరియు ఎలక్ట్రిక్ ట్రిమ్ సిస్టమ్ ఉన్నాయి. [1] బేయర్ల్ నుండి డేటా [1] సాధారణ ల"&amp;"క్షణాల పనితీరు")</f>
        <v>ఎయిర్ కమాండ్ కమాండర్ సైడ్-బై-సైడ్, ఇది టెక్సాస్‌లోని ఎయిర్ కమాండ్ ఇంటర్నేషనల్ ఆఫ్ కాడో మిల్స్ రూపొందించిన మరియు నిర్మించిన అమెరికన్ ఆటోజీరో. ఈ విమానం te త్సాహిక నిర్మాణానికి కిట్‌గా సరఫరా చేయబడుతుంది. [1] కమాండర్ సైడ్-బై-సైడ్ అసాధారణమైన గైరోప్లేన్ డిజైన్‌ను అందిస్తుంది, దీనిలో సైడ్-బై-సైడ్ కాన్ఫిగరేషన్ సీటింగ్ ఉంటుంది. గైరోప్లేన్ యుఎస్ ప్రయోగాత్మక - te త్సాహిక -నిర్మిత నియమాలకు అనుగుణంగా రూపొందించబడింది. ఇది సింగిల్ మెయిన్ రోటర్, విండ్‌షీల్డ్ లేని రెండు-సీట్ల ఓపెన్ కాక్‌పిట్, ట్రైసైకిల్ ల్యాండింగ్ గేర్ మరియు నాలుగు సిలిండర్, ఎయిర్-కూల్డ్, ఫోర్-స్ట్రోక్, 115 హెచ్‌పి (86 కిలోవాట్ ప్రొపెల్లర్ గిల్మర్ బెల్ట్ తగ్గింపు డ్రైవ్ అయినప్పటికీ. [1] విమానం యొక్క 29 అడుగుల (8.8 మీ) వ్యాసం రోటోర్డిన్ రోటర్ 8 అంగుళాల (20.3 సెం.మీ) తీగను కలిగి ఉంది. పక్కపక్కనే 485 lb (220 kg) ఖాళీ బరువు మరియు 926 lb (420 kg) స్థూల బరువు ఉంటుంది, ఇది 441 lb (200 kg) ఉపయోగకరమైన లోడ్‌ను ఇస్తుంది. అందుబాటులో ఉన్న ఐచ్ఛిక పరికరాలలో మడత మాస్ట్, హైడ్రాలిక్ వీల్ బ్రేక్‌లు మరియు ఎలక్ట్రిక్ ట్రిమ్ సిస్టమ్ ఉన్నాయి. [1] బేయర్ల్ నుండి డేటా [1] సాధారణ లక్షణాల పనితీరు</v>
      </c>
      <c r="E189" s="1" t="s">
        <v>1916</v>
      </c>
      <c r="F189" s="1" t="str">
        <f>IFERROR(__xludf.DUMMYFUNCTION("GOOGLETRANSLATE(E:E, ""en"", ""te"")"),"ఆటోజీరో")</f>
        <v>ఆటోజీరో</v>
      </c>
      <c r="G189" s="3" t="s">
        <v>1917</v>
      </c>
      <c r="H189" s="1" t="s">
        <v>227</v>
      </c>
      <c r="I189" s="1" t="str">
        <f>IFERROR(__xludf.DUMMYFUNCTION("GOOGLETRANSLATE(H:H, ""en"", ""te"")"),"అమెరికా")</f>
        <v>అమెరికా</v>
      </c>
      <c r="J189" s="3" t="s">
        <v>228</v>
      </c>
      <c r="K189" s="1" t="s">
        <v>2738</v>
      </c>
      <c r="L189" s="2" t="str">
        <f>IFERROR(__xludf.DUMMYFUNCTION("GOOGLETRANSLATE(K:K, ""en"", ""te"")"),"ఎయిర్ కమాండ్ ఇంటర్నేషనల్")</f>
        <v>ఎయిర్ కమాండ్ ఇంటర్నేషనల్</v>
      </c>
      <c r="M189" s="1" t="s">
        <v>2739</v>
      </c>
      <c r="N189" s="1" t="s">
        <v>1075</v>
      </c>
      <c r="O189" s="1" t="str">
        <f>IFERROR(__xludf.DUMMYFUNCTION("GOOGLETRANSLATE(N:N, ""en"", ""te"")"),"ఉత్పత్తిలో (2012)")</f>
        <v>ఉత్పత్తిలో (2012)</v>
      </c>
      <c r="Q189" s="1" t="s">
        <v>162</v>
      </c>
      <c r="U189" s="1" t="s">
        <v>2788</v>
      </c>
      <c r="X189" s="1" t="s">
        <v>2291</v>
      </c>
      <c r="Y189" s="1" t="s">
        <v>2789</v>
      </c>
      <c r="Z189" s="1" t="s">
        <v>2790</v>
      </c>
      <c r="AI189" s="1" t="s">
        <v>2791</v>
      </c>
      <c r="AJ189" s="1" t="s">
        <v>1259</v>
      </c>
      <c r="AM189" s="1" t="s">
        <v>330</v>
      </c>
      <c r="AS189" s="1" t="s">
        <v>2792</v>
      </c>
      <c r="BO189" s="1" t="s">
        <v>2793</v>
      </c>
      <c r="BR189" s="1" t="s">
        <v>2794</v>
      </c>
      <c r="BW189" s="1" t="s">
        <v>2795</v>
      </c>
    </row>
    <row r="190">
      <c r="A190" s="1" t="s">
        <v>2796</v>
      </c>
      <c r="B190" s="1" t="str">
        <f>IFERROR(__xludf.DUMMYFUNCTION("GOOGLETRANSLATE(A:A, ""en"", ""te"")"),"ఎయిర్‌డేల్ బ్యాక్‌కంట్రీ")</f>
        <v>ఎయిర్‌డేల్ బ్యాక్‌కంట్రీ</v>
      </c>
      <c r="C190" s="1" t="s">
        <v>2797</v>
      </c>
      <c r="D190" s="1" t="str">
        <f>IFERROR(__xludf.DUMMYFUNCTION("GOOGLETRANSLATE(C:C, ""en"", ""te"")"),"ఎయిర్‌డేల్ బ్యాక్‌కంట్రీ ఒక అమెరికన్ te త్సాహిక-నిర్మిత విమానం, దీనిని బ్రెట్ మెకిన్నే రూపొందించారు మరియు జాన్ లార్సెన్ యొక్క ఆసక్తిగల MK IV డిజైన్ ఆధారంగా. దీనిని విస్కాన్సిన్‌లోని రైన్‌లాండర్‌కు చెందిన ఎయిర్‌డేల్ ఫ్లైయర్ కంపెనీ నిర్మించింది, కాని ఈ సంస్"&amp;"థ 2017 లో వ్యాపారం నుండి బయటపడింది మరియు ఉత్పత్తి ముగిసింది. ఇది అందుబాటులో ఉన్నప్పుడు విమానం te త్సాహిక నిర్మాణానికి కిట్‌గా సరఫరా చేయబడింది. [1] [2] [3] [4] బ్యాక్‌కంట్రీలో స్ట్రట్-బ్రేస్డ్ హై-వింగ్, యాక్సెస్ కోసం తలుపులతో రెండు-సైడ్-సైడ్-సైడ్ కాన్ఫిగరే"&amp;"షన్ పరివేష్టిత కాక్‌పిట్, స్థిర సాంప్రదాయ ల్యాండింగ్ గేర్ మరియు ట్రాక్టర్ కాన్ఫిగరేషన్‌లో ఒకే ఇంజిన్ ఉన్నాయి. [1] [2] [ 3] విమానం ఫ్యూజ్‌లేజ్ వెల్డెడ్ 4130 స్టీల్ గొట్టాల నుండి తయారవుతుంది, అయితే రెక్క అల్యూమినియం నిర్మాణానికి చెందినది, అన్ని ఉపరితలాలు డో"&amp;"ప్డ్ ఎయిర్‌క్రాఫ్ట్ ఫాబ్రిక్‌లో కప్పబడి ఉంటాయి. దీని 30 అడుగుల (9.1 మీ) స్పాన్ వింగ్ 123 చదరపు అడుగులు (11.4 మీ 2) మరియు ఫ్లాపెరాన్లను కలిగి ఉంది. బ్యాక్‌కంట్రీ 100 HP (75 kW) స్ట్రాటస్ EA 81 ఆటోమోటివ్ మార్పిడి ఫోర్-స్ట్రోక్ పవర్‌ప్లాంట్‌ను ఉపయోగించడానికి"&amp;" రూపొందించబడింది. [1] [2] [3] ఆసక్తిగల రూపకల్పనలో మెరుగుదలలు యూరోపియన్ ఉమ్మడి విమానయాన అవసరాలను 1,400 పౌండ్లు (635 కిలోల) స్థూల బరువుతో పాటించడానికి విమానం పున es రూపకల్పన చేయడం, ఫ్యూజ్‌లేజ్‌ను 16 లో (41 సెం.మీ) విస్తరించి, ప్రధాన ల్యాండింగ్ గేర్ కాళ్లను "&amp;"అల్యూమినియమ్‌కు మారుస్తుంది. 74 అంగుళాల (1.9 మీ) ట్రాక్ ఉన్న గేర్, విండ్‌షీల్డ్ యొక్క కోణాన్ని పెంచుతుంది, నియంత్రణ వ్యవస్థను సరళీకృతం చేస్తుంది మరియు అవకలన ఫ్లాపెరాన్ వ్యవస్థను రూపొందించడం, సామాను ప్రాప్యతను మెరుగుపరచడానికి కాక్‌పిట్ ప్రాంతంలో నిర్మాణాన్"&amp;"ని పున es రూపకల్పన చేయడం, కొత్త సీట్లను జోడించడం, కాక్‌పిట్ హెడ్‌రూమ్ మరియు పెంచడం లెగ్‌రూమ్, విస్తృత కాక్‌పిట్ తలుపులు మరియు ఎక్కువ కాక్‌పిట్ వెడల్పును పరిచయం చేస్తుంది, టెయిల్‌వీల్ స్ప్రింగ్‌ను మరింత బలం కోసం సవరించడం మరియు సుబారు ఇంజిన్ మరియు ఇతర ఇంజిన"&amp;"్ డిజైన్లకు అనుగుణంగా కొత్త ఇంజిన్ కౌలింగ్‌ను రూపొందించడం. [3] [5] సంస్థ ఇప్పటికే ఉన్న MK IV ల కోసం మార్పిడి కిట్‌ను కూడా అందించింది. [1] [3] బేయర్ల్ మరియు కిట్‌ప్లాన్‌ల నుండి డేటా [1] [2] సాధారణ లక్షణాల పనితీరు")</f>
        <v>ఎయిర్‌డేల్ బ్యాక్‌కంట్రీ ఒక అమెరికన్ te త్సాహిక-నిర్మిత విమానం, దీనిని బ్రెట్ మెకిన్నే రూపొందించారు మరియు జాన్ లార్సెన్ యొక్క ఆసక్తిగల MK IV డిజైన్ ఆధారంగా. దీనిని విస్కాన్సిన్‌లోని రైన్‌లాండర్‌కు చెందిన ఎయిర్‌డేల్ ఫ్లైయర్ కంపెనీ నిర్మించింది, కాని ఈ సంస్థ 2017 లో వ్యాపారం నుండి బయటపడింది మరియు ఉత్పత్తి ముగిసింది. ఇది అందుబాటులో ఉన్నప్పుడు విమానం te త్సాహిక నిర్మాణానికి కిట్‌గా సరఫరా చేయబడింది. [1] [2] [3] [4] బ్యాక్‌కంట్రీలో స్ట్రట్-బ్రేస్డ్ హై-వింగ్, యాక్సెస్ కోసం తలుపులతో రెండు-సైడ్-సైడ్-సైడ్ కాన్ఫిగరేషన్ పరివేష్టిత కాక్‌పిట్, స్థిర సాంప్రదాయ ల్యాండింగ్ గేర్ మరియు ట్రాక్టర్ కాన్ఫిగరేషన్‌లో ఒకే ఇంజిన్ ఉన్నాయి. [1] [2] [ 3] విమానం ఫ్యూజ్‌లేజ్ వెల్డెడ్ 4130 స్టీల్ గొట్టాల నుండి తయారవుతుంది, అయితే రెక్క అల్యూమినియం నిర్మాణానికి చెందినది, అన్ని ఉపరితలాలు డోప్డ్ ఎయిర్‌క్రాఫ్ట్ ఫాబ్రిక్‌లో కప్పబడి ఉంటాయి. దీని 30 అడుగుల (9.1 మీ) స్పాన్ వింగ్ 123 చదరపు అడుగులు (11.4 మీ 2) మరియు ఫ్లాపెరాన్లను కలిగి ఉంది. బ్యాక్‌కంట్రీ 100 HP (75 kW) స్ట్రాటస్ EA 81 ఆటోమోటివ్ మార్పిడి ఫోర్-స్ట్రోక్ పవర్‌ప్లాంట్‌ను ఉపయోగించడానికి రూపొందించబడింది. [1] [2] [3] ఆసక్తిగల రూపకల్పనలో మెరుగుదలలు యూరోపియన్ ఉమ్మడి విమానయాన అవసరాలను 1,400 పౌండ్లు (635 కిలోల) స్థూల బరువుతో పాటించడానికి విమానం పున es రూపకల్పన చేయడం, ఫ్యూజ్‌లేజ్‌ను 16 లో (41 సెం.మీ) విస్తరించి, ప్రధాన ల్యాండింగ్ గేర్ కాళ్లను అల్యూమినియమ్‌కు మారుస్తుంది. 74 అంగుళాల (1.9 మీ) ట్రాక్ ఉన్న గేర్, విండ్‌షీల్డ్ యొక్క కోణాన్ని పెంచుతుంది, నియంత్రణ వ్యవస్థను సరళీకృతం చేస్తుంది మరియు అవకలన ఫ్లాపెరాన్ వ్యవస్థను రూపొందించడం, సామాను ప్రాప్యతను మెరుగుపరచడానికి కాక్‌పిట్ ప్రాంతంలో నిర్మాణాన్ని పున es రూపకల్పన చేయడం, కొత్త సీట్లను జోడించడం, కాక్‌పిట్ హెడ్‌రూమ్ మరియు పెంచడం లెగ్‌రూమ్, విస్తృత కాక్‌పిట్ తలుపులు మరియు ఎక్కువ కాక్‌పిట్ వెడల్పును పరిచయం చేస్తుంది, టెయిల్‌వీల్ స్ప్రింగ్‌ను మరింత బలం కోసం సవరించడం మరియు సుబారు ఇంజిన్ మరియు ఇతర ఇంజిన్ డిజైన్లకు అనుగుణంగా కొత్త ఇంజిన్ కౌలింగ్‌ను రూపొందించడం. [3] [5] సంస్థ ఇప్పటికే ఉన్న MK IV ల కోసం మార్పిడి కిట్‌ను కూడా అందించింది. [1] [3] బేయర్ల్ మరియు కిట్‌ప్లాన్‌ల నుండి డేటా [1] [2] సాధారణ లక్షణాల పనితీరు</v>
      </c>
      <c r="E190" s="1" t="s">
        <v>1071</v>
      </c>
      <c r="F190" s="1" t="str">
        <f>IFERROR(__xludf.DUMMYFUNCTION("GOOGLETRANSLATE(E:E, ""en"", ""te"")"),"Te త్సాహిక నిర్మించిన విమానం")</f>
        <v>Te త్సాహిక నిర్మించిన విమానం</v>
      </c>
      <c r="G190" s="1" t="s">
        <v>1072</v>
      </c>
      <c r="H190" s="1" t="s">
        <v>227</v>
      </c>
      <c r="I190" s="1" t="str">
        <f>IFERROR(__xludf.DUMMYFUNCTION("GOOGLETRANSLATE(H:H, ""en"", ""te"")"),"అమెరికా")</f>
        <v>అమెరికా</v>
      </c>
      <c r="J190" s="3" t="s">
        <v>228</v>
      </c>
      <c r="K190" s="1" t="s">
        <v>2798</v>
      </c>
      <c r="L190" s="2" t="str">
        <f>IFERROR(__xludf.DUMMYFUNCTION("GOOGLETRANSLATE(K:K, ""en"", ""te"")"),"ఎయిర్‌డేల్ ఫ్లైయర్ కంపెనీ")</f>
        <v>ఎయిర్‌డేల్ ఫ్లైయర్ కంపెనీ</v>
      </c>
      <c r="M190" s="1" t="s">
        <v>2799</v>
      </c>
      <c r="N190" s="1" t="s">
        <v>2182</v>
      </c>
      <c r="O190" s="1" t="str">
        <f>IFERROR(__xludf.DUMMYFUNCTION("GOOGLETRANSLATE(N:N, ""en"", ""te"")"),"ఉత్పత్తి పూర్తయింది (2017)")</f>
        <v>ఉత్పత్తి పూర్తయింది (2017)</v>
      </c>
      <c r="Q190" s="1" t="s">
        <v>162</v>
      </c>
      <c r="R190" s="1" t="s">
        <v>2800</v>
      </c>
      <c r="S190" s="1" t="s">
        <v>2801</v>
      </c>
      <c r="U190" s="1" t="s">
        <v>2802</v>
      </c>
      <c r="X190" s="1" t="s">
        <v>2803</v>
      </c>
      <c r="Y190" s="1" t="s">
        <v>2804</v>
      </c>
      <c r="Z190" s="1" t="s">
        <v>2805</v>
      </c>
      <c r="AA190" s="1" t="s">
        <v>2806</v>
      </c>
      <c r="AB190" s="1" t="s">
        <v>2807</v>
      </c>
      <c r="AF190" s="1" t="s">
        <v>2808</v>
      </c>
      <c r="AI190" s="1" t="s">
        <v>2809</v>
      </c>
      <c r="AM190" s="1" t="s">
        <v>330</v>
      </c>
      <c r="AS190" s="1" t="s">
        <v>2810</v>
      </c>
      <c r="AU190" s="1" t="s">
        <v>2811</v>
      </c>
      <c r="BO190" s="1" t="s">
        <v>2812</v>
      </c>
      <c r="BP190" s="1" t="s">
        <v>1289</v>
      </c>
      <c r="BR190" s="1" t="s">
        <v>2813</v>
      </c>
    </row>
    <row r="191">
      <c r="A191" s="1" t="s">
        <v>2814</v>
      </c>
      <c r="B191" s="1" t="str">
        <f>IFERROR(__xludf.DUMMYFUNCTION("GOOGLETRANSLATE(A:A, ""en"", ""te"")"),"ఎయిర్ ఫ్లో ట్విన్బీ")</f>
        <v>ఎయిర్ ఫ్లో ట్విన్బీ</v>
      </c>
      <c r="C191" s="1" t="s">
        <v>2815</v>
      </c>
      <c r="D191" s="1" t="str">
        <f>IFERROR(__xludf.DUMMYFUNCTION("GOOGLETRANSLATE(C:C, ""en"", ""te"")"),"ఎయిర్ఫ్లో ట్విన్బీ అనేది బెల్జియన్ అల్ట్రాలైట్ విమానం, ఇది బ్రస్సెల్స్ యొక్క ఎయిర్ఫ్లో S.P.R.L. చేత రూపొందించబడింది మరియు ఉత్పత్తి చేయబడింది మరియు 2010 లో ఫ్రెడరిచ్ షాఫెన్లో జరిగిన ఏరో షోలో ప్రవేశపెట్టబడింది. ఈ విమానం te త్సాహిక నిర్మాణానికి కిట్‌గా లేదా "&amp;"పూర్తి రెడీ-టు-ఫ్లీగా సరఫరా చేయబడుతుంది. విమానం. [1] [2] ఈ విమానం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ల్యాం"&amp;"డింగ్ గేర్ మరియు ట్రాక్టర్ కాన్ఫిగరేషన్‌లో ఒకే ఇంజిన్ కలిగి ఉంది. [1] [2] విమానం ఫ్యూజ్‌లేజ్ మిశ్రమ చర్మంతో కప్పబడిన వెల్డెడ్ స్టెయిన్‌లెస్ స్టీల్ గొట్టాల నుండి తయారవుతుంది. తోక బూమ్ ఒకే అల్యూమినియం ట్యూబ్. 9.33 మీ (30.6 అడుగులు) స్పాన్ వింగ్ అల్యూమినియం "&amp;"షీట్ నుండి తయారవుతుంది మరియు జంకర్స్-శైలి ఐలెరాన్లను కలిగి ఉంటుంది. భూమి రవాణా లేదా నిల్వ కోసం రెక్కలను ముడుచుకోవచ్చు. ప్రామాణిక ఇంజన్లు 85 హెచ్‌పి (63 కిలోవాట్) వెర్నర్ 133 ఎమ్ మరియు 80 హెచ్‌పి (60 కిలోవాట్ బేయర్ల్ మరియు తయారీదారు నుండి డేటా [1] [3] సాధా"&amp;"రణ లక్షణాల పనితీరు")</f>
        <v>ఎయిర్ఫ్లో ట్విన్బీ అనేది బెల్జియన్ అల్ట్రాలైట్ విమానం, ఇది బ్రస్సెల్స్ యొక్క ఎయిర్ఫ్లో S.P.R.L. చేత రూపొందించబడింది మరియు ఉత్పత్తి చేయబడింది మరియు 2010 లో ఫ్రెడరిచ్ షాఫెన్లో జరిగిన ఏరో షోలో ప్రవేశపెట్టబడింది. ఈ విమానం te త్సాహిక నిర్మాణానికి కిట్‌గా లేదా పూర్తి రెడీ-టు-ఫ్లీగా సరఫరా చేయబడుతుంది. విమానం. [1] [2] ఈ విమానం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విమానం ఫ్యూజ్‌లేజ్ మిశ్రమ చర్మంతో కప్పబడిన వెల్డెడ్ స్టెయిన్‌లెస్ స్టీల్ గొట్టాల నుండి తయారవుతుంది. తోక బూమ్ ఒకే అల్యూమినియం ట్యూబ్. 9.33 మీ (30.6 అడుగులు) స్పాన్ వింగ్ అల్యూమినియం షీట్ నుండి తయారవుతుంది మరియు జంకర్స్-శైలి ఐలెరాన్లను కలిగి ఉంటుంది. భూమి రవాణా లేదా నిల్వ కోసం రెక్కలను ముడుచుకోవచ్చు. ప్రామాణిక ఇంజన్లు 85 హెచ్‌పి (63 కిలోవాట్) వెర్నర్ 133 ఎమ్ మరియు 80 హెచ్‌పి (60 కిలోవాట్ బేయర్ల్ మరియు తయారీదారు నుండి డేటా [1] [3] సాధారణ లక్షణాల పనితీరు</v>
      </c>
      <c r="E191" s="1" t="s">
        <v>1056</v>
      </c>
      <c r="F191" s="1" t="str">
        <f>IFERROR(__xludf.DUMMYFUNCTION("GOOGLETRANSLATE(E:E, ""en"", ""te"")"),"అల్ట్రాలైట్ విమానం")</f>
        <v>అల్ట్రాలైట్ విమానం</v>
      </c>
      <c r="G191" s="1" t="s">
        <v>1057</v>
      </c>
      <c r="H191" s="1" t="s">
        <v>2816</v>
      </c>
      <c r="I191" s="1" t="str">
        <f>IFERROR(__xludf.DUMMYFUNCTION("GOOGLETRANSLATE(H:H, ""en"", ""te"")"),"బెల్జియం")</f>
        <v>బెల్జియం</v>
      </c>
      <c r="J191" s="3" t="s">
        <v>2817</v>
      </c>
      <c r="K191" s="1" t="s">
        <v>2818</v>
      </c>
      <c r="L191" s="2" t="str">
        <f>IFERROR(__xludf.DUMMYFUNCTION("GOOGLETRANSLATE(K:K, ""en"", ""te"")"),"ఎయిర్ ఫ్లో S.P.R.L.")</f>
        <v>ఎయిర్ ఫ్లో S.P.R.L.</v>
      </c>
      <c r="M191" s="1" t="s">
        <v>2819</v>
      </c>
      <c r="N191" s="1" t="s">
        <v>584</v>
      </c>
      <c r="O191" s="1" t="str">
        <f>IFERROR(__xludf.DUMMYFUNCTION("GOOGLETRANSLATE(N:N, ""en"", ""te"")"),"ఉత్పత్తిలో")</f>
        <v>ఉత్పత్తిలో</v>
      </c>
      <c r="Q191" s="1" t="s">
        <v>162</v>
      </c>
      <c r="R191" s="1" t="s">
        <v>2820</v>
      </c>
      <c r="S191" s="1" t="s">
        <v>2821</v>
      </c>
      <c r="U191" s="1" t="s">
        <v>2822</v>
      </c>
      <c r="X191" s="1" t="s">
        <v>2823</v>
      </c>
      <c r="Y191" s="1" t="s">
        <v>630</v>
      </c>
      <c r="Z191" s="1" t="s">
        <v>2824</v>
      </c>
      <c r="AA191" s="1" t="s">
        <v>175</v>
      </c>
      <c r="AC191" s="1">
        <v>2010.0</v>
      </c>
      <c r="AF191" s="1" t="s">
        <v>2825</v>
      </c>
      <c r="AG191" s="1" t="s">
        <v>2826</v>
      </c>
      <c r="AI191" s="1" t="s">
        <v>2827</v>
      </c>
      <c r="AM191" s="1" t="s">
        <v>330</v>
      </c>
      <c r="AS191" s="1" t="s">
        <v>2117</v>
      </c>
      <c r="AU191" s="1" t="s">
        <v>2828</v>
      </c>
      <c r="BJ191" s="1" t="s">
        <v>2829</v>
      </c>
      <c r="BL191" s="1" t="s">
        <v>1241</v>
      </c>
      <c r="BM191" s="1">
        <v>10.0</v>
      </c>
      <c r="BP191" s="1" t="s">
        <v>1068</v>
      </c>
    </row>
    <row r="192">
      <c r="A192" s="1" t="s">
        <v>2830</v>
      </c>
      <c r="B192" s="1" t="str">
        <f>IFERROR(__xludf.DUMMYFUNCTION("GOOGLETRANSLATE(A:A, ""en"", ""te"")"),"ఎయిర్ఫ్రేమ్స్ అన్‌లిమిటెడ్ టి -103")</f>
        <v>ఎయిర్ఫ్రేమ్స్ అన్‌లిమిటెడ్ టి -103</v>
      </c>
      <c r="C192" s="1" t="s">
        <v>2831</v>
      </c>
      <c r="D192" s="1" t="str">
        <f>IFERROR(__xludf.DUMMYFUNCTION("GOOGLETRANSLATE(C:C, ""en"", ""te"")"),"ఎయిర్ఫ్రేమ్స్ అన్‌లిమిటెడ్ టి -103 అనేది టెక్సాస్‌లోని ఏథెన్స్ అన్‌లిమిటెడ్ ఎయిర్ఫ్రేమ్స్ అన్‌లిమిటెడ్ చేత రూపొందించబడిన మరియు ఉత్పత్తి చేయబడిన ఒక అమెరికన్ శక్తితో కూడిన పారాచూట్. [1] [2] ఈ విమానం మొదట టెక్సాస్‌లోని ఏథెన్స్ యొక్క శక్తితో కూడిన పారాచూట్ ప్"&amp;"రణాళికల ద్వారా మాత్రమే ప్రణాళికలుగా అందించబడింది. పూర్తి విమానాల కోసం భాగాలు అందుబాటులోకి వచ్చినప్పుడు వీటిని ఎయిర్ఫ్రేమ్స్ అన్‌లిమిటెడ్ సరఫరా చేసింది మరియు క్రమంగా రెండు సంస్థలు తరువాతి పేరుతో ఏకీకృతం చేయబడ్డాయి. [1] [2] వర్గం యొక్క గరిష్ట ఖాళీ బరువు 254"&amp;" పౌండ్లు (115 కిలోలు) తో సహా యుఎస్ ఫార్ 103 అల్ట్రాలైట్ వెహికల్స్ నిబంధనలకు అనుగుణంగా ఈ విమానం రూపొందించబడింది. తయారీదారు ""టి -103 ను పార్ట్ 103 లో ఎటువంటి ఇబ్బంది లేకుండా నిర్మించవచ్చు"" అని చెప్పారు. ఇది పారాచూట్-శైలి హై-వింగ్, రెండు-సీట్ల-టెన్డం, ట్రై"&amp;"సైకిల్ ల్యాండింగ్ గేర్‌ను కలిగి ఉంది మరియు అనేక రకాల రెండు స్ట్రోక్ మరియు నాలుగు స్ట్రోక్ ఇంజన్లను పషర్ కాన్ఫిగరేషన్‌లో అమర్చారు. [1] [3] ఈ విమానం వెల్డెడ్ 4130 స్టీల్ గొట్టాల నుండి నిర్మించబడింది, 6061-టి 6 అల్యూమినియం ఇంజిన్ మౌంట్ ప్లేట్. ఫ్లైట్ స్టీరిం"&amp;"గ్‌లో పందిరి బ్రేక్‌లను అమలు చేసే లివర్స్ ద్వారా సాధించబడుతుంది, రోల్ మరియు యావ్ సృష్టిస్తుంది. మైదానంలో విమానంలో లివర్-నియంత్రిత నోస్‌వీల్ స్టీరింగ్ ఉంది. ప్రధాన ల్యాండింగ్ గేర్ స్ప్రింగ్ రాడ్ సస్పెన్షన్‌ను కలిగి ఉంటుంది. డిజైన్ సరైన పందిరి అటాచ్మెంట్ పా"&amp;"యింట్‌ను స్థాపించడానికి ""సిజి స్ప్రెడర్ బార్"" అని పిలువబడే ఓవర్‌హెడ్ సర్దుబాటు పందిరి హాంగ్ పాయింట్‌ను ఉపయోగిస్తుంది మరియు అందువల్ల విమానం యొక్క విమాన వైఖరి మరియు టార్క్ ఆఫ్‌సెట్. [1] ఈ విమానం మొదట మైక్రోసాఫ్ట్ వర్డ్ .డాక్ ఫార్మాట్‌లో సిడి-రామ్‌లో అందిం"&amp;"చిన ఇలస్ట్రేటెడ్ ప్లాన్‌ల రూపంలో మాత్రమే సరఫరా చేయబడింది. తరువాతి భాగాలు మరియు ఉప-సమావేశాలు అందుబాటులో ఉంచబడ్డాయి మరియు తరువాత క్యారేజీలు, తక్కువ పందిరి, ప్రొపెల్లర్ మరియు ఇంజిన్. [1] [3]")</f>
        <v>ఎయిర్ఫ్రేమ్స్ అన్‌లిమిటెడ్ టి -103 అనేది టెక్సాస్‌లోని ఏథెన్స్ అన్‌లిమిటెడ్ ఎయిర్ఫ్రేమ్స్ అన్‌లిమిటెడ్ చేత రూపొందించబడిన మరియు ఉత్పత్తి చేయబడిన ఒక అమెరికన్ శక్తితో కూడిన పారాచూట్. [1] [2] ఈ విమానం మొదట టెక్సాస్‌లోని ఏథెన్స్ యొక్క శక్తితో కూడిన పారాచూట్ ప్రణాళికల ద్వారా మాత్రమే ప్రణాళికలుగా అందించబడింది. పూర్తి విమానాల కోసం భాగాలు అందుబాటులోకి వచ్చినప్పుడు వీటిని ఎయిర్ఫ్రేమ్స్ అన్‌లిమిటెడ్ సరఫరా చేసింది మరియు క్రమంగా రెండు సంస్థలు తరువాతి పేరుతో ఏకీకృతం చేయబడ్డాయి. [1] [2] వర్గం యొక్క గరిష్ట ఖాళీ బరువు 254 పౌండ్లు (115 కిలోలు) తో సహా యుఎస్ ఫార్ 103 అల్ట్రాలైట్ వెహికల్స్ నిబంధనలకు అనుగుణంగా ఈ విమానం రూపొందించబడింది. తయారీదారు "టి -103 ను పార్ట్ 103 లో ఎటువంటి ఇబ్బంది లేకుండా నిర్మించవచ్చు" అని చెప్పారు. ఇది పారాచూట్-శైలి హై-వింగ్, రెండు-సీట్ల-టెన్డం, ట్రైసైకిల్ ల్యాండింగ్ గేర్‌ను కలిగి ఉంది మరియు అనేక రకాల రెండు స్ట్రోక్ మరియు నాలుగు స్ట్రోక్ ఇంజన్లను పషర్ కాన్ఫిగరేషన్‌లో అమర్చారు. [1] [3] ఈ విమానం వెల్డెడ్ 4130 స్టీల్ గొట్టాల నుండి నిర్మించబడింది, 6061-టి 6 అల్యూమినియం ఇంజిన్ మౌంట్ ప్లేట్. ఫ్లైట్ స్టీరింగ్‌లో పందిరి బ్రేక్‌లను అమలు చేసే లివర్స్ ద్వారా సాధించబడుతుంది, రోల్ మరియు యావ్ సృష్టిస్తుంది. మైదానంలో విమానంలో లివర్-నియంత్రిత నోస్‌వీల్ స్టీరింగ్ ఉంది. ప్రధాన ల్యాండింగ్ గేర్ స్ప్రింగ్ రాడ్ సస్పెన్షన్‌ను కలిగి ఉంటుంది. డిజైన్ సరైన పందిరి అటాచ్మెంట్ పాయింట్‌ను స్థాపించడానికి "సిజి స్ప్రెడర్ బార్" అని పిలువబడే ఓవర్‌హెడ్ సర్దుబాటు పందిరి హాంగ్ పాయింట్‌ను ఉపయోగిస్తుంది మరియు అందువల్ల విమానం యొక్క విమాన వైఖరి మరియు టార్క్ ఆఫ్‌సెట్. [1] ఈ విమానం మొదట మైక్రోసాఫ్ట్ వర్డ్ .డాక్ ఫార్మాట్‌లో సిడి-రామ్‌లో అందించిన ఇలస్ట్రేటెడ్ ప్లాన్‌ల రూపంలో మాత్రమే సరఫరా చేయబడింది. తరువాతి భాగాలు మరియు ఉప-సమావేశాలు అందుబాటులో ఉంచబడ్డాయి మరియు తరువాత క్యారేజీలు, తక్కువ పందిరి, ప్రొపెల్లర్ మరియు ఇంజిన్. [1] [3]</v>
      </c>
      <c r="E192" s="1" t="s">
        <v>2832</v>
      </c>
      <c r="F192" s="1" t="str">
        <f>IFERROR(__xludf.DUMMYFUNCTION("GOOGLETRANSLATE(E:E, ""en"", ""te"")"),"శక్తితో కూడిన పారాచూట్")</f>
        <v>శక్తితో కూడిన పారాచూట్</v>
      </c>
      <c r="G192" s="1" t="s">
        <v>2833</v>
      </c>
      <c r="H192" s="1" t="s">
        <v>227</v>
      </c>
      <c r="I192" s="1" t="str">
        <f>IFERROR(__xludf.DUMMYFUNCTION("GOOGLETRANSLATE(H:H, ""en"", ""te"")"),"అమెరికా")</f>
        <v>అమెరికా</v>
      </c>
      <c r="J192" s="3" t="s">
        <v>228</v>
      </c>
      <c r="K192" s="1" t="s">
        <v>2834</v>
      </c>
      <c r="L192" s="2" t="str">
        <f>IFERROR(__xludf.DUMMYFUNCTION("GOOGLETRANSLATE(K:K, ""en"", ""te"")"),"ఎయిర్ఫ్రేమ్స్ అన్‌లిమిటెడ్")</f>
        <v>ఎయిర్ఫ్రేమ్స్ అన్‌లిమిటెడ్</v>
      </c>
      <c r="M192" s="1" t="s">
        <v>2835</v>
      </c>
      <c r="N192" s="1" t="s">
        <v>584</v>
      </c>
      <c r="O192" s="1" t="str">
        <f>IFERROR(__xludf.DUMMYFUNCTION("GOOGLETRANSLATE(N:N, ""en"", ""te"")"),"ఉత్పత్తిలో")</f>
        <v>ఉత్పత్తిలో</v>
      </c>
    </row>
    <row r="193">
      <c r="A193" s="1" t="s">
        <v>2836</v>
      </c>
      <c r="B193" s="1" t="str">
        <f>IFERROR(__xludf.DUMMYFUNCTION("GOOGLETRANSLATE(A:A, ""en"", ""te"")"),"ఎయిర్ఫ్రేమ్స్ అన్‌లిమిటెడ్ టి -2")</f>
        <v>ఎయిర్ఫ్రేమ్స్ అన్‌లిమిటెడ్ టి -2</v>
      </c>
      <c r="C193" s="1" t="s">
        <v>2837</v>
      </c>
      <c r="D193" s="1" t="str">
        <f>IFERROR(__xludf.DUMMYFUNCTION("GOOGLETRANSLATE(C:C, ""en"", ""te"")"),"ఎయిర్ఫ్రేమ్స్ అన్‌లిమిటెడ్ టి -2 అనేది టెక్సాస్‌లోని ఏథెన్స్ అన్‌లిమిటెడ్ ఎయిర్ఫ్రేమ్స్ అన్‌లిమిటెడ్ చేత రూపొందించబడిన మరియు ఉత్పత్తి చేయబడిన ఒక అమెరికన్ శక్తితో కూడిన పారాచూట్. [1] [2] ఈ విమానం మొదట టెక్సాస్‌లోని ఏథెన్స్ యొక్క శక్తితో కూడిన పారాచూట్ ప్రణ"&amp;"ాళికల ద్వారా మాత్రమే ప్రణాళికలుగా అందించబడింది. పూర్తి విమానాల కోసం భాగాలు అందుబాటులోకి వచ్చినప్పుడు వీటిని ఎయిర్ఫ్రేమ్స్ అన్‌లిమిటెడ్ సరఫరా చేసింది మరియు క్రమంగా రెండు సంస్థలు తరువాతి పేరుతో ఏకీకృతం చేయబడ్డాయి. [1] [2] ఈ విమానం యుఎస్ ప్రయోగాత్మక - te త్స"&amp;"ాహిక నిర్మించిన నియమాలకు అనుగుణంగా రూపొందించబడింది. ఇది పారాచూట్-శైలి హై-వింగ్, రెండు-సీట్ల-టెన్డం, ట్రైసైకిల్ ల్యాండింగ్ గేర్‌ను కలిగి ఉంది మరియు అనేక రకాల రెండు స్ట్రోక్ మరియు నాలుగు స్ట్రోక్ ఇంజన్లను పషర్ కాన్ఫిగరేషన్‌లో అమర్చారు. [1] ఈ విమానం వెల్డెడ్"&amp;" 4130 స్టీల్ గొట్టాల నుండి నిర్మించబడింది, 6061-టి 6 అల్యూమినియం ఇంజిన్ మౌంట్ ప్లేట్. ఫ్లైట్ స్టీరింగ్‌లో పందిరి బ్రేక్‌లను అమలు చేసే లివర్స్ ద్వారా సాధించబడుతుంది, రోల్ మరియు యావ్ సృష్టిస్తుంది. మైదానంలో విమానంలో లివర్-నియంత్రిత నోస్‌వీల్ స్టీరింగ్ ఉంది."&amp;" ప్రధాన ల్యాండింగ్ గేర్ స్ప్రింగ్ రాడ్ సస్పెన్షన్‌ను కలిగి ఉంటుంది. డిజైన్ సరైన పందిరి అటాచ్మెంట్ పాయింట్‌ను స్థాపించడానికి ""సిజి స్ప్రెడర్ బార్"" అని పిలువబడే ఓవర్‌హెడ్ సర్దుబాటు పందిరి హాంగ్ పాయింట్‌ను ఉపయోగిస్తుంది మరియు అందువల్ల విమానం యొక్క విమాన వై"&amp;"ఖరి మరియు టార్క్ ఆఫ్‌సెట్. [1] ఈ విమానం మొదట మైక్రోసాఫ్ట్ వర్డ్ .డాక్ ఫార్మాట్‌లో సిడి-రామ్‌లో అందించిన ఇలస్ట్రేటెడ్ ప్లాన్‌ల రూపంలో మాత్రమే సరఫరా చేయబడింది. తరువాతి భాగాలు మరియు ఉప-సమావేశాలు అందుబాటులో ఉంచబడ్డాయి మరియు తరువాత క్యారేజీలు, తక్కువ పందిరి, ప"&amp;"్రొపెల్లర్ మరియు ఇంజిన్. [1] [3]")</f>
        <v>ఎయిర్ఫ్రేమ్స్ అన్‌లిమిటెడ్ టి -2 అనేది టెక్సాస్‌లోని ఏథెన్స్ అన్‌లిమిటెడ్ ఎయిర్ఫ్రేమ్స్ అన్‌లిమిటెడ్ చేత రూపొందించబడిన మరియు ఉత్పత్తి చేయబడిన ఒక అమెరికన్ శక్తితో కూడిన పారాచూట్. [1] [2] ఈ విమానం మొదట టెక్సాస్‌లోని ఏథెన్స్ యొక్క శక్తితో కూడిన పారాచూట్ ప్రణాళికల ద్వారా మాత్రమే ప్రణాళికలుగా అందించబడింది. పూర్తి విమానాల కోసం భాగాలు అందుబాటులోకి వచ్చినప్పుడు వీటిని ఎయిర్ఫ్రేమ్స్ అన్‌లిమిటెడ్ సరఫరా చేసింది మరియు క్రమంగా రెండు సంస్థలు తరువాతి పేరుతో ఏకీకృతం చేయబడ్డాయి. [1] [2] ఈ విమానం యుఎస్ ప్రయోగాత్మక - te త్సాహిక నిర్మించిన నియమాలకు అనుగుణంగా రూపొందించబడింది. ఇది పారాచూట్-శైలి హై-వింగ్, రెండు-సీట్ల-టెన్డం, ట్రైసైకిల్ ల్యాండింగ్ గేర్‌ను కలిగి ఉంది మరియు అనేక రకాల రెండు స్ట్రోక్ మరియు నాలుగు స్ట్రోక్ ఇంజన్లను పషర్ కాన్ఫిగరేషన్‌లో అమర్చారు. [1] ఈ విమానం వెల్డెడ్ 4130 స్టీల్ గొట్టాల నుండి నిర్మించబడింది, 6061-టి 6 అల్యూమినియం ఇంజిన్ మౌంట్ ప్లేట్. ఫ్లైట్ స్టీరింగ్‌లో పందిరి బ్రేక్‌లను అమలు చేసే లివర్స్ ద్వారా సాధించబడుతుంది, రోల్ మరియు యావ్ సృష్టిస్తుంది. మైదానంలో విమానంలో లివర్-నియంత్రిత నోస్‌వీల్ స్టీరింగ్ ఉంది. ప్రధాన ల్యాండింగ్ గేర్ స్ప్రింగ్ రాడ్ సస్పెన్షన్‌ను కలిగి ఉంటుంది. డిజైన్ సరైన పందిరి అటాచ్మెంట్ పాయింట్‌ను స్థాపించడానికి "సిజి స్ప్రెడర్ బార్" అని పిలువబడే ఓవర్‌హెడ్ సర్దుబాటు పందిరి హాంగ్ పాయింట్‌ను ఉపయోగిస్తుంది మరియు అందువల్ల విమానం యొక్క విమాన వైఖరి మరియు టార్క్ ఆఫ్‌సెట్. [1] ఈ విమానం మొదట మైక్రోసాఫ్ట్ వర్డ్ .డాక్ ఫార్మాట్‌లో సిడి-రామ్‌లో అందించిన ఇలస్ట్రేటెడ్ ప్లాన్‌ల రూపంలో మాత్రమే సరఫరా చేయబడింది. తరువాతి భాగాలు మరియు ఉప-సమావేశాలు అందుబాటులో ఉంచబడ్డాయి మరియు తరువాత క్యారేజీలు, తక్కువ పందిరి, ప్రొపెల్లర్ మరియు ఇంజిన్. [1] [3]</v>
      </c>
      <c r="E193" s="1" t="s">
        <v>2832</v>
      </c>
      <c r="F193" s="1" t="str">
        <f>IFERROR(__xludf.DUMMYFUNCTION("GOOGLETRANSLATE(E:E, ""en"", ""te"")"),"శక్తితో కూడిన పారాచూట్")</f>
        <v>శక్తితో కూడిన పారాచూట్</v>
      </c>
      <c r="G193" s="1" t="s">
        <v>2833</v>
      </c>
      <c r="H193" s="1" t="s">
        <v>227</v>
      </c>
      <c r="I193" s="1" t="str">
        <f>IFERROR(__xludf.DUMMYFUNCTION("GOOGLETRANSLATE(H:H, ""en"", ""te"")"),"అమెరికా")</f>
        <v>అమెరికా</v>
      </c>
      <c r="J193" s="3" t="s">
        <v>228</v>
      </c>
      <c r="K193" s="1" t="s">
        <v>2834</v>
      </c>
      <c r="L193" s="2" t="str">
        <f>IFERROR(__xludf.DUMMYFUNCTION("GOOGLETRANSLATE(K:K, ""en"", ""te"")"),"ఎయిర్ఫ్రేమ్స్ అన్‌లిమిటెడ్")</f>
        <v>ఎయిర్ఫ్రేమ్స్ అన్‌లిమిటెడ్</v>
      </c>
      <c r="M193" s="1" t="s">
        <v>2835</v>
      </c>
      <c r="N193" s="1" t="s">
        <v>584</v>
      </c>
      <c r="O193" s="1" t="str">
        <f>IFERROR(__xludf.DUMMYFUNCTION("GOOGLETRANSLATE(N:N, ""en"", ""te"")"),"ఉత్పత్తిలో")</f>
        <v>ఉత్పత్తిలో</v>
      </c>
    </row>
    <row r="194">
      <c r="A194" s="1" t="s">
        <v>2838</v>
      </c>
      <c r="B194" s="1" t="str">
        <f>IFERROR(__xludf.DUMMYFUNCTION("GOOGLETRANSLATE(A:A, ""en"", ""te"")"),"ఆల్స్టార్ SZD-54 పెర్కోజ్")</f>
        <v>ఆల్స్టార్ SZD-54 పెర్కోజ్</v>
      </c>
      <c r="C194" s="1" t="s">
        <v>2839</v>
      </c>
      <c r="D194" s="1" t="str">
        <f>IFERROR(__xludf.DUMMYFUNCTION("GOOGLETRANSLATE(C:C, ""en"", ""te"")"),"ఆల్స్టార్ SZD-54 పెర్కోజ్ (ఇంగ్లీష్: GREBE) అనేది పోలిష్ రెండు-సీట్ల, గ్లైడర్, ఇది బీల్స్కో-బియానా యొక్క ఆల్స్టార్ PZL గ్లైడర్ చేత రూపొందించబడింది మరియు ఉత్పత్తి చేయబడింది. [1] SZD-54 1991 లో రూపొందించబడింది, కాని పోలాండ్‌లో కంపెనీ మరియు రాజకీయ తిరుగుబాటు"&amp;" ఫలితంగా గ్లైడర్ 2011 వరకు ఉత్పత్తిలోకి రాలేదు. [1] ఈ విమానం యూరోపియన్ ఏవియేషన్ సేఫ్టీ ఏజెన్సీ CS22 ప్రమాణాలకు ధృవీకరించబడిన రకం. ఇది ఒక కాంటిలివర్ మిడ్-వింగ్, ఒక పెద్ద బబుల్ పందిరి కింద రెండు-సీట్ల-రుచిగల పరివేష్టిత కాక్‌పిట్ మరియు చిన్న నోస్‌వీల్ మరియు "&amp;"తోక క్యాస్టర్‌తో స్థిర మోనోహీల్ గేర్ కలిగి ఉంది. [1] ఈ విమానం ప్రధానంగా ఫైబర్గ్లాస్ నుండి తయారు చేయబడింది. దాని 20 మీ (65.6 అడుగులు) స్పాన్ వింగ్ 17.82 మీ 2 (191.8 చదరపు అడుగులు) మరియు ఎయిర్ బ్రేక్‌లను, అలాగే వింగ్లెట్‌లను మౌంట్ చేస్తుంది. ఐచ్ఛిక వింగ్ చి"&amp;"ట్కాలు 17.5 మీ (57.4 అడుగులు) కు యుటిలిటీ కేటగిరీలో వింగ్లెట్స్‌తో మరియు ఏరోబాటిక్స్ కోసం వింగ్లెట్స్ లేకుండా అందుబాటులో ఉన్నాయి. అన్ని నియంత్రణలు అసెంబ్లీపై స్వయంచాలకంగా కనెక్ట్ చేయబడతాయి. స్థిర ల్యాండింగ్ గేర్ ఉన్నప్పటికీ, SZD-54 ఉత్తమ గ్లైడ్ నిష్పత్తిన"&amp;"ి 42: 1 కలిగి ఉంది, ఇది 20 M (65.6 అడుగులు) స్పాన్ వింగ్‌తో. [1] SZD-54 లో 15,000 విమాన గంటలు డిజైన్ ఎయిర్ఫ్రేమ్ లైఫ్ ఉంది, కానీ 3,000 గంటలు ఆమోదించబడింది మరియు ఫ్యాక్టరీ నుండి రెండేళ్ల వారంటీతో వస్తుంది. [2] నవంబర్ 2012 నాటికి రెండు ఉదాహరణలు ఫెడరల్ ఏవియే"&amp;"షన్ అడ్మినిస్ట్రేషన్తో అమెరికాలో నమోదు చేయబడ్డాయి. [3] డిసెంబర్ 2017 లో, కొలంబియన్ వైమానిక దళం శిక్షణా ప్రయోజనాల కోసం రెండు SZD-54-2 గ్లైడర్‌లను అందుకుంది. [4] బేయర్ల్ మరియు ఆల్స్టార్ నుండి డేటా [1] [5] సాధారణ లక్షణాలు పనితీరు సంబంధిత జాబితాలు")</f>
        <v>ఆల్స్టార్ SZD-54 పెర్కోజ్ (ఇంగ్లీష్: GREBE) అనేది పోలిష్ రెండు-సీట్ల, గ్లైడర్, ఇది బీల్స్కో-బియానా యొక్క ఆల్స్టార్ PZL గ్లైడర్ చేత రూపొందించబడింది మరియు ఉత్పత్తి చేయబడింది. [1] SZD-54 1991 లో రూపొందించబడింది, కాని పోలాండ్‌లో కంపెనీ మరియు రాజకీయ తిరుగుబాటు ఫలితంగా గ్లైడర్ 2011 వరకు ఉత్పత్తిలోకి రాలేదు. [1] ఈ విమానం యూరోపియన్ ఏవియేషన్ సేఫ్టీ ఏజెన్సీ CS22 ప్రమాణాలకు ధృవీకరించబడిన రకం. ఇది ఒక కాంటిలివర్ మిడ్-వింగ్, ఒక పెద్ద బబుల్ పందిరి కింద రెండు-సీట్ల-రుచిగల పరివేష్టిత కాక్‌పిట్ మరియు చిన్న నోస్‌వీల్ మరియు తోక క్యాస్టర్‌తో స్థిర మోనోహీల్ గేర్ కలిగి ఉంది. [1] ఈ విమానం ప్రధానంగా ఫైబర్గ్లాస్ నుండి తయారు చేయబడింది. దాని 20 మీ (65.6 అడుగులు) స్పాన్ వింగ్ 17.82 మీ 2 (191.8 చదరపు అడుగులు) మరియు ఎయిర్ బ్రేక్‌లను, అలాగే వింగ్లెట్‌లను మౌంట్ చేస్తుంది. ఐచ్ఛిక వింగ్ చిట్కాలు 17.5 మీ (57.4 అడుగులు) కు యుటిలిటీ కేటగిరీలో వింగ్లెట్స్‌తో మరియు ఏరోబాటిక్స్ కోసం వింగ్లెట్స్ లేకుండా అందుబాటులో ఉన్నాయి. అన్ని నియంత్రణలు అసెంబ్లీపై స్వయంచాలకంగా కనెక్ట్ చేయబడతాయి. స్థిర ల్యాండింగ్ గేర్ ఉన్నప్పటికీ, SZD-54 ఉత్తమ గ్లైడ్ నిష్పత్తిని 42: 1 కలిగి ఉంది, ఇది 20 M (65.6 అడుగులు) స్పాన్ వింగ్‌తో. [1] SZD-54 లో 15,000 విమాన గంటలు డిజైన్ ఎయిర్ఫ్రేమ్ లైఫ్ ఉంది, కానీ 3,000 గంటలు ఆమోదించబడింది మరియు ఫ్యాక్టరీ నుండి రెండేళ్ల వారంటీతో వస్తుంది. [2] నవంబర్ 2012 నాటికి రెండు ఉదాహరణలు ఫెడరల్ ఏవియేషన్ అడ్మినిస్ట్రేషన్తో అమెరికాలో నమోదు చేయబడ్డాయి. [3] డిసెంబర్ 2017 లో, కొలంబియన్ వైమానిక దళం శిక్షణా ప్రయోజనాల కోసం రెండు SZD-54-2 గ్లైడర్‌లను అందుకుంది. [4] బేయర్ల్ మరియు ఆల్స్టార్ నుండి డేటా [1] [5] సాధారణ లక్షణాలు పనితీరు సంబంధిత జాబితాలు</v>
      </c>
      <c r="E194" s="1" t="s">
        <v>2840</v>
      </c>
      <c r="F194" s="1" t="str">
        <f>IFERROR(__xludf.DUMMYFUNCTION("GOOGLETRANSLATE(E:E, ""en"", ""te"")"),"గ్లైడర్")</f>
        <v>గ్లైడర్</v>
      </c>
      <c r="G194" s="3" t="s">
        <v>2841</v>
      </c>
      <c r="H194" s="1" t="s">
        <v>893</v>
      </c>
      <c r="I194" s="1" t="str">
        <f>IFERROR(__xludf.DUMMYFUNCTION("GOOGLETRANSLATE(H:H, ""en"", ""te"")"),"పోలాండ్")</f>
        <v>పోలాండ్</v>
      </c>
      <c r="J194" s="3" t="s">
        <v>1189</v>
      </c>
      <c r="K194" s="1" t="s">
        <v>2842</v>
      </c>
      <c r="L194" s="2" t="str">
        <f>IFERROR(__xludf.DUMMYFUNCTION("GOOGLETRANSLATE(K:K, ""en"", ""te"")"),"ఆల్స్టార్ PZL గ్లైడర్")</f>
        <v>ఆల్స్టార్ PZL గ్లైడర్</v>
      </c>
      <c r="M194" s="1" t="s">
        <v>2843</v>
      </c>
      <c r="N194" s="1" t="s">
        <v>1251</v>
      </c>
      <c r="O194" s="1" t="str">
        <f>IFERROR(__xludf.DUMMYFUNCTION("GOOGLETRANSLATE(N:N, ""en"", ""te"")"),"ఉత్పత్తిలో (2011)")</f>
        <v>ఉత్పత్తిలో (2011)</v>
      </c>
      <c r="P194" s="1" t="s">
        <v>2844</v>
      </c>
      <c r="Q194" s="1" t="s">
        <v>162</v>
      </c>
      <c r="R194" s="1" t="s">
        <v>2845</v>
      </c>
      <c r="S194" s="1" t="s">
        <v>2846</v>
      </c>
      <c r="T194" s="1">
        <v>24.75</v>
      </c>
      <c r="V194" s="1" t="s">
        <v>2847</v>
      </c>
      <c r="X194" s="1" t="s">
        <v>2848</v>
      </c>
      <c r="Y194" s="1" t="s">
        <v>2849</v>
      </c>
      <c r="AA194" s="1" t="s">
        <v>879</v>
      </c>
      <c r="AF194" s="1" t="s">
        <v>2850</v>
      </c>
      <c r="AG194" s="1" t="s">
        <v>2851</v>
      </c>
      <c r="AL194" s="1" t="s">
        <v>2852</v>
      </c>
      <c r="AM194" s="1" t="s">
        <v>330</v>
      </c>
      <c r="AU194" s="1" t="s">
        <v>2853</v>
      </c>
      <c r="BJ194" s="1" t="s">
        <v>711</v>
      </c>
      <c r="BL194" s="1" t="s">
        <v>2854</v>
      </c>
      <c r="BM194" s="1">
        <v>42.0</v>
      </c>
    </row>
    <row r="195">
      <c r="A195" s="1" t="s">
        <v>2855</v>
      </c>
      <c r="B195" s="1" t="str">
        <f>IFERROR(__xludf.DUMMYFUNCTION("GOOGLETRANSLATE(A:A, ""en"", ""te"")"),"అమెరికన్ ఎయిర్మోటివ్ NA-75")</f>
        <v>అమెరికన్ ఎయిర్మోటివ్ NA-75</v>
      </c>
      <c r="C195" s="1" t="s">
        <v>2856</v>
      </c>
      <c r="D195" s="1" t="str">
        <f>IFERROR(__xludf.DUMMYFUNCTION("GOOGLETRANSLATE(C:C, ""en"", ""te"")"),"అమెరికన్ ఎయిర్‌మోటివ్ NA-75 అనేది 1960 లలో అమెరికాలో విక్రయించబడిన వ్యవసాయ విమానం, ఇది సైనిక మిగులు బోయింగ్ స్టీర్‌మాన్ శిక్షకులను పునర్నిర్మించడం ద్వారా సృష్టించబడింది. ఈ విమానం పూర్తిగా కొత్త, హై-లిఫ్ట్ రెక్కలతో అమర్చబడింది మరియు కాక్‌పిట్స్‌లో ఒకటి రసా"&amp;"యన హాప్పర్‌తో భర్తీ చేయబడింది. 1980 నాటికి, 200 మందికి పైగా స్టీర్‌మ్యాన్లు ఈ విధంగా అమెరికన్ ఎయిర్‌మోటివ్ ద్వారా నేరుగా లేదా కంపెనీ విక్రయించిన మార్పిడి వస్తు సామగ్రి ద్వారా సవరించబడ్డారు. జేన్ యొక్క అన్ని ప్రపంచ విమానాల నుండి డేటా 1965-66 [1] సాధారణ లక్"&amp;"షణాల పనితీరు")</f>
        <v>అమెరికన్ ఎయిర్‌మోటివ్ NA-75 అనేది 1960 లలో అమెరికాలో విక్రయించబడిన వ్యవసాయ విమానం, ఇది సైనిక మిగులు బోయింగ్ స్టీర్‌మాన్ శిక్షకులను పునర్నిర్మించడం ద్వారా సృష్టించబడింది. ఈ విమానం పూర్తిగా కొత్త, హై-లిఫ్ట్ రెక్కలతో అమర్చబడింది మరియు కాక్‌పిట్స్‌లో ఒకటి రసాయన హాప్పర్‌తో భర్తీ చేయబడింది. 1980 నాటికి, 200 మందికి పైగా స్టీర్‌మ్యాన్లు ఈ విధంగా అమెరికన్ ఎయిర్‌మోటివ్ ద్వారా నేరుగా లేదా కంపెనీ విక్రయించిన మార్పిడి వస్తు సామగ్రి ద్వారా సవరించబడ్డారు. జేన్ యొక్క అన్ని ప్రపంచ విమానాల నుండి డేటా 1965-66 [1] సాధారణ లక్షణాల పనితీరు</v>
      </c>
      <c r="E195" s="1" t="s">
        <v>2857</v>
      </c>
      <c r="F195" s="1" t="str">
        <f>IFERROR(__xludf.DUMMYFUNCTION("GOOGLETRANSLATE(E:E, ""en"", ""te"")"),"వ్యవసాయ విమానం")</f>
        <v>వ్యవసాయ విమానం</v>
      </c>
      <c r="K195" s="1" t="s">
        <v>2858</v>
      </c>
      <c r="L195" s="2" t="str">
        <f>IFERROR(__xludf.DUMMYFUNCTION("GOOGLETRANSLATE(K:K, ""en"", ""te"")"),"అమెరికన్ ఎయిర్‌మోటివ్")</f>
        <v>అమెరికన్ ఎయిర్‌మోటివ్</v>
      </c>
      <c r="M195" s="1" t="s">
        <v>2859</v>
      </c>
      <c r="Q195" s="1">
        <v>1.0</v>
      </c>
      <c r="S195" s="1" t="s">
        <v>2860</v>
      </c>
      <c r="AA195" s="1" t="s">
        <v>2861</v>
      </c>
      <c r="AE195" s="1" t="s">
        <v>2862</v>
      </c>
      <c r="AF195" s="1" t="s">
        <v>2863</v>
      </c>
      <c r="AH195" s="1" t="s">
        <v>2864</v>
      </c>
      <c r="AI195" s="1" t="s">
        <v>2865</v>
      </c>
      <c r="AM195" s="1" t="s">
        <v>2866</v>
      </c>
      <c r="AN195" s="1" t="s">
        <v>2867</v>
      </c>
      <c r="AO195" s="1" t="s">
        <v>2868</v>
      </c>
      <c r="AR195" s="1" t="s">
        <v>2869</v>
      </c>
      <c r="BP195" s="1" t="s">
        <v>1572</v>
      </c>
    </row>
    <row r="196">
      <c r="A196" s="1" t="s">
        <v>2870</v>
      </c>
      <c r="B196" s="1" t="str">
        <f>IFERROR(__xludf.DUMMYFUNCTION("GOOGLETRANSLATE(A:A, ""en"", ""te"")"),"ఎయిర్ స్పోర్ట్స్ ఎయిరెక్టర్ 120")</f>
        <v>ఎయిర్ స్పోర్ట్స్ ఎయిరెక్టర్ 120</v>
      </c>
      <c r="C196" s="1" t="s">
        <v>2871</v>
      </c>
      <c r="D196" s="1" t="str">
        <f>IFERROR(__xludf.DUMMYFUNCTION("GOOGLETRANSLATE(C:C, ""en"", ""te"")"),"ఎయిర్ స్పోర్ట్స్ ఎయిరెక్టర్ 120 అనేది జర్మన్ అల్ట్రాలైట్ విమానం, ఇది డాసెల్ యొక్క ఎయిర్ స్పోర్ట్స్ ఎయిర్క్రాఫ్ట్స్ [sic] చేత రూపొందించబడింది మరియు ఉత్పత్తి చేస్తుంది. ఇది 2010 లో ఫ్రెడరిచ్‌షాఫెన్‌లో జరిగిన ఏరో షోలో ప్రవేశపెట్టబడింది. [1] ఈ విమానం ఫెడెరేషన"&amp;"్ ఏరోనటిక్ ఇంటర్నేషనల్ మైక్రోలైట్ నిబంధనలకు అనుగుణంగా రూపొందించబడింది. ఇది కాంటిలివర్ లో-వింగ్, సింగిల్-సీట్, పరివేష్టిత కాక్‌పిట్, స్థిర సాంప్రదాయ ల్యాండింగ్ గేర్ మరియు ట్రాక్టర్ కాన్ఫిగరేషన్‌లో ఒకే ఇంజిన్ కలిగి ఉంది. [1] ఈ విమానం మిశ్రమాల నుండి తయారవుతు"&amp;"ంది మరియు చాలా తక్కువ ఖాళీ బరువు 120 కిలోలు (264.6 పౌండ్లు) కలిగి ఉంటుంది. ప్రారంభ ప్రామాణిక ఇంజిన్ 50 హెచ్‌పి (37 కిలోవాట్) హిర్త్ ఎఫ్ 23 టూ-స్ట్రోక్ పవర్‌ప్లాంట్, అయితే ఆల్-ఎలక్ట్రిక్ డ్రైవ్ రైలు త్వరలో లభిస్తుందని భావిస్తున్నారు. [1] బేయర్ల్ నుండి డేటా"&amp;" [1] సాధారణ లక్షణాల పనితీరు")</f>
        <v>ఎయిర్ స్పోర్ట్స్ ఎయిరెక్టర్ 120 అనేది జర్మన్ అల్ట్రాలైట్ విమానం, ఇది డాసెల్ యొక్క ఎయిర్ స్పోర్ట్స్ ఎయిర్క్రాఫ్ట్స్ [sic] చేత రూపొందించబడింది మరియు ఉత్పత్తి చేస్తుంది. ఇది 2010 లో ఫ్రెడరిచ్‌షాఫెన్‌లో జరిగిన ఏరో షోలో ప్రవేశపెట్టబడింది. [1] ఈ విమానం ఫెడెరేషన్ ఏరోనటిక్ ఇంటర్నేషనల్ మైక్రోలైట్ నిబంధనలకు అనుగుణంగా రూపొందించబడింది. ఇది కాంటిలివర్ లో-వింగ్, సింగిల్-సీట్, పరివేష్టిత కాక్‌పిట్, స్థిర సాంప్రదాయ ల్యాండింగ్ గేర్ మరియు ట్రాక్టర్ కాన్ఫిగరేషన్‌లో ఒకే ఇంజిన్ కలిగి ఉంది. [1] ఈ విమానం మిశ్రమాల నుండి తయారవుతుంది మరియు చాలా తక్కువ ఖాళీ బరువు 120 కిలోలు (264.6 పౌండ్లు) కలిగి ఉంటుంది. ప్రారంభ ప్రామాణిక ఇంజిన్ 50 హెచ్‌పి (37 కిలోవాట్) హిర్త్ ఎఫ్ 23 టూ-స్ట్రోక్ పవర్‌ప్లాంట్, అయితే ఆల్-ఎలక్ట్రిక్ డ్రైవ్ రైలు త్వరలో లభిస్తుందని భావిస్తున్నారు. [1] బేయర్ల్ నుండి డేటా [1] సాధారణ లక్షణాల పనితీరు</v>
      </c>
      <c r="E196" s="1" t="s">
        <v>1056</v>
      </c>
      <c r="F196" s="1" t="str">
        <f>IFERROR(__xludf.DUMMYFUNCTION("GOOGLETRANSLATE(E:E, ""en"", ""te"")"),"అల్ట్రాలైట్ విమానం")</f>
        <v>అల్ట్రాలైట్ విమానం</v>
      </c>
      <c r="G196" s="1" t="s">
        <v>1057</v>
      </c>
      <c r="H196" s="1" t="s">
        <v>1484</v>
      </c>
      <c r="I196" s="1" t="str">
        <f>IFERROR(__xludf.DUMMYFUNCTION("GOOGLETRANSLATE(H:H, ""en"", ""te"")"),"జర్మనీ")</f>
        <v>జర్మనీ</v>
      </c>
      <c r="J196" s="3" t="s">
        <v>1485</v>
      </c>
      <c r="K196" s="1" t="s">
        <v>2872</v>
      </c>
      <c r="L196" s="2" t="str">
        <f>IFERROR(__xludf.DUMMYFUNCTION("GOOGLETRANSLATE(K:K, ""en"", ""te"")"),"ఎయిర్ స్పోర్ట్స్ ఎయిర్క్రాఫ్ట్స్ [sic]")</f>
        <v>ఎయిర్ స్పోర్ట్స్ ఎయిర్క్రాఫ్ట్స్ [sic]</v>
      </c>
      <c r="M196" s="1" t="s">
        <v>2873</v>
      </c>
      <c r="N196" s="1" t="s">
        <v>584</v>
      </c>
      <c r="O196" s="1" t="str">
        <f>IFERROR(__xludf.DUMMYFUNCTION("GOOGLETRANSLATE(N:N, ""en"", ""te"")"),"ఉత్పత్తిలో")</f>
        <v>ఉత్పత్తిలో</v>
      </c>
      <c r="P196" s="1" t="s">
        <v>545</v>
      </c>
      <c r="Q196" s="1" t="s">
        <v>162</v>
      </c>
      <c r="R196" s="1" t="s">
        <v>2874</v>
      </c>
      <c r="U196" s="1" t="s">
        <v>555</v>
      </c>
      <c r="W196" s="1" t="s">
        <v>177</v>
      </c>
      <c r="X196" s="1" t="s">
        <v>2875</v>
      </c>
      <c r="Y196" s="1" t="s">
        <v>2876</v>
      </c>
      <c r="Z196" s="1" t="s">
        <v>546</v>
      </c>
      <c r="AC196" s="1">
        <v>2010.0</v>
      </c>
      <c r="AI196" s="1" t="s">
        <v>2877</v>
      </c>
      <c r="AJ196" s="1" t="s">
        <v>1259</v>
      </c>
      <c r="AS196" s="1" t="s">
        <v>1679</v>
      </c>
      <c r="BP196" s="1" t="s">
        <v>1068</v>
      </c>
    </row>
    <row r="197">
      <c r="A197" s="1" t="s">
        <v>2878</v>
      </c>
      <c r="B197" s="1" t="str">
        <f>IFERROR(__xludf.DUMMYFUNCTION("GOOGLETRANSLATE(A:A, ""en"", ""te"")"),"ఎయిర్‌డ్రోమ్ ఫోకర్ DR-1")</f>
        <v>ఎయిర్‌డ్రోమ్ ఫోకర్ DR-1</v>
      </c>
      <c r="C197" s="1" t="s">
        <v>2879</v>
      </c>
      <c r="D197" s="1" t="str">
        <f>IFERROR(__xludf.DUMMYFUNCTION("GOOGLETRANSLATE(C:C, ""en"", ""te"")"),"ఎయిర్‌డ్రోమ్ ఫోకర్ DR-1 అనేది ఒక అమెరికన్ te త్సాహిక-నిర్మిత విమానం, ఇది మిస్సౌరీలోని హోల్డెన్ యొక్క ఎయిర్‌డ్రోమ్ విమానాలు రూపకల్పన చేసి ఉత్పత్తి చేస్తుంది. ఈ విమానం te త్సాహిక నిర్మాణానికి కిట్‌గా సరఫరా చేయబడుతుంది మరియు ఇది రెండు వెర్షన్లలో లభిస్తుంది, "&amp;"పూర్తి-పరిమాణ మరియు 3/4 స్కేల్ ప్రతిరూపం. [1] [2] [3] ఈ విమానం మొదటి ప్రపంచ యుద్ధం జర్మన్ ఫోకర్ డాక్టర్ ఐ ట్రిప్లేన్ యొక్క ప్రతిరూపం, ఇది ఆధునిక పదార్థాల నుండి నిర్మించబడింది మరియు ఆధునిక ఇంజిన్లతో నడిచేది. [1] [3] ఎయిర్‌డ్రోమ్ ఫోకర్ DR-1 లో స్ట్రట్-బ్రేస"&amp;"్డ్ ట్రిప్లేన్ లేఅవుట్, సింగిల్-సీట్ల ఓపెన్ కాక్‌పిట్, స్థిర సాంప్రదాయ ల్యాండింగ్ గేర్ మరియు ట్రాక్టర్ కాన్ఫిగరేషన్‌లో ఒకే ఇంజిన్ ఉన్నాయి. [1] [3] ఈ విమానం బోల్ట్-కలిసి అల్యూమినియం గొట్టాల నుండి తయారవుతుంది, దాని ఎగిరే ఉపరితలాలు డోప్డ్ ఎయిర్క్రాఫ్ట్ ఫాబ్ర"&amp;"ిక్‌లో కప్పబడి ఉంటాయి. రెండు విమాన వస్తు సామగ్రి పన్నెండు ఉప-కిట్‌లతో రూపొందించబడ్డాయి. ఏ వేరియంట్ నిర్మించబడుతుందో బట్టి సిఫార్సు చేసిన కొలతలు మరియు ఇంజన్లు మారుతూ ఉంటాయి. ఈ సంస్కరణకు భవనం సమయం తయారీదారు 400 గంటలు అంచనా వేయబడింది. [1] [4] [5] బేయర్ల్, కి"&amp;"ట్‌ప్లాన్లు మరియు ఎయిర్‌డ్రోమ్ విమానాల నుండి డేటా [1] [2] [5] సాధారణ లక్షణాల పనితీరు")</f>
        <v>ఎయిర్‌డ్రోమ్ ఫోకర్ DR-1 అనేది ఒక అమెరికన్ te త్సాహిక-నిర్మిత విమానం, ఇది మిస్సౌరీలోని హోల్డెన్ యొక్క ఎయిర్‌డ్రోమ్ విమానాలు రూపకల్పన చేసి ఉత్పత్తి చేస్తుంది. ఈ విమానం te త్సాహిక నిర్మాణానికి కిట్‌గా సరఫరా చేయబడుతుంది మరియు ఇది రెండు వెర్షన్లలో లభిస్తుంది, పూర్తి-పరిమాణ మరియు 3/4 స్కేల్ ప్రతిరూపం. [1] [2] [3] ఈ విమానం మొదటి ప్రపంచ యుద్ధం జర్మన్ ఫోకర్ డాక్టర్ ఐ ట్రిప్లేన్ యొక్క ప్రతిరూపం, ఇది ఆధునిక పదార్థాల నుండి నిర్మించబడింది మరియు ఆధునిక ఇంజిన్లతో నడిచేది. [1] [3] ఎయిర్‌డ్రోమ్ ఫోకర్ DR-1 లో స్ట్రట్-బ్రేస్డ్ ట్రిప్లేన్ లేఅవుట్, సింగిల్-సీట్ల ఓపెన్ కాక్‌పిట్, స్థిర సాంప్రదాయ ల్యాండింగ్ గేర్ మరియు ట్రాక్టర్ కాన్ఫిగరేషన్‌లో ఒకే ఇంజిన్ ఉన్నాయి. [1] [3] ఈ విమానం బోల్ట్-కలిసి అల్యూమినియం గొట్టాల నుండి తయారవుతుంది, దాని ఎగిరే ఉపరితలాలు డోప్డ్ ఎయిర్క్రాఫ్ట్ ఫాబ్రిక్‌లో కప్పబడి ఉంటాయి. రెండు విమాన వస్తు సామగ్రి పన్నెండు ఉప-కిట్‌లతో రూపొందించబడ్డాయి. ఏ వేరియంట్ నిర్మించబడుతుందో బట్టి సిఫార్సు చేసిన కొలతలు మరియు ఇంజన్లు మారుతూ ఉంటాయి. ఈ సంస్కరణకు భవనం సమయం తయారీదారు 400 గంటలు అంచనా వేయబడింది. [1] [4] [5] బేయర్ల్, కిట్‌ప్లాన్లు మరియు ఎయిర్‌డ్రోమ్ విమానాల నుండి డేటా [1] [2] [5] సాధారణ లక్షణాల పనితీరు</v>
      </c>
      <c r="E197" s="1" t="s">
        <v>1071</v>
      </c>
      <c r="F197" s="1" t="str">
        <f>IFERROR(__xludf.DUMMYFUNCTION("GOOGLETRANSLATE(E:E, ""en"", ""te"")"),"Te త్సాహిక నిర్మించిన విమానం")</f>
        <v>Te త్సాహిక నిర్మించిన విమానం</v>
      </c>
      <c r="G197" s="1" t="s">
        <v>1072</v>
      </c>
      <c r="H197" s="1" t="s">
        <v>227</v>
      </c>
      <c r="I197" s="1" t="str">
        <f>IFERROR(__xludf.DUMMYFUNCTION("GOOGLETRANSLATE(H:H, ""en"", ""te"")"),"అమెరికా")</f>
        <v>అమెరికా</v>
      </c>
      <c r="J197" s="3" t="s">
        <v>228</v>
      </c>
      <c r="K197" s="1" t="s">
        <v>2663</v>
      </c>
      <c r="L197" s="2" t="str">
        <f>IFERROR(__xludf.DUMMYFUNCTION("GOOGLETRANSLATE(K:K, ""en"", ""te"")"),"ఎయిర్‌డ్రోమ్ విమానాలు")</f>
        <v>ఎయిర్‌డ్రోమ్ విమానాలు</v>
      </c>
      <c r="M197" s="1" t="s">
        <v>2664</v>
      </c>
      <c r="N197" s="1" t="s">
        <v>1251</v>
      </c>
      <c r="O197" s="1" t="str">
        <f>IFERROR(__xludf.DUMMYFUNCTION("GOOGLETRANSLATE(N:N, ""en"", ""te"")"),"ఉత్పత్తిలో (2011)")</f>
        <v>ఉత్పత్తిలో (2011)</v>
      </c>
      <c r="Q197" s="1" t="s">
        <v>162</v>
      </c>
      <c r="R197" s="1" t="s">
        <v>2880</v>
      </c>
      <c r="S197" s="1" t="s">
        <v>2665</v>
      </c>
      <c r="U197" s="1" t="s">
        <v>1080</v>
      </c>
      <c r="W197" s="1" t="s">
        <v>177</v>
      </c>
      <c r="X197" s="1" t="s">
        <v>2881</v>
      </c>
      <c r="Y197" s="1" t="s">
        <v>2882</v>
      </c>
      <c r="Z197" s="1" t="s">
        <v>2883</v>
      </c>
      <c r="AA197" s="1" t="s">
        <v>2884</v>
      </c>
      <c r="AE197" s="1" t="s">
        <v>2885</v>
      </c>
      <c r="AF197" s="1" t="s">
        <v>2671</v>
      </c>
      <c r="AI197" s="1" t="s">
        <v>2886</v>
      </c>
      <c r="AP197" s="1" t="s">
        <v>2887</v>
      </c>
      <c r="AS197" s="1" t="s">
        <v>1287</v>
      </c>
      <c r="AU197" s="1" t="s">
        <v>2888</v>
      </c>
      <c r="BO197" s="1" t="s">
        <v>2889</v>
      </c>
      <c r="BP197" s="1" t="s">
        <v>2890</v>
      </c>
      <c r="BR197" s="1" t="s">
        <v>2891</v>
      </c>
    </row>
    <row r="198">
      <c r="A198" s="1" t="s">
        <v>2892</v>
      </c>
      <c r="B198" s="1" t="str">
        <f>IFERROR(__xludf.DUMMYFUNCTION("GOOGLETRANSLATE(A:A, ""en"", ""te"")"),"ఎయిర్లోనీ స్కైలేన్")</f>
        <v>ఎయిర్లోనీ స్కైలేన్</v>
      </c>
      <c r="C198" s="1" t="s">
        <v>2893</v>
      </c>
      <c r="D198" s="1" t="str">
        <f>IFERROR(__xludf.DUMMYFUNCTION("GOOGLETRANSLATE(C:C, ""en"", ""te"")"),"ఎయిర్లోనీ స్కైలేన్ యుఎల్ చెక్ రెండు-సీట్ల, మైక్రోలైట్, క్యాబిన్ మోనోప్లేన్, ఇది ఎయిర్లోనీ ఆఫ్ ఎటాట్ చేత తయారు చేయబడింది. [1] [2] [3] ఎయిర్లోనీ స్కైలేన్ డిజైన్ చాలా పెద్ద నాలుగు-సీట్ల సెస్నా 182 స్కైలేన్ నుండి ప్రేరణ పొందింది, ఇది చాలా పోలి ఉంటుంది. తయారీద"&amp;"ారు దీనిని ""చిన్న సెస్నా"" అని పిలుస్తారు. [4] స్కైలేన్ అనేది అధిక-వింగ్ మోనోప్లేన్, ఇది స్థిర ముక్కు-చక్రాల ల్యాండింగ్ గేర్ మరియు రోటాక్స్ 912 పిస్టన్ ఇంజిన్ చేత శక్తినిస్తుంది. [1] పరివేష్టిత క్యాబిన్ రెండు మరియు ద్వంద్వ యోక్-శైలి నియంత్రణలకు పక్కపక్కన"&amp;"ే సీటింగ్ కలిగి ఉంది. [1] [2] [3] [4] ఈ విమానం కలప మరియు మిశ్రమాల కలయిక నుండి నిర్మించబడింది. ఫ్యూజ్‌లేజ్ మిశ్రమ నిర్మాణంలో ఉంటుంది, అయితే స్ట్రట్-బ్రేస్డ్ వింగ్ చెక్క నిర్మాణంతో సెమీ-లామినార్ MS (1) -313 ఎయిర్‌ఫాయిల్‌తో ఉంటుంది మరియు D- సెల్ కలిగి ఉంటుంద"&amp;"ి. వింగ్ ఫాబ్రిక్-కప్పబడినది మరియు రెండు సమగ్ర 42 ఎల్ (11 యుఎస్ గాల్) ఇంధన ట్యాంకులను కలిగి ఉంది. చెక్క నిర్మాణం, ఫాబ్రిక్-కప్పబడిన మరియు విద్యుత్తుతో పనిచేసే ఫ్లాప్‌లు 39% రెక్కల తీగను కలిగి ఉంటాయి మరియు 13 °, 29 ° మరియు 37 ° యొక్క స్థిర స్థానాలకు తగ్గిం"&amp;"చబడతాయి. [2] [3] [4] టెయిల్ ఫిన్ కలప నిర్మాణంతో ఉంది మరియు NACA 0012 సిమెట్రికల్ ఎయిర్‌ఫాయిల్‌ను కలిగి ఉంది. ప్రధాన ల్యాండింగ్ గేర్ కాళ్ళు ఫైబర్‌గ్లాస్ లామినేట్లు మరియు మౌంట్ వీల్స్ నుండి హైడ్రాలిక్‌గా పనిచేసే బొటనవేలు-బ్రేక్‌లతో తయారు చేయబడతాయి. ముక్కు చ"&amp;"క్రం పూర్తిగా కాస్టరింగ్ రూపకల్పనలో ఉంది మరియు 360 ° తిప్పగలదు, భూమి నిర్వహణలో విమానం వెనుకకు నెట్టడానికి వీలు కల్పిస్తుంది. [4] స్కైలేన్ 50 నుండి 100 హెచ్‌పి (37 నుండి 75 కిలోవాట్) వరకు ఇంజిన్లను ఉపయోగించవచ్చు, ఇంజిన్ బరువు 50 నుండి 100 కిలోల (110 నుండి "&amp;"220 ఎల్బి), వీటిలో రోటాక్స్ 912లు, జబిరు 2200 మరియు వోక్స్వ్యాగన్ ఎయిర్-కూల్డ్ ఇంజన్లతో సహా. [2] [3] నటించు వరల్డ్ డైరెక్టరీ ఆఫ్ లీజర్ ఏవియేషన్ నుండి డేటా [1] సాధారణ లక్షణాల పనితీరు")</f>
        <v>ఎయిర్లోనీ స్కైలేన్ యుఎల్ చెక్ రెండు-సీట్ల, మైక్రోలైట్, క్యాబిన్ మోనోప్లేన్, ఇది ఎయిర్లోనీ ఆఫ్ ఎటాట్ చేత తయారు చేయబడింది. [1] [2] [3] ఎయిర్లోనీ స్కైలేన్ డిజైన్ చాలా పెద్ద నాలుగు-సీట్ల సెస్నా 182 స్కైలేన్ నుండి ప్రేరణ పొందింది, ఇది చాలా పోలి ఉంటుంది. తయారీదారు దీనిని "చిన్న సెస్నా" అని పిలుస్తారు. [4] స్కైలేన్ అనేది అధిక-వింగ్ మోనోప్లేన్, ఇది స్థిర ముక్కు-చక్రాల ల్యాండింగ్ గేర్ మరియు రోటాక్స్ 912 పిస్టన్ ఇంజిన్ చేత శక్తినిస్తుంది. [1] పరివేష్టిత క్యాబిన్ రెండు మరియు ద్వంద్వ యోక్-శైలి నియంత్రణలకు పక్కపక్కనే సీటింగ్ కలిగి ఉంది. [1] [2] [3] [4] ఈ విమానం కలప మరియు మిశ్రమాల కలయిక నుండి నిర్మించబడింది. ఫ్యూజ్‌లేజ్ మిశ్రమ నిర్మాణంలో ఉంటుంది, అయితే స్ట్రట్-బ్రేస్డ్ వింగ్ చెక్క నిర్మాణంతో సెమీ-లామినార్ MS (1) -313 ఎయిర్‌ఫాయిల్‌తో ఉంటుంది మరియు D- సెల్ కలిగి ఉంటుంది. వింగ్ ఫాబ్రిక్-కప్పబడినది మరియు రెండు సమగ్ర 42 ఎల్ (11 యుఎస్ గాల్) ఇంధన ట్యాంకులను కలిగి ఉంది. చెక్క నిర్మాణం, ఫాబ్రిక్-కప్పబడిన మరియు విద్యుత్తుతో పనిచేసే ఫ్లాప్‌లు 39% రెక్కల తీగను కలిగి ఉంటాయి మరియు 13 °, 29 ° మరియు 37 ° యొక్క స్థిర స్థానాలకు తగ్గించబడతాయి. [2] [3] [4] టెయిల్ ఫిన్ కలప నిర్మాణంతో ఉంది మరియు NACA 0012 సిమెట్రికల్ ఎయిర్‌ఫాయిల్‌ను కలిగి ఉంది. ప్రధాన ల్యాండింగ్ గేర్ కాళ్ళు ఫైబర్‌గ్లాస్ లామినేట్లు మరియు మౌంట్ వీల్స్ నుండి హైడ్రాలిక్‌గా పనిచేసే బొటనవేలు-బ్రేక్‌లతో తయారు చేయబడతాయి. ముక్కు చక్రం పూర్తిగా కాస్టరింగ్ రూపకల్పనలో ఉంది మరియు 360 ° తిప్పగలదు, భూమి నిర్వహణలో విమానం వెనుకకు నెట్టడానికి వీలు కల్పిస్తుంది. [4] స్కైలేన్ 50 నుండి 100 హెచ్‌పి (37 నుండి 75 కిలోవాట్) వరకు ఇంజిన్లను ఉపయోగించవచ్చు, ఇంజిన్ బరువు 50 నుండి 100 కిలోల (110 నుండి 220 ఎల్బి), వీటిలో రోటాక్స్ 912లు, జబిరు 2200 మరియు వోక్స్వ్యాగన్ ఎయిర్-కూల్డ్ ఇంజన్లతో సహా. [2] [3] నటించు వరల్డ్ డైరెక్టరీ ఆఫ్ లీజర్ ఏవియేషన్ నుండి డేటా [1] సాధారణ లక్షణాల పనితీరు</v>
      </c>
      <c r="E198" s="1" t="s">
        <v>2894</v>
      </c>
      <c r="F198" s="1" t="str">
        <f>IFERROR(__xludf.DUMMYFUNCTION("GOOGLETRANSLATE(E:E, ""en"", ""te"")"),"మైక్రోలైట్ క్యాబిన్ మోనోప్లేన్")</f>
        <v>మైక్రోలైట్ క్యాబిన్ మోనోప్లేన్</v>
      </c>
      <c r="G198" s="1" t="s">
        <v>2895</v>
      </c>
      <c r="H198" s="1" t="s">
        <v>246</v>
      </c>
      <c r="I198" s="1" t="str">
        <f>IFERROR(__xludf.DUMMYFUNCTION("GOOGLETRANSLATE(H:H, ""en"", ""te"")"),"చెక్ రిపబ్లిక్")</f>
        <v>చెక్ రిపబ్లిక్</v>
      </c>
      <c r="K198" s="1" t="s">
        <v>2896</v>
      </c>
      <c r="L198" s="2" t="str">
        <f>IFERROR(__xludf.DUMMYFUNCTION("GOOGLETRANSLATE(K:K, ""en"", ""te"")"),"ఎయిర్లోనీ")</f>
        <v>ఎయిర్లోనీ</v>
      </c>
      <c r="M198" s="3" t="s">
        <v>2897</v>
      </c>
      <c r="Q198" s="1">
        <v>2.0</v>
      </c>
      <c r="R198" s="1" t="s">
        <v>2898</v>
      </c>
      <c r="S198" s="1" t="s">
        <v>2899</v>
      </c>
      <c r="U198" s="1" t="s">
        <v>2900</v>
      </c>
      <c r="X198" s="1" t="s">
        <v>2823</v>
      </c>
      <c r="Y198" s="1" t="s">
        <v>630</v>
      </c>
      <c r="AD198" s="1">
        <v>2005.0</v>
      </c>
      <c r="AI198" s="1" t="s">
        <v>2901</v>
      </c>
      <c r="AL198" s="1" t="s">
        <v>2902</v>
      </c>
      <c r="BP198" s="1" t="s">
        <v>2903</v>
      </c>
    </row>
    <row r="199">
      <c r="A199" s="1" t="s">
        <v>2904</v>
      </c>
      <c r="B199" s="1" t="str">
        <f>IFERROR(__xludf.DUMMYFUNCTION("GOOGLETRANSLATE(A:A, ""en"", ""te"")"),"అకాఫ్లీగ్ డార్మ్‌స్టాడ్ట్ డి -30 సిర్రస్")</f>
        <v>అకాఫ్లీగ్ డార్మ్‌స్టాడ్ట్ డి -30 సిర్రస్</v>
      </c>
      <c r="C199" s="1" t="s">
        <v>2905</v>
      </c>
      <c r="D199" s="1" t="str">
        <f>IFERROR(__xludf.DUMMYFUNCTION("GOOGLETRANSLATE(C:C, ""en"", ""te"")"),"అకాఫ్లీగ్ డార్మ్‌స్టాడ్ట్ డి -30 సిరస్ చాలా ఎక్కువ కారక నిష్పత్తి వింగ్ మరియు పాడ్ మరియు బూమ్ ఫ్యూజ్‌లేజ్‌తో ఏరోడైనమిక్‌గా అధునాతనమైన సింగిల్ సీట్ సెయిల్ ప్లేన్. రెండవ ప్రపంచ యుద్ధానికి ముందు జర్మనీలో నిర్మించిన ఇది రికార్డ్ బ్రేకర్‌గా ఉద్దేశించబడింది మరి"&amp;"యు 1938 లో కొత్త ప్రపంచం అవుట్-అండ్-రిటర్న్ దూర రికార్డును నెలకొల్పింది. టెక్నికల్ యూనివర్శిటీ ఆఫ్ డార్మ్‌స్టాడ్ట్ (అకాఫ్లీగ్ డార్మ్‌స్టాడ్ట్) యొక్క అకాడెమిస్చే ఫ్లీగర్‌గ్రూప్ మొదట 1921 లో ఏర్పడింది. ఇది వారి అధ్యయనాలలో భాగంగా మరియు వారి విశ్వవిద్యాలయం యొ"&amp;"క్క సహాయం మరియు ప్రోత్సాహంతో విమానాలను రూపకల్పన చేసి నిర్మించే ఏరోనాటికల్ విద్యార్థుల సమూహం. సిరస్ ముందు వారి సెయిల్‌ప్లేన్స్ డిజైన్లు, తరచూ అభివృద్ధి చెందుతున్నప్పుడు, అన్నీ కలప మరియు బట్టల నుండి నిర్మించబడ్డాయి. అధిక పనితీరుకు డ్రాగ్ నిష్పత్తులకు పెద్ద "&amp;"లిఫ్ట్ అవసరమని మరియు అధిక కారక నిష్పత్తి రెక్కలను ఉపయోగించడం ద్వారా వీటిని పొందారని అందరికీ తెలుసు. సిరస్ యొక్క 20 మీ (65 అడుగుల 7 అంగుళాలు) స్పాన్ రెక్కలు 33.6 యొక్క కారక నిష్పత్తిని కలిగి ఉన్నాయి, ఆ సమయంలో నిర్మించిన ఏ విమానంలోనైనా అత్యధికం, మరియు అటువం"&amp;"టి సన్నని నిర్మాణాలను పూర్తిగా కలప నుండి నిర్మించలేము. బదులుగా, ఒకే, వెడల్పు గల, టేపింగ్ డ్యూరాలిమిన్ స్పార్ ముడతలు పెట్టిన షీట్లతో నిర్మించబడింది, ఎగువ మరియు దిగువ తొక్కలు ప్రతి రెక్క ఉపరితలంలో మూడింట ఒక వంతు మూలం వద్ద మరియు చిట్కా వద్ద ఉన్నాయి. స్పార్ య"&amp;"ొక్క ముందుకు మరియు వెనుకకు రెక్క ప్రొఫైల్ చెక్క పక్కటెముకలు మరియు ప్లైవుడ్ చర్మంతో ఆకారంలో ఉంది. ఇది ప్రణాళికలో నేరుగా దెబ్బతింది, లోపలి 10 మీ (32 అడుగుల 10 అంగుళాలు) సెంటర్ విభాగం మరియు రెండు బాహ్య ప్యానెల్లు ప్రతి 5 మీ (16 అడుగుల 5 అంగుళాలు) పొడవు, అధిక"&amp;" టేపర్ నిష్పత్తి 4 మరియు స్క్వేర్డ్ ఆఫ్ చిట్కాలతో. బలంగా దెబ్బతిన్న రెక్కలు లిఫ్ట్ పంపిణీని కలిగి ఉంటాయి, ఇది వేగంతో వేగంగా వస్తుంది, [2] కాబట్టి సిరస్ యొక్క రెక్కల సంభవం యొక్క కోణం మొదట్లో స్పాన్ (వాష్-ఇన్) వెంట పెరిగింది, తరువాత చిట్కాల (వాష్-అవుట్) వైప"&amp;"ు తగ్గింది, ఏరోడైనమిక్‌గా ఆదర్శవంతమైన ఎలిప్టికల్ వింగ్ యొక్క లిఫ్ట్ పంపిణీని మెరుగైన అంచనాను ఉత్పత్తి చేస్తుంది. బయటి ప్యానెల్లు వాటి వెనుకంజలో ఉన్న అంచుల వెంట ఐలెరాన్‌లను కలిగి ఉన్నాయి మరియు లోపలి విభాగం అదేవిధంగా ఫ్లాప్‌లను కలిగి ఉంది. ఐలెరాన్లు అవకలన ర"&amp;"కానికి చెందినవి మరియు యా దిద్దుబాటును సరళీకృతం చేయడానికి చుక్కానికి అనుసంధానించబడ్డాయి. మధ్య విభాగంలో మిడ్-టార్డ్ స్పాయిలర్లు అమర్చబడ్డాయి. [1] [3] దాని వ్యవధి మరియు కారక నిష్పత్తి కాకుండా, రెక్కకు మరో రెండు అసాధారణ లక్షణాలు ఉన్నాయి. అప్పటి కొత్త NACA ప్ర"&amp;"ొఫైల్స్ కలయిక చిట్కా వద్ద రెక్కకు మరింత కాంబర్ ఇచ్చింది. అధిక కాంబర్ ఎయిర్‌ఫాయిల్స్ సున్నా-లిఫ్ట్ లైన్ నుండి కొలిచిన దాడి యొక్క ఎక్కువ కోణాలలో నిలిచిపోతాయి కాబట్టి, అధిక కాంబర్ మరియు వాష్‌అవుట్ కలయిక అంటే స్టాల్ ఇన్బోర్డ్ అభివృద్ధి చెందుతుంది మరియు ఐలెరాన"&amp;"్‌లు, అన్‌స్టాల్ చేసిన uter టర్ వింగ్‌లో, పార్శ్వ నియంత్రణను నిలుపుకోగలవు మరియు ప్రవేశించడాన్ని నిరోధించగలవు ఒక స్పిన్. ఇది ఇప్పుడు ప్రామాణిక సెయిల్ ప్లేన్ డిజైన్ ఫీచర్, కానీ 1930 లలో కొత్తది. ఇతర అసాధారణమైన మరియు ప్రత్యేకమైన వింగ్ లక్షణం ఏమిటంటే, బయటి ప్"&amp;"యానెళ్ల డైహెడ్రల్ (ఇన్బోర్డ్ ఏదీ లేదు) విమానంలో వైవిధ్యంగా ఉంటుంది, అయితే పెద్ద కోణాలు (+8.5/-4.4). నిర్వహణపై బాహ్య వింగ్ డైహెడ్రల్ యొక్క ప్రభావాలను పరిశోధించడం ఉద్దేశ్యం. [1] [3] ఫార్వర్డ్ ఫ్యూజ్‌లేజ్ లేదా పాడ్ పైన రెక్కలు సెట్ చేయబడ్డాయి, ఇది వెనుకంజలో "&amp;"ఉన్న అంచు యొక్క వెనుకకు ముగిసింది. పైలట్ యొక్క సీటు ప్రముఖ అంచు కంటే ముందుంది, పందిరితో తిరిగి రెక్కలోకి ప్రవేశించింది. ప్రాప్యత కోసం పందిరి మరియు చుట్టుపక్కల ఎగువ ఫ్యూజ్‌లేజ్ యొక్క భాగం తొలగించబడింది. చాలా పాడ్ కింద నిస్సార ల్యాండింగ్ స్కిడ్ ఉంది. టేకాఫ్"&amp;"లు నాలుగు చక్రాల డాలీ నుండి తయారు చేయబడ్డాయి, ప్రారంభించిన తర్వాత మిగిలిపోయారు. సన్నని, తేలికపాటి మెగ్నీషియం మిశ్రమం (ఎలక్ట్రాన్ మెటల్) ట్యూబ్ పాడ్ పై నుండి వెనుకకు పరిగెత్తింది, ఎంపెనేజ్‌ను మోసింది, ఇది ప్లై స్థిర ఉపరితలాలు మరియు ఫాబ్రిక్ కవర్ కంట్రోల్ ఉ"&amp;"పరితలాలను కవర్ చేసింది. క్షితిజ సమాంతర ఉపరితలాలు, ఫిన్ యొక్క ముందుకు సెట్ చేయబడినవి గుండ్రని చిట్కాలతో నేరుగా దెబ్బతిన్నాయి; బూమ్ పైన మరియు క్రింద విస్తరించిన ఫిన్ పెద్ద, దాదాపు సెమీ వృత్తాకార చుక్కాను కలిగి ఉంది. [1] [3] బెర్నార్డ్ ఫ్లిన్స్చ్ చేత ఎగిరిన "&amp;"సిరస్, 1938 లో కొత్త ప్రపంచ రికార్డ్ మరియు తిరిగి దూరాన్ని నెలకొల్పింది, బ్రెమెన్ నుండి లోబెక్ మరియు వెనుకకు 306 కిమీ (190 మైళ్ళు) ఎగురుతుంది. ప్రయోగ ప్రమాదంలో దెబ్బతిన్నది, ఇది సవరించిన పాడ్‌తో పునర్నిర్మించబడింది మరియు D-30B ని పున es రూపకల్పన చేసింది. "&amp;"జూన్ 1939 లో ఫ్లిన్స్చ్ 406 కిమీ (252 మైళ్ళు) ఎగిరింది. [3] సిర్రస్ రెండవ ప్రపంచ యుద్ధం నుండి బయటపడలేదు. [3] ఫ్లూగ్జీగ్-టైపెన్‌బుచ్ నుండి డేటా. హ్యాండ్‌బచ్ డెర్ డ్యూట్చెన్ లుఫ్ట్‌ఫహార్ట్- ఉండ్ జుబెహర్-ఇండస్ట్రీ 1944 [5] సాధారణ లక్షణాల పనితీరు")</f>
        <v>అకాఫ్లీగ్ డార్మ్‌స్టాడ్ట్ డి -30 సిరస్ చాలా ఎక్కువ కారక నిష్పత్తి వింగ్ మరియు పాడ్ మరియు బూమ్ ఫ్యూజ్‌లేజ్‌తో ఏరోడైనమిక్‌గా అధునాతనమైన సింగిల్ సీట్ సెయిల్ ప్లేన్. రెండవ ప్రపంచ యుద్ధానికి ముందు జర్మనీలో నిర్మించిన ఇది రికార్డ్ బ్రేకర్‌గా ఉద్దేశించబడింది మరియు 1938 లో కొత్త ప్రపంచం అవుట్-అండ్-రిటర్న్ దూర రికార్డును నెలకొల్పింది. టెక్నికల్ యూనివర్శిటీ ఆఫ్ డార్మ్‌స్టాడ్ట్ (అకాఫ్లీగ్ డార్మ్‌స్టాడ్ట్) యొక్క అకాడెమిస్చే ఫ్లీగర్‌గ్రూప్ మొదట 1921 లో ఏర్పడింది. ఇది వారి అధ్యయనాలలో భాగంగా మరియు వారి విశ్వవిద్యాలయం యొక్క సహాయం మరియు ప్రోత్సాహంతో విమానాలను రూపకల్పన చేసి నిర్మించే ఏరోనాటికల్ విద్యార్థుల సమూహం. సిరస్ ముందు వారి సెయిల్‌ప్లేన్స్ డిజైన్లు, తరచూ అభివృద్ధి చెందుతున్నప్పుడు, అన్నీ కలప మరియు బట్టల నుండి నిర్మించబడ్డాయి. అధిక పనితీరుకు డ్రాగ్ నిష్పత్తులకు పెద్ద లిఫ్ట్ అవసరమని మరియు అధిక కారక నిష్పత్తి రెక్కలను ఉపయోగించడం ద్వారా వీటిని పొందారని అందరికీ తెలుసు. సిరస్ యొక్క 20 మీ (65 అడుగుల 7 అంగుళాలు) స్పాన్ రెక్కలు 33.6 యొక్క కారక నిష్పత్తిని కలిగి ఉన్నాయి, ఆ సమయంలో నిర్మించిన ఏ విమానంలోనైనా అత్యధికం, మరియు అటువంటి సన్నని నిర్మాణాలను పూర్తిగా కలప నుండి నిర్మించలేము. బదులుగా, ఒకే, వెడల్పు గల, టేపింగ్ డ్యూరాలిమిన్ స్పార్ ముడతలు పెట్టిన షీట్లతో నిర్మించబడింది, ఎగువ మరియు దిగువ తొక్కలు ప్రతి రెక్క ఉపరితలంలో మూడింట ఒక వంతు మూలం వద్ద మరియు చిట్కా వద్ద ఉన్నాయి. స్పార్ యొక్క ముందుకు మరియు వెనుకకు రెక్క ప్రొఫైల్ చెక్క పక్కటెముకలు మరియు ప్లైవుడ్ చర్మంతో ఆకారంలో ఉంది. ఇది ప్రణాళికలో నేరుగా దెబ్బతింది, లోపలి 10 మీ (32 అడుగుల 10 అంగుళాలు) సెంటర్ విభాగం మరియు రెండు బాహ్య ప్యానెల్లు ప్రతి 5 మీ (16 అడుగుల 5 అంగుళాలు) పొడవు, అధిక టేపర్ నిష్పత్తి 4 మరియు స్క్వేర్డ్ ఆఫ్ చిట్కాలతో. బలంగా దెబ్బతిన్న రెక్కలు లిఫ్ట్ పంపిణీని కలిగి ఉంటాయి, ఇది వేగంతో వేగంగా వస్తుంది, [2] కాబట్టి సిరస్ యొక్క రెక్కల సంభవం యొక్క కోణం మొదట్లో స్పాన్ (వాష్-ఇన్) వెంట పెరిగింది, తరువాత చిట్కాల (వాష్-అవుట్) వైపు తగ్గింది, ఏరోడైనమిక్‌గా ఆదర్శవంతమైన ఎలిప్టికల్ వింగ్ యొక్క లిఫ్ట్ పంపిణీని మెరుగైన అంచనాను ఉత్పత్తి చేస్తుంది. బయటి ప్యానెల్లు వాటి వెనుకంజలో ఉన్న అంచుల వెంట ఐలెరాన్‌లను కలిగి ఉన్నాయి మరియు లోపలి విభాగం అదేవిధంగా ఫ్లాప్‌లను కలిగి ఉంది. ఐలెరాన్లు అవకలన రకానికి చెందినవి మరియు యా దిద్దుబాటును సరళీకృతం చేయడానికి చుక్కానికి అనుసంధానించబడ్డాయి. మధ్య విభాగంలో మిడ్-టార్డ్ స్పాయిలర్లు అమర్చబడ్డాయి. [1] [3] దాని వ్యవధి మరియు కారక నిష్పత్తి కాకుండా, రెక్కకు మరో రెండు అసాధారణ లక్షణాలు ఉన్నాయి. అప్పటి కొత్త NACA ప్రొఫైల్స్ కలయిక చిట్కా వద్ద రెక్కకు మరింత కాంబర్ ఇచ్చింది. అధిక కాంబర్ ఎయిర్‌ఫాయిల్స్ సున్నా-లిఫ్ట్ లైన్ నుండి కొలిచిన దాడి యొక్క ఎక్కువ కోణాలలో నిలిచిపోతాయి కాబట్టి, అధిక కాంబర్ మరియు వాష్‌అవుట్ కలయిక అంటే స్టాల్ ఇన్బోర్డ్ అభివృద్ధి చెందుతుంది మరియు ఐలెరాన్‌లు, అన్‌స్టాల్ చేసిన uter టర్ వింగ్‌లో, పార్శ్వ నియంత్రణను నిలుపుకోగలవు మరియు ప్రవేశించడాన్ని నిరోధించగలవు ఒక స్పిన్. ఇది ఇప్పుడు ప్రామాణిక సెయిల్ ప్లేన్ డిజైన్ ఫీచర్, కానీ 1930 లలో కొత్తది. ఇతర అసాధారణమైన మరియు ప్రత్యేకమైన వింగ్ లక్షణం ఏమిటంటే, బయటి ప్యానెళ్ల డైహెడ్రల్ (ఇన్బోర్డ్ ఏదీ లేదు) విమానంలో వైవిధ్యంగా ఉంటుంది, అయితే పెద్ద కోణాలు (+8.5/-4.4). నిర్వహణపై బాహ్య వింగ్ డైహెడ్రల్ యొక్క ప్రభావాలను పరిశోధించడం ఉద్దేశ్యం. [1] [3] ఫార్వర్డ్ ఫ్యూజ్‌లేజ్ లేదా పాడ్ పైన రెక్కలు సెట్ చేయబడ్డాయి, ఇది వెనుకంజలో ఉన్న అంచు యొక్క వెనుకకు ముగిసింది. పైలట్ యొక్క సీటు ప్రముఖ అంచు కంటే ముందుంది, పందిరితో తిరిగి రెక్కలోకి ప్రవేశించింది. ప్రాప్యత కోసం పందిరి మరియు చుట్టుపక్కల ఎగువ ఫ్యూజ్‌లేజ్ యొక్క భాగం తొలగించబడింది. చాలా పాడ్ కింద నిస్సార ల్యాండింగ్ స్కిడ్ ఉంది. టేకాఫ్లు నాలుగు చక్రాల డాలీ నుండి తయారు చేయబడ్డాయి, ప్రారంభించిన తర్వాత మిగిలిపోయారు. సన్నని, తేలికపాటి మెగ్నీషియం మిశ్రమం (ఎలక్ట్రాన్ మెటల్) ట్యూబ్ పాడ్ పై నుండి వెనుకకు పరిగెత్తింది, ఎంపెనేజ్‌ను మోసింది, ఇది ప్లై స్థిర ఉపరితలాలు మరియు ఫాబ్రిక్ కవర్ కంట్రోల్ ఉపరితలాలను కవర్ చేసింది. క్షితిజ సమాంతర ఉపరితలాలు, ఫిన్ యొక్క ముందుకు సెట్ చేయబడినవి గుండ్రని చిట్కాలతో నేరుగా దెబ్బతిన్నాయి; బూమ్ పైన మరియు క్రింద విస్తరించిన ఫిన్ పెద్ద, దాదాపు సెమీ వృత్తాకార చుక్కాను కలిగి ఉంది. [1] [3] బెర్నార్డ్ ఫ్లిన్స్చ్ చేత ఎగిరిన సిరస్, 1938 లో కొత్త ప్రపంచ రికార్డ్ మరియు తిరిగి దూరాన్ని నెలకొల్పింది, బ్రెమెన్ నుండి లోబెక్ మరియు వెనుకకు 306 కిమీ (190 మైళ్ళు) ఎగురుతుంది. ప్రయోగ ప్రమాదంలో దెబ్బతిన్నది, ఇది సవరించిన పాడ్‌తో పునర్నిర్మించబడింది మరియు D-30B ని పున es రూపకల్పన చేసింది. జూన్ 1939 లో ఫ్లిన్స్చ్ 406 కిమీ (252 మైళ్ళు) ఎగిరింది. [3] సిర్రస్ రెండవ ప్రపంచ యుద్ధం నుండి బయటపడలేదు. [3] ఫ్లూగ్జీగ్-టైపెన్‌బుచ్ నుండి డేటా. హ్యాండ్‌బచ్ డెర్ డ్యూట్చెన్ లుఫ్ట్‌ఫహార్ట్- ఉండ్ జుబెహర్-ఇండస్ట్రీ 1944 [5] సాధారణ లక్షణాల పనితీరు</v>
      </c>
      <c r="E199" s="1" t="s">
        <v>2906</v>
      </c>
      <c r="F199" s="1" t="str">
        <f>IFERROR(__xludf.DUMMYFUNCTION("GOOGLETRANSLATE(E:E, ""en"", ""te"")"),"సింగిల్ సీట్ హై పెర్ఫార్మెన్స్ సెయిల్ ప్లేన్")</f>
        <v>సింగిల్ సీట్ హై పెర్ఫార్మెన్స్ సెయిల్ ప్లేన్</v>
      </c>
      <c r="G199" s="1" t="s">
        <v>2907</v>
      </c>
      <c r="H199" s="1" t="s">
        <v>1484</v>
      </c>
      <c r="I199" s="1" t="str">
        <f>IFERROR(__xludf.DUMMYFUNCTION("GOOGLETRANSLATE(H:H, ""en"", ""te"")"),"జర్మనీ")</f>
        <v>జర్మనీ</v>
      </c>
      <c r="J199" s="3" t="s">
        <v>1485</v>
      </c>
      <c r="K199" s="1" t="s">
        <v>2908</v>
      </c>
      <c r="L199" s="2" t="str">
        <f>IFERROR(__xludf.DUMMYFUNCTION("GOOGLETRANSLATE(K:K, ""en"", ""te"")"),"అకాఫ్లీగ్ డార్మ్‌స్టాడ్ట్")</f>
        <v>అకాఫ్లీగ్ డార్మ్‌స్టాడ్ట్</v>
      </c>
      <c r="M199" s="1" t="s">
        <v>2909</v>
      </c>
      <c r="Q199" s="1">
        <v>1.0</v>
      </c>
      <c r="R199" s="1" t="s">
        <v>2910</v>
      </c>
      <c r="S199" s="1" t="s">
        <v>1685</v>
      </c>
      <c r="T199" s="1">
        <v>33.4</v>
      </c>
      <c r="V199" s="1" t="s">
        <v>2911</v>
      </c>
      <c r="W199" s="1" t="s">
        <v>177</v>
      </c>
      <c r="X199" s="1" t="s">
        <v>2912</v>
      </c>
      <c r="Y199" s="1" t="s">
        <v>1128</v>
      </c>
      <c r="AB199" s="1" t="s">
        <v>2913</v>
      </c>
      <c r="AD199" s="1">
        <v>1938.0</v>
      </c>
      <c r="AE199" s="1">
        <v>1.0</v>
      </c>
      <c r="AF199" s="1" t="s">
        <v>2914</v>
      </c>
      <c r="AG199" s="1" t="s">
        <v>2915</v>
      </c>
      <c r="AH199" s="1" t="s">
        <v>651</v>
      </c>
      <c r="AU199" s="1" t="s">
        <v>2916</v>
      </c>
      <c r="BJ199" s="1" t="s">
        <v>1252</v>
      </c>
      <c r="BL199" s="1" t="s">
        <v>2917</v>
      </c>
      <c r="BM199" s="1">
        <v>1.0</v>
      </c>
      <c r="EY199" s="1" t="s">
        <v>2918</v>
      </c>
      <c r="EZ199" s="1" t="s">
        <v>2919</v>
      </c>
      <c r="FA199" s="1" t="s">
        <v>2919</v>
      </c>
      <c r="FB199" s="1" t="s">
        <v>2920</v>
      </c>
    </row>
    <row r="200">
      <c r="A200" s="1" t="s">
        <v>2921</v>
      </c>
      <c r="B200" s="1" t="str">
        <f>IFERROR(__xludf.DUMMYFUNCTION("GOOGLETRANSLATE(A:A, ""en"", ""te"")"),"ఆల్పెరో సిరియస్")</f>
        <v>ఆల్పెరో సిరియస్</v>
      </c>
      <c r="C200" s="1" t="s">
        <v>2922</v>
      </c>
      <c r="D200" s="1" t="str">
        <f>IFERROR(__xludf.DUMMYFUNCTION("GOOGLETRANSLATE(C:C, ""en"", ""te"")"),"ఆల్పెరో సిరియస్, నోయిన్ సిరియస్ అని కూడా పిలుస్తారు, ఇది ఒక ఫ్రెంచ్ హై-వింగ్, స్ట్రట్-బ్రేస్డ్, పాడ్-అండ్-బూమ్, క్రూసిఫార్మ్ తోక, సింగిల్-సీట్ మోటార్ గ్లైడర్, దీనిని క్లాడ్ నోయిన్ రూపొందించారు మరియు అతని సంస్థ, చాటియువియక్స్ యొక్క ఆల్పెరో చేత రూపొందించబడి"&amp;"ంది , హాట్స్-ఆల్ప్స్. ఇది te త్సాహిక నిర్మాణానికి మరియు కిట్‌గా ప్రణాళికలుగా అందుబాటులో ఉంది, కానీ నిలిపివేయబడింది. [1] [2] స్టార్ కోసం పేరు పెట్టబడిన, సిరియస్ ప్రోటోటైప్ కలప, గొట్టం మరియు విమాన ఫాబ్రిక్ నుండి తయారైంది మరియు మొదట ఆగస్టు 1984 లో ప్రయాణించా"&amp;"రు. ఈ నమూనాకు 11 మీ (36.1 అడుగులు) వింగ్స్పాన్ ఉంది. [2] ఉత్పత్తి సిరియస్ ఫ్యూజ్‌లేజ్ ప్రధానంగా ఫైబర్‌గ్లాస్ నుండి తయారు చేయబడింది, చెక్క బల్క్‌హెడ్‌లతో ఉంటుంది. 13.4 మీ (44.0 అడుగులు) స్పాన్ టాపెర్డ్ వింగ్‌లో ఒక చెక్క స్పార్ మరియు స్టైరోఫోమ్ వింగ్ పక్కటె"&amp;"ముకలు ఫైబర్‌గ్లాస్‌తో బలోపేతం చేయబడతాయి మరియు గ్లైడ్‌పాత్ నియంత్రణ కోసం పై ఉపరితలంపై ఎయిర్ బ్రేక్‌లను కలిగి ఉంటాయి. వింగ్ యొక్క ప్రముఖ అంచు హాట్-వైర్ కట్ ఫోమ్ నుండి కల్పించబడింది, ఫైబర్గ్లాస్‌తో లామినేట్ చేయబడింది. రెక్క మరియు చుక్కాని ఫాబ్రిక్ కప్పబడి ఉం"&amp;"టాయి. స్థిర ల్యాండింగ్ గేర్ ఒక సెంటర్-లైన్ సైకిల్ గేర్, సహాయక రెక్క చిట్కా మరియు తోక చక్రాలు. ప్రధాన చక్రంలో డ్రమ్ బ్రేక్ ఉంది. 18 kW (24 HP) కొనిగ్ SC 430 ఇంజిన్, లేదా ప్రత్యామ్నాయంగా 13.5 kW (18 HP) JPX D-320 ఇంజిన్, కాక్‌పిట్ వెనుక మరియు పషర్ కాన్ఫిగరే"&amp;"షన్‌లో తోక బూమ్ క్రింద అమర్చబడి ఉంటుంది మరియు మెయిన్ వెనుక ఒక ప్రొపెల్లర్ గార్డ్ ప్లేట్‌ను కలిగి ఉంది చక్రం. ప్రొపెల్లర్ అనేది చిన్న వ్యాసంతో స్థిర పిచ్ రెండు-బ్లేడెడ్ డిజైన్. కాక్‌పిట్ వెడల్పు 53 సెం.మీ (21 అంగుళాలు) మరియు ఉత్తమ గ్లైడ్ నిష్పత్తి 23: 1. ["&amp;"1] [2] 1998 లో ఈ డిజైన్ US $ 220 కోసం లేదా US $ 7900 కి కిట్‌గా ప్రణాళికలుగా అందుబాటులో ఉంది. కిట్ నుండి భవనం సమయం 700 గంటలుగా అంచనా వేయబడింది. [1] పర్డీ మరియు కంపెనీ వెబ్‌సైట్ నుండి డేటా [1] [2] పోల్చదగిన పాత్ర, కాన్ఫిగరేషన్ మరియు ERA యొక్క సాధారణ లక్షణా"&amp;"లు పనితీరు విమానం పనితీరు విమానం")</f>
        <v>ఆల్పెరో సిరియస్, నోయిన్ సిరియస్ అని కూడా పిలుస్తారు, ఇది ఒక ఫ్రెంచ్ హై-వింగ్, స్ట్రట్-బ్రేస్డ్, పాడ్-అండ్-బూమ్, క్రూసిఫార్మ్ తోక, సింగిల్-సీట్ మోటార్ గ్లైడర్, దీనిని క్లాడ్ నోయిన్ రూపొందించారు మరియు అతని సంస్థ, చాటియువియక్స్ యొక్క ఆల్పెరో చేత రూపొందించబడింది , హాట్స్-ఆల్ప్స్. ఇది te త్సాహిక నిర్మాణానికి మరియు కిట్‌గా ప్రణాళికలుగా అందుబాటులో ఉంది, కానీ నిలిపివేయబడింది. [1] [2] స్టార్ కోసం పేరు పెట్టబడిన, సిరియస్ ప్రోటోటైప్ కలప, గొట్టం మరియు విమాన ఫాబ్రిక్ నుండి తయారైంది మరియు మొదట ఆగస్టు 1984 లో ప్రయాణించారు. ఈ నమూనాకు 11 మీ (36.1 అడుగులు) వింగ్స్పాన్ ఉంది. [2] ఉత్పత్తి సిరియస్ ఫ్యూజ్‌లేజ్ ప్రధానంగా ఫైబర్‌గ్లాస్ నుండి తయారు చేయబడింది, చెక్క బల్క్‌హెడ్‌లతో ఉంటుంది. 13.4 మీ (44.0 అడుగులు) స్పాన్ టాపెర్డ్ వింగ్‌లో ఒక చెక్క స్పార్ మరియు స్టైరోఫోమ్ వింగ్ పక్కటెముకలు ఫైబర్‌గ్లాస్‌తో బలోపేతం చేయబడతాయి మరియు గ్లైడ్‌పాత్ నియంత్రణ కోసం పై ఉపరితలంపై ఎయిర్ బ్రేక్‌లను కలిగి ఉంటాయి. వింగ్ యొక్క ప్రముఖ అంచు హాట్-వైర్ కట్ ఫోమ్ నుండి కల్పించబడింది, ఫైబర్గ్లాస్‌తో లామినేట్ చేయబడింది. రెక్క మరియు చుక్కాని ఫాబ్రిక్ కప్పబడి ఉంటాయి. స్థిర ల్యాండింగ్ గేర్ ఒక సెంటర్-లైన్ సైకిల్ గేర్, సహాయక రెక్క చిట్కా మరియు తోక చక్రాలు. ప్రధాన చక్రంలో డ్రమ్ బ్రేక్ ఉంది. 18 kW (24 HP) కొనిగ్ SC 430 ఇంజిన్, లేదా ప్రత్యామ్నాయంగా 13.5 kW (18 HP) JPX D-320 ఇంజిన్, కాక్‌పిట్ వెనుక మరియు పషర్ కాన్ఫిగరేషన్‌లో తోక బూమ్ క్రింద అమర్చబడి ఉంటుంది మరియు మెయిన్ వెనుక ఒక ప్రొపెల్లర్ గార్డ్ ప్లేట్‌ను కలిగి ఉంది చక్రం. ప్రొపెల్లర్ అనేది చిన్న వ్యాసంతో స్థిర పిచ్ రెండు-బ్లేడెడ్ డిజైన్. కాక్‌పిట్ వెడల్పు 53 సెం.మీ (21 అంగుళాలు) మరియు ఉత్తమ గ్లైడ్ నిష్పత్తి 23: 1. [1] [2] 1998 లో ఈ డిజైన్ US $ 220 కోసం లేదా US $ 7900 కి కిట్‌గా ప్రణాళికలుగా అందుబాటులో ఉంది. కిట్ నుండి భవనం సమయం 700 గంటలుగా అంచనా వేయబడింది. [1] పర్డీ మరియు కంపెనీ వెబ్‌సైట్ నుండి డేటా [1] [2] పోల్చదగిన పాత్ర, కాన్ఫిగరేషన్ మరియు ERA యొక్క సాధారణ లక్షణాలు పనితీరు విమానం పనితీరు విమానం</v>
      </c>
      <c r="E200" s="1" t="s">
        <v>2923</v>
      </c>
      <c r="F200" s="1" t="str">
        <f>IFERROR(__xludf.DUMMYFUNCTION("GOOGLETRANSLATE(E:E, ""en"", ""te"")"),"మోటార్ గ్లైడర్")</f>
        <v>మోటార్ గ్లైడర్</v>
      </c>
      <c r="G200" s="1" t="s">
        <v>2924</v>
      </c>
      <c r="H200" s="1" t="s">
        <v>208</v>
      </c>
      <c r="I200" s="1" t="str">
        <f>IFERROR(__xludf.DUMMYFUNCTION("GOOGLETRANSLATE(H:H, ""en"", ""te"")"),"ఫ్రాన్స్")</f>
        <v>ఫ్రాన్స్</v>
      </c>
      <c r="J200" s="3" t="s">
        <v>209</v>
      </c>
      <c r="K200" s="1" t="s">
        <v>2925</v>
      </c>
      <c r="L200" s="2" t="str">
        <f>IFERROR(__xludf.DUMMYFUNCTION("GOOGLETRANSLATE(K:K, ""en"", ""te"")"),"ఆల్పెరో")</f>
        <v>ఆల్పెరో</v>
      </c>
      <c r="M200" s="3" t="s">
        <v>2926</v>
      </c>
      <c r="N200" s="1" t="s">
        <v>171</v>
      </c>
      <c r="O200" s="1" t="str">
        <f>IFERROR(__xludf.DUMMYFUNCTION("GOOGLETRANSLATE(N:N, ""en"", ""te"")"),"ఉత్పత్తి పూర్తయింది")</f>
        <v>ఉత్పత్తి పూర్తయింది</v>
      </c>
      <c r="Q200" s="1" t="s">
        <v>162</v>
      </c>
      <c r="R200" s="1" t="s">
        <v>2927</v>
      </c>
      <c r="S200" s="1" t="s">
        <v>2928</v>
      </c>
      <c r="U200" s="1" t="s">
        <v>878</v>
      </c>
      <c r="V200" s="1" t="s">
        <v>2929</v>
      </c>
      <c r="W200" s="1" t="s">
        <v>177</v>
      </c>
      <c r="X200" s="1" t="s">
        <v>2435</v>
      </c>
      <c r="Y200" s="1" t="s">
        <v>1353</v>
      </c>
      <c r="Z200" s="1" t="s">
        <v>2930</v>
      </c>
      <c r="AA200" s="1" t="s">
        <v>302</v>
      </c>
      <c r="AB200" s="1" t="s">
        <v>2931</v>
      </c>
      <c r="AD200" s="5">
        <v>30895.0</v>
      </c>
      <c r="AE200" s="1" t="s">
        <v>2932</v>
      </c>
      <c r="AF200" s="1" t="s">
        <v>2933</v>
      </c>
      <c r="AI200" s="1" t="s">
        <v>2934</v>
      </c>
      <c r="AJ200" s="1" t="s">
        <v>2935</v>
      </c>
      <c r="AP200" s="1" t="s">
        <v>2936</v>
      </c>
      <c r="AS200" s="1" t="s">
        <v>2937</v>
      </c>
      <c r="BL200" s="1" t="s">
        <v>2938</v>
      </c>
      <c r="BM200" s="1">
        <v>23.0</v>
      </c>
      <c r="BP200" s="1" t="s">
        <v>2939</v>
      </c>
      <c r="BS200" s="1" t="s">
        <v>2940</v>
      </c>
    </row>
  </sheetData>
  <hyperlinks>
    <hyperlink r:id="rId1" ref="G2"/>
    <hyperlink r:id="rId2" ref="J2"/>
    <hyperlink r:id="rId3" ref="G3"/>
    <hyperlink r:id="rId4" ref="J3"/>
    <hyperlink r:id="rId5" ref="G4"/>
    <hyperlink r:id="rId6" ref="J4"/>
    <hyperlink r:id="rId7" ref="G5"/>
    <hyperlink r:id="rId8" ref="J5"/>
    <hyperlink r:id="rId9" ref="G6"/>
    <hyperlink r:id="rId10" ref="J6"/>
    <hyperlink r:id="rId11" ref="J7"/>
    <hyperlink r:id="rId12" ref="J8"/>
    <hyperlink r:id="rId13" ref="G9"/>
    <hyperlink r:id="rId14" ref="G10"/>
    <hyperlink r:id="rId15" ref="G11"/>
    <hyperlink r:id="rId16" ref="J12"/>
    <hyperlink r:id="rId17" ref="G13"/>
    <hyperlink r:id="rId18" ref="J13"/>
    <hyperlink r:id="rId19" ref="G14"/>
    <hyperlink r:id="rId20" ref="J14"/>
    <hyperlink r:id="rId21" ref="G16"/>
    <hyperlink r:id="rId22" ref="J16"/>
    <hyperlink r:id="rId23" ref="G17"/>
    <hyperlink r:id="rId24" ref="G18"/>
    <hyperlink r:id="rId25" ref="G19"/>
    <hyperlink r:id="rId26" ref="G20"/>
    <hyperlink r:id="rId27" ref="G21"/>
    <hyperlink r:id="rId28" ref="J21"/>
    <hyperlink r:id="rId29" ref="G22"/>
    <hyperlink r:id="rId30" ref="J22"/>
    <hyperlink r:id="rId31" ref="M23"/>
    <hyperlink r:id="rId32" ref="G25"/>
    <hyperlink r:id="rId33" ref="J25"/>
    <hyperlink r:id="rId34" ref="M25"/>
    <hyperlink r:id="rId35" ref="G26"/>
    <hyperlink r:id="rId36" ref="J26"/>
    <hyperlink r:id="rId37" ref="G27"/>
    <hyperlink r:id="rId38" ref="G28"/>
    <hyperlink r:id="rId39" ref="J29"/>
    <hyperlink r:id="rId40" ref="G30"/>
    <hyperlink r:id="rId41" ref="J30"/>
    <hyperlink r:id="rId42" ref="G31"/>
    <hyperlink r:id="rId43" ref="J32"/>
    <hyperlink r:id="rId44" ref="J33"/>
    <hyperlink r:id="rId45" ref="J34"/>
    <hyperlink r:id="rId46" ref="G37"/>
    <hyperlink r:id="rId47" ref="J37"/>
    <hyperlink r:id="rId48" ref="G38"/>
    <hyperlink r:id="rId49" ref="J38"/>
    <hyperlink r:id="rId50" ref="J39"/>
    <hyperlink r:id="rId51" ref="M40"/>
    <hyperlink r:id="rId52" ref="G41"/>
    <hyperlink r:id="rId53" ref="G42"/>
    <hyperlink r:id="rId54" ref="G43"/>
    <hyperlink r:id="rId55" ref="G44"/>
    <hyperlink r:id="rId56" ref="G45"/>
    <hyperlink r:id="rId57" ref="G46"/>
    <hyperlink r:id="rId58" ref="J46"/>
    <hyperlink r:id="rId59" ref="J47"/>
    <hyperlink r:id="rId60" ref="J48"/>
    <hyperlink r:id="rId61" ref="M52"/>
    <hyperlink r:id="rId62" ref="J53"/>
    <hyperlink r:id="rId63" ref="CT54"/>
    <hyperlink r:id="rId64" ref="M57"/>
    <hyperlink r:id="rId65" ref="CT57"/>
    <hyperlink r:id="rId66" ref="M59"/>
    <hyperlink r:id="rId67" ref="M61"/>
    <hyperlink r:id="rId68" ref="M62"/>
    <hyperlink r:id="rId69" ref="G64"/>
    <hyperlink r:id="rId70" ref="J65"/>
    <hyperlink r:id="rId71" ref="J66"/>
    <hyperlink r:id="rId72" ref="M66"/>
    <hyperlink r:id="rId73" ref="J68"/>
    <hyperlink r:id="rId74" ref="J69"/>
    <hyperlink r:id="rId75" ref="M69"/>
    <hyperlink r:id="rId76" ref="J70"/>
    <hyperlink r:id="rId77" ref="M70"/>
    <hyperlink r:id="rId78" ref="J72"/>
    <hyperlink r:id="rId79" ref="J73"/>
    <hyperlink r:id="rId80" ref="M73"/>
    <hyperlink r:id="rId81" ref="J74"/>
    <hyperlink r:id="rId82" ref="M74"/>
    <hyperlink r:id="rId83" ref="J75"/>
    <hyperlink r:id="rId84" ref="M75"/>
    <hyperlink r:id="rId85" ref="J78"/>
    <hyperlink r:id="rId86" ref="J79"/>
    <hyperlink r:id="rId87" ref="M79"/>
    <hyperlink r:id="rId88" ref="J80"/>
    <hyperlink r:id="rId89" ref="M80"/>
    <hyperlink r:id="rId90" ref="J81"/>
    <hyperlink r:id="rId91" ref="M81"/>
    <hyperlink r:id="rId92" ref="J82"/>
    <hyperlink r:id="rId93" ref="M82"/>
    <hyperlink r:id="rId94" ref="BR82"/>
    <hyperlink r:id="rId95" ref="J85"/>
    <hyperlink r:id="rId96" ref="J86"/>
    <hyperlink r:id="rId97" ref="J87"/>
    <hyperlink r:id="rId98" ref="J88"/>
    <hyperlink r:id="rId99" ref="J89"/>
    <hyperlink r:id="rId100" ref="M89"/>
    <hyperlink r:id="rId101" ref="J90"/>
    <hyperlink r:id="rId102" ref="M90"/>
    <hyperlink r:id="rId103" ref="J91"/>
    <hyperlink r:id="rId104" ref="M91"/>
    <hyperlink r:id="rId105" ref="J95"/>
    <hyperlink r:id="rId106" ref="J98"/>
    <hyperlink r:id="rId107" ref="J99"/>
    <hyperlink r:id="rId108" ref="M99"/>
    <hyperlink r:id="rId109" ref="J100"/>
    <hyperlink r:id="rId110" ref="M101"/>
    <hyperlink r:id="rId111" ref="J104"/>
    <hyperlink r:id="rId112" ref="J105"/>
    <hyperlink r:id="rId113" ref="M105"/>
    <hyperlink r:id="rId114" ref="J106"/>
    <hyperlink r:id="rId115" ref="M106"/>
    <hyperlink r:id="rId116" ref="J109"/>
    <hyperlink r:id="rId117" ref="M109"/>
    <hyperlink r:id="rId118" ref="J110"/>
    <hyperlink r:id="rId119" ref="J112"/>
    <hyperlink r:id="rId120" ref="M112"/>
    <hyperlink r:id="rId121" ref="J113"/>
    <hyperlink r:id="rId122" ref="M113"/>
    <hyperlink r:id="rId123" ref="M116"/>
    <hyperlink r:id="rId124" ref="J118"/>
    <hyperlink r:id="rId125" ref="M120"/>
    <hyperlink r:id="rId126" ref="M122"/>
    <hyperlink r:id="rId127" ref="J125"/>
    <hyperlink r:id="rId128" ref="M125"/>
    <hyperlink r:id="rId129" ref="J126"/>
    <hyperlink r:id="rId130" ref="J127"/>
    <hyperlink r:id="rId131" ref="M127"/>
    <hyperlink r:id="rId132" ref="DF127"/>
    <hyperlink r:id="rId133" ref="G129"/>
    <hyperlink r:id="rId134" ref="J130"/>
    <hyperlink r:id="rId135" ref="G132"/>
    <hyperlink r:id="rId136" ref="J132"/>
    <hyperlink r:id="rId137" ref="G133"/>
    <hyperlink r:id="rId138" ref="J133"/>
    <hyperlink r:id="rId139" ref="J134"/>
    <hyperlink r:id="rId140" ref="J136"/>
    <hyperlink r:id="rId141" ref="G137"/>
    <hyperlink r:id="rId142" ref="J137"/>
    <hyperlink r:id="rId143" ref="J138"/>
    <hyperlink r:id="rId144" ref="J139"/>
    <hyperlink r:id="rId145" ref="J140"/>
    <hyperlink r:id="rId146" ref="J141"/>
    <hyperlink r:id="rId147" ref="G144"/>
    <hyperlink r:id="rId148" ref="J144"/>
    <hyperlink r:id="rId149" ref="J145"/>
    <hyperlink r:id="rId150" ref="J146"/>
    <hyperlink r:id="rId151" ref="J148"/>
    <hyperlink r:id="rId152" ref="J149"/>
    <hyperlink r:id="rId153" ref="M151"/>
    <hyperlink r:id="rId154" ref="M153"/>
    <hyperlink r:id="rId155" ref="J154"/>
    <hyperlink r:id="rId156" ref="G155"/>
    <hyperlink r:id="rId157" ref="M155"/>
    <hyperlink r:id="rId158" ref="J159"/>
    <hyperlink r:id="rId159" ref="M159"/>
    <hyperlink r:id="rId160" ref="J160"/>
    <hyperlink r:id="rId161" ref="J163"/>
    <hyperlink r:id="rId162" ref="J164"/>
    <hyperlink r:id="rId163" ref="J166"/>
    <hyperlink r:id="rId164" ref="J167"/>
    <hyperlink r:id="rId165" ref="G170"/>
    <hyperlink r:id="rId166" ref="J170"/>
    <hyperlink r:id="rId167" ref="M170"/>
    <hyperlink r:id="rId168" ref="J172"/>
    <hyperlink r:id="rId169" ref="DF173"/>
    <hyperlink r:id="rId170" ref="J174"/>
    <hyperlink r:id="rId171" ref="J175"/>
    <hyperlink r:id="rId172" ref="J177"/>
    <hyperlink r:id="rId173" ref="J178"/>
    <hyperlink r:id="rId174" ref="J180"/>
    <hyperlink r:id="rId175" ref="M181"/>
    <hyperlink r:id="rId176" ref="G184"/>
    <hyperlink r:id="rId177" ref="J184"/>
    <hyperlink r:id="rId178" ref="J185"/>
    <hyperlink r:id="rId179" ref="J188"/>
    <hyperlink r:id="rId180" ref="G189"/>
    <hyperlink r:id="rId181" ref="J189"/>
    <hyperlink r:id="rId182" ref="J190"/>
    <hyperlink r:id="rId183" ref="J191"/>
    <hyperlink r:id="rId184" ref="J192"/>
    <hyperlink r:id="rId185" ref="J193"/>
    <hyperlink r:id="rId186" ref="G194"/>
    <hyperlink r:id="rId187" ref="J194"/>
    <hyperlink r:id="rId188" ref="J196"/>
    <hyperlink r:id="rId189" ref="J197"/>
    <hyperlink r:id="rId190" ref="M198"/>
    <hyperlink r:id="rId191" ref="J199"/>
    <hyperlink r:id="rId192" ref="J200"/>
    <hyperlink r:id="rId193" ref="M200"/>
  </hyperlinks>
  <drawing r:id="rId194"/>
</worksheet>
</file>